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75" windowWidth="18075" windowHeight="10740" tabRatio="659" activeTab="3"/>
  </bookViews>
  <sheets>
    <sheet name="CON" sheetId="8" r:id="rId1"/>
    <sheet name="FX" sheetId="11" r:id="rId2"/>
    <sheet name="AU" sheetId="1" r:id="rId3"/>
    <sheet name="US" sheetId="5" r:id="rId4"/>
    <sheet name="EU" sheetId="16" r:id="rId5"/>
    <sheet name="GB" sheetId="18" r:id="rId6"/>
    <sheet name="NZ" sheetId="19" r:id="rId7"/>
    <sheet name="HS" sheetId="14" r:id="rId8"/>
    <sheet name="IRS" sheetId="7" r:id="rId9"/>
    <sheet name="STR" sheetId="10" r:id="rId10"/>
    <sheet name="TBL" sheetId="12" r:id="rId11"/>
    <sheet name="HOL" sheetId="15" r:id="rId12"/>
    <sheet name="VER" sheetId="9" r:id="rId13"/>
  </sheets>
  <functionGroups/>
  <externalReferences>
    <externalReference r:id="rId14"/>
  </externalReferences>
  <definedNames>
    <definedName name="Anniv" localSheetId="9">STR!$O$7</definedName>
    <definedName name="AUD.ZB">AU!$BG$52:$BG$57</definedName>
    <definedName name="AUD.ZB.DISC">AU!$BG$52</definedName>
    <definedName name="AUD.ZBX">AU!$BG$59:$BG$64</definedName>
    <definedName name="AUD.ZBX.DISC">AU!$BG$59</definedName>
    <definedName name="AUD_CPI" localSheetId="7">HS!$C$11:$D$30</definedName>
    <definedName name="AUD_RateSets" localSheetId="7">HS!$F$10:$N$310</definedName>
    <definedName name="BusDayAdj" localSheetId="8">IRS!$D$19</definedName>
    <definedName name="BusDayAdj1" localSheetId="9">STR!$AK$12</definedName>
    <definedName name="BusDayAdj2" localSheetId="9">STR!$BS$12</definedName>
    <definedName name="CCY" localSheetId="8">IRS!$D$6</definedName>
    <definedName name="CPI0_DATE" localSheetId="2">AU!$EI$6</definedName>
    <definedName name="CPI0_VALUE" localSheetId="2">AU!$EI$7</definedName>
    <definedName name="Currency1" localSheetId="9">STR!$P$12</definedName>
    <definedName name="Currency2" localSheetId="9">STR!$AX$12</definedName>
    <definedName name="Dates1" localSheetId="9">STR!$O$18:$O$517</definedName>
    <definedName name="Dates2" localSheetId="9">STR!$AW$18:$AW$517</definedName>
    <definedName name="DCC_Leg1_Fixed" localSheetId="9">STR!$AT$11</definedName>
    <definedName name="DCC_Leg1_Float" localSheetId="9">STR!$AT$12</definedName>
    <definedName name="DCC_Leg2_Fixed" localSheetId="9">STR!$CB$11</definedName>
    <definedName name="DCC_Leg2_Float" localSheetId="9">STR!$CB$12</definedName>
    <definedName name="DCCfixed" localSheetId="8">IRS!$D$27</definedName>
    <definedName name="DCCfloat" localSheetId="8">IRS!$F$27</definedName>
    <definedName name="DesiredFixedRate" localSheetId="8">IRS!$T$5</definedName>
    <definedName name="DesiredNPV" localSheetId="8">IRS!$BK$7</definedName>
    <definedName name="Discounting" localSheetId="8">IRS!$D$8</definedName>
    <definedName name="End" localSheetId="9">STR!$O$6</definedName>
    <definedName name="EndDate" localSheetId="8">IRS!#REF!</definedName>
    <definedName name="EndInput" localSheetId="8">IRS!$F$15</definedName>
    <definedName name="EOM" localSheetId="8">IRS!$F$19</definedName>
    <definedName name="EOM_1" localSheetId="9">STR!$AQ$12</definedName>
    <definedName name="EOM_2" localSheetId="9">STR!$BY$12</definedName>
    <definedName name="EUR.ZB">EU!$BC$51:$BC$56</definedName>
    <definedName name="EUR.ZB.DISC" localSheetId="4">EU!$BC$51</definedName>
    <definedName name="EUR.ZBX">EU!$BC$59:$BC$64</definedName>
    <definedName name="EUR.ZBX.DISC">EU!$BC$59</definedName>
    <definedName name="Face" localSheetId="8">IRS!$F$10</definedName>
    <definedName name="FACE1" localSheetId="9">STR!$AK$18:$AK$516</definedName>
    <definedName name="FaceInput" localSheetId="8">IRS!$D$10</definedName>
    <definedName name="Fees" localSheetId="8">IRS!$T$13:$T$512</definedName>
    <definedName name="Forwards1" localSheetId="9">STR!$AI$18:$AI$516</definedName>
    <definedName name="Forwards2" localSheetId="9">STR!$BQ$18:$BQ$516</definedName>
    <definedName name="Freq1" localSheetId="9">STR!$AK$11</definedName>
    <definedName name="Freq2" localSheetId="9">STR!$BS$11</definedName>
    <definedName name="FreqFixed" localSheetId="8">IRS!$D$25</definedName>
    <definedName name="FreqFloat" localSheetId="8">IRS!$F$25</definedName>
    <definedName name="FRM" localSheetId="8">IRS!$D$36</definedName>
    <definedName name="FRM" localSheetId="9">STR!$CN$4</definedName>
    <definedName name="FXccys">FX!$I$63:$I$67</definedName>
    <definedName name="FxcurveAUD">FX!$N$63</definedName>
    <definedName name="FxcurveEUR">FX!$N$65</definedName>
    <definedName name="FxcurveGBP">FX!$N$64</definedName>
    <definedName name="FxcurveNZD">FX!$N$66</definedName>
    <definedName name="FXcurves">FX!$N$63:$N$67</definedName>
    <definedName name="FXspots">FX!$K$63:$K$67</definedName>
    <definedName name="GBP.ZB">GB!$BC$50:$BC$55</definedName>
    <definedName name="GBP.ZB.DISC">GB!$BC$50</definedName>
    <definedName name="GBP.ZBX">GB!$BC$58:$BC$63</definedName>
    <definedName name="GBP.ZBX.DISC">GB!$BC$58</definedName>
    <definedName name="GenRate_1a" localSheetId="9">STR!$AQ$15</definedName>
    <definedName name="GenRate_1b" localSheetId="9">STR!$AR$15</definedName>
    <definedName name="GenRate_2a" localSheetId="9">STR!$BY$15</definedName>
    <definedName name="GenRate_2b" localSheetId="9">STR!$BZ$15</definedName>
    <definedName name="GenType_1a" localSheetId="9">STR!$AQ$14</definedName>
    <definedName name="GenType_1b" localSheetId="9">STR!$AR$14</definedName>
    <definedName name="GenType_2a" localSheetId="9">STR!$BY$14</definedName>
    <definedName name="GenType_2b" localSheetId="9">STR!$BZ$14</definedName>
    <definedName name="HelpPopUps" localSheetId="0">CON!$E$12</definedName>
    <definedName name="HolidayOverride" localSheetId="8">IRS!$D$21</definedName>
    <definedName name="Holidays" localSheetId="9">STR!$CN$9</definedName>
    <definedName name="IncludePrincipals" localSheetId="8">IRS!$D$40</definedName>
    <definedName name="InterpTrigger" localSheetId="8">IRS!$D$38</definedName>
    <definedName name="InterpTrigger" localSheetId="9">STR!$CN$6</definedName>
    <definedName name="Margin" localSheetId="8">IRS!$D$34</definedName>
    <definedName name="NZD.ZB">NZ!$BC$42:$BC$47</definedName>
    <definedName name="NZD.ZB.DISC" localSheetId="6">NZ!$BC$42</definedName>
    <definedName name="NZD.ZBX">NZ!$BC$50:$BC$55</definedName>
    <definedName name="NZD.ZBX.DISC">NZ!$BC$50</definedName>
    <definedName name="OutlineLevel" localSheetId="2">AU!$G$118</definedName>
    <definedName name="OutlineLevel" localSheetId="4">EU!$G$40</definedName>
    <definedName name="OutlineLevel" localSheetId="1">FX!$G$50</definedName>
    <definedName name="OutlineLevel" localSheetId="5">GB!$G$40</definedName>
    <definedName name="OutlineLevel" localSheetId="8">IRS!$J$17</definedName>
    <definedName name="OutlineLevel" localSheetId="6">NZ!$G$28</definedName>
    <definedName name="OutlineLevel" localSheetId="9">STR!$C$30</definedName>
    <definedName name="OutlineLevel" localSheetId="3">US!$I$49</definedName>
    <definedName name="Override" localSheetId="2">AU!$AG$5:$AG$6,AU!$AG$9:$AG$15,AU!$AG$18:$AG$25,AU!$AG$28:$AG$43,AU!$AT$18:$AT$25,AU!$AT$28:$AT$38,AU!$BF$28:$BF$34,AU!$BF$18:$BF$23,AU!$BF$10:$BF$15,AU!$BR$28:$BR$37,AU!$BR$18:$BR$25,AU!$BR$10:$BR$15,AU!$CW$9:$CW$16,AU!$DB$23:$DI$33,AU!$EH$6:$EH$7,AU!$EH$11:$EH$19</definedName>
    <definedName name="Override" localSheetId="4">EU!$AE$5:$AE$12,EU!$AE$15:$AE$26,EU!$AE$29:$AE$48,EU!$AQ$50:$AQ$65,EU!$AQ$29:$AQ$44,EU!$BC$29:$BC$44,EU!$BO$29:$BO$44,EU!$BO$19:$BO$26,EU!$BC$19:$BC$26,EU!$BC$10:$BC$15,EU!$BO$10:$BO$15,EU!$CT$9:$CT$18</definedName>
    <definedName name="Override" localSheetId="1">FX!$M$7:$M$28,FX!$M$32:$M$41,FX!$T$7:$T$28,FX!$T$32:$T$41,FX!$AA$7:$AA$28,FX!$AA$32:$AA$42,FX!$AH$7:$AH$28,FX!$AH$32:$AH$41</definedName>
    <definedName name="Override" localSheetId="5">GB!$AE$5:$AE$12,GB!$AE$15:$AE$26,GB!$AE$29:$AE$45,GB!$AQ$49:$AQ$63,GB!$AQ$29:$AQ$43,GB!$BC$29:$BC$43,GB!$BO$29:$BO$43,GB!$BO$19:$BO$26,GB!$BC$19:$BC$26,GB!$BC$10:$BC$15,GB!$BO$10:$BO$15,GB!$CT$9:$CT$18</definedName>
    <definedName name="Override" localSheetId="6">NZ!$AE$4:$AE$11,NZ!$AE$15:$AE$19,NZ!$AE$22:$AE$34,NZ!$AQ$49:$AQ$63,NZ!$AQ$22:$AQ$43,NZ!$BC$22:$BC$28,NZ!$BO$34:$BO$43,NZ!$BO$10:$BO$21,NZ!$BC$19:$BC$20,NZ!$BC$10:$BC$15,NZ!$BO$10:$BO$15,NZ!$CM$9:$CM$15</definedName>
    <definedName name="Override" localSheetId="3">US!$AE$5:$AE$12,US!$AE$15:$AE$26,US!$AE$29:$AE$49,US!$AQ$45:$AQ$56,US!$AQ$29:$AQ$41,US!$BC$29:$BC$41,US!$BO$29:$BO$43,US!$BO$19:$BO$26,US!$BC$19:$BC$26,US!$BC$10:$BC$15,US!$BO$10:$BO$15,US!$CS$9:$CS$18,US!$AO$15:$AO$26</definedName>
    <definedName name="Page_1" localSheetId="9">STR!$N$1</definedName>
    <definedName name="Page_2" localSheetId="9">STR!$CL$1</definedName>
    <definedName name="Page_ConversionFactors" localSheetId="10">TBL!$BD$1</definedName>
    <definedName name="Page_CPI" localSheetId="2">AU!$ED$1</definedName>
    <definedName name="Page_CPI" localSheetId="4">EU!$DO$1</definedName>
    <definedName name="Page_CPI" localSheetId="5">GB!$DO$1</definedName>
    <definedName name="Page_CPI" localSheetId="6">NZ!$DH$1</definedName>
    <definedName name="Page_CPI" localSheetId="3">US!$DN$1</definedName>
    <definedName name="Page_ForwardFX" localSheetId="10">TBL!$DX$1</definedName>
    <definedName name="Page_ForwardSwaps" localSheetId="10">TBL!$D$1</definedName>
    <definedName name="Page_Rates" localSheetId="2">AU!$X$1</definedName>
    <definedName name="Page_Rates" localSheetId="4">EU!$V$1</definedName>
    <definedName name="Page_Rates" localSheetId="5">GB!$V$1</definedName>
    <definedName name="Page_Rates" localSheetId="6">NZ!$V$1</definedName>
    <definedName name="Page_Rates" localSheetId="3">US!$V$1</definedName>
    <definedName name="Page_Vols" localSheetId="2">AU!$CS$1</definedName>
    <definedName name="Page_Vols" localSheetId="4">EU!$CI$1</definedName>
    <definedName name="Page_Vols" localSheetId="5">GB!$CI$1</definedName>
    <definedName name="Page_Vols" localSheetId="6">NZ!$CD$1</definedName>
    <definedName name="Page_Vols" localSheetId="3">US!$CI$1</definedName>
    <definedName name="PerformFRM?" localSheetId="8">IRS!$J$23</definedName>
    <definedName name="PPP_Global">CON!$E$6</definedName>
    <definedName name="Principal1?" localSheetId="9">STR!$F$7</definedName>
    <definedName name="Principal2?" localSheetId="9">STR!$F$8</definedName>
    <definedName name="Principals?" localSheetId="9">STR!$F$7</definedName>
    <definedName name="ProjCurve_1M" localSheetId="8">IRS!$J$7</definedName>
    <definedName name="ProjCurve_1Y" localSheetId="8">IRS!$J$10</definedName>
    <definedName name="ProjCurve_3M" localSheetId="8">IRS!$J$8</definedName>
    <definedName name="ProjCurve_6M" localSheetId="8">IRS!$J$9</definedName>
    <definedName name="ProjCurve_ON" localSheetId="8">IRS!$J$6</definedName>
    <definedName name="PV_Leg1" localSheetId="9">STR!$AT$5</definedName>
    <definedName name="PV_Leg2" localSheetId="9">STR!$AT$6</definedName>
    <definedName name="PV_Total" localSheetId="9">STR!$AT$7</definedName>
    <definedName name="ReutersPARSED" localSheetId="2">AU!$S$18:$V$42</definedName>
    <definedName name="ReutersPARSED" localSheetId="4">EU!$Q$13:$T$25</definedName>
    <definedName name="ReutersPARSED" localSheetId="5">GB!$Q$13:$T$25</definedName>
    <definedName name="ReutersPARSED" localSheetId="6">NZ!$Q$13:$T$16</definedName>
    <definedName name="ReutersPARSED" localSheetId="3">US!$Q$16:$T$37</definedName>
    <definedName name="ReutersRAW" localSheetId="2">AU!$N$18:$Q$42</definedName>
    <definedName name="ReutersRAW" localSheetId="4">EU!$L$13:$O$25</definedName>
    <definedName name="ReutersRAW" localSheetId="5">GB!$L$13:$O$25</definedName>
    <definedName name="ReutersRAW" localSheetId="6">NZ!$L$13:$O$16</definedName>
    <definedName name="ReutersRAW" localSheetId="3">US!$L$16:$O$37</definedName>
    <definedName name="RollAnniv" localSheetId="8">IRS!$D$17</definedName>
    <definedName name="RTMODE_FX" localSheetId="1">FX!$G$4</definedName>
    <definedName name="RTMODE_RATES" localSheetId="2">AU!$AP$6</definedName>
    <definedName name="RTMODE_RATES" localSheetId="4">EU!$AY$6</definedName>
    <definedName name="RTMODE_RATES" localSheetId="5">GB!$AY$6</definedName>
    <definedName name="RTMODE_RATES" localSheetId="6">NZ!$AY$6</definedName>
    <definedName name="RTMODE_RATES" localSheetId="3">US!$AY$6</definedName>
    <definedName name="RTMODE_VOLS" localSheetId="2">AU!$CK$4</definedName>
    <definedName name="RTMODE_VOLS" localSheetId="4">EU!$CN$4</definedName>
    <definedName name="RTMODE_VOLS" localSheetId="5">GB!$CN$4</definedName>
    <definedName name="RTMODE_VOLS" localSheetId="6">NZ!$CI$4</definedName>
    <definedName name="RTMODE_VOLS" localSheetId="3">US!$CL$4</definedName>
    <definedName name="ServiceMode" localSheetId="0">CON!$E$9</definedName>
    <definedName name="SolveTarget_Leg1" localSheetId="9">STR!$J$5</definedName>
    <definedName name="SolveTarget_Leg1_Input" localSheetId="9">STR!$AX$5</definedName>
    <definedName name="SolveTarget_Leg2" localSheetId="9">STR!$J$6</definedName>
    <definedName name="SolveTarget_Leg2_Input" localSheetId="9">STR!$AX$6</definedName>
    <definedName name="SolveTarget_Total" localSheetId="9">STR!$J$7</definedName>
    <definedName name="SolveTarget_Total_Input" localSheetId="9">STR!$AX$7</definedName>
    <definedName name="Spot_AUD">FX!$K$63</definedName>
    <definedName name="Spot_EUR">FX!$K$65</definedName>
    <definedName name="Spot_GBP">FX!$K$64</definedName>
    <definedName name="Spot_NZD">FX!$K$66</definedName>
    <definedName name="Spot_USD">FX!$K$67</definedName>
    <definedName name="Start" localSheetId="9">STR!$O$5</definedName>
    <definedName name="StartDate" localSheetId="8">IRS!#REF!</definedName>
    <definedName name="StartInput" localSheetId="8">IRS!$D$15</definedName>
    <definedName name="Stubs1" localSheetId="9">STR!$AQ$11</definedName>
    <definedName name="Stubs2" localSheetId="9">STR!$BY$11</definedName>
    <definedName name="StubsFixed" localSheetId="8">IRS!$D$29</definedName>
    <definedName name="StubsFloat" localSheetId="8">IRS!$F$29</definedName>
    <definedName name="Today">AU!$AT$4</definedName>
    <definedName name="USD.ZB">US!$BC$48:$BC$53</definedName>
    <definedName name="USD.ZB.DISC">US!$BC$48</definedName>
    <definedName name="USD.ZBX">US!$BC$48:$BC$53</definedName>
    <definedName name="USD.ZBX.DISC">US!$BC$48</definedName>
    <definedName name="USD_RateSets" localSheetId="7">HS!$P$10:$X$310</definedName>
    <definedName name="Yrs" localSheetId="8">IRS!$J$16</definedName>
  </definedNames>
  <calcPr calcId="125725"/>
</workbook>
</file>

<file path=xl/calcChain.xml><?xml version="1.0" encoding="utf-8"?>
<calcChain xmlns="http://schemas.openxmlformats.org/spreadsheetml/2006/main">
  <c r="Y38" i="18"/>
  <c r="AE9" i="11" l="1"/>
  <c r="AE10"/>
  <c r="X9"/>
  <c r="X10"/>
  <c r="Q9"/>
  <c r="Q10"/>
  <c r="J9"/>
  <c r="J10"/>
  <c r="Y48" i="16"/>
  <c r="Y47"/>
  <c r="Y46"/>
  <c r="Y45"/>
  <c r="Y44"/>
  <c r="Y43"/>
  <c r="Y40"/>
  <c r="Y38"/>
  <c r="Y37"/>
  <c r="Y36"/>
  <c r="Y35"/>
  <c r="Y34"/>
  <c r="Y33"/>
  <c r="Y32"/>
  <c r="Y31"/>
  <c r="Y30"/>
  <c r="Y29"/>
  <c r="Y30" i="18" l="1"/>
  <c r="Y31"/>
  <c r="Y32"/>
  <c r="Y33"/>
  <c r="Y34"/>
  <c r="Y35"/>
  <c r="Y36"/>
  <c r="Y37"/>
  <c r="Y39"/>
  <c r="Y40"/>
  <c r="Y41"/>
  <c r="Y42"/>
  <c r="Y43"/>
  <c r="Y44"/>
  <c r="Y45"/>
  <c r="Z18" i="12" a="1"/>
  <c r="Z22" s="1"/>
  <c r="R18" a="1"/>
  <c r="R22" s="1"/>
  <c r="AG8" a="1"/>
  <c r="AG12" s="1"/>
  <c r="AI7"/>
  <c r="Z30" l="1"/>
  <c r="Z24"/>
  <c r="Z31"/>
  <c r="Z19"/>
  <c r="Z33"/>
  <c r="Z27"/>
  <c r="Z21"/>
  <c r="Z29"/>
  <c r="Z23"/>
  <c r="Z18"/>
  <c r="Z25"/>
  <c r="Z32"/>
  <c r="Z26"/>
  <c r="Z20"/>
  <c r="Z28"/>
  <c r="R29"/>
  <c r="R23"/>
  <c r="R30"/>
  <c r="R24"/>
  <c r="R18"/>
  <c r="R31"/>
  <c r="R25"/>
  <c r="R19"/>
  <c r="R32"/>
  <c r="R26"/>
  <c r="R20"/>
  <c r="R33"/>
  <c r="R27"/>
  <c r="R21"/>
  <c r="R28"/>
  <c r="AG19"/>
  <c r="AG13"/>
  <c r="AG20"/>
  <c r="AG14"/>
  <c r="AG8"/>
  <c r="AG21"/>
  <c r="AG15"/>
  <c r="AG9"/>
  <c r="AG22"/>
  <c r="AG16"/>
  <c r="AG10"/>
  <c r="AG17"/>
  <c r="AG11"/>
  <c r="AG18"/>
  <c r="AI9" i="11"/>
  <c r="AI10"/>
  <c r="AB9"/>
  <c r="AB10"/>
  <c r="U9"/>
  <c r="U10"/>
  <c r="U11"/>
  <c r="U12"/>
  <c r="N9"/>
  <c r="N10"/>
  <c r="X11"/>
  <c r="X12"/>
  <c r="X13"/>
  <c r="AE11"/>
  <c r="AE12"/>
  <c r="AE13"/>
  <c r="AI12"/>
  <c r="AI11"/>
  <c r="AI8"/>
  <c r="AI7"/>
  <c r="AB12"/>
  <c r="AB11"/>
  <c r="AB8"/>
  <c r="AB7"/>
  <c r="U8"/>
  <c r="U7"/>
  <c r="Q11"/>
  <c r="Q12"/>
  <c r="Q13"/>
  <c r="Q14"/>
  <c r="N11"/>
  <c r="N12"/>
  <c r="N13"/>
  <c r="N14"/>
  <c r="J11"/>
  <c r="J12"/>
  <c r="AE21"/>
  <c r="AE22"/>
  <c r="AE23"/>
  <c r="AE24"/>
  <c r="AE25"/>
  <c r="AE26"/>
  <c r="AE27"/>
  <c r="AE28"/>
  <c r="AI28"/>
  <c r="AI27"/>
  <c r="AI26"/>
  <c r="AI25"/>
  <c r="AI24"/>
  <c r="AI23"/>
  <c r="AI22"/>
  <c r="AB28"/>
  <c r="AB27"/>
  <c r="AB26"/>
  <c r="AB25"/>
  <c r="AB24"/>
  <c r="AB23"/>
  <c r="AB22"/>
  <c r="X21"/>
  <c r="X22"/>
  <c r="X23"/>
  <c r="X24"/>
  <c r="X25"/>
  <c r="X26"/>
  <c r="X27"/>
  <c r="X28"/>
  <c r="Q21"/>
  <c r="Q22"/>
  <c r="Q23"/>
  <c r="Q24"/>
  <c r="Q25"/>
  <c r="Q26"/>
  <c r="Q27"/>
  <c r="Q28"/>
  <c r="U28"/>
  <c r="U27"/>
  <c r="U26"/>
  <c r="U25"/>
  <c r="U24"/>
  <c r="U23"/>
  <c r="U22"/>
  <c r="N21"/>
  <c r="N22"/>
  <c r="N23"/>
  <c r="N24"/>
  <c r="N25"/>
  <c r="N26"/>
  <c r="N27"/>
  <c r="N28"/>
  <c r="J27"/>
  <c r="J26"/>
  <c r="J25"/>
  <c r="J24"/>
  <c r="J23"/>
  <c r="J22"/>
  <c r="AE8"/>
  <c r="AE14"/>
  <c r="AE15"/>
  <c r="AE16"/>
  <c r="AE17"/>
  <c r="AE18"/>
  <c r="AE19"/>
  <c r="AE20"/>
  <c r="X8"/>
  <c r="X14"/>
  <c r="X15"/>
  <c r="X16"/>
  <c r="X17"/>
  <c r="X18"/>
  <c r="X19"/>
  <c r="X20"/>
  <c r="Q8"/>
  <c r="Q15"/>
  <c r="Q16"/>
  <c r="Q17"/>
  <c r="Q18"/>
  <c r="Q19"/>
  <c r="Q20"/>
  <c r="J8"/>
  <c r="J13"/>
  <c r="J14"/>
  <c r="J15"/>
  <c r="J16"/>
  <c r="J17"/>
  <c r="J18"/>
  <c r="J19"/>
  <c r="J20"/>
  <c r="J21"/>
  <c r="J28"/>
  <c r="EK11" i="12" l="1"/>
  <c r="EH11"/>
  <c r="ES7"/>
  <c r="EO7" s="1"/>
  <c r="EF36"/>
  <c r="EF37"/>
  <c r="EF38"/>
  <c r="EF39"/>
  <c r="EF40"/>
  <c r="EF35"/>
  <c r="ET39" l="1"/>
  <c r="EP39" s="1"/>
  <c r="ES39"/>
  <c r="EO39" s="1"/>
  <c r="ET40"/>
  <c r="EP40" s="1"/>
  <c r="ES40"/>
  <c r="EO40" s="1"/>
  <c r="ES36"/>
  <c r="EO36" s="1"/>
  <c r="ET36"/>
  <c r="EP36" s="1"/>
  <c r="ET37"/>
  <c r="EP37" s="1"/>
  <c r="ES37"/>
  <c r="EO37" s="1"/>
  <c r="ET38"/>
  <c r="EP38" s="1"/>
  <c r="ES38"/>
  <c r="EO38" s="1"/>
  <c r="ED11"/>
  <c r="BJ512" i="7"/>
  <c r="EF14" i="12"/>
  <c r="EF25"/>
  <c r="EF18"/>
  <c r="EF29"/>
  <c r="EF24"/>
  <c r="EF21"/>
  <c r="EF23"/>
  <c r="EF22"/>
  <c r="EF28"/>
  <c r="EF27"/>
  <c r="EF19"/>
  <c r="EF26"/>
  <c r="EF20"/>
  <c r="EF15"/>
  <c r="EF16" s="1"/>
  <c r="EF17" s="1"/>
  <c r="EQ40" l="1"/>
  <c r="EQ37"/>
  <c r="EQ39"/>
  <c r="EQ38"/>
  <c r="EQ36"/>
  <c r="EF34"/>
  <c r="Y512" i="7"/>
  <c r="Z512"/>
  <c r="EF13" i="12"/>
  <c r="EF32"/>
  <c r="EF33"/>
  <c r="ET30" l="1"/>
  <c r="D21" i="10"/>
  <c r="D23" s="1"/>
  <c r="G20" i="19"/>
  <c r="G21"/>
  <c r="G22"/>
  <c r="G23"/>
  <c r="G24"/>
  <c r="G102" i="1"/>
  <c r="G103"/>
  <c r="G104"/>
  <c r="G105"/>
  <c r="G106"/>
  <c r="G107"/>
  <c r="CG9" i="19"/>
  <c r="CG10"/>
  <c r="CG11"/>
  <c r="CG12"/>
  <c r="CG13"/>
  <c r="CG14"/>
  <c r="CG15"/>
  <c r="AK64" i="18"/>
  <c r="AR64"/>
  <c r="AK65"/>
  <c r="AR65"/>
  <c r="BI44"/>
  <c r="BI45"/>
  <c r="AW44"/>
  <c r="BD44"/>
  <c r="AW45"/>
  <c r="BD45"/>
  <c r="BB22" i="19"/>
  <c r="BB23"/>
  <c r="BB24"/>
  <c r="BB25"/>
  <c r="BB26"/>
  <c r="BB27"/>
  <c r="BB28"/>
  <c r="BA22"/>
  <c r="BA23"/>
  <c r="BA24"/>
  <c r="BA25"/>
  <c r="BA26"/>
  <c r="BA27"/>
  <c r="BA28"/>
  <c r="AP22"/>
  <c r="AP23"/>
  <c r="AP24"/>
  <c r="AP25"/>
  <c r="AP26"/>
  <c r="AP27"/>
  <c r="AP28"/>
  <c r="AO22"/>
  <c r="AO23"/>
  <c r="AO24"/>
  <c r="AO25"/>
  <c r="AO26"/>
  <c r="AO27"/>
  <c r="AO28"/>
  <c r="AZ22" a="1"/>
  <c r="AZ26" s="1"/>
  <c r="D22" i="10" l="1"/>
  <c r="D27"/>
  <c r="D26"/>
  <c r="D25"/>
  <c r="D24"/>
  <c r="BD24" i="19"/>
  <c r="AZ27"/>
  <c r="BD27"/>
  <c r="BD25"/>
  <c r="BD23"/>
  <c r="BD28"/>
  <c r="BD26"/>
  <c r="BD22"/>
  <c r="AZ28"/>
  <c r="AZ22"/>
  <c r="AZ23"/>
  <c r="AZ24"/>
  <c r="AZ25"/>
  <c r="AW10"/>
  <c r="AW11"/>
  <c r="AW12"/>
  <c r="AW13"/>
  <c r="AW14"/>
  <c r="AW15"/>
  <c r="AN22" a="1"/>
  <c r="AN26" s="1"/>
  <c r="Y22"/>
  <c r="Y23"/>
  <c r="Y24"/>
  <c r="Y25"/>
  <c r="Y26"/>
  <c r="Y27"/>
  <c r="Y28"/>
  <c r="Y29"/>
  <c r="Y30"/>
  <c r="Y31"/>
  <c r="Y32"/>
  <c r="Y33"/>
  <c r="Y34"/>
  <c r="AK6"/>
  <c r="AK7"/>
  <c r="AK8"/>
  <c r="AK9"/>
  <c r="AK10"/>
  <c r="AK11"/>
  <c r="G7"/>
  <c r="G6"/>
  <c r="BI21"/>
  <c r="BI20"/>
  <c r="BI19"/>
  <c r="BI18"/>
  <c r="BI17"/>
  <c r="BI16"/>
  <c r="BI15"/>
  <c r="BI14"/>
  <c r="BI13"/>
  <c r="BI12"/>
  <c r="Y11"/>
  <c r="BI11"/>
  <c r="Y10"/>
  <c r="BI10"/>
  <c r="Y9"/>
  <c r="Y8"/>
  <c r="Y7"/>
  <c r="Y6"/>
  <c r="AR28" l="1"/>
  <c r="AN27"/>
  <c r="AR22"/>
  <c r="AR23"/>
  <c r="AR24"/>
  <c r="AR25"/>
  <c r="AR26"/>
  <c r="AR27"/>
  <c r="AN28"/>
  <c r="AN22"/>
  <c r="AN23"/>
  <c r="AN24"/>
  <c r="AN25"/>
  <c r="AF34"/>
  <c r="AF33"/>
  <c r="AF32"/>
  <c r="AF31"/>
  <c r="AF30"/>
  <c r="AF29"/>
  <c r="AF28"/>
  <c r="AF27"/>
  <c r="AF26"/>
  <c r="AF25"/>
  <c r="AF24"/>
  <c r="AF23"/>
  <c r="AF22"/>
  <c r="BP21" l="1"/>
  <c r="BP20" l="1"/>
  <c r="BP19" l="1"/>
  <c r="CN15" l="1"/>
  <c r="BP18"/>
  <c r="BP17" l="1"/>
  <c r="BP16" l="1"/>
  <c r="CN14" l="1"/>
  <c r="BP15"/>
  <c r="BD15"/>
  <c r="AC15" a="1"/>
  <c r="AC15" s="1"/>
  <c r="AD15" l="1"/>
  <c r="AF15" s="1"/>
  <c r="BP14"/>
  <c r="BD14"/>
  <c r="AQ15" l="1"/>
  <c r="AC16" a="1"/>
  <c r="CN13"/>
  <c r="BP13"/>
  <c r="BD13"/>
  <c r="AD16" l="1"/>
  <c r="AC16"/>
  <c r="CN12"/>
  <c r="BP12"/>
  <c r="BD12"/>
  <c r="AF16" l="1"/>
  <c r="AQ16" s="1"/>
  <c r="AF11"/>
  <c r="CN11"/>
  <c r="BP11"/>
  <c r="BD11"/>
  <c r="AF10"/>
  <c r="CN10"/>
  <c r="BP10"/>
  <c r="BD10"/>
  <c r="AF9"/>
  <c r="CN9"/>
  <c r="AF8"/>
  <c r="AP15"/>
  <c r="AP16"/>
  <c r="AC17" l="1" a="1"/>
  <c r="AC17" s="1"/>
  <c r="AR16"/>
  <c r="AR15"/>
  <c r="AF7"/>
  <c r="AF6"/>
  <c r="AY6"/>
  <c r="AM21"/>
  <c r="AY21"/>
  <c r="K20"/>
  <c r="AA4"/>
  <c r="AA21"/>
  <c r="AD17" l="1"/>
  <c r="AF17" s="1"/>
  <c r="AC18" s="1" a="1"/>
  <c r="AF5"/>
  <c r="O6"/>
  <c r="F13"/>
  <c r="AP17"/>
  <c r="AQ17" l="1"/>
  <c r="AR17" s="1"/>
  <c r="AC18"/>
  <c r="AD18"/>
  <c r="AD14"/>
  <c r="CI4"/>
  <c r="F14"/>
  <c r="K6"/>
  <c r="CG8"/>
  <c r="AF18" l="1"/>
  <c r="BC4"/>
  <c r="AU10" i="1"/>
  <c r="AU11"/>
  <c r="AU12"/>
  <c r="AU13"/>
  <c r="AU14"/>
  <c r="AU15"/>
  <c r="AT10"/>
  <c r="AT11"/>
  <c r="AT12"/>
  <c r="AT13"/>
  <c r="AT14"/>
  <c r="AT15"/>
  <c r="AE9"/>
  <c r="Q82"/>
  <c r="AJ51" s="1"/>
  <c r="Q83" a="1"/>
  <c r="Q87" s="1"/>
  <c r="AJ56" s="1"/>
  <c r="P83" a="1"/>
  <c r="P87" s="1"/>
  <c r="P82"/>
  <c r="O66" a="1"/>
  <c r="O70" s="1"/>
  <c r="O82" a="1"/>
  <c r="O86" s="1"/>
  <c r="F15" i="19"/>
  <c r="AP18"/>
  <c r="AQ18" l="1"/>
  <c r="AR18" s="1"/>
  <c r="O77" i="1"/>
  <c r="O71"/>
  <c r="Q94"/>
  <c r="AJ63" s="1"/>
  <c r="O87"/>
  <c r="Q88"/>
  <c r="AJ57" s="1"/>
  <c r="O93"/>
  <c r="Q95"/>
  <c r="AJ64" s="1"/>
  <c r="Q89"/>
  <c r="AJ58" s="1"/>
  <c r="Q83"/>
  <c r="AJ52" s="1"/>
  <c r="Q96"/>
  <c r="AJ65" s="1"/>
  <c r="Q90"/>
  <c r="AJ59" s="1"/>
  <c r="Q84"/>
  <c r="AJ53" s="1"/>
  <c r="Q97"/>
  <c r="AJ66" s="1"/>
  <c r="Q91"/>
  <c r="AJ60" s="1"/>
  <c r="Q85"/>
  <c r="AJ54" s="1"/>
  <c r="Q92"/>
  <c r="AJ61" s="1"/>
  <c r="Q86"/>
  <c r="AJ55" s="1"/>
  <c r="Q93"/>
  <c r="AJ62" s="1"/>
  <c r="P95"/>
  <c r="P89"/>
  <c r="P83"/>
  <c r="P96"/>
  <c r="P90"/>
  <c r="P84"/>
  <c r="P97"/>
  <c r="P91"/>
  <c r="P85"/>
  <c r="P92"/>
  <c r="P86"/>
  <c r="P94"/>
  <c r="P88"/>
  <c r="P93"/>
  <c r="O78"/>
  <c r="O72"/>
  <c r="O66"/>
  <c r="O79"/>
  <c r="O73"/>
  <c r="O67"/>
  <c r="O74"/>
  <c r="O68"/>
  <c r="O75"/>
  <c r="O69"/>
  <c r="O76"/>
  <c r="O94"/>
  <c r="O88"/>
  <c r="O82"/>
  <c r="O95"/>
  <c r="O89"/>
  <c r="O83"/>
  <c r="O96"/>
  <c r="O90"/>
  <c r="O84"/>
  <c r="O97"/>
  <c r="O91"/>
  <c r="O85"/>
  <c r="O92"/>
  <c r="P65" a="1"/>
  <c r="P65" s="1"/>
  <c r="P80" a="1"/>
  <c r="Q80" s="1"/>
  <c r="P78" a="1"/>
  <c r="Q78" s="1"/>
  <c r="Q66"/>
  <c r="Q67"/>
  <c r="Q68"/>
  <c r="Q69"/>
  <c r="Q70"/>
  <c r="Q71"/>
  <c r="Q72"/>
  <c r="Q73"/>
  <c r="Q74"/>
  <c r="Q75"/>
  <c r="Q76"/>
  <c r="Q77"/>
  <c r="Q79"/>
  <c r="P66"/>
  <c r="P67"/>
  <c r="P68"/>
  <c r="P69"/>
  <c r="P70"/>
  <c r="P71"/>
  <c r="P72"/>
  <c r="P73"/>
  <c r="P74"/>
  <c r="P75"/>
  <c r="P76"/>
  <c r="P77"/>
  <c r="P79"/>
  <c r="F16" i="19"/>
  <c r="G13" l="1" a="1"/>
  <c r="W15" a="1"/>
  <c r="AI51" i="1" a="1"/>
  <c r="AI64" s="1"/>
  <c r="Q65"/>
  <c r="AH51" s="1" a="1"/>
  <c r="AH55" s="1"/>
  <c r="P80"/>
  <c r="P78"/>
  <c r="AE51" a="1"/>
  <c r="AF51" s="1"/>
  <c r="AF52" a="1"/>
  <c r="AF56" s="1"/>
  <c r="AE52" a="1"/>
  <c r="AE56" s="1"/>
  <c r="BP18" a="1"/>
  <c r="BQ18" s="1"/>
  <c r="AE6" a="1"/>
  <c r="AF6" s="1"/>
  <c r="AE5" a="1"/>
  <c r="AF5" s="1"/>
  <c r="AE18" a="1"/>
  <c r="AF18" s="1"/>
  <c r="BM19" i="5" a="1"/>
  <c r="BN19" s="1"/>
  <c r="AC15" a="1"/>
  <c r="AD15" s="1"/>
  <c r="AC15" i="16" a="1"/>
  <c r="AC15" s="1"/>
  <c r="G15" i="19" l="1"/>
  <c r="G16"/>
  <c r="G14"/>
  <c r="G13"/>
  <c r="W15"/>
  <c r="AI15" s="1"/>
  <c r="W17"/>
  <c r="AI17" s="1"/>
  <c r="W16"/>
  <c r="AI16" s="1"/>
  <c r="W18"/>
  <c r="AI18" s="1"/>
  <c r="AG51" i="1" a="1"/>
  <c r="AG55" s="1"/>
  <c r="AI54"/>
  <c r="AI57"/>
  <c r="AI55"/>
  <c r="AI59"/>
  <c r="AI58"/>
  <c r="AI53"/>
  <c r="AI66"/>
  <c r="AI52"/>
  <c r="AI56"/>
  <c r="AI65"/>
  <c r="AI61"/>
  <c r="AI62"/>
  <c r="AI51"/>
  <c r="AI60"/>
  <c r="AI63"/>
  <c r="AH53"/>
  <c r="AH66"/>
  <c r="AH57"/>
  <c r="AH51"/>
  <c r="AH54"/>
  <c r="AH60"/>
  <c r="AH64"/>
  <c r="AH58"/>
  <c r="AH62"/>
  <c r="AH52"/>
  <c r="AH61"/>
  <c r="AH56"/>
  <c r="AH65"/>
  <c r="AH63"/>
  <c r="AH59"/>
  <c r="AD15" i="16"/>
  <c r="AE51" i="1"/>
  <c r="AF64"/>
  <c r="AF52"/>
  <c r="AF59"/>
  <c r="AF66"/>
  <c r="AF54"/>
  <c r="AF61"/>
  <c r="AF55"/>
  <c r="AF63"/>
  <c r="AF57"/>
  <c r="AF58"/>
  <c r="AF65"/>
  <c r="AF53"/>
  <c r="AF60"/>
  <c r="AF62"/>
  <c r="AE57"/>
  <c r="AE63"/>
  <c r="AE64"/>
  <c r="AE58"/>
  <c r="AE52"/>
  <c r="AE65"/>
  <c r="AE59"/>
  <c r="AE53"/>
  <c r="AE66"/>
  <c r="AE60"/>
  <c r="AE54"/>
  <c r="AE61"/>
  <c r="AE55"/>
  <c r="AE62"/>
  <c r="BP18"/>
  <c r="AE6"/>
  <c r="AE5"/>
  <c r="AE18"/>
  <c r="BM19" i="5"/>
  <c r="AC15"/>
  <c r="S12" i="1"/>
  <c r="S9"/>
  <c r="S6"/>
  <c r="G12"/>
  <c r="G13" s="1"/>
  <c r="G9"/>
  <c r="G10" s="1"/>
  <c r="G6"/>
  <c r="G7" s="1"/>
  <c r="AA11"/>
  <c r="AA12"/>
  <c r="AA13"/>
  <c r="AA14"/>
  <c r="AA15"/>
  <c r="AA10"/>
  <c r="BL29"/>
  <c r="BL30"/>
  <c r="BL31"/>
  <c r="BL32"/>
  <c r="BL33"/>
  <c r="BL34"/>
  <c r="BL35"/>
  <c r="BL36"/>
  <c r="BL37"/>
  <c r="BL28"/>
  <c r="BL10"/>
  <c r="BL11"/>
  <c r="BL12"/>
  <c r="BL13"/>
  <c r="BL14"/>
  <c r="BL15"/>
  <c r="AZ28"/>
  <c r="AZ29"/>
  <c r="AZ30"/>
  <c r="AZ31"/>
  <c r="AZ32"/>
  <c r="AZ33"/>
  <c r="AZ34"/>
  <c r="AZ10"/>
  <c r="AZ11"/>
  <c r="AZ12"/>
  <c r="AZ13"/>
  <c r="AZ14"/>
  <c r="AZ15"/>
  <c r="AN28"/>
  <c r="AN29"/>
  <c r="AN30"/>
  <c r="AN31"/>
  <c r="AN32"/>
  <c r="AN33"/>
  <c r="AN34"/>
  <c r="AN35"/>
  <c r="AN36"/>
  <c r="AN37"/>
  <c r="AN38"/>
  <c r="AN10"/>
  <c r="AN11"/>
  <c r="AN12"/>
  <c r="AN13"/>
  <c r="AN14"/>
  <c r="AN15"/>
  <c r="BL19" i="5" a="1"/>
  <c r="BL23" s="1"/>
  <c r="CN9" i="18"/>
  <c r="CN10"/>
  <c r="CN11"/>
  <c r="CN12"/>
  <c r="CN13"/>
  <c r="CN14"/>
  <c r="CN15"/>
  <c r="CN16"/>
  <c r="CN17"/>
  <c r="CN18"/>
  <c r="CL9"/>
  <c r="CL10"/>
  <c r="CL11"/>
  <c r="CL12"/>
  <c r="CL13"/>
  <c r="CL14"/>
  <c r="CL15"/>
  <c r="CL16"/>
  <c r="CL17"/>
  <c r="CL18"/>
  <c r="AE32" i="11"/>
  <c r="AE33"/>
  <c r="AE34"/>
  <c r="AE35"/>
  <c r="AE36"/>
  <c r="AE37"/>
  <c r="AE38"/>
  <c r="AE39"/>
  <c r="AE40"/>
  <c r="Q43"/>
  <c r="U43"/>
  <c r="Q42"/>
  <c r="U42"/>
  <c r="X44"/>
  <c r="AB44"/>
  <c r="AB34"/>
  <c r="AB35"/>
  <c r="AB36"/>
  <c r="AB37"/>
  <c r="AB38"/>
  <c r="AB39"/>
  <c r="AB40"/>
  <c r="AB41"/>
  <c r="AB42"/>
  <c r="AB43"/>
  <c r="X43"/>
  <c r="X41"/>
  <c r="BP29" i="18"/>
  <c r="BP30"/>
  <c r="BP31"/>
  <c r="BP32"/>
  <c r="BP33"/>
  <c r="BP34"/>
  <c r="BP35"/>
  <c r="BP36"/>
  <c r="BP37"/>
  <c r="BP38"/>
  <c r="BP39"/>
  <c r="BP40"/>
  <c r="BP41"/>
  <c r="BP42"/>
  <c r="BP43"/>
  <c r="BP44" s="1"/>
  <c r="BP45" s="1"/>
  <c r="BI29"/>
  <c r="BI30"/>
  <c r="BI31"/>
  <c r="BI32"/>
  <c r="BI33"/>
  <c r="BI34"/>
  <c r="BI35"/>
  <c r="BI36"/>
  <c r="BI37"/>
  <c r="BI38"/>
  <c r="BI39"/>
  <c r="BI40"/>
  <c r="BI41"/>
  <c r="BI42"/>
  <c r="BI43"/>
  <c r="BI10"/>
  <c r="BI11"/>
  <c r="BI12"/>
  <c r="BI13"/>
  <c r="BI14"/>
  <c r="BI15"/>
  <c r="BI16"/>
  <c r="BI17"/>
  <c r="BI18"/>
  <c r="BI19"/>
  <c r="BI20"/>
  <c r="BI21"/>
  <c r="Y7"/>
  <c r="Y8"/>
  <c r="Y9"/>
  <c r="Y10"/>
  <c r="Y11"/>
  <c r="Y12"/>
  <c r="AK7"/>
  <c r="AK8"/>
  <c r="AK9"/>
  <c r="AK10"/>
  <c r="AK11"/>
  <c r="AK12"/>
  <c r="AW29"/>
  <c r="AW30"/>
  <c r="AW31"/>
  <c r="AW32"/>
  <c r="AW33"/>
  <c r="AW34"/>
  <c r="AW35"/>
  <c r="AW36"/>
  <c r="AW37"/>
  <c r="AW38"/>
  <c r="AW39"/>
  <c r="AW40"/>
  <c r="AW41"/>
  <c r="AW42"/>
  <c r="AW43"/>
  <c r="AK49"/>
  <c r="AK50"/>
  <c r="AK51"/>
  <c r="AK52"/>
  <c r="AK53"/>
  <c r="AK54"/>
  <c r="AK55"/>
  <c r="AK56"/>
  <c r="AK57"/>
  <c r="AK58"/>
  <c r="AK59"/>
  <c r="AK60"/>
  <c r="AK61"/>
  <c r="AK62"/>
  <c r="AK63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Y29"/>
  <c r="AC15" a="1"/>
  <c r="AD15" s="1"/>
  <c r="G7"/>
  <c r="G6"/>
  <c r="AW19" a="1"/>
  <c r="AW22" s="1"/>
  <c r="AW10" a="1"/>
  <c r="AW11" s="1"/>
  <c r="AR63"/>
  <c r="AR62"/>
  <c r="AR61"/>
  <c r="AR60"/>
  <c r="AR59"/>
  <c r="AR58"/>
  <c r="AR57"/>
  <c r="AR56"/>
  <c r="AR55"/>
  <c r="AR54"/>
  <c r="AR53"/>
  <c r="AR52"/>
  <c r="AR51"/>
  <c r="AR50"/>
  <c r="AR49"/>
  <c r="F23" i="1"/>
  <c r="F32"/>
  <c r="G18"/>
  <c r="F24"/>
  <c r="F25" s="1"/>
  <c r="F26" s="1"/>
  <c r="F27" s="1"/>
  <c r="F28" s="1"/>
  <c r="F29" s="1"/>
  <c r="F30" s="1"/>
  <c r="Y18" l="1" a="1"/>
  <c r="Y22" s="1"/>
  <c r="BQ17"/>
  <c r="AF4"/>
  <c r="AF17"/>
  <c r="AG52"/>
  <c r="AG63"/>
  <c r="AG57"/>
  <c r="AG56"/>
  <c r="AG62"/>
  <c r="AG66"/>
  <c r="AG53"/>
  <c r="AG64"/>
  <c r="AG51"/>
  <c r="AG61"/>
  <c r="AG60"/>
  <c r="AG65"/>
  <c r="AG58"/>
  <c r="AG59"/>
  <c r="AG54"/>
  <c r="G19"/>
  <c r="BL24" i="5"/>
  <c r="BL25"/>
  <c r="BL19"/>
  <c r="BL26"/>
  <c r="BL20"/>
  <c r="BL21"/>
  <c r="BL22"/>
  <c r="AW21" i="18"/>
  <c r="AC15"/>
  <c r="AW10"/>
  <c r="AW15"/>
  <c r="AW20"/>
  <c r="AW26"/>
  <c r="AW14"/>
  <c r="AW19"/>
  <c r="AW25"/>
  <c r="AW24"/>
  <c r="AW12"/>
  <c r="AW23"/>
  <c r="AW13"/>
  <c r="AF45"/>
  <c r="AF44"/>
  <c r="AR45"/>
  <c r="AF43"/>
  <c r="AR44"/>
  <c r="AF42"/>
  <c r="BD43"/>
  <c r="AR43"/>
  <c r="AF41"/>
  <c r="BD42"/>
  <c r="AR42"/>
  <c r="AF40"/>
  <c r="BD41"/>
  <c r="AR41"/>
  <c r="BD40"/>
  <c r="AR40"/>
  <c r="BD39"/>
  <c r="AR39"/>
  <c r="AF39"/>
  <c r="BD38"/>
  <c r="AR38"/>
  <c r="AF38"/>
  <c r="BD37"/>
  <c r="AR37"/>
  <c r="AF37"/>
  <c r="BD36"/>
  <c r="AR36"/>
  <c r="AF36"/>
  <c r="BD35"/>
  <c r="AR35"/>
  <c r="AF35"/>
  <c r="BD34"/>
  <c r="AR34"/>
  <c r="AF34"/>
  <c r="BD33"/>
  <c r="AR33"/>
  <c r="AF33"/>
  <c r="BD32"/>
  <c r="AR32"/>
  <c r="AF32"/>
  <c r="BD31"/>
  <c r="AR31"/>
  <c r="AF31"/>
  <c r="BD30"/>
  <c r="AR30"/>
  <c r="AF30"/>
  <c r="BD29"/>
  <c r="AR29"/>
  <c r="AF29"/>
  <c r="F33" i="1"/>
  <c r="Y21" l="1"/>
  <c r="Y19"/>
  <c r="Y24"/>
  <c r="Y23"/>
  <c r="Y20"/>
  <c r="Y25"/>
  <c r="Y18"/>
  <c r="BD26" i="18"/>
  <c r="BD25"/>
  <c r="BD24"/>
  <c r="BD23"/>
  <c r="BD22"/>
  <c r="BP21"/>
  <c r="BD21"/>
  <c r="BP20"/>
  <c r="BD20"/>
  <c r="BP19"/>
  <c r="BD19"/>
  <c r="F34" i="1"/>
  <c r="CU18" i="18" l="1"/>
  <c r="BP18"/>
  <c r="CU17"/>
  <c r="BP17"/>
  <c r="CU16"/>
  <c r="BP16"/>
  <c r="G32" a="1"/>
  <c r="G32" s="1"/>
  <c r="F35" i="1"/>
  <c r="G37" i="18" l="1"/>
  <c r="G35"/>
  <c r="G34"/>
  <c r="G36"/>
  <c r="G33"/>
  <c r="CU15"/>
  <c r="BP15"/>
  <c r="BD15"/>
  <c r="F36" i="1"/>
  <c r="AF15" i="18" l="1"/>
  <c r="AC16" s="1" a="1"/>
  <c r="CU14"/>
  <c r="BP14"/>
  <c r="BD14"/>
  <c r="F37" i="1"/>
  <c r="AD16" i="18" l="1"/>
  <c r="AC16"/>
  <c r="AQ15"/>
  <c r="CU13"/>
  <c r="BP13"/>
  <c r="BD13"/>
  <c r="F38" i="1"/>
  <c r="AF16" i="18" l="1"/>
  <c r="AC17" s="1" a="1"/>
  <c r="AC17" s="1"/>
  <c r="CU12"/>
  <c r="BP12"/>
  <c r="BD12"/>
  <c r="AR12"/>
  <c r="AF12"/>
  <c r="CU11"/>
  <c r="BP11"/>
  <c r="BD11"/>
  <c r="AR11"/>
  <c r="AF11"/>
  <c r="CU10"/>
  <c r="BP10"/>
  <c r="BD10"/>
  <c r="AR10"/>
  <c r="AF10"/>
  <c r="CU9"/>
  <c r="F39" i="1"/>
  <c r="AP15" i="18"/>
  <c r="AP16"/>
  <c r="G32" i="1" l="1" a="1"/>
  <c r="G37" s="1"/>
  <c r="AD17" i="18"/>
  <c r="AF17" s="1"/>
  <c r="AC18" s="1" a="1"/>
  <c r="AQ16"/>
  <c r="AR16" s="1"/>
  <c r="G23" i="1" a="1"/>
  <c r="AR15" i="18"/>
  <c r="AR9"/>
  <c r="AF9"/>
  <c r="AR8"/>
  <c r="AF8"/>
  <c r="AR7"/>
  <c r="AF7"/>
  <c r="AY6"/>
  <c r="AP17"/>
  <c r="K6"/>
  <c r="AA28"/>
  <c r="AY18"/>
  <c r="BK28"/>
  <c r="BK9"/>
  <c r="AY9"/>
  <c r="K32"/>
  <c r="AY28"/>
  <c r="AM28"/>
  <c r="AM48"/>
  <c r="G39" i="1" l="1"/>
  <c r="G36"/>
  <c r="G32"/>
  <c r="G38"/>
  <c r="G35"/>
  <c r="G34"/>
  <c r="G33"/>
  <c r="AQ17" i="18"/>
  <c r="AR17" s="1"/>
  <c r="G24" i="1"/>
  <c r="G25"/>
  <c r="G26"/>
  <c r="G27"/>
  <c r="G28"/>
  <c r="G29"/>
  <c r="G23"/>
  <c r="G30"/>
  <c r="AC18" i="18"/>
  <c r="AF18" s="1"/>
  <c r="AD18"/>
  <c r="AF6"/>
  <c r="O6"/>
  <c r="F13"/>
  <c r="AP18"/>
  <c r="AM6"/>
  <c r="AC19" l="1" a="1"/>
  <c r="AQ18"/>
  <c r="AR18" s="1"/>
  <c r="AD14"/>
  <c r="CN4"/>
  <c r="F14"/>
  <c r="AA5"/>
  <c r="CL8"/>
  <c r="CN8"/>
  <c r="AD19" l="1"/>
  <c r="AC19"/>
  <c r="BC4"/>
  <c r="AR29" i="16"/>
  <c r="AR30"/>
  <c r="AR31"/>
  <c r="AR32"/>
  <c r="AR33"/>
  <c r="AR34"/>
  <c r="AR35"/>
  <c r="AR36"/>
  <c r="AR37"/>
  <c r="AR38"/>
  <c r="AR39"/>
  <c r="AR40"/>
  <c r="AR41"/>
  <c r="AR42"/>
  <c r="AR43"/>
  <c r="AR44"/>
  <c r="AR45"/>
  <c r="AR46"/>
  <c r="AR50"/>
  <c r="AR51"/>
  <c r="AR52"/>
  <c r="AR53"/>
  <c r="AR54"/>
  <c r="AR55"/>
  <c r="AR56"/>
  <c r="AR57"/>
  <c r="AR58"/>
  <c r="AR59"/>
  <c r="AR60"/>
  <c r="AR61"/>
  <c r="AR62"/>
  <c r="AR63"/>
  <c r="AR64"/>
  <c r="AR65"/>
  <c r="AR7" i="5"/>
  <c r="AR8"/>
  <c r="AR9"/>
  <c r="AR10"/>
  <c r="AR11"/>
  <c r="AR12"/>
  <c r="Q9"/>
  <c r="G9"/>
  <c r="G10"/>
  <c r="Q6"/>
  <c r="G6"/>
  <c r="G7"/>
  <c r="F16"/>
  <c r="F15" i="18"/>
  <c r="F29" i="5"/>
  <c r="BP18" l="1"/>
  <c r="AD14"/>
  <c r="AF19" i="18"/>
  <c r="BP19" i="5"/>
  <c r="BM20" s="1" a="1"/>
  <c r="Q6" i="16"/>
  <c r="G6"/>
  <c r="G7"/>
  <c r="Q36" i="11"/>
  <c r="U36"/>
  <c r="U37"/>
  <c r="Q32"/>
  <c r="Q33"/>
  <c r="Q34"/>
  <c r="Q35"/>
  <c r="Q37"/>
  <c r="Q38"/>
  <c r="Q39"/>
  <c r="Q40"/>
  <c r="Q41"/>
  <c r="X32"/>
  <c r="X33"/>
  <c r="X34"/>
  <c r="X35"/>
  <c r="X36"/>
  <c r="X37"/>
  <c r="X38"/>
  <c r="X39"/>
  <c r="X40"/>
  <c r="X42"/>
  <c r="AK60" i="16"/>
  <c r="AK58"/>
  <c r="AK57"/>
  <c r="AK55"/>
  <c r="AK50"/>
  <c r="AK51"/>
  <c r="AK52"/>
  <c r="AK53"/>
  <c r="AK54"/>
  <c r="AK56"/>
  <c r="AK59"/>
  <c r="AK61"/>
  <c r="AK62"/>
  <c r="AK63"/>
  <c r="AK64"/>
  <c r="AK65"/>
  <c r="BI10"/>
  <c r="BI11"/>
  <c r="BI12"/>
  <c r="BI13"/>
  <c r="BI14"/>
  <c r="BI15"/>
  <c r="BI16"/>
  <c r="BI17"/>
  <c r="BI18"/>
  <c r="BI19"/>
  <c r="BI20"/>
  <c r="BI21"/>
  <c r="BP35"/>
  <c r="BP36"/>
  <c r="BP37"/>
  <c r="BP38"/>
  <c r="BP39"/>
  <c r="BP40"/>
  <c r="BP41"/>
  <c r="BI39"/>
  <c r="BI37"/>
  <c r="BI36"/>
  <c r="BP33"/>
  <c r="BP34"/>
  <c r="BI34"/>
  <c r="BI29"/>
  <c r="BI30"/>
  <c r="BI31"/>
  <c r="BI32"/>
  <c r="BI33"/>
  <c r="BI35"/>
  <c r="BI38"/>
  <c r="BI40"/>
  <c r="BI41"/>
  <c r="BI42"/>
  <c r="BI43"/>
  <c r="BI44"/>
  <c r="BD29"/>
  <c r="BD30"/>
  <c r="BD31"/>
  <c r="BD32"/>
  <c r="BD33"/>
  <c r="BD34"/>
  <c r="BD35"/>
  <c r="BD36"/>
  <c r="BD37"/>
  <c r="BD38"/>
  <c r="BD39"/>
  <c r="BD40"/>
  <c r="BD41"/>
  <c r="BD42"/>
  <c r="BD43"/>
  <c r="BD44"/>
  <c r="AW40"/>
  <c r="AW39"/>
  <c r="AW37"/>
  <c r="AW36"/>
  <c r="AW33"/>
  <c r="AW29"/>
  <c r="AW30"/>
  <c r="AW31"/>
  <c r="AW32"/>
  <c r="AW34"/>
  <c r="AW35"/>
  <c r="AW38"/>
  <c r="AW41"/>
  <c r="AW42"/>
  <c r="AW43"/>
  <c r="AW44"/>
  <c r="F13"/>
  <c r="F17" i="5"/>
  <c r="F16" i="18"/>
  <c r="F30" i="5"/>
  <c r="AP19" i="18"/>
  <c r="AC20" l="1" a="1"/>
  <c r="AC20" s="1"/>
  <c r="AQ19"/>
  <c r="BM20" i="5"/>
  <c r="BN20"/>
  <c r="AF15" i="16"/>
  <c r="AC16" s="1" a="1"/>
  <c r="AD14"/>
  <c r="AK37"/>
  <c r="AK36"/>
  <c r="AK34"/>
  <c r="AK39"/>
  <c r="AK29"/>
  <c r="AK30"/>
  <c r="AK31"/>
  <c r="AK32"/>
  <c r="AK33"/>
  <c r="AK35"/>
  <c r="AK38"/>
  <c r="AK40"/>
  <c r="AK41"/>
  <c r="AK42"/>
  <c r="AK43"/>
  <c r="AK44"/>
  <c r="AK45"/>
  <c r="AK46"/>
  <c r="BP16"/>
  <c r="BP17"/>
  <c r="BP18"/>
  <c r="BP19"/>
  <c r="BP20"/>
  <c r="BP21"/>
  <c r="BP11"/>
  <c r="BP12"/>
  <c r="BP13"/>
  <c r="BP14"/>
  <c r="BP15"/>
  <c r="BP10"/>
  <c r="BP29"/>
  <c r="BP30"/>
  <c r="BP31"/>
  <c r="BP32"/>
  <c r="BP42"/>
  <c r="BP43"/>
  <c r="BP44"/>
  <c r="F14"/>
  <c r="F18" i="5"/>
  <c r="F17" i="18"/>
  <c r="F31" i="5"/>
  <c r="BP20" l="1"/>
  <c r="BM21" s="1" a="1"/>
  <c r="BM21" s="1"/>
  <c r="AD20" i="18"/>
  <c r="AF20" s="1"/>
  <c r="AD16" i="16"/>
  <c r="AC16"/>
  <c r="G30" a="1"/>
  <c r="G34" s="1"/>
  <c r="AK7" a="1"/>
  <c r="AK11" s="1"/>
  <c r="Y7" a="1"/>
  <c r="Y11" s="1"/>
  <c r="F15"/>
  <c r="F19" i="5"/>
  <c r="F32"/>
  <c r="F18" i="18"/>
  <c r="AP20"/>
  <c r="BN21" i="5" l="1"/>
  <c r="BP21"/>
  <c r="BM22" s="1" a="1"/>
  <c r="BN22" s="1"/>
  <c r="AC21" i="18" a="1"/>
  <c r="AD21" s="1"/>
  <c r="AQ20"/>
  <c r="AF16" i="16"/>
  <c r="AC17" s="1" a="1"/>
  <c r="Y12"/>
  <c r="G35"/>
  <c r="AK12"/>
  <c r="G30"/>
  <c r="G31"/>
  <c r="G32"/>
  <c r="G33"/>
  <c r="AK7"/>
  <c r="AK8"/>
  <c r="AK9"/>
  <c r="AK10"/>
  <c r="Y7"/>
  <c r="Y8"/>
  <c r="Y9"/>
  <c r="Y10"/>
  <c r="F16"/>
  <c r="F20" i="5"/>
  <c r="F33"/>
  <c r="F19" i="18"/>
  <c r="AC21" l="1"/>
  <c r="AF21" s="1"/>
  <c r="AC22" s="1" a="1"/>
  <c r="BM22" i="5"/>
  <c r="BP22" s="1"/>
  <c r="BM23" s="1" a="1"/>
  <c r="BM23" s="1"/>
  <c r="AD17" i="16"/>
  <c r="AC17"/>
  <c r="AW10" a="1"/>
  <c r="AW13" s="1"/>
  <c r="AW19" a="1"/>
  <c r="AW23" s="1"/>
  <c r="AF47"/>
  <c r="AF46"/>
  <c r="AF45"/>
  <c r="F17"/>
  <c r="F21" i="5"/>
  <c r="F34"/>
  <c r="F20" i="18"/>
  <c r="AP21"/>
  <c r="AF17" i="16" l="1"/>
  <c r="AC18" s="1" a="1"/>
  <c r="AD18" s="1"/>
  <c r="AQ21" i="18"/>
  <c r="BN23" i="5"/>
  <c r="BP23" s="1"/>
  <c r="BM24" s="1" a="1"/>
  <c r="BN24" s="1"/>
  <c r="AC22" i="18"/>
  <c r="AD22"/>
  <c r="AW25" i="16"/>
  <c r="AW22"/>
  <c r="AW19"/>
  <c r="AW26"/>
  <c r="AW21"/>
  <c r="AW20"/>
  <c r="AW10"/>
  <c r="AW11"/>
  <c r="AW14"/>
  <c r="AW15"/>
  <c r="AW12"/>
  <c r="AW24"/>
  <c r="AF48"/>
  <c r="AF44"/>
  <c r="AF43"/>
  <c r="F18"/>
  <c r="F22" i="5"/>
  <c r="F35"/>
  <c r="F21" i="18"/>
  <c r="AM49" i="16"/>
  <c r="AF22" i="18" l="1"/>
  <c r="AC23" s="1" a="1"/>
  <c r="AC18" i="16"/>
  <c r="AF18" s="1"/>
  <c r="AC19" s="1" a="1"/>
  <c r="BM24" i="5"/>
  <c r="BP24" s="1"/>
  <c r="BM25" s="1" a="1"/>
  <c r="BM25" s="1"/>
  <c r="AF40" i="16"/>
  <c r="AF41" s="1"/>
  <c r="AF42" s="1"/>
  <c r="AF38"/>
  <c r="AF37"/>
  <c r="AF36"/>
  <c r="AF35"/>
  <c r="AF34"/>
  <c r="AF33"/>
  <c r="AF32"/>
  <c r="AF31"/>
  <c r="F19"/>
  <c r="F36" i="5"/>
  <c r="F22" i="18"/>
  <c r="F23" i="5"/>
  <c r="AP22" i="18"/>
  <c r="AQ22" l="1"/>
  <c r="BN25" i="5"/>
  <c r="BP25" s="1"/>
  <c r="BM26" s="1" a="1"/>
  <c r="AD19" i="16"/>
  <c r="AC19"/>
  <c r="AC23" i="18"/>
  <c r="AD23"/>
  <c r="AF39" i="16"/>
  <c r="AF30"/>
  <c r="AF29"/>
  <c r="F23" i="18"/>
  <c r="F24" i="5"/>
  <c r="F20" i="16"/>
  <c r="AF19" l="1"/>
  <c r="AC20" s="1" a="1"/>
  <c r="AD20" s="1"/>
  <c r="AF23" i="18"/>
  <c r="AQ23" s="1"/>
  <c r="BM26" i="5"/>
  <c r="BN26"/>
  <c r="BD26" i="16"/>
  <c r="F25" i="5"/>
  <c r="F24" i="18"/>
  <c r="F21" i="16"/>
  <c r="AP23" i="18"/>
  <c r="W15" l="1" a="1"/>
  <c r="G13" a="1"/>
  <c r="AC24" a="1"/>
  <c r="AC24" s="1"/>
  <c r="AC20" i="16"/>
  <c r="AF20" s="1"/>
  <c r="AC21" s="1" a="1"/>
  <c r="BP26" i="5"/>
  <c r="BD25" i="16"/>
  <c r="F26" i="5"/>
  <c r="F22" i="16"/>
  <c r="G14" i="18" l="1"/>
  <c r="G18"/>
  <c r="G22"/>
  <c r="G23"/>
  <c r="G21"/>
  <c r="G24"/>
  <c r="G20"/>
  <c r="G16"/>
  <c r="G17"/>
  <c r="G15"/>
  <c r="G19"/>
  <c r="G13"/>
  <c r="W26"/>
  <c r="AI26" s="1"/>
  <c r="W22"/>
  <c r="AI22" s="1"/>
  <c r="W23"/>
  <c r="AI23" s="1"/>
  <c r="W25"/>
  <c r="AI25" s="1"/>
  <c r="W24"/>
  <c r="AI24" s="1"/>
  <c r="W21"/>
  <c r="AI21" s="1"/>
  <c r="W18"/>
  <c r="AI18" s="1"/>
  <c r="W15"/>
  <c r="AI15" s="1"/>
  <c r="W20"/>
  <c r="AI20" s="1"/>
  <c r="W16"/>
  <c r="AI16" s="1"/>
  <c r="W17"/>
  <c r="AI17" s="1"/>
  <c r="W19"/>
  <c r="AI19" s="1"/>
  <c r="AD24"/>
  <c r="AF24" s="1"/>
  <c r="AQ24" s="1"/>
  <c r="AD21" i="16"/>
  <c r="AC21"/>
  <c r="BD24"/>
  <c r="BD23"/>
  <c r="BD22"/>
  <c r="BD21"/>
  <c r="BD20"/>
  <c r="BD19"/>
  <c r="F27" i="5"/>
  <c r="F23" i="16"/>
  <c r="AP24" i="18"/>
  <c r="AC25" l="1" a="1"/>
  <c r="AD25" s="1"/>
  <c r="AF21" i="16"/>
  <c r="AC22" s="1" a="1"/>
  <c r="AC22" s="1"/>
  <c r="CU18"/>
  <c r="F24"/>
  <c r="AC25" i="18" l="1"/>
  <c r="AF25" s="1"/>
  <c r="AD22" i="16"/>
  <c r="AF22" s="1"/>
  <c r="AC23" s="1" a="1"/>
  <c r="AC23" s="1"/>
  <c r="CU17"/>
  <c r="CU16"/>
  <c r="CU15"/>
  <c r="BD15"/>
  <c r="CU14"/>
  <c r="BD14"/>
  <c r="AP25" i="18"/>
  <c r="AQ25" l="1"/>
  <c r="AC26" a="1"/>
  <c r="AC26" s="1"/>
  <c r="AD23" i="16"/>
  <c r="AF23" s="1"/>
  <c r="AC24" s="1" a="1"/>
  <c r="AC24" s="1"/>
  <c r="CU13"/>
  <c r="BD13"/>
  <c r="AD26" i="18" l="1"/>
  <c r="AF26" s="1"/>
  <c r="AQ26" s="1"/>
  <c r="AD24" i="16"/>
  <c r="AF24" s="1"/>
  <c r="AC25" s="1" a="1"/>
  <c r="CU12"/>
  <c r="BD12"/>
  <c r="AR12"/>
  <c r="AF12"/>
  <c r="AP26" i="18"/>
  <c r="AC25" i="16" l="1"/>
  <c r="AD25"/>
  <c r="AQ20"/>
  <c r="AQ18"/>
  <c r="AQ21"/>
  <c r="AQ22"/>
  <c r="AQ19"/>
  <c r="AQ23"/>
  <c r="AQ16"/>
  <c r="AQ17"/>
  <c r="AQ24"/>
  <c r="AQ15"/>
  <c r="CU11"/>
  <c r="BD11"/>
  <c r="AR11"/>
  <c r="AF11"/>
  <c r="CU10"/>
  <c r="BD10"/>
  <c r="AR10"/>
  <c r="AF10"/>
  <c r="AF25" l="1"/>
  <c r="CU9"/>
  <c r="CN9" a="1"/>
  <c r="CN13" s="1"/>
  <c r="CL9" a="1"/>
  <c r="CL18" s="1"/>
  <c r="AC26" l="1" a="1"/>
  <c r="AQ25"/>
  <c r="CL14"/>
  <c r="CN9"/>
  <c r="CN15"/>
  <c r="CL13"/>
  <c r="CL11"/>
  <c r="CL17"/>
  <c r="CN12"/>
  <c r="CN18"/>
  <c r="CL10"/>
  <c r="CL16"/>
  <c r="CN11"/>
  <c r="CN17"/>
  <c r="CL9"/>
  <c r="CL15"/>
  <c r="CN10"/>
  <c r="CN16"/>
  <c r="CN14"/>
  <c r="CL12"/>
  <c r="AR9"/>
  <c r="AF9"/>
  <c r="AR8"/>
  <c r="AF8"/>
  <c r="AR7"/>
  <c r="AF7"/>
  <c r="AY6"/>
  <c r="AY28"/>
  <c r="K30"/>
  <c r="AY18"/>
  <c r="AM28"/>
  <c r="BK9"/>
  <c r="AA28"/>
  <c r="BK28"/>
  <c r="AA5"/>
  <c r="AY9"/>
  <c r="AD26" l="1"/>
  <c r="AC26"/>
  <c r="AF6"/>
  <c r="CN4"/>
  <c r="CN8"/>
  <c r="CL8"/>
  <c r="AM6"/>
  <c r="AF26" l="1"/>
  <c r="AQ26" s="1"/>
  <c r="BC4"/>
  <c r="F21" i="7" l="1"/>
  <c r="EA6" i="1" a="1"/>
  <c r="EA8" s="1"/>
  <c r="BL11" i="7"/>
  <c r="DN10" i="12"/>
  <c r="DB10"/>
  <c r="CP10"/>
  <c r="CD10"/>
  <c r="BR10"/>
  <c r="DM13" a="1"/>
  <c r="DM13" s="1"/>
  <c r="DN9"/>
  <c r="DP13"/>
  <c r="DD13"/>
  <c r="X13" i="7" a="1"/>
  <c r="P13" a="1"/>
  <c r="CK4" i="1"/>
  <c r="CL4" i="5"/>
  <c r="G4" i="11"/>
  <c r="AY6" i="5"/>
  <c r="AP6" i="1"/>
  <c r="DW4"/>
  <c r="M83"/>
  <c r="M65"/>
  <c r="M85"/>
  <c r="M68"/>
  <c r="M18"/>
  <c r="BN27"/>
  <c r="M41"/>
  <c r="M73"/>
  <c r="X6" i="11"/>
  <c r="M93" i="1"/>
  <c r="M75"/>
  <c r="M91"/>
  <c r="M74"/>
  <c r="M67"/>
  <c r="M92"/>
  <c r="M48"/>
  <c r="K6" i="5"/>
  <c r="K41"/>
  <c r="J6" i="11"/>
  <c r="M94" i="1"/>
  <c r="M97"/>
  <c r="AP9"/>
  <c r="BB17"/>
  <c r="M69"/>
  <c r="M86"/>
  <c r="C6" i="14"/>
  <c r="K9" i="5"/>
  <c r="M79" i="1"/>
  <c r="BN9"/>
  <c r="M84"/>
  <c r="M70"/>
  <c r="M89"/>
  <c r="M82"/>
  <c r="BB9"/>
  <c r="M87"/>
  <c r="AE6" i="11"/>
  <c r="M72" i="1"/>
  <c r="P6" i="14"/>
  <c r="M76" i="1"/>
  <c r="M88"/>
  <c r="M71"/>
  <c r="BB27"/>
  <c r="M77"/>
  <c r="M66"/>
  <c r="AC8"/>
  <c r="AP27"/>
  <c r="M102"/>
  <c r="M95"/>
  <c r="M90"/>
  <c r="F6" i="14"/>
  <c r="M6" i="1"/>
  <c r="M109"/>
  <c r="Q6" i="11"/>
  <c r="M96" i="1"/>
  <c r="X47" i="7" l="1"/>
  <c r="X83"/>
  <c r="X119"/>
  <c r="X155"/>
  <c r="X191"/>
  <c r="X227"/>
  <c r="X263"/>
  <c r="X299"/>
  <c r="X335"/>
  <c r="X371"/>
  <c r="X407"/>
  <c r="X443"/>
  <c r="X479"/>
  <c r="X16"/>
  <c r="X52"/>
  <c r="X88"/>
  <c r="X124"/>
  <c r="X160"/>
  <c r="X196"/>
  <c r="X232"/>
  <c r="X268"/>
  <c r="X304"/>
  <c r="X340"/>
  <c r="X376"/>
  <c r="X412"/>
  <c r="X448"/>
  <c r="X484"/>
  <c r="X21"/>
  <c r="X57"/>
  <c r="X93"/>
  <c r="X129"/>
  <c r="X165"/>
  <c r="X201"/>
  <c r="X237"/>
  <c r="X273"/>
  <c r="X309"/>
  <c r="X345"/>
  <c r="X381"/>
  <c r="X417"/>
  <c r="X453"/>
  <c r="X489"/>
  <c r="X26"/>
  <c r="X43"/>
  <c r="X120"/>
  <c r="X192"/>
  <c r="X264"/>
  <c r="X336"/>
  <c r="X408"/>
  <c r="X480"/>
  <c r="X188"/>
  <c r="X284"/>
  <c r="X380"/>
  <c r="X464"/>
  <c r="X415"/>
  <c r="X474"/>
  <c r="X104"/>
  <c r="X260"/>
  <c r="X463"/>
  <c r="X19"/>
  <c r="X103"/>
  <c r="X175"/>
  <c r="X247"/>
  <c r="X319"/>
  <c r="X439"/>
  <c r="X54"/>
  <c r="X126"/>
  <c r="X198"/>
  <c r="X270"/>
  <c r="X342"/>
  <c r="X13"/>
  <c r="X98"/>
  <c r="X170"/>
  <c r="X242"/>
  <c r="X314"/>
  <c r="X386"/>
  <c r="X458"/>
  <c r="X48"/>
  <c r="X121"/>
  <c r="X193"/>
  <c r="X265"/>
  <c r="X337"/>
  <c r="X421"/>
  <c r="X493"/>
  <c r="X41"/>
  <c r="X77"/>
  <c r="X113"/>
  <c r="X149"/>
  <c r="X185"/>
  <c r="X221"/>
  <c r="X257"/>
  <c r="X293"/>
  <c r="X329"/>
  <c r="X365"/>
  <c r="X401"/>
  <c r="X437"/>
  <c r="X473"/>
  <c r="X509"/>
  <c r="X46"/>
  <c r="X82"/>
  <c r="X118"/>
  <c r="X154"/>
  <c r="X190"/>
  <c r="X226"/>
  <c r="X262"/>
  <c r="X298"/>
  <c r="X334"/>
  <c r="X370"/>
  <c r="X406"/>
  <c r="X442"/>
  <c r="X478"/>
  <c r="X15"/>
  <c r="X51"/>
  <c r="X87"/>
  <c r="X123"/>
  <c r="X159"/>
  <c r="X195"/>
  <c r="X231"/>
  <c r="X267"/>
  <c r="X303"/>
  <c r="X339"/>
  <c r="X375"/>
  <c r="X411"/>
  <c r="X447"/>
  <c r="X483"/>
  <c r="X20"/>
  <c r="X25"/>
  <c r="X108"/>
  <c r="X180"/>
  <c r="X252"/>
  <c r="X324"/>
  <c r="X396"/>
  <c r="X468"/>
  <c r="X164"/>
  <c r="X272"/>
  <c r="X356"/>
  <c r="X452"/>
  <c r="X391"/>
  <c r="X438"/>
  <c r="X92"/>
  <c r="X212"/>
  <c r="X427"/>
  <c r="X486"/>
  <c r="X91"/>
  <c r="X163"/>
  <c r="X235"/>
  <c r="X307"/>
  <c r="X403"/>
  <c r="X36"/>
  <c r="X114"/>
  <c r="X186"/>
  <c r="X258"/>
  <c r="X330"/>
  <c r="X510"/>
  <c r="X86"/>
  <c r="X158"/>
  <c r="X230"/>
  <c r="X302"/>
  <c r="X374"/>
  <c r="X446"/>
  <c r="X30"/>
  <c r="X109"/>
  <c r="X181"/>
  <c r="X253"/>
  <c r="X325"/>
  <c r="X409"/>
  <c r="X481"/>
  <c r="X35"/>
  <c r="X71"/>
  <c r="X107"/>
  <c r="X143"/>
  <c r="X179"/>
  <c r="X215"/>
  <c r="X251"/>
  <c r="X287"/>
  <c r="X323"/>
  <c r="X359"/>
  <c r="X395"/>
  <c r="X431"/>
  <c r="X467"/>
  <c r="X503"/>
  <c r="X40"/>
  <c r="X76"/>
  <c r="X112"/>
  <c r="X148"/>
  <c r="X184"/>
  <c r="X220"/>
  <c r="X256"/>
  <c r="X292"/>
  <c r="X328"/>
  <c r="X364"/>
  <c r="X400"/>
  <c r="X436"/>
  <c r="X472"/>
  <c r="X508"/>
  <c r="X45"/>
  <c r="X81"/>
  <c r="X117"/>
  <c r="X153"/>
  <c r="X189"/>
  <c r="X225"/>
  <c r="X261"/>
  <c r="X297"/>
  <c r="X333"/>
  <c r="X369"/>
  <c r="X405"/>
  <c r="X441"/>
  <c r="X477"/>
  <c r="X14"/>
  <c r="X50"/>
  <c r="X96"/>
  <c r="X168"/>
  <c r="X240"/>
  <c r="X312"/>
  <c r="X384"/>
  <c r="X456"/>
  <c r="X140"/>
  <c r="X248"/>
  <c r="X344"/>
  <c r="X440"/>
  <c r="X367"/>
  <c r="X402"/>
  <c r="X80"/>
  <c r="X176"/>
  <c r="X488"/>
  <c r="X450"/>
  <c r="X79"/>
  <c r="X151"/>
  <c r="X223"/>
  <c r="X295"/>
  <c r="X379"/>
  <c r="X18"/>
  <c r="X102"/>
  <c r="X174"/>
  <c r="X246"/>
  <c r="X318"/>
  <c r="X426"/>
  <c r="X74"/>
  <c r="X146"/>
  <c r="X218"/>
  <c r="X290"/>
  <c r="X362"/>
  <c r="X434"/>
  <c r="X506"/>
  <c r="X97"/>
  <c r="X169"/>
  <c r="X241"/>
  <c r="X313"/>
  <c r="X397"/>
  <c r="X469"/>
  <c r="X29"/>
  <c r="X65"/>
  <c r="X101"/>
  <c r="X137"/>
  <c r="X173"/>
  <c r="X209"/>
  <c r="X245"/>
  <c r="X281"/>
  <c r="X317"/>
  <c r="X353"/>
  <c r="X389"/>
  <c r="X425"/>
  <c r="X461"/>
  <c r="X497"/>
  <c r="X34"/>
  <c r="X70"/>
  <c r="X106"/>
  <c r="X142"/>
  <c r="X178"/>
  <c r="X214"/>
  <c r="X250"/>
  <c r="X286"/>
  <c r="X322"/>
  <c r="X358"/>
  <c r="X394"/>
  <c r="X430"/>
  <c r="X466"/>
  <c r="X502"/>
  <c r="X39"/>
  <c r="X75"/>
  <c r="X111"/>
  <c r="X147"/>
  <c r="X183"/>
  <c r="X219"/>
  <c r="X255"/>
  <c r="X291"/>
  <c r="X327"/>
  <c r="X363"/>
  <c r="X399"/>
  <c r="X435"/>
  <c r="X471"/>
  <c r="X507"/>
  <c r="X44"/>
  <c r="X84"/>
  <c r="X156"/>
  <c r="X228"/>
  <c r="X300"/>
  <c r="X372"/>
  <c r="X444"/>
  <c r="X68"/>
  <c r="X236"/>
  <c r="X332"/>
  <c r="X416"/>
  <c r="X512"/>
  <c r="X511"/>
  <c r="X56"/>
  <c r="X152"/>
  <c r="X428"/>
  <c r="X414"/>
  <c r="X67"/>
  <c r="X139"/>
  <c r="X211"/>
  <c r="X283"/>
  <c r="X355"/>
  <c r="X498"/>
  <c r="X90"/>
  <c r="X162"/>
  <c r="X234"/>
  <c r="X306"/>
  <c r="X390"/>
  <c r="X62"/>
  <c r="X134"/>
  <c r="X206"/>
  <c r="X278"/>
  <c r="X350"/>
  <c r="X422"/>
  <c r="X494"/>
  <c r="X85"/>
  <c r="X157"/>
  <c r="X229"/>
  <c r="X301"/>
  <c r="X385"/>
  <c r="X457"/>
  <c r="X23"/>
  <c r="X59"/>
  <c r="X95"/>
  <c r="X131"/>
  <c r="X167"/>
  <c r="X203"/>
  <c r="X239"/>
  <c r="X275"/>
  <c r="X311"/>
  <c r="X347"/>
  <c r="X383"/>
  <c r="X419"/>
  <c r="X455"/>
  <c r="X491"/>
  <c r="X28"/>
  <c r="X64"/>
  <c r="X100"/>
  <c r="X136"/>
  <c r="X172"/>
  <c r="X208"/>
  <c r="X244"/>
  <c r="X280"/>
  <c r="X316"/>
  <c r="X352"/>
  <c r="X388"/>
  <c r="X424"/>
  <c r="X460"/>
  <c r="X496"/>
  <c r="X33"/>
  <c r="X69"/>
  <c r="X105"/>
  <c r="X141"/>
  <c r="X177"/>
  <c r="X213"/>
  <c r="X249"/>
  <c r="X285"/>
  <c r="X321"/>
  <c r="X357"/>
  <c r="X393"/>
  <c r="X429"/>
  <c r="X465"/>
  <c r="X501"/>
  <c r="X38"/>
  <c r="X72"/>
  <c r="X144"/>
  <c r="X216"/>
  <c r="X288"/>
  <c r="X360"/>
  <c r="X432"/>
  <c r="X504"/>
  <c r="X224"/>
  <c r="X320"/>
  <c r="X404"/>
  <c r="X500"/>
  <c r="X475"/>
  <c r="X42"/>
  <c r="X128"/>
  <c r="X368"/>
  <c r="X378"/>
  <c r="X55"/>
  <c r="X127"/>
  <c r="X199"/>
  <c r="X271"/>
  <c r="X343"/>
  <c r="X462"/>
  <c r="X78"/>
  <c r="X150"/>
  <c r="X222"/>
  <c r="X294"/>
  <c r="X366"/>
  <c r="X49"/>
  <c r="X122"/>
  <c r="X194"/>
  <c r="X266"/>
  <c r="X338"/>
  <c r="X410"/>
  <c r="X482"/>
  <c r="X73"/>
  <c r="X145"/>
  <c r="X217"/>
  <c r="X289"/>
  <c r="X361"/>
  <c r="X445"/>
  <c r="X373"/>
  <c r="X17"/>
  <c r="X53"/>
  <c r="X89"/>
  <c r="X125"/>
  <c r="X161"/>
  <c r="X197"/>
  <c r="X233"/>
  <c r="X269"/>
  <c r="X305"/>
  <c r="X341"/>
  <c r="X377"/>
  <c r="X413"/>
  <c r="X449"/>
  <c r="X485"/>
  <c r="X22"/>
  <c r="X58"/>
  <c r="X94"/>
  <c r="X130"/>
  <c r="X166"/>
  <c r="X202"/>
  <c r="X238"/>
  <c r="X274"/>
  <c r="X310"/>
  <c r="X346"/>
  <c r="X382"/>
  <c r="X418"/>
  <c r="X454"/>
  <c r="X490"/>
  <c r="X27"/>
  <c r="X63"/>
  <c r="X99"/>
  <c r="X135"/>
  <c r="X171"/>
  <c r="X207"/>
  <c r="X243"/>
  <c r="X279"/>
  <c r="X315"/>
  <c r="X351"/>
  <c r="X387"/>
  <c r="X423"/>
  <c r="X459"/>
  <c r="X495"/>
  <c r="X32"/>
  <c r="X60"/>
  <c r="X132"/>
  <c r="X204"/>
  <c r="X276"/>
  <c r="X348"/>
  <c r="X420"/>
  <c r="X492"/>
  <c r="X200"/>
  <c r="X296"/>
  <c r="X392"/>
  <c r="X476"/>
  <c r="X451"/>
  <c r="X24"/>
  <c r="X116"/>
  <c r="X308"/>
  <c r="X499"/>
  <c r="X37"/>
  <c r="X115"/>
  <c r="X187"/>
  <c r="X259"/>
  <c r="X331"/>
  <c r="X487"/>
  <c r="X66"/>
  <c r="X138"/>
  <c r="X210"/>
  <c r="X282"/>
  <c r="X354"/>
  <c r="X31"/>
  <c r="X110"/>
  <c r="X182"/>
  <c r="X254"/>
  <c r="X326"/>
  <c r="X398"/>
  <c r="X470"/>
  <c r="X61"/>
  <c r="X133"/>
  <c r="X205"/>
  <c r="X277"/>
  <c r="X349"/>
  <c r="X433"/>
  <c r="X505"/>
  <c r="P35"/>
  <c r="P71"/>
  <c r="P107"/>
  <c r="P143"/>
  <c r="P179"/>
  <c r="P215"/>
  <c r="P251"/>
  <c r="P287"/>
  <c r="P323"/>
  <c r="P359"/>
  <c r="P395"/>
  <c r="P431"/>
  <c r="P467"/>
  <c r="P503"/>
  <c r="P40"/>
  <c r="P76"/>
  <c r="P112"/>
  <c r="P148"/>
  <c r="P184"/>
  <c r="P220"/>
  <c r="P256"/>
  <c r="P292"/>
  <c r="P328"/>
  <c r="P364"/>
  <c r="P400"/>
  <c r="P436"/>
  <c r="P472"/>
  <c r="P508"/>
  <c r="P45"/>
  <c r="P81"/>
  <c r="P117"/>
  <c r="P153"/>
  <c r="P189"/>
  <c r="P225"/>
  <c r="P261"/>
  <c r="P297"/>
  <c r="P333"/>
  <c r="P369"/>
  <c r="P405"/>
  <c r="P441"/>
  <c r="P477"/>
  <c r="P14"/>
  <c r="P50"/>
  <c r="P96"/>
  <c r="P168"/>
  <c r="P240"/>
  <c r="P312"/>
  <c r="P384"/>
  <c r="P456"/>
  <c r="P42"/>
  <c r="P116"/>
  <c r="P188"/>
  <c r="P260"/>
  <c r="P332"/>
  <c r="P404"/>
  <c r="P476"/>
  <c r="P55"/>
  <c r="P127"/>
  <c r="P199"/>
  <c r="P271"/>
  <c r="P343"/>
  <c r="P415"/>
  <c r="P487"/>
  <c r="P66"/>
  <c r="P138"/>
  <c r="P210"/>
  <c r="P282"/>
  <c r="P354"/>
  <c r="P426"/>
  <c r="P498"/>
  <c r="P74"/>
  <c r="P146"/>
  <c r="P218"/>
  <c r="P290"/>
  <c r="P362"/>
  <c r="P434"/>
  <c r="P506"/>
  <c r="P97"/>
  <c r="P169"/>
  <c r="P241"/>
  <c r="P313"/>
  <c r="P385"/>
  <c r="P457"/>
  <c r="P461"/>
  <c r="P106"/>
  <c r="P178"/>
  <c r="P250"/>
  <c r="P286"/>
  <c r="P322"/>
  <c r="P394"/>
  <c r="P430"/>
  <c r="P466"/>
  <c r="P502"/>
  <c r="P39"/>
  <c r="P111"/>
  <c r="P147"/>
  <c r="P183"/>
  <c r="P219"/>
  <c r="P255"/>
  <c r="P291"/>
  <c r="P327"/>
  <c r="P399"/>
  <c r="P435"/>
  <c r="P471"/>
  <c r="P507"/>
  <c r="P44"/>
  <c r="P84"/>
  <c r="P156"/>
  <c r="P228"/>
  <c r="P300"/>
  <c r="P372"/>
  <c r="P444"/>
  <c r="P104"/>
  <c r="P176"/>
  <c r="P248"/>
  <c r="P320"/>
  <c r="P392"/>
  <c r="P464"/>
  <c r="P37"/>
  <c r="P115"/>
  <c r="P187"/>
  <c r="P259"/>
  <c r="P331"/>
  <c r="P403"/>
  <c r="P475"/>
  <c r="P126"/>
  <c r="P198"/>
  <c r="P270"/>
  <c r="P342"/>
  <c r="P414"/>
  <c r="P486"/>
  <c r="P62"/>
  <c r="P134"/>
  <c r="P206"/>
  <c r="P278"/>
  <c r="P350"/>
  <c r="P422"/>
  <c r="P494"/>
  <c r="P85"/>
  <c r="P157"/>
  <c r="P229"/>
  <c r="P301"/>
  <c r="P373"/>
  <c r="P445"/>
  <c r="P114"/>
  <c r="P330"/>
  <c r="P474"/>
  <c r="P49"/>
  <c r="P194"/>
  <c r="P266"/>
  <c r="P338"/>
  <c r="P410"/>
  <c r="P73"/>
  <c r="P145"/>
  <c r="P217"/>
  <c r="P289"/>
  <c r="P361"/>
  <c r="P433"/>
  <c r="P505"/>
  <c r="P368"/>
  <c r="P307"/>
  <c r="P451"/>
  <c r="P174"/>
  <c r="P31"/>
  <c r="P326"/>
  <c r="P205"/>
  <c r="P493"/>
  <c r="P29"/>
  <c r="P65"/>
  <c r="P101"/>
  <c r="P137"/>
  <c r="P173"/>
  <c r="P209"/>
  <c r="P245"/>
  <c r="P281"/>
  <c r="P317"/>
  <c r="P353"/>
  <c r="P389"/>
  <c r="P425"/>
  <c r="P497"/>
  <c r="P34"/>
  <c r="P70"/>
  <c r="P142"/>
  <c r="P214"/>
  <c r="P358"/>
  <c r="P75"/>
  <c r="P363"/>
  <c r="P24"/>
  <c r="P54"/>
  <c r="P91"/>
  <c r="P102"/>
  <c r="P110"/>
  <c r="P133"/>
  <c r="P23"/>
  <c r="P59"/>
  <c r="P95"/>
  <c r="P131"/>
  <c r="P167"/>
  <c r="P203"/>
  <c r="P239"/>
  <c r="P275"/>
  <c r="P311"/>
  <c r="P347"/>
  <c r="P383"/>
  <c r="P419"/>
  <c r="P455"/>
  <c r="P491"/>
  <c r="P28"/>
  <c r="P64"/>
  <c r="P100"/>
  <c r="P136"/>
  <c r="P172"/>
  <c r="P208"/>
  <c r="P244"/>
  <c r="P280"/>
  <c r="P316"/>
  <c r="P352"/>
  <c r="P388"/>
  <c r="P424"/>
  <c r="P460"/>
  <c r="P496"/>
  <c r="P33"/>
  <c r="P69"/>
  <c r="P105"/>
  <c r="P141"/>
  <c r="P177"/>
  <c r="P213"/>
  <c r="P249"/>
  <c r="P285"/>
  <c r="P321"/>
  <c r="P357"/>
  <c r="P393"/>
  <c r="P429"/>
  <c r="P465"/>
  <c r="P501"/>
  <c r="P38"/>
  <c r="P72"/>
  <c r="P144"/>
  <c r="P216"/>
  <c r="P288"/>
  <c r="P360"/>
  <c r="P432"/>
  <c r="P504"/>
  <c r="P92"/>
  <c r="P164"/>
  <c r="P236"/>
  <c r="P308"/>
  <c r="P380"/>
  <c r="P452"/>
  <c r="P19"/>
  <c r="P103"/>
  <c r="P175"/>
  <c r="P247"/>
  <c r="P319"/>
  <c r="P391"/>
  <c r="P463"/>
  <c r="P36"/>
  <c r="P186"/>
  <c r="P258"/>
  <c r="P402"/>
  <c r="P122"/>
  <c r="P482"/>
  <c r="P390"/>
  <c r="P470"/>
  <c r="P421"/>
  <c r="P17"/>
  <c r="P53"/>
  <c r="P89"/>
  <c r="P125"/>
  <c r="P161"/>
  <c r="P197"/>
  <c r="P233"/>
  <c r="P269"/>
  <c r="P305"/>
  <c r="P341"/>
  <c r="P377"/>
  <c r="P413"/>
  <c r="P449"/>
  <c r="P485"/>
  <c r="P22"/>
  <c r="P58"/>
  <c r="P94"/>
  <c r="P130"/>
  <c r="P166"/>
  <c r="P202"/>
  <c r="P238"/>
  <c r="P274"/>
  <c r="P310"/>
  <c r="P346"/>
  <c r="P382"/>
  <c r="P418"/>
  <c r="P454"/>
  <c r="P490"/>
  <c r="P27"/>
  <c r="P63"/>
  <c r="P99"/>
  <c r="P135"/>
  <c r="P171"/>
  <c r="P207"/>
  <c r="P243"/>
  <c r="P279"/>
  <c r="P315"/>
  <c r="P351"/>
  <c r="P387"/>
  <c r="P423"/>
  <c r="P459"/>
  <c r="P495"/>
  <c r="P32"/>
  <c r="P60"/>
  <c r="P132"/>
  <c r="P204"/>
  <c r="P276"/>
  <c r="P348"/>
  <c r="P420"/>
  <c r="P492"/>
  <c r="P80"/>
  <c r="P152"/>
  <c r="P224"/>
  <c r="P440"/>
  <c r="P163"/>
  <c r="P379"/>
  <c r="P182"/>
  <c r="P47"/>
  <c r="P83"/>
  <c r="P119"/>
  <c r="P155"/>
  <c r="P191"/>
  <c r="P227"/>
  <c r="P263"/>
  <c r="P299"/>
  <c r="P335"/>
  <c r="P371"/>
  <c r="P407"/>
  <c r="P443"/>
  <c r="P479"/>
  <c r="P16"/>
  <c r="P52"/>
  <c r="P88"/>
  <c r="P124"/>
  <c r="P160"/>
  <c r="P196"/>
  <c r="P232"/>
  <c r="P268"/>
  <c r="P304"/>
  <c r="P340"/>
  <c r="P376"/>
  <c r="P412"/>
  <c r="P448"/>
  <c r="P484"/>
  <c r="P21"/>
  <c r="P57"/>
  <c r="P93"/>
  <c r="P129"/>
  <c r="P165"/>
  <c r="P201"/>
  <c r="P237"/>
  <c r="P273"/>
  <c r="P309"/>
  <c r="P345"/>
  <c r="P381"/>
  <c r="P417"/>
  <c r="P453"/>
  <c r="P489"/>
  <c r="P26"/>
  <c r="P43"/>
  <c r="P120"/>
  <c r="P192"/>
  <c r="P264"/>
  <c r="P336"/>
  <c r="P408"/>
  <c r="P480"/>
  <c r="P68"/>
  <c r="P140"/>
  <c r="P212"/>
  <c r="P284"/>
  <c r="P356"/>
  <c r="P428"/>
  <c r="P500"/>
  <c r="P79"/>
  <c r="P151"/>
  <c r="P223"/>
  <c r="P295"/>
  <c r="P367"/>
  <c r="P439"/>
  <c r="P511"/>
  <c r="P90"/>
  <c r="P162"/>
  <c r="P234"/>
  <c r="P306"/>
  <c r="P378"/>
  <c r="P450"/>
  <c r="P13"/>
  <c r="P98"/>
  <c r="P170"/>
  <c r="P242"/>
  <c r="P314"/>
  <c r="P386"/>
  <c r="P458"/>
  <c r="P48"/>
  <c r="P121"/>
  <c r="P193"/>
  <c r="P265"/>
  <c r="P337"/>
  <c r="P409"/>
  <c r="P481"/>
  <c r="P512"/>
  <c r="P318"/>
  <c r="P398"/>
  <c r="P277"/>
  <c r="P41"/>
  <c r="P77"/>
  <c r="P113"/>
  <c r="P149"/>
  <c r="P185"/>
  <c r="P221"/>
  <c r="P257"/>
  <c r="P293"/>
  <c r="P329"/>
  <c r="P365"/>
  <c r="P401"/>
  <c r="P437"/>
  <c r="P473"/>
  <c r="P509"/>
  <c r="P46"/>
  <c r="P82"/>
  <c r="P118"/>
  <c r="P154"/>
  <c r="P190"/>
  <c r="P226"/>
  <c r="P262"/>
  <c r="P298"/>
  <c r="P334"/>
  <c r="P370"/>
  <c r="P406"/>
  <c r="P442"/>
  <c r="P478"/>
  <c r="P15"/>
  <c r="P51"/>
  <c r="P87"/>
  <c r="P123"/>
  <c r="P159"/>
  <c r="P195"/>
  <c r="P231"/>
  <c r="P267"/>
  <c r="P303"/>
  <c r="P339"/>
  <c r="P375"/>
  <c r="P411"/>
  <c r="P447"/>
  <c r="P483"/>
  <c r="P20"/>
  <c r="P25"/>
  <c r="P108"/>
  <c r="P180"/>
  <c r="P252"/>
  <c r="P324"/>
  <c r="P396"/>
  <c r="P468"/>
  <c r="P56"/>
  <c r="P128"/>
  <c r="P200"/>
  <c r="P272"/>
  <c r="P344"/>
  <c r="P416"/>
  <c r="P488"/>
  <c r="P67"/>
  <c r="P139"/>
  <c r="P211"/>
  <c r="P283"/>
  <c r="P355"/>
  <c r="P427"/>
  <c r="P499"/>
  <c r="P78"/>
  <c r="P150"/>
  <c r="P222"/>
  <c r="P294"/>
  <c r="P366"/>
  <c r="P438"/>
  <c r="P510"/>
  <c r="P86"/>
  <c r="P158"/>
  <c r="P230"/>
  <c r="P302"/>
  <c r="P374"/>
  <c r="P446"/>
  <c r="P30"/>
  <c r="P109"/>
  <c r="P181"/>
  <c r="P253"/>
  <c r="P325"/>
  <c r="P397"/>
  <c r="P469"/>
  <c r="P296"/>
  <c r="P235"/>
  <c r="P18"/>
  <c r="P246"/>
  <c r="P462"/>
  <c r="P254"/>
  <c r="P61"/>
  <c r="P349"/>
  <c r="J34"/>
  <c r="EB20" i="1"/>
  <c r="EB23"/>
  <c r="EB8"/>
  <c r="EB11"/>
  <c r="EB14"/>
  <c r="EB17"/>
  <c r="EA24"/>
  <c r="EA21"/>
  <c r="EA18"/>
  <c r="EA15"/>
  <c r="EA12"/>
  <c r="EA9"/>
  <c r="EA6"/>
  <c r="EB24"/>
  <c r="EB21"/>
  <c r="EB18"/>
  <c r="EB15"/>
  <c r="EB12"/>
  <c r="EB9"/>
  <c r="EB6"/>
  <c r="EA25"/>
  <c r="EA22"/>
  <c r="EA19"/>
  <c r="EA16"/>
  <c r="EA13"/>
  <c r="EA10"/>
  <c r="EA7"/>
  <c r="EB25"/>
  <c r="EB22"/>
  <c r="EB19"/>
  <c r="EB16"/>
  <c r="EB13"/>
  <c r="EB10"/>
  <c r="EB7"/>
  <c r="EA23"/>
  <c r="EA20"/>
  <c r="EA17"/>
  <c r="EA14"/>
  <c r="EA11"/>
  <c r="DO13" i="12"/>
  <c r="DN13"/>
  <c r="DA13" a="1"/>
  <c r="DA13" s="1"/>
  <c r="DB9"/>
  <c r="CR13"/>
  <c r="J16" i="7" l="1"/>
  <c r="DC13" i="12"/>
  <c r="DB13"/>
  <c r="CO13" a="1"/>
  <c r="CP13" s="1"/>
  <c r="CP9"/>
  <c r="BT13"/>
  <c r="CO13" l="1"/>
  <c r="CQ13"/>
  <c r="BQ13" a="1"/>
  <c r="BQ13" s="1"/>
  <c r="BR9"/>
  <c r="BJ7" a="1"/>
  <c r="BS13" l="1"/>
  <c r="BR13"/>
  <c r="BJ11"/>
  <c r="BJ10"/>
  <c r="BJ9"/>
  <c r="BJ8"/>
  <c r="BJ7"/>
  <c r="BK7" s="1"/>
  <c r="BK8" l="1"/>
  <c r="BK9" s="1"/>
  <c r="BK10" s="1"/>
  <c r="BK11" s="1"/>
  <c r="BM34" s="1"/>
  <c r="BG15" a="1"/>
  <c r="DA15" a="1"/>
  <c r="BQ15" a="1"/>
  <c r="DM15" a="1"/>
  <c r="CO15" a="1"/>
  <c r="BG49" l="1"/>
  <c r="BG85"/>
  <c r="BG121"/>
  <c r="BG157"/>
  <c r="BG193"/>
  <c r="BG229"/>
  <c r="BG265"/>
  <c r="BG301"/>
  <c r="BG337"/>
  <c r="BG373"/>
  <c r="BG409"/>
  <c r="BG445"/>
  <c r="BG481"/>
  <c r="BG18"/>
  <c r="BG54"/>
  <c r="BG90"/>
  <c r="BG126"/>
  <c r="BG162"/>
  <c r="BG198"/>
  <c r="BG234"/>
  <c r="BG270"/>
  <c r="BG306"/>
  <c r="BG342"/>
  <c r="BG378"/>
  <c r="BG414"/>
  <c r="BG450"/>
  <c r="BG486"/>
  <c r="BG23"/>
  <c r="BG59"/>
  <c r="BG95"/>
  <c r="BG131"/>
  <c r="BG167"/>
  <c r="BG203"/>
  <c r="BG239"/>
  <c r="BG275"/>
  <c r="BG311"/>
  <c r="BG347"/>
  <c r="BG383"/>
  <c r="BG419"/>
  <c r="BG455"/>
  <c r="BG491"/>
  <c r="BG28"/>
  <c r="BG45"/>
  <c r="BG122"/>
  <c r="BG194"/>
  <c r="BG266"/>
  <c r="BG338"/>
  <c r="BG410"/>
  <c r="BG482"/>
  <c r="BG286"/>
  <c r="BG370"/>
  <c r="BG454"/>
  <c r="BG429"/>
  <c r="BG15"/>
  <c r="BG328"/>
  <c r="BG471"/>
  <c r="BG94"/>
  <c r="BG166"/>
  <c r="BG262"/>
  <c r="BG464"/>
  <c r="BG256"/>
  <c r="BG387"/>
  <c r="BG69"/>
  <c r="BG141"/>
  <c r="BG213"/>
  <c r="BG285"/>
  <c r="BG357"/>
  <c r="BG465"/>
  <c r="BG148"/>
  <c r="BG436"/>
  <c r="BG38"/>
  <c r="BG116"/>
  <c r="BG188"/>
  <c r="BG260"/>
  <c r="BG332"/>
  <c r="BG404"/>
  <c r="BG172"/>
  <c r="BG460"/>
  <c r="BG50"/>
  <c r="BG123"/>
  <c r="BG195"/>
  <c r="BG267"/>
  <c r="BG339"/>
  <c r="BG43"/>
  <c r="BG91"/>
  <c r="BG133"/>
  <c r="BG175"/>
  <c r="BG217"/>
  <c r="BG259"/>
  <c r="BG307"/>
  <c r="BG349"/>
  <c r="BG391"/>
  <c r="BG433"/>
  <c r="BG475"/>
  <c r="BG24"/>
  <c r="BG66"/>
  <c r="BG108"/>
  <c r="BG150"/>
  <c r="BG192"/>
  <c r="BG240"/>
  <c r="BG282"/>
  <c r="BG324"/>
  <c r="BG366"/>
  <c r="BG408"/>
  <c r="BG456"/>
  <c r="BG498"/>
  <c r="BG41"/>
  <c r="BG83"/>
  <c r="BG125"/>
  <c r="BG173"/>
  <c r="BG215"/>
  <c r="BG257"/>
  <c r="BG299"/>
  <c r="BG341"/>
  <c r="BG389"/>
  <c r="BG431"/>
  <c r="BG473"/>
  <c r="BG16"/>
  <c r="BG27"/>
  <c r="BG134"/>
  <c r="BG218"/>
  <c r="BG302"/>
  <c r="BG386"/>
  <c r="BG470"/>
  <c r="BG37"/>
  <c r="BG79"/>
  <c r="BG127"/>
  <c r="BG169"/>
  <c r="BG211"/>
  <c r="BG253"/>
  <c r="BG295"/>
  <c r="BG343"/>
  <c r="BG385"/>
  <c r="BG427"/>
  <c r="BG469"/>
  <c r="BG511"/>
  <c r="BG60"/>
  <c r="BG102"/>
  <c r="BG144"/>
  <c r="BG186"/>
  <c r="BG228"/>
  <c r="BG276"/>
  <c r="BG318"/>
  <c r="BG360"/>
  <c r="BG402"/>
  <c r="BG444"/>
  <c r="BG492"/>
  <c r="BG35"/>
  <c r="BG77"/>
  <c r="BG119"/>
  <c r="BG161"/>
  <c r="BG31"/>
  <c r="BG73"/>
  <c r="BG115"/>
  <c r="BG163"/>
  <c r="BG205"/>
  <c r="BG247"/>
  <c r="BG289"/>
  <c r="BG331"/>
  <c r="BG379"/>
  <c r="BG421"/>
  <c r="BG463"/>
  <c r="BG505"/>
  <c r="BG48"/>
  <c r="BG96"/>
  <c r="BG138"/>
  <c r="BG180"/>
  <c r="BG222"/>
  <c r="BG264"/>
  <c r="BG312"/>
  <c r="BG354"/>
  <c r="BG396"/>
  <c r="BG438"/>
  <c r="BG480"/>
  <c r="BG29"/>
  <c r="BG71"/>
  <c r="BG113"/>
  <c r="BG155"/>
  <c r="BG25"/>
  <c r="BG67"/>
  <c r="BG109"/>
  <c r="BG151"/>
  <c r="BG199"/>
  <c r="BG241"/>
  <c r="BG283"/>
  <c r="BG325"/>
  <c r="BG367"/>
  <c r="BG415"/>
  <c r="BG457"/>
  <c r="BG499"/>
  <c r="BG42"/>
  <c r="BG84"/>
  <c r="BG132"/>
  <c r="BG174"/>
  <c r="BG216"/>
  <c r="BG258"/>
  <c r="BG300"/>
  <c r="BG348"/>
  <c r="BG390"/>
  <c r="BG432"/>
  <c r="BG474"/>
  <c r="BG17"/>
  <c r="BG65"/>
  <c r="BG107"/>
  <c r="BG149"/>
  <c r="BG19"/>
  <c r="BG61"/>
  <c r="BG103"/>
  <c r="BG145"/>
  <c r="BG187"/>
  <c r="BG55"/>
  <c r="BG97"/>
  <c r="BG139"/>
  <c r="BG181"/>
  <c r="BG223"/>
  <c r="BG271"/>
  <c r="BG361"/>
  <c r="BG493"/>
  <c r="BG120"/>
  <c r="BG252"/>
  <c r="BG384"/>
  <c r="BG510"/>
  <c r="BG143"/>
  <c r="BG221"/>
  <c r="BG269"/>
  <c r="BG323"/>
  <c r="BG371"/>
  <c r="BG425"/>
  <c r="BG479"/>
  <c r="BG34"/>
  <c r="BG86"/>
  <c r="BG182"/>
  <c r="BG290"/>
  <c r="BG398"/>
  <c r="BG506"/>
  <c r="BG334"/>
  <c r="BG430"/>
  <c r="BG405"/>
  <c r="BG88"/>
  <c r="BG424"/>
  <c r="BG58"/>
  <c r="BG142"/>
  <c r="BG238"/>
  <c r="BG33"/>
  <c r="BG352"/>
  <c r="BG21"/>
  <c r="BG117"/>
  <c r="BG201"/>
  <c r="BG297"/>
  <c r="BG381"/>
  <c r="BG512"/>
  <c r="BG340"/>
  <c r="BG20"/>
  <c r="BG128"/>
  <c r="BG212"/>
  <c r="BG296"/>
  <c r="BG380"/>
  <c r="BG124"/>
  <c r="BG508"/>
  <c r="BG75"/>
  <c r="BG159"/>
  <c r="BG243"/>
  <c r="BG327"/>
  <c r="BG355"/>
  <c r="BG487"/>
  <c r="BG114"/>
  <c r="BG246"/>
  <c r="BG372"/>
  <c r="BG504"/>
  <c r="BG137"/>
  <c r="BG209"/>
  <c r="BG263"/>
  <c r="BG317"/>
  <c r="BG365"/>
  <c r="BG413"/>
  <c r="BG467"/>
  <c r="BG22"/>
  <c r="BG74"/>
  <c r="BG170"/>
  <c r="BG278"/>
  <c r="BG374"/>
  <c r="BG494"/>
  <c r="BG322"/>
  <c r="BG418"/>
  <c r="BG514"/>
  <c r="BG488"/>
  <c r="BG376"/>
  <c r="BG44"/>
  <c r="BG130"/>
  <c r="BG226"/>
  <c r="BG416"/>
  <c r="BG304"/>
  <c r="BG507"/>
  <c r="BG105"/>
  <c r="BG189"/>
  <c r="BG273"/>
  <c r="BG369"/>
  <c r="BG476"/>
  <c r="BG292"/>
  <c r="BG483"/>
  <c r="BG104"/>
  <c r="BG200"/>
  <c r="BG284"/>
  <c r="BG368"/>
  <c r="BG64"/>
  <c r="BG412"/>
  <c r="BG63"/>
  <c r="BG147"/>
  <c r="BG231"/>
  <c r="BG315"/>
  <c r="BG319"/>
  <c r="BG451"/>
  <c r="BG78"/>
  <c r="BG210"/>
  <c r="BG336"/>
  <c r="BG468"/>
  <c r="BG101"/>
  <c r="BG197"/>
  <c r="BG251"/>
  <c r="BG305"/>
  <c r="BG359"/>
  <c r="BG407"/>
  <c r="BG461"/>
  <c r="BG509"/>
  <c r="BG62"/>
  <c r="BG158"/>
  <c r="BG254"/>
  <c r="BG362"/>
  <c r="BG458"/>
  <c r="BG298"/>
  <c r="BG406"/>
  <c r="BG502"/>
  <c r="BG440"/>
  <c r="BG280"/>
  <c r="BG26"/>
  <c r="BG202"/>
  <c r="BG489"/>
  <c r="BG208"/>
  <c r="BG447"/>
  <c r="BG93"/>
  <c r="BG177"/>
  <c r="BG261"/>
  <c r="BG345"/>
  <c r="BG513"/>
  <c r="BG244"/>
  <c r="BG423"/>
  <c r="BG92"/>
  <c r="BG176"/>
  <c r="BG272"/>
  <c r="BG356"/>
  <c r="BG500"/>
  <c r="BG364"/>
  <c r="BG32"/>
  <c r="BG135"/>
  <c r="BG219"/>
  <c r="BG303"/>
  <c r="BG478"/>
  <c r="BG249"/>
  <c r="BG441"/>
  <c r="BG196"/>
  <c r="BG80"/>
  <c r="BG164"/>
  <c r="BG248"/>
  <c r="BG452"/>
  <c r="BG316"/>
  <c r="BG495"/>
  <c r="BG111"/>
  <c r="BG291"/>
  <c r="BG287"/>
  <c r="BG497"/>
  <c r="BG326"/>
  <c r="BG466"/>
  <c r="BG351"/>
  <c r="BG382"/>
  <c r="BG153"/>
  <c r="BG417"/>
  <c r="BG484"/>
  <c r="BG320"/>
  <c r="BG183"/>
  <c r="BG53"/>
  <c r="BG110"/>
  <c r="BG358"/>
  <c r="BG184"/>
  <c r="BG178"/>
  <c r="BG448"/>
  <c r="BG100"/>
  <c r="BG152"/>
  <c r="BG428"/>
  <c r="BG99"/>
  <c r="BG459"/>
  <c r="BG118"/>
  <c r="BG185"/>
  <c r="BG395"/>
  <c r="BG443"/>
  <c r="BG46"/>
  <c r="BG250"/>
  <c r="BG477"/>
  <c r="BG82"/>
  <c r="BG112"/>
  <c r="BG321"/>
  <c r="BG68"/>
  <c r="BG268"/>
  <c r="BG279"/>
  <c r="BG313"/>
  <c r="BG439"/>
  <c r="BG72"/>
  <c r="BG204"/>
  <c r="BG330"/>
  <c r="BG462"/>
  <c r="BG89"/>
  <c r="BG191"/>
  <c r="BG245"/>
  <c r="BG293"/>
  <c r="BG353"/>
  <c r="BG401"/>
  <c r="BG449"/>
  <c r="BG503"/>
  <c r="BG52"/>
  <c r="BG146"/>
  <c r="BG242"/>
  <c r="BG350"/>
  <c r="BG446"/>
  <c r="BG274"/>
  <c r="BG394"/>
  <c r="BG490"/>
  <c r="BG501"/>
  <c r="BG232"/>
  <c r="BG411"/>
  <c r="BG106"/>
  <c r="BG190"/>
  <c r="BG160"/>
  <c r="BG496"/>
  <c r="BG81"/>
  <c r="BG165"/>
  <c r="BG333"/>
  <c r="BG363"/>
  <c r="BG344"/>
  <c r="BG207"/>
  <c r="BG434"/>
  <c r="BG237"/>
  <c r="BG236"/>
  <c r="BG435"/>
  <c r="BG277"/>
  <c r="BG403"/>
  <c r="BG36"/>
  <c r="BG168"/>
  <c r="BG294"/>
  <c r="BG426"/>
  <c r="BG233"/>
  <c r="BG335"/>
  <c r="BG230"/>
  <c r="BG57"/>
  <c r="BG235"/>
  <c r="BG397"/>
  <c r="BG30"/>
  <c r="BG156"/>
  <c r="BG288"/>
  <c r="BG420"/>
  <c r="BG47"/>
  <c r="BG179"/>
  <c r="BG227"/>
  <c r="BG281"/>
  <c r="BG329"/>
  <c r="BG377"/>
  <c r="BG437"/>
  <c r="BG485"/>
  <c r="BG40"/>
  <c r="BG98"/>
  <c r="BG206"/>
  <c r="BG314"/>
  <c r="BG422"/>
  <c r="BG214"/>
  <c r="BG346"/>
  <c r="BG442"/>
  <c r="BG453"/>
  <c r="BG136"/>
  <c r="BG472"/>
  <c r="BG70"/>
  <c r="BG154"/>
  <c r="BG310"/>
  <c r="BG76"/>
  <c r="BG400"/>
  <c r="BG39"/>
  <c r="BG129"/>
  <c r="BG225"/>
  <c r="BG309"/>
  <c r="BG393"/>
  <c r="BG51"/>
  <c r="BG388"/>
  <c r="BG56"/>
  <c r="BG140"/>
  <c r="BG224"/>
  <c r="BG308"/>
  <c r="BG392"/>
  <c r="BG220"/>
  <c r="BG399"/>
  <c r="BG87"/>
  <c r="BG171"/>
  <c r="BG255"/>
  <c r="BG375"/>
  <c r="DM49"/>
  <c r="DM85"/>
  <c r="DM121"/>
  <c r="DM157"/>
  <c r="DM193"/>
  <c r="DM229"/>
  <c r="DM265"/>
  <c r="DM301"/>
  <c r="DM337"/>
  <c r="DM373"/>
  <c r="DM409"/>
  <c r="DM445"/>
  <c r="DM481"/>
  <c r="DM18"/>
  <c r="DM54"/>
  <c r="DM90"/>
  <c r="DM126"/>
  <c r="DM162"/>
  <c r="DM198"/>
  <c r="DM234"/>
  <c r="DM270"/>
  <c r="DM306"/>
  <c r="DM342"/>
  <c r="DM378"/>
  <c r="DM414"/>
  <c r="DM450"/>
  <c r="DM486"/>
  <c r="DM23"/>
  <c r="DM59"/>
  <c r="DM95"/>
  <c r="DM131"/>
  <c r="DM167"/>
  <c r="DM203"/>
  <c r="DM239"/>
  <c r="DM275"/>
  <c r="DM311"/>
  <c r="DM347"/>
  <c r="DM383"/>
  <c r="DM419"/>
  <c r="DM455"/>
  <c r="DM491"/>
  <c r="DM28"/>
  <c r="DM45"/>
  <c r="DM122"/>
  <c r="DM194"/>
  <c r="DM266"/>
  <c r="DM338"/>
  <c r="DM410"/>
  <c r="DM482"/>
  <c r="DM70"/>
  <c r="DM142"/>
  <c r="DM214"/>
  <c r="DM286"/>
  <c r="DM358"/>
  <c r="DM430"/>
  <c r="DM502"/>
  <c r="DM81"/>
  <c r="DM153"/>
  <c r="DM225"/>
  <c r="DM297"/>
  <c r="DM369"/>
  <c r="DM441"/>
  <c r="DM513"/>
  <c r="DM92"/>
  <c r="DM164"/>
  <c r="DM236"/>
  <c r="DM308"/>
  <c r="DM380"/>
  <c r="DM452"/>
  <c r="DM15"/>
  <c r="DM100"/>
  <c r="DM172"/>
  <c r="DM244"/>
  <c r="DM316"/>
  <c r="DM388"/>
  <c r="DM460"/>
  <c r="DM50"/>
  <c r="DM123"/>
  <c r="DM195"/>
  <c r="DM267"/>
  <c r="DM339"/>
  <c r="DM411"/>
  <c r="DM483"/>
  <c r="DM55"/>
  <c r="DM97"/>
  <c r="DM139"/>
  <c r="DM181"/>
  <c r="DM223"/>
  <c r="DM271"/>
  <c r="DM313"/>
  <c r="DM355"/>
  <c r="DM397"/>
  <c r="DM439"/>
  <c r="DM487"/>
  <c r="DM30"/>
  <c r="DM72"/>
  <c r="DM114"/>
  <c r="DM156"/>
  <c r="DM204"/>
  <c r="DM246"/>
  <c r="DM288"/>
  <c r="DM330"/>
  <c r="DM372"/>
  <c r="DM420"/>
  <c r="DM462"/>
  <c r="DM504"/>
  <c r="DM47"/>
  <c r="DM89"/>
  <c r="DM137"/>
  <c r="DM179"/>
  <c r="DM221"/>
  <c r="DM263"/>
  <c r="DM305"/>
  <c r="DM353"/>
  <c r="DM395"/>
  <c r="DM437"/>
  <c r="DM479"/>
  <c r="DM22"/>
  <c r="DM62"/>
  <c r="DM146"/>
  <c r="DM230"/>
  <c r="DM314"/>
  <c r="DM398"/>
  <c r="DM494"/>
  <c r="DM94"/>
  <c r="DM178"/>
  <c r="DM262"/>
  <c r="DM346"/>
  <c r="DM442"/>
  <c r="DM21"/>
  <c r="DM117"/>
  <c r="DM201"/>
  <c r="DM285"/>
  <c r="DM381"/>
  <c r="DM465"/>
  <c r="DM56"/>
  <c r="DM140"/>
  <c r="DM224"/>
  <c r="DM320"/>
  <c r="DM404"/>
  <c r="DM488"/>
  <c r="DM76"/>
  <c r="DM160"/>
  <c r="DM256"/>
  <c r="DM340"/>
  <c r="DM424"/>
  <c r="DM508"/>
  <c r="DM111"/>
  <c r="DM207"/>
  <c r="DM291"/>
  <c r="DM375"/>
  <c r="DM459"/>
  <c r="DM43"/>
  <c r="DM91"/>
  <c r="DM133"/>
  <c r="DM175"/>
  <c r="DM217"/>
  <c r="DM259"/>
  <c r="DM307"/>
  <c r="DM349"/>
  <c r="DM391"/>
  <c r="DM433"/>
  <c r="DM475"/>
  <c r="DM24"/>
  <c r="DM66"/>
  <c r="DM108"/>
  <c r="DM150"/>
  <c r="DM192"/>
  <c r="DM240"/>
  <c r="DM282"/>
  <c r="DM324"/>
  <c r="DM366"/>
  <c r="DM408"/>
  <c r="DM456"/>
  <c r="DM498"/>
  <c r="DM41"/>
  <c r="DM83"/>
  <c r="DM125"/>
  <c r="DM173"/>
  <c r="DM215"/>
  <c r="DM257"/>
  <c r="DM299"/>
  <c r="DM341"/>
  <c r="DM389"/>
  <c r="DM431"/>
  <c r="DM473"/>
  <c r="DM16"/>
  <c r="DM27"/>
  <c r="DM134"/>
  <c r="DM218"/>
  <c r="DM302"/>
  <c r="DM386"/>
  <c r="DM470"/>
  <c r="DM82"/>
  <c r="DM166"/>
  <c r="DM250"/>
  <c r="DM334"/>
  <c r="DM418"/>
  <c r="DM514"/>
  <c r="DM105"/>
  <c r="DM189"/>
  <c r="DM273"/>
  <c r="DM357"/>
  <c r="DM453"/>
  <c r="DM38"/>
  <c r="DM128"/>
  <c r="DM212"/>
  <c r="DM296"/>
  <c r="DM392"/>
  <c r="DM476"/>
  <c r="DM64"/>
  <c r="DM148"/>
  <c r="DM232"/>
  <c r="DM328"/>
  <c r="DM412"/>
  <c r="DM496"/>
  <c r="DM99"/>
  <c r="DM183"/>
  <c r="DM279"/>
  <c r="DM363"/>
  <c r="DM447"/>
  <c r="DM37"/>
  <c r="DM79"/>
  <c r="DM127"/>
  <c r="DM169"/>
  <c r="DM211"/>
  <c r="DM253"/>
  <c r="DM295"/>
  <c r="DM343"/>
  <c r="DM385"/>
  <c r="DM427"/>
  <c r="DM469"/>
  <c r="DM511"/>
  <c r="DM60"/>
  <c r="DM102"/>
  <c r="DM144"/>
  <c r="DM186"/>
  <c r="DM228"/>
  <c r="DM276"/>
  <c r="DM318"/>
  <c r="DM360"/>
  <c r="DM402"/>
  <c r="DM444"/>
  <c r="DM492"/>
  <c r="DM35"/>
  <c r="DM77"/>
  <c r="DM119"/>
  <c r="DM161"/>
  <c r="DM209"/>
  <c r="DM251"/>
  <c r="DM293"/>
  <c r="DM335"/>
  <c r="DM377"/>
  <c r="DM425"/>
  <c r="DM467"/>
  <c r="DM509"/>
  <c r="DM52"/>
  <c r="DM110"/>
  <c r="DM206"/>
  <c r="DM290"/>
  <c r="DM374"/>
  <c r="DM458"/>
  <c r="DM58"/>
  <c r="DM154"/>
  <c r="DM238"/>
  <c r="DM322"/>
  <c r="DM406"/>
  <c r="DM490"/>
  <c r="DM93"/>
  <c r="DM177"/>
  <c r="DM261"/>
  <c r="DM345"/>
  <c r="DM429"/>
  <c r="DM20"/>
  <c r="DM116"/>
  <c r="DM200"/>
  <c r="DM284"/>
  <c r="DM368"/>
  <c r="DM464"/>
  <c r="DM51"/>
  <c r="DM136"/>
  <c r="DM220"/>
  <c r="DM304"/>
  <c r="DM400"/>
  <c r="DM484"/>
  <c r="DM87"/>
  <c r="DM171"/>
  <c r="DM255"/>
  <c r="DM351"/>
  <c r="DM435"/>
  <c r="DM73"/>
  <c r="DM163"/>
  <c r="DM247"/>
  <c r="DM331"/>
  <c r="DM421"/>
  <c r="DM505"/>
  <c r="DM96"/>
  <c r="DM180"/>
  <c r="DM264"/>
  <c r="DM354"/>
  <c r="DM438"/>
  <c r="DM29"/>
  <c r="DM113"/>
  <c r="DM197"/>
  <c r="DM287"/>
  <c r="DM371"/>
  <c r="DM461"/>
  <c r="DM46"/>
  <c r="DM182"/>
  <c r="DM362"/>
  <c r="DM44"/>
  <c r="DM226"/>
  <c r="DM394"/>
  <c r="DM69"/>
  <c r="DM249"/>
  <c r="DM417"/>
  <c r="DM104"/>
  <c r="DM272"/>
  <c r="DM440"/>
  <c r="DM124"/>
  <c r="DM292"/>
  <c r="DM472"/>
  <c r="DM159"/>
  <c r="DM327"/>
  <c r="DM507"/>
  <c r="DM67"/>
  <c r="DM151"/>
  <c r="DM241"/>
  <c r="DM325"/>
  <c r="DM415"/>
  <c r="DM499"/>
  <c r="DM84"/>
  <c r="DM174"/>
  <c r="DM258"/>
  <c r="DM348"/>
  <c r="DM432"/>
  <c r="DM17"/>
  <c r="DM107"/>
  <c r="DM191"/>
  <c r="DM281"/>
  <c r="DM365"/>
  <c r="DM449"/>
  <c r="DM40"/>
  <c r="DM170"/>
  <c r="DM350"/>
  <c r="DM26"/>
  <c r="DM202"/>
  <c r="DM382"/>
  <c r="DM57"/>
  <c r="DM237"/>
  <c r="DM405"/>
  <c r="DM80"/>
  <c r="DM260"/>
  <c r="DM428"/>
  <c r="DM112"/>
  <c r="DM280"/>
  <c r="DM448"/>
  <c r="DM147"/>
  <c r="DM315"/>
  <c r="DM495"/>
  <c r="DM61"/>
  <c r="DM145"/>
  <c r="DM235"/>
  <c r="DM319"/>
  <c r="DM403"/>
  <c r="DM493"/>
  <c r="DM78"/>
  <c r="DM168"/>
  <c r="DM252"/>
  <c r="DM336"/>
  <c r="DM426"/>
  <c r="DM510"/>
  <c r="DM101"/>
  <c r="DM185"/>
  <c r="DM269"/>
  <c r="DM359"/>
  <c r="DM443"/>
  <c r="DM34"/>
  <c r="DM158"/>
  <c r="DM326"/>
  <c r="DM506"/>
  <c r="DM190"/>
  <c r="DM370"/>
  <c r="DM39"/>
  <c r="DM213"/>
  <c r="DM393"/>
  <c r="DM68"/>
  <c r="DM248"/>
  <c r="DM416"/>
  <c r="DM88"/>
  <c r="DM268"/>
  <c r="DM436"/>
  <c r="DM135"/>
  <c r="DM303"/>
  <c r="DM471"/>
  <c r="DM31"/>
  <c r="DM115"/>
  <c r="DM205"/>
  <c r="DM289"/>
  <c r="DM379"/>
  <c r="DM463"/>
  <c r="DM48"/>
  <c r="DM138"/>
  <c r="DM222"/>
  <c r="DM312"/>
  <c r="DM396"/>
  <c r="DM480"/>
  <c r="DM71"/>
  <c r="DM155"/>
  <c r="DM245"/>
  <c r="DM329"/>
  <c r="DM413"/>
  <c r="DM503"/>
  <c r="DM98"/>
  <c r="DM278"/>
  <c r="DM446"/>
  <c r="DM130"/>
  <c r="DM310"/>
  <c r="DM478"/>
  <c r="DM165"/>
  <c r="DM333"/>
  <c r="DM501"/>
  <c r="DM188"/>
  <c r="DM356"/>
  <c r="DM33"/>
  <c r="DM208"/>
  <c r="DM376"/>
  <c r="DM75"/>
  <c r="DM243"/>
  <c r="DM423"/>
  <c r="DM25"/>
  <c r="DM109"/>
  <c r="DM199"/>
  <c r="DM283"/>
  <c r="DM367"/>
  <c r="DM457"/>
  <c r="DM42"/>
  <c r="DM132"/>
  <c r="DM216"/>
  <c r="DM300"/>
  <c r="DM390"/>
  <c r="DM474"/>
  <c r="DM65"/>
  <c r="DM149"/>
  <c r="DM233"/>
  <c r="DM323"/>
  <c r="DM407"/>
  <c r="DM497"/>
  <c r="DM86"/>
  <c r="DM254"/>
  <c r="DM434"/>
  <c r="DM118"/>
  <c r="DM298"/>
  <c r="DM466"/>
  <c r="DM141"/>
  <c r="DM321"/>
  <c r="DM489"/>
  <c r="DM176"/>
  <c r="DM344"/>
  <c r="DM512"/>
  <c r="DM196"/>
  <c r="DM364"/>
  <c r="DM63"/>
  <c r="DM231"/>
  <c r="DM399"/>
  <c r="DM19"/>
  <c r="DM103"/>
  <c r="DM187"/>
  <c r="DM277"/>
  <c r="DM361"/>
  <c r="DM451"/>
  <c r="DM36"/>
  <c r="DM120"/>
  <c r="DM210"/>
  <c r="DM294"/>
  <c r="DM384"/>
  <c r="DM468"/>
  <c r="DM53"/>
  <c r="DM143"/>
  <c r="DM227"/>
  <c r="DM317"/>
  <c r="DM401"/>
  <c r="DM485"/>
  <c r="DM74"/>
  <c r="DM242"/>
  <c r="DM422"/>
  <c r="DM106"/>
  <c r="DM274"/>
  <c r="DM454"/>
  <c r="DM129"/>
  <c r="DM309"/>
  <c r="DM477"/>
  <c r="DM152"/>
  <c r="DM332"/>
  <c r="DM500"/>
  <c r="DM184"/>
  <c r="DM352"/>
  <c r="DM32"/>
  <c r="DM219"/>
  <c r="DM387"/>
  <c r="DA37"/>
  <c r="DA73"/>
  <c r="DA109"/>
  <c r="DA145"/>
  <c r="DA181"/>
  <c r="DA217"/>
  <c r="DA253"/>
  <c r="DA289"/>
  <c r="DA325"/>
  <c r="DA361"/>
  <c r="DA397"/>
  <c r="DA433"/>
  <c r="DA469"/>
  <c r="DA505"/>
  <c r="DA42"/>
  <c r="DA78"/>
  <c r="DA114"/>
  <c r="DA150"/>
  <c r="DA186"/>
  <c r="DA222"/>
  <c r="DA258"/>
  <c r="DA294"/>
  <c r="DA330"/>
  <c r="DA366"/>
  <c r="DA402"/>
  <c r="DA438"/>
  <c r="DA474"/>
  <c r="DA510"/>
  <c r="DA47"/>
  <c r="DA83"/>
  <c r="DA119"/>
  <c r="DA155"/>
  <c r="DA191"/>
  <c r="DA227"/>
  <c r="DA263"/>
  <c r="DA299"/>
  <c r="DA335"/>
  <c r="DA371"/>
  <c r="DA407"/>
  <c r="DA443"/>
  <c r="DA479"/>
  <c r="DA16"/>
  <c r="DA52"/>
  <c r="DA98"/>
  <c r="DA170"/>
  <c r="DA242"/>
  <c r="DA314"/>
  <c r="DA386"/>
  <c r="DA458"/>
  <c r="DA466"/>
  <c r="DA69"/>
  <c r="DA189"/>
  <c r="DA321"/>
  <c r="DA465"/>
  <c r="DA116"/>
  <c r="DA260"/>
  <c r="DA404"/>
  <c r="DA33"/>
  <c r="DA184"/>
  <c r="DA328"/>
  <c r="DA460"/>
  <c r="DA75"/>
  <c r="DA147"/>
  <c r="DA219"/>
  <c r="DA291"/>
  <c r="DA363"/>
  <c r="DA435"/>
  <c r="DA507"/>
  <c r="DA94"/>
  <c r="DA166"/>
  <c r="DA238"/>
  <c r="DA310"/>
  <c r="DA382"/>
  <c r="DA490"/>
  <c r="DA201"/>
  <c r="DA357"/>
  <c r="DA501"/>
  <c r="DA152"/>
  <c r="DA296"/>
  <c r="DA440"/>
  <c r="DA100"/>
  <c r="DA244"/>
  <c r="DA388"/>
  <c r="DA31"/>
  <c r="DA79"/>
  <c r="DA121"/>
  <c r="DA163"/>
  <c r="DA205"/>
  <c r="DA247"/>
  <c r="DA295"/>
  <c r="DA337"/>
  <c r="DA379"/>
  <c r="DA421"/>
  <c r="DA463"/>
  <c r="DA511"/>
  <c r="DA54"/>
  <c r="DA96"/>
  <c r="DA138"/>
  <c r="DA180"/>
  <c r="DA228"/>
  <c r="DA270"/>
  <c r="DA312"/>
  <c r="DA354"/>
  <c r="DA396"/>
  <c r="DA444"/>
  <c r="DA486"/>
  <c r="DA29"/>
  <c r="DA71"/>
  <c r="DA113"/>
  <c r="DA161"/>
  <c r="DA203"/>
  <c r="DA245"/>
  <c r="DA287"/>
  <c r="DA329"/>
  <c r="DA377"/>
  <c r="DA419"/>
  <c r="DA461"/>
  <c r="DA503"/>
  <c r="DA46"/>
  <c r="DA110"/>
  <c r="DA194"/>
  <c r="DA278"/>
  <c r="DA362"/>
  <c r="DA446"/>
  <c r="DA478"/>
  <c r="DA93"/>
  <c r="DA249"/>
  <c r="DA417"/>
  <c r="DA92"/>
  <c r="DA284"/>
  <c r="DA452"/>
  <c r="DA112"/>
  <c r="DA280"/>
  <c r="DA436"/>
  <c r="DA87"/>
  <c r="DA171"/>
  <c r="DA255"/>
  <c r="DA339"/>
  <c r="DA423"/>
  <c r="DA26"/>
  <c r="DA118"/>
  <c r="DA202"/>
  <c r="DA286"/>
  <c r="DA370"/>
  <c r="DA39"/>
  <c r="DA261"/>
  <c r="DA429"/>
  <c r="DA104"/>
  <c r="DA272"/>
  <c r="DA464"/>
  <c r="DA148"/>
  <c r="DA316"/>
  <c r="DA496"/>
  <c r="DA306"/>
  <c r="DA25"/>
  <c r="DA67"/>
  <c r="DA115"/>
  <c r="DA157"/>
  <c r="DA199"/>
  <c r="DA241"/>
  <c r="DA283"/>
  <c r="DA331"/>
  <c r="DA373"/>
  <c r="DA415"/>
  <c r="DA457"/>
  <c r="DA499"/>
  <c r="DA48"/>
  <c r="DA90"/>
  <c r="DA132"/>
  <c r="DA174"/>
  <c r="DA216"/>
  <c r="DA264"/>
  <c r="DA348"/>
  <c r="DA390"/>
  <c r="DA432"/>
  <c r="DA480"/>
  <c r="DA23"/>
  <c r="DA65"/>
  <c r="DA107"/>
  <c r="DA149"/>
  <c r="DA197"/>
  <c r="DA239"/>
  <c r="DA281"/>
  <c r="DA323"/>
  <c r="DA365"/>
  <c r="DA413"/>
  <c r="DA455"/>
  <c r="DA497"/>
  <c r="DA40"/>
  <c r="DA86"/>
  <c r="DA182"/>
  <c r="DA266"/>
  <c r="DA350"/>
  <c r="DA434"/>
  <c r="DA442"/>
  <c r="DA81"/>
  <c r="DA225"/>
  <c r="DA393"/>
  <c r="DA68"/>
  <c r="DA236"/>
  <c r="DA428"/>
  <c r="DA88"/>
  <c r="DA256"/>
  <c r="DA424"/>
  <c r="DA63"/>
  <c r="DA159"/>
  <c r="DA243"/>
  <c r="DA327"/>
  <c r="DA411"/>
  <c r="DA495"/>
  <c r="DA106"/>
  <c r="DA190"/>
  <c r="DA274"/>
  <c r="DA358"/>
  <c r="DA454"/>
  <c r="DA237"/>
  <c r="DA405"/>
  <c r="DA80"/>
  <c r="DA248"/>
  <c r="DA416"/>
  <c r="DA124"/>
  <c r="DA292"/>
  <c r="DA472"/>
  <c r="DA19"/>
  <c r="DA61"/>
  <c r="DA103"/>
  <c r="DA151"/>
  <c r="DA193"/>
  <c r="DA235"/>
  <c r="DA277"/>
  <c r="DA319"/>
  <c r="DA367"/>
  <c r="DA409"/>
  <c r="DA451"/>
  <c r="DA493"/>
  <c r="DA36"/>
  <c r="DA84"/>
  <c r="DA126"/>
  <c r="DA168"/>
  <c r="DA210"/>
  <c r="DA252"/>
  <c r="DA300"/>
  <c r="DA342"/>
  <c r="DA384"/>
  <c r="DA426"/>
  <c r="DA468"/>
  <c r="DA17"/>
  <c r="DA59"/>
  <c r="DA101"/>
  <c r="DA143"/>
  <c r="DA185"/>
  <c r="DA233"/>
  <c r="DA275"/>
  <c r="DA317"/>
  <c r="DA359"/>
  <c r="DA401"/>
  <c r="DA449"/>
  <c r="DA491"/>
  <c r="DA34"/>
  <c r="DA74"/>
  <c r="DA158"/>
  <c r="DA254"/>
  <c r="DA338"/>
  <c r="DA422"/>
  <c r="DA506"/>
  <c r="DA57"/>
  <c r="DA213"/>
  <c r="DA369"/>
  <c r="DA38"/>
  <c r="DA212"/>
  <c r="DA380"/>
  <c r="DA64"/>
  <c r="DA232"/>
  <c r="DA400"/>
  <c r="DA50"/>
  <c r="DA135"/>
  <c r="DA231"/>
  <c r="DA315"/>
  <c r="DA399"/>
  <c r="DA483"/>
  <c r="DA82"/>
  <c r="DA178"/>
  <c r="DA262"/>
  <c r="DA346"/>
  <c r="DA430"/>
  <c r="DA177"/>
  <c r="DA381"/>
  <c r="DA56"/>
  <c r="DA224"/>
  <c r="DA392"/>
  <c r="DA76"/>
  <c r="DA268"/>
  <c r="DA448"/>
  <c r="DA97"/>
  <c r="DA187"/>
  <c r="DA271"/>
  <c r="DA355"/>
  <c r="DA445"/>
  <c r="DA30"/>
  <c r="DA120"/>
  <c r="DA204"/>
  <c r="DA288"/>
  <c r="DA378"/>
  <c r="DA462"/>
  <c r="DA53"/>
  <c r="DA137"/>
  <c r="DA221"/>
  <c r="DA311"/>
  <c r="DA395"/>
  <c r="DA485"/>
  <c r="DA62"/>
  <c r="DA230"/>
  <c r="DA410"/>
  <c r="DA21"/>
  <c r="DA345"/>
  <c r="DA188"/>
  <c r="DA512"/>
  <c r="DA376"/>
  <c r="DA123"/>
  <c r="DA303"/>
  <c r="DA471"/>
  <c r="DA154"/>
  <c r="DA334"/>
  <c r="DA153"/>
  <c r="DA20"/>
  <c r="DA368"/>
  <c r="DA220"/>
  <c r="DA91"/>
  <c r="DA175"/>
  <c r="DA265"/>
  <c r="DA349"/>
  <c r="DA439"/>
  <c r="DA24"/>
  <c r="DA108"/>
  <c r="DA198"/>
  <c r="DA282"/>
  <c r="DA372"/>
  <c r="DA456"/>
  <c r="DA41"/>
  <c r="DA131"/>
  <c r="DA215"/>
  <c r="DA305"/>
  <c r="DA389"/>
  <c r="DA473"/>
  <c r="DA45"/>
  <c r="DA218"/>
  <c r="DA398"/>
  <c r="DA514"/>
  <c r="DA297"/>
  <c r="DA164"/>
  <c r="DA488"/>
  <c r="DA352"/>
  <c r="DA111"/>
  <c r="DA279"/>
  <c r="DA459"/>
  <c r="DA142"/>
  <c r="DA322"/>
  <c r="DA129"/>
  <c r="DA477"/>
  <c r="DA344"/>
  <c r="DA196"/>
  <c r="DA85"/>
  <c r="DA169"/>
  <c r="DA259"/>
  <c r="DA343"/>
  <c r="DA427"/>
  <c r="DA18"/>
  <c r="DA102"/>
  <c r="DA192"/>
  <c r="DA276"/>
  <c r="DA360"/>
  <c r="DA450"/>
  <c r="DA35"/>
  <c r="DA125"/>
  <c r="DA209"/>
  <c r="DA293"/>
  <c r="DA383"/>
  <c r="DA467"/>
  <c r="DA27"/>
  <c r="DA206"/>
  <c r="DA374"/>
  <c r="DA502"/>
  <c r="DA273"/>
  <c r="DA140"/>
  <c r="DA476"/>
  <c r="DA304"/>
  <c r="DA99"/>
  <c r="DA267"/>
  <c r="DA447"/>
  <c r="DA130"/>
  <c r="DA298"/>
  <c r="DA105"/>
  <c r="DA453"/>
  <c r="DA320"/>
  <c r="DA172"/>
  <c r="DA55"/>
  <c r="DA139"/>
  <c r="DA229"/>
  <c r="DA313"/>
  <c r="DA403"/>
  <c r="DA487"/>
  <c r="DA72"/>
  <c r="DA162"/>
  <c r="DA246"/>
  <c r="DA336"/>
  <c r="DA420"/>
  <c r="DA504"/>
  <c r="DA95"/>
  <c r="DA179"/>
  <c r="DA269"/>
  <c r="DA353"/>
  <c r="DA437"/>
  <c r="DA28"/>
  <c r="DA146"/>
  <c r="DA326"/>
  <c r="DA494"/>
  <c r="DA165"/>
  <c r="DA513"/>
  <c r="DA356"/>
  <c r="DA208"/>
  <c r="DA32"/>
  <c r="DA207"/>
  <c r="DA387"/>
  <c r="DA70"/>
  <c r="DA250"/>
  <c r="DA418"/>
  <c r="DA333"/>
  <c r="DA200"/>
  <c r="DA51"/>
  <c r="DA412"/>
  <c r="DA49"/>
  <c r="DA133"/>
  <c r="DA223"/>
  <c r="DA307"/>
  <c r="DA391"/>
  <c r="DA481"/>
  <c r="DA66"/>
  <c r="DA156"/>
  <c r="DA240"/>
  <c r="DA324"/>
  <c r="DA414"/>
  <c r="DA498"/>
  <c r="DA89"/>
  <c r="DA173"/>
  <c r="DA257"/>
  <c r="DA347"/>
  <c r="DA431"/>
  <c r="DA22"/>
  <c r="DA134"/>
  <c r="DA302"/>
  <c r="DA482"/>
  <c r="DA141"/>
  <c r="DA489"/>
  <c r="DA332"/>
  <c r="DA160"/>
  <c r="DA508"/>
  <c r="DA195"/>
  <c r="DA375"/>
  <c r="DA58"/>
  <c r="DA226"/>
  <c r="DA406"/>
  <c r="DA309"/>
  <c r="DA176"/>
  <c r="DA15"/>
  <c r="DA364"/>
  <c r="DA43"/>
  <c r="DA127"/>
  <c r="DA211"/>
  <c r="DA301"/>
  <c r="DA385"/>
  <c r="DA475"/>
  <c r="DA60"/>
  <c r="DA144"/>
  <c r="DA234"/>
  <c r="DA318"/>
  <c r="DA408"/>
  <c r="DA492"/>
  <c r="DA77"/>
  <c r="DA167"/>
  <c r="DA251"/>
  <c r="DA341"/>
  <c r="DA425"/>
  <c r="DA509"/>
  <c r="DA122"/>
  <c r="DA290"/>
  <c r="DA470"/>
  <c r="DA117"/>
  <c r="DA441"/>
  <c r="DA308"/>
  <c r="DA136"/>
  <c r="DA484"/>
  <c r="DA183"/>
  <c r="DA351"/>
  <c r="DA44"/>
  <c r="DA214"/>
  <c r="DA394"/>
  <c r="DA285"/>
  <c r="DA128"/>
  <c r="DA500"/>
  <c r="DA340"/>
  <c r="CO25"/>
  <c r="CO61"/>
  <c r="CO97"/>
  <c r="CO133"/>
  <c r="CO169"/>
  <c r="CO205"/>
  <c r="CO241"/>
  <c r="CO277"/>
  <c r="CO313"/>
  <c r="CO349"/>
  <c r="CO385"/>
  <c r="CO421"/>
  <c r="CO457"/>
  <c r="CO493"/>
  <c r="CO47"/>
  <c r="CO119"/>
  <c r="CO191"/>
  <c r="CO257"/>
  <c r="CO329"/>
  <c r="CO401"/>
  <c r="CO467"/>
  <c r="CO40"/>
  <c r="CO112"/>
  <c r="CO184"/>
  <c r="CO256"/>
  <c r="CO340"/>
  <c r="CO412"/>
  <c r="CO490"/>
  <c r="CO69"/>
  <c r="CO141"/>
  <c r="CO219"/>
  <c r="CO291"/>
  <c r="CO363"/>
  <c r="CO441"/>
  <c r="CO513"/>
  <c r="CO50"/>
  <c r="CO86"/>
  <c r="CO122"/>
  <c r="CO158"/>
  <c r="CO194"/>
  <c r="CO230"/>
  <c r="CO266"/>
  <c r="CO302"/>
  <c r="CO36"/>
  <c r="CO72"/>
  <c r="CO108"/>
  <c r="CO144"/>
  <c r="CO180"/>
  <c r="CO216"/>
  <c r="CO252"/>
  <c r="CO288"/>
  <c r="CO324"/>
  <c r="CO360"/>
  <c r="CO396"/>
  <c r="CO432"/>
  <c r="CO468"/>
  <c r="CO504"/>
  <c r="CO65"/>
  <c r="CO137"/>
  <c r="CO209"/>
  <c r="CO287"/>
  <c r="CO359"/>
  <c r="CO431"/>
  <c r="CO509"/>
  <c r="CO82"/>
  <c r="CO154"/>
  <c r="CO226"/>
  <c r="CO298"/>
  <c r="CO358"/>
  <c r="CO430"/>
  <c r="CO496"/>
  <c r="CO51"/>
  <c r="CO123"/>
  <c r="CO189"/>
  <c r="CO261"/>
  <c r="CO333"/>
  <c r="CO399"/>
  <c r="CO471"/>
  <c r="CO422"/>
  <c r="CO452"/>
  <c r="CO482"/>
  <c r="CO512"/>
  <c r="CO506"/>
  <c r="CO500"/>
  <c r="CO55"/>
  <c r="CO103"/>
  <c r="CO145"/>
  <c r="CO187"/>
  <c r="CO229"/>
  <c r="CO271"/>
  <c r="CO319"/>
  <c r="CO361"/>
  <c r="CO403"/>
  <c r="CO445"/>
  <c r="CO487"/>
  <c r="CO59"/>
  <c r="CO143"/>
  <c r="CO227"/>
  <c r="CO305"/>
  <c r="CO389"/>
  <c r="CO479"/>
  <c r="CO64"/>
  <c r="CO148"/>
  <c r="CO232"/>
  <c r="CO322"/>
  <c r="CO424"/>
  <c r="CO514"/>
  <c r="CO105"/>
  <c r="CO195"/>
  <c r="CO279"/>
  <c r="CO375"/>
  <c r="CO465"/>
  <c r="CO32"/>
  <c r="CO74"/>
  <c r="CO116"/>
  <c r="CO164"/>
  <c r="CO206"/>
  <c r="CO248"/>
  <c r="CO290"/>
  <c r="CO30"/>
  <c r="CO78"/>
  <c r="CO120"/>
  <c r="CO162"/>
  <c r="CO204"/>
  <c r="CO246"/>
  <c r="CO294"/>
  <c r="CO336"/>
  <c r="CO378"/>
  <c r="CO420"/>
  <c r="CO462"/>
  <c r="CO510"/>
  <c r="CO89"/>
  <c r="CO173"/>
  <c r="CO263"/>
  <c r="CO347"/>
  <c r="CO449"/>
  <c r="CO34"/>
  <c r="CO118"/>
  <c r="CO202"/>
  <c r="CO286"/>
  <c r="CO370"/>
  <c r="CO454"/>
  <c r="CO27"/>
  <c r="CO99"/>
  <c r="CO183"/>
  <c r="CO273"/>
  <c r="CO357"/>
  <c r="CO435"/>
  <c r="CO350"/>
  <c r="CO416"/>
  <c r="CO332"/>
  <c r="CO362"/>
  <c r="CO392"/>
  <c r="CO453"/>
  <c r="CO372"/>
  <c r="CO161"/>
  <c r="CO335"/>
  <c r="CO22"/>
  <c r="CO106"/>
  <c r="CO274"/>
  <c r="CO346"/>
  <c r="CO15"/>
  <c r="CO87"/>
  <c r="CO249"/>
  <c r="CO345"/>
  <c r="CO507"/>
  <c r="CO380"/>
  <c r="CO446"/>
  <c r="CO356"/>
  <c r="CO49"/>
  <c r="CO91"/>
  <c r="CO139"/>
  <c r="CO181"/>
  <c r="CO223"/>
  <c r="CO265"/>
  <c r="CO307"/>
  <c r="CO355"/>
  <c r="CO397"/>
  <c r="CO439"/>
  <c r="CO481"/>
  <c r="CO35"/>
  <c r="CO131"/>
  <c r="CO215"/>
  <c r="CO293"/>
  <c r="CO377"/>
  <c r="CO455"/>
  <c r="CO52"/>
  <c r="CO136"/>
  <c r="CO220"/>
  <c r="CO304"/>
  <c r="CO400"/>
  <c r="CO502"/>
  <c r="CO93"/>
  <c r="CO177"/>
  <c r="CO267"/>
  <c r="CO351"/>
  <c r="CO26"/>
  <c r="CO68"/>
  <c r="CO110"/>
  <c r="CO152"/>
  <c r="CO200"/>
  <c r="CO242"/>
  <c r="CO284"/>
  <c r="CO24"/>
  <c r="CO66"/>
  <c r="CO114"/>
  <c r="CO156"/>
  <c r="CO198"/>
  <c r="CO240"/>
  <c r="CO282"/>
  <c r="CO330"/>
  <c r="CO414"/>
  <c r="CO456"/>
  <c r="CO498"/>
  <c r="CO77"/>
  <c r="CO251"/>
  <c r="CO419"/>
  <c r="CO190"/>
  <c r="CO442"/>
  <c r="CO171"/>
  <c r="CO423"/>
  <c r="CO326"/>
  <c r="CO43"/>
  <c r="CO85"/>
  <c r="CO127"/>
  <c r="CO175"/>
  <c r="CO217"/>
  <c r="CO259"/>
  <c r="CO301"/>
  <c r="CO343"/>
  <c r="CO391"/>
  <c r="CO433"/>
  <c r="CO475"/>
  <c r="CO23"/>
  <c r="CO107"/>
  <c r="CO203"/>
  <c r="CO281"/>
  <c r="CO365"/>
  <c r="CO443"/>
  <c r="CO28"/>
  <c r="CO124"/>
  <c r="CO208"/>
  <c r="CO292"/>
  <c r="CO388"/>
  <c r="CO472"/>
  <c r="CO81"/>
  <c r="CO165"/>
  <c r="CO255"/>
  <c r="CO339"/>
  <c r="CO429"/>
  <c r="CO20"/>
  <c r="CO62"/>
  <c r="CO104"/>
  <c r="CO146"/>
  <c r="CO188"/>
  <c r="CO236"/>
  <c r="CO278"/>
  <c r="CO18"/>
  <c r="CO60"/>
  <c r="CO102"/>
  <c r="CO150"/>
  <c r="CO192"/>
  <c r="CO234"/>
  <c r="CO276"/>
  <c r="CO318"/>
  <c r="CO366"/>
  <c r="CO408"/>
  <c r="CO450"/>
  <c r="CO492"/>
  <c r="CO53"/>
  <c r="CO149"/>
  <c r="CO233"/>
  <c r="CO323"/>
  <c r="CO407"/>
  <c r="CO497"/>
  <c r="CO94"/>
  <c r="CO178"/>
  <c r="CO262"/>
  <c r="CO334"/>
  <c r="CO418"/>
  <c r="CO508"/>
  <c r="CO75"/>
  <c r="CO159"/>
  <c r="CO237"/>
  <c r="CO321"/>
  <c r="CO411"/>
  <c r="CO495"/>
  <c r="CO344"/>
  <c r="CO410"/>
  <c r="CO476"/>
  <c r="CO320"/>
  <c r="CO37"/>
  <c r="CO121"/>
  <c r="CO211"/>
  <c r="CO295"/>
  <c r="CO379"/>
  <c r="CO469"/>
  <c r="CO95"/>
  <c r="CO269"/>
  <c r="CO437"/>
  <c r="CO100"/>
  <c r="CO280"/>
  <c r="CO460"/>
  <c r="CO153"/>
  <c r="CO327"/>
  <c r="CO501"/>
  <c r="CO98"/>
  <c r="CO182"/>
  <c r="CO272"/>
  <c r="CO54"/>
  <c r="CO138"/>
  <c r="CO228"/>
  <c r="CO312"/>
  <c r="CO402"/>
  <c r="CO486"/>
  <c r="CO125"/>
  <c r="CO311"/>
  <c r="CO485"/>
  <c r="CO166"/>
  <c r="CO328"/>
  <c r="CO484"/>
  <c r="CO147"/>
  <c r="CO309"/>
  <c r="CO483"/>
  <c r="CO374"/>
  <c r="CO470"/>
  <c r="CO31"/>
  <c r="CO115"/>
  <c r="CO199"/>
  <c r="CO289"/>
  <c r="CO373"/>
  <c r="CO463"/>
  <c r="CO83"/>
  <c r="CO245"/>
  <c r="CO425"/>
  <c r="CO88"/>
  <c r="CO268"/>
  <c r="CO448"/>
  <c r="CO129"/>
  <c r="CO315"/>
  <c r="CO489"/>
  <c r="CO92"/>
  <c r="CO176"/>
  <c r="CO260"/>
  <c r="CO48"/>
  <c r="CO132"/>
  <c r="CO222"/>
  <c r="CO306"/>
  <c r="CO390"/>
  <c r="CO480"/>
  <c r="CO113"/>
  <c r="CO299"/>
  <c r="CO473"/>
  <c r="CO142"/>
  <c r="CO316"/>
  <c r="CO478"/>
  <c r="CO135"/>
  <c r="CO297"/>
  <c r="CO459"/>
  <c r="CO338"/>
  <c r="CO434"/>
  <c r="CO19"/>
  <c r="CO109"/>
  <c r="CO193"/>
  <c r="CO283"/>
  <c r="CO367"/>
  <c r="CO451"/>
  <c r="CO71"/>
  <c r="CO239"/>
  <c r="CO413"/>
  <c r="CO76"/>
  <c r="CO244"/>
  <c r="CO436"/>
  <c r="CO117"/>
  <c r="CO303"/>
  <c r="CO477"/>
  <c r="CO80"/>
  <c r="CO170"/>
  <c r="CO254"/>
  <c r="CO42"/>
  <c r="CO126"/>
  <c r="CO210"/>
  <c r="CO300"/>
  <c r="CO384"/>
  <c r="CO474"/>
  <c r="CO101"/>
  <c r="CO275"/>
  <c r="CO461"/>
  <c r="CO130"/>
  <c r="CO310"/>
  <c r="CO466"/>
  <c r="CO111"/>
  <c r="CO285"/>
  <c r="CO447"/>
  <c r="CO488"/>
  <c r="CO398"/>
  <c r="CO79"/>
  <c r="CO163"/>
  <c r="CO253"/>
  <c r="CO337"/>
  <c r="CO427"/>
  <c r="CO511"/>
  <c r="CO179"/>
  <c r="CO353"/>
  <c r="CO16"/>
  <c r="CO196"/>
  <c r="CO376"/>
  <c r="CO57"/>
  <c r="CO243"/>
  <c r="CO417"/>
  <c r="CO56"/>
  <c r="CO140"/>
  <c r="CO224"/>
  <c r="CO314"/>
  <c r="CO96"/>
  <c r="CO186"/>
  <c r="CO270"/>
  <c r="CO354"/>
  <c r="CO444"/>
  <c r="CO41"/>
  <c r="CO221"/>
  <c r="CO395"/>
  <c r="CO70"/>
  <c r="CO250"/>
  <c r="CO406"/>
  <c r="CO63"/>
  <c r="CO225"/>
  <c r="CO387"/>
  <c r="CO494"/>
  <c r="CO440"/>
  <c r="CO73"/>
  <c r="CO157"/>
  <c r="CO247"/>
  <c r="CO331"/>
  <c r="CO415"/>
  <c r="CO505"/>
  <c r="CO167"/>
  <c r="CO341"/>
  <c r="CO503"/>
  <c r="CO172"/>
  <c r="CO364"/>
  <c r="CO45"/>
  <c r="CO231"/>
  <c r="CO405"/>
  <c r="CO44"/>
  <c r="CO134"/>
  <c r="CO218"/>
  <c r="CO308"/>
  <c r="CO90"/>
  <c r="CO174"/>
  <c r="CO264"/>
  <c r="CO348"/>
  <c r="CO438"/>
  <c r="CO29"/>
  <c r="CO197"/>
  <c r="CO383"/>
  <c r="CO58"/>
  <c r="CO238"/>
  <c r="CO394"/>
  <c r="CO39"/>
  <c r="CO213"/>
  <c r="CO381"/>
  <c r="CO458"/>
  <c r="CO404"/>
  <c r="CO464"/>
  <c r="CO67"/>
  <c r="CO151"/>
  <c r="CO235"/>
  <c r="CO325"/>
  <c r="CO409"/>
  <c r="CO499"/>
  <c r="CO155"/>
  <c r="CO317"/>
  <c r="CO491"/>
  <c r="CO160"/>
  <c r="CO352"/>
  <c r="CO21"/>
  <c r="CO207"/>
  <c r="CO393"/>
  <c r="CO38"/>
  <c r="CO128"/>
  <c r="CO212"/>
  <c r="CO296"/>
  <c r="CO84"/>
  <c r="CO168"/>
  <c r="CO258"/>
  <c r="CO342"/>
  <c r="CO426"/>
  <c r="CO17"/>
  <c r="CO185"/>
  <c r="CO371"/>
  <c r="CO46"/>
  <c r="CO214"/>
  <c r="CO382"/>
  <c r="CO33"/>
  <c r="CO201"/>
  <c r="CO369"/>
  <c r="CO386"/>
  <c r="CO368"/>
  <c r="CO428"/>
  <c r="BQ25"/>
  <c r="BQ61"/>
  <c r="BQ97"/>
  <c r="BQ133"/>
  <c r="BQ169"/>
  <c r="BQ205"/>
  <c r="BQ241"/>
  <c r="BQ277"/>
  <c r="BQ313"/>
  <c r="BQ349"/>
  <c r="BQ385"/>
  <c r="BQ421"/>
  <c r="BQ457"/>
  <c r="BQ493"/>
  <c r="BQ30"/>
  <c r="BQ66"/>
  <c r="BQ102"/>
  <c r="BQ138"/>
  <c r="BQ174"/>
  <c r="BQ210"/>
  <c r="BQ246"/>
  <c r="BQ282"/>
  <c r="BQ318"/>
  <c r="BQ354"/>
  <c r="BQ390"/>
  <c r="BQ426"/>
  <c r="BQ462"/>
  <c r="BQ498"/>
  <c r="BQ35"/>
  <c r="BQ71"/>
  <c r="BQ107"/>
  <c r="BQ143"/>
  <c r="BQ179"/>
  <c r="BQ215"/>
  <c r="BQ251"/>
  <c r="BQ287"/>
  <c r="BQ323"/>
  <c r="BQ359"/>
  <c r="BQ395"/>
  <c r="BQ431"/>
  <c r="BQ467"/>
  <c r="BQ503"/>
  <c r="BQ40"/>
  <c r="BQ74"/>
  <c r="BQ146"/>
  <c r="BQ218"/>
  <c r="BQ290"/>
  <c r="BQ362"/>
  <c r="BQ434"/>
  <c r="BQ506"/>
  <c r="BQ94"/>
  <c r="BQ166"/>
  <c r="BQ238"/>
  <c r="BQ310"/>
  <c r="BQ382"/>
  <c r="BQ454"/>
  <c r="BQ21"/>
  <c r="BQ105"/>
  <c r="BQ177"/>
  <c r="BQ249"/>
  <c r="BQ321"/>
  <c r="BQ393"/>
  <c r="BQ465"/>
  <c r="BQ38"/>
  <c r="BQ116"/>
  <c r="BQ188"/>
  <c r="BQ260"/>
  <c r="BQ332"/>
  <c r="BQ404"/>
  <c r="BQ476"/>
  <c r="BQ51"/>
  <c r="BQ124"/>
  <c r="BQ196"/>
  <c r="BQ268"/>
  <c r="BQ340"/>
  <c r="BQ412"/>
  <c r="BQ484"/>
  <c r="BQ75"/>
  <c r="BQ147"/>
  <c r="BQ219"/>
  <c r="BQ291"/>
  <c r="BQ363"/>
  <c r="BQ435"/>
  <c r="BQ507"/>
  <c r="BQ19"/>
  <c r="BQ67"/>
  <c r="BQ109"/>
  <c r="BQ151"/>
  <c r="BQ193"/>
  <c r="BQ235"/>
  <c r="BQ283"/>
  <c r="BQ325"/>
  <c r="BQ367"/>
  <c r="BQ409"/>
  <c r="BQ451"/>
  <c r="BQ499"/>
  <c r="BQ42"/>
  <c r="BQ84"/>
  <c r="BQ126"/>
  <c r="BQ168"/>
  <c r="BQ216"/>
  <c r="BQ258"/>
  <c r="BQ300"/>
  <c r="BQ342"/>
  <c r="BQ384"/>
  <c r="BQ432"/>
  <c r="BQ474"/>
  <c r="BQ17"/>
  <c r="BQ59"/>
  <c r="BQ101"/>
  <c r="BQ149"/>
  <c r="BQ191"/>
  <c r="BQ233"/>
  <c r="BQ275"/>
  <c r="BQ317"/>
  <c r="BQ365"/>
  <c r="BQ407"/>
  <c r="BQ449"/>
  <c r="BQ491"/>
  <c r="BQ34"/>
  <c r="BQ86"/>
  <c r="BQ170"/>
  <c r="BQ254"/>
  <c r="BQ338"/>
  <c r="BQ422"/>
  <c r="BQ26"/>
  <c r="BQ118"/>
  <c r="BQ202"/>
  <c r="BQ286"/>
  <c r="BQ370"/>
  <c r="BQ466"/>
  <c r="BQ57"/>
  <c r="BQ141"/>
  <c r="BQ225"/>
  <c r="BQ309"/>
  <c r="BQ405"/>
  <c r="BQ489"/>
  <c r="BQ80"/>
  <c r="BQ164"/>
  <c r="BQ248"/>
  <c r="BQ344"/>
  <c r="BQ428"/>
  <c r="BQ512"/>
  <c r="BQ100"/>
  <c r="BQ184"/>
  <c r="BQ280"/>
  <c r="BQ364"/>
  <c r="BQ448"/>
  <c r="BQ50"/>
  <c r="BQ135"/>
  <c r="BQ231"/>
  <c r="BQ315"/>
  <c r="BQ399"/>
  <c r="BQ483"/>
  <c r="BQ55"/>
  <c r="BQ103"/>
  <c r="BQ145"/>
  <c r="BQ187"/>
  <c r="BQ229"/>
  <c r="BQ271"/>
  <c r="BQ319"/>
  <c r="BQ361"/>
  <c r="BQ403"/>
  <c r="BQ445"/>
  <c r="BQ487"/>
  <c r="BQ36"/>
  <c r="BQ78"/>
  <c r="BQ120"/>
  <c r="BQ162"/>
  <c r="BQ204"/>
  <c r="BQ252"/>
  <c r="BQ294"/>
  <c r="BQ336"/>
  <c r="BQ378"/>
  <c r="BQ420"/>
  <c r="BQ468"/>
  <c r="BQ510"/>
  <c r="BQ53"/>
  <c r="BQ95"/>
  <c r="BQ137"/>
  <c r="BQ185"/>
  <c r="BQ227"/>
  <c r="BQ269"/>
  <c r="BQ311"/>
  <c r="BQ353"/>
  <c r="BQ401"/>
  <c r="BQ443"/>
  <c r="BQ485"/>
  <c r="BQ28"/>
  <c r="BQ62"/>
  <c r="BQ158"/>
  <c r="BQ242"/>
  <c r="BQ326"/>
  <c r="BQ410"/>
  <c r="BQ494"/>
  <c r="BQ106"/>
  <c r="BQ190"/>
  <c r="BQ274"/>
  <c r="BQ358"/>
  <c r="BQ442"/>
  <c r="BQ39"/>
  <c r="BQ129"/>
  <c r="BQ213"/>
  <c r="BQ297"/>
  <c r="BQ381"/>
  <c r="BQ477"/>
  <c r="BQ68"/>
  <c r="BQ152"/>
  <c r="BQ236"/>
  <c r="BQ320"/>
  <c r="BQ416"/>
  <c r="BQ500"/>
  <c r="BQ88"/>
  <c r="BQ172"/>
  <c r="BQ256"/>
  <c r="BQ352"/>
  <c r="BQ436"/>
  <c r="BQ32"/>
  <c r="BQ123"/>
  <c r="BQ207"/>
  <c r="BQ303"/>
  <c r="BQ387"/>
  <c r="BQ471"/>
  <c r="BQ49"/>
  <c r="BQ91"/>
  <c r="BQ139"/>
  <c r="BQ181"/>
  <c r="BQ223"/>
  <c r="BQ265"/>
  <c r="BQ307"/>
  <c r="BQ355"/>
  <c r="BQ397"/>
  <c r="BQ439"/>
  <c r="BQ481"/>
  <c r="BQ24"/>
  <c r="BQ72"/>
  <c r="BQ114"/>
  <c r="BQ156"/>
  <c r="BQ198"/>
  <c r="BQ240"/>
  <c r="BQ288"/>
  <c r="BQ330"/>
  <c r="BQ372"/>
  <c r="BQ414"/>
  <c r="BQ456"/>
  <c r="BQ504"/>
  <c r="BQ47"/>
  <c r="BQ89"/>
  <c r="BQ131"/>
  <c r="BQ173"/>
  <c r="BQ221"/>
  <c r="BQ263"/>
  <c r="BQ305"/>
  <c r="BQ347"/>
  <c r="BQ389"/>
  <c r="BQ437"/>
  <c r="BQ479"/>
  <c r="BQ22"/>
  <c r="BQ45"/>
  <c r="BQ134"/>
  <c r="BQ230"/>
  <c r="BQ314"/>
  <c r="BQ398"/>
  <c r="BQ482"/>
  <c r="BQ82"/>
  <c r="BQ178"/>
  <c r="BQ262"/>
  <c r="BQ346"/>
  <c r="BQ430"/>
  <c r="BQ514"/>
  <c r="BQ117"/>
  <c r="BQ201"/>
  <c r="BQ285"/>
  <c r="BQ369"/>
  <c r="BQ453"/>
  <c r="BQ56"/>
  <c r="BQ140"/>
  <c r="BQ224"/>
  <c r="BQ308"/>
  <c r="BQ392"/>
  <c r="BQ488"/>
  <c r="BQ76"/>
  <c r="BQ160"/>
  <c r="BQ244"/>
  <c r="BQ328"/>
  <c r="BQ424"/>
  <c r="BQ508"/>
  <c r="BQ111"/>
  <c r="BQ195"/>
  <c r="BQ279"/>
  <c r="BQ375"/>
  <c r="BQ459"/>
  <c r="BQ43"/>
  <c r="BQ85"/>
  <c r="BQ127"/>
  <c r="BQ175"/>
  <c r="BQ217"/>
  <c r="BQ259"/>
  <c r="BQ301"/>
  <c r="BQ343"/>
  <c r="BQ391"/>
  <c r="BQ433"/>
  <c r="BQ475"/>
  <c r="BQ18"/>
  <c r="BQ60"/>
  <c r="BQ108"/>
  <c r="BQ150"/>
  <c r="BQ192"/>
  <c r="BQ234"/>
  <c r="BQ276"/>
  <c r="BQ324"/>
  <c r="BQ366"/>
  <c r="BQ408"/>
  <c r="BQ450"/>
  <c r="BQ492"/>
  <c r="BQ41"/>
  <c r="BQ83"/>
  <c r="BQ125"/>
  <c r="BQ167"/>
  <c r="BQ209"/>
  <c r="BQ257"/>
  <c r="BQ299"/>
  <c r="BQ341"/>
  <c r="BQ383"/>
  <c r="BQ425"/>
  <c r="BQ473"/>
  <c r="BQ16"/>
  <c r="BQ27"/>
  <c r="BQ122"/>
  <c r="BQ206"/>
  <c r="BQ302"/>
  <c r="BQ386"/>
  <c r="BQ470"/>
  <c r="BQ70"/>
  <c r="BQ154"/>
  <c r="BQ250"/>
  <c r="BQ334"/>
  <c r="BQ418"/>
  <c r="BQ502"/>
  <c r="BQ93"/>
  <c r="BQ189"/>
  <c r="BQ273"/>
  <c r="BQ357"/>
  <c r="BQ441"/>
  <c r="BQ20"/>
  <c r="BQ128"/>
  <c r="BQ212"/>
  <c r="BQ296"/>
  <c r="BQ380"/>
  <c r="BQ464"/>
  <c r="BQ64"/>
  <c r="BQ148"/>
  <c r="BQ232"/>
  <c r="BQ316"/>
  <c r="BQ400"/>
  <c r="BQ496"/>
  <c r="BQ99"/>
  <c r="BQ183"/>
  <c r="BQ267"/>
  <c r="BQ351"/>
  <c r="BQ447"/>
  <c r="BQ37"/>
  <c r="BQ79"/>
  <c r="BQ121"/>
  <c r="BQ163"/>
  <c r="BQ211"/>
  <c r="BQ253"/>
  <c r="BQ295"/>
  <c r="BQ337"/>
  <c r="BQ379"/>
  <c r="BQ427"/>
  <c r="BQ469"/>
  <c r="BQ511"/>
  <c r="BQ54"/>
  <c r="BQ96"/>
  <c r="BQ144"/>
  <c r="BQ186"/>
  <c r="BQ228"/>
  <c r="BQ270"/>
  <c r="BQ312"/>
  <c r="BQ360"/>
  <c r="BQ402"/>
  <c r="BQ444"/>
  <c r="BQ486"/>
  <c r="BQ29"/>
  <c r="BQ77"/>
  <c r="BQ119"/>
  <c r="BQ161"/>
  <c r="BQ203"/>
  <c r="BQ245"/>
  <c r="BQ293"/>
  <c r="BQ335"/>
  <c r="BQ377"/>
  <c r="BQ419"/>
  <c r="BQ461"/>
  <c r="BQ509"/>
  <c r="BQ52"/>
  <c r="BQ110"/>
  <c r="BQ194"/>
  <c r="BQ278"/>
  <c r="BQ374"/>
  <c r="BQ458"/>
  <c r="BQ58"/>
  <c r="BQ142"/>
  <c r="BQ226"/>
  <c r="BQ322"/>
  <c r="BQ406"/>
  <c r="BQ490"/>
  <c r="BQ81"/>
  <c r="BQ165"/>
  <c r="BQ261"/>
  <c r="BQ345"/>
  <c r="BQ429"/>
  <c r="BQ513"/>
  <c r="BQ104"/>
  <c r="BQ200"/>
  <c r="BQ284"/>
  <c r="BQ368"/>
  <c r="BQ452"/>
  <c r="BQ33"/>
  <c r="BQ136"/>
  <c r="BQ220"/>
  <c r="BQ304"/>
  <c r="BQ388"/>
  <c r="BQ472"/>
  <c r="BQ87"/>
  <c r="BQ171"/>
  <c r="BQ255"/>
  <c r="BQ339"/>
  <c r="BQ423"/>
  <c r="BQ31"/>
  <c r="BQ73"/>
  <c r="BQ115"/>
  <c r="BQ157"/>
  <c r="BQ199"/>
  <c r="BQ247"/>
  <c r="BQ289"/>
  <c r="BQ331"/>
  <c r="BQ373"/>
  <c r="BQ415"/>
  <c r="BQ463"/>
  <c r="BQ505"/>
  <c r="BQ48"/>
  <c r="BQ90"/>
  <c r="BQ132"/>
  <c r="BQ180"/>
  <c r="BQ222"/>
  <c r="BQ264"/>
  <c r="BQ306"/>
  <c r="BQ348"/>
  <c r="BQ396"/>
  <c r="BQ438"/>
  <c r="BQ480"/>
  <c r="BQ23"/>
  <c r="BQ65"/>
  <c r="BQ113"/>
  <c r="BQ155"/>
  <c r="BQ197"/>
  <c r="BQ239"/>
  <c r="BQ281"/>
  <c r="BQ329"/>
  <c r="BQ371"/>
  <c r="BQ413"/>
  <c r="BQ455"/>
  <c r="BQ497"/>
  <c r="BQ46"/>
  <c r="BQ98"/>
  <c r="BQ182"/>
  <c r="BQ266"/>
  <c r="BQ350"/>
  <c r="BQ446"/>
  <c r="BQ44"/>
  <c r="BQ130"/>
  <c r="BQ214"/>
  <c r="BQ298"/>
  <c r="BQ394"/>
  <c r="BQ478"/>
  <c r="BQ69"/>
  <c r="BQ153"/>
  <c r="BQ237"/>
  <c r="BQ333"/>
  <c r="BQ417"/>
  <c r="BQ501"/>
  <c r="BQ92"/>
  <c r="BQ176"/>
  <c r="BQ272"/>
  <c r="BQ356"/>
  <c r="BQ440"/>
  <c r="BQ15"/>
  <c r="BQ112"/>
  <c r="BQ208"/>
  <c r="BQ292"/>
  <c r="BQ376"/>
  <c r="BQ460"/>
  <c r="BQ63"/>
  <c r="BQ159"/>
  <c r="BQ243"/>
  <c r="BQ327"/>
  <c r="BQ411"/>
  <c r="BQ495"/>
  <c r="CD9"/>
  <c r="CC13" a="1"/>
  <c r="CE13" s="1"/>
  <c r="CF13"/>
  <c r="CC15" a="1"/>
  <c r="CC49" l="1"/>
  <c r="CC85"/>
  <c r="CC121"/>
  <c r="CC157"/>
  <c r="CC193"/>
  <c r="CC229"/>
  <c r="CC37"/>
  <c r="CC79"/>
  <c r="CC127"/>
  <c r="CC169"/>
  <c r="CC211"/>
  <c r="CC253"/>
  <c r="CC289"/>
  <c r="CC325"/>
  <c r="CC361"/>
  <c r="CC397"/>
  <c r="CC433"/>
  <c r="CC469"/>
  <c r="CC505"/>
  <c r="CC42"/>
  <c r="CC78"/>
  <c r="CC114"/>
  <c r="CC150"/>
  <c r="CC186"/>
  <c r="CC222"/>
  <c r="CC258"/>
  <c r="CC294"/>
  <c r="CC330"/>
  <c r="CC366"/>
  <c r="CC402"/>
  <c r="CC438"/>
  <c r="CC474"/>
  <c r="CC510"/>
  <c r="CC47"/>
  <c r="CC83"/>
  <c r="CC119"/>
  <c r="CC155"/>
  <c r="CC191"/>
  <c r="CC227"/>
  <c r="CC263"/>
  <c r="CC299"/>
  <c r="CC335"/>
  <c r="CC371"/>
  <c r="CC407"/>
  <c r="CC443"/>
  <c r="CC479"/>
  <c r="CC16"/>
  <c r="CC52"/>
  <c r="CC98"/>
  <c r="CC170"/>
  <c r="CC242"/>
  <c r="CC314"/>
  <c r="CC386"/>
  <c r="CC458"/>
  <c r="CC44"/>
  <c r="CC118"/>
  <c r="CC190"/>
  <c r="CC262"/>
  <c r="CC334"/>
  <c r="CC406"/>
  <c r="CC478"/>
  <c r="CC57"/>
  <c r="CC129"/>
  <c r="CC201"/>
  <c r="CC273"/>
  <c r="CC345"/>
  <c r="CC417"/>
  <c r="CC489"/>
  <c r="CC68"/>
  <c r="CC140"/>
  <c r="CC212"/>
  <c r="CC284"/>
  <c r="CC356"/>
  <c r="CC428"/>
  <c r="CC500"/>
  <c r="CC76"/>
  <c r="CC148"/>
  <c r="CC220"/>
  <c r="CC292"/>
  <c r="CC364"/>
  <c r="CC436"/>
  <c r="CC508"/>
  <c r="CC99"/>
  <c r="CC171"/>
  <c r="CC243"/>
  <c r="CC315"/>
  <c r="CC387"/>
  <c r="CC459"/>
  <c r="CC31"/>
  <c r="CC73"/>
  <c r="CC163"/>
  <c r="CC205"/>
  <c r="CC247"/>
  <c r="CC283"/>
  <c r="CC319"/>
  <c r="CC391"/>
  <c r="CC427"/>
  <c r="CC463"/>
  <c r="CC499"/>
  <c r="CC36"/>
  <c r="CC72"/>
  <c r="CC108"/>
  <c r="CC180"/>
  <c r="CC216"/>
  <c r="CC252"/>
  <c r="CC288"/>
  <c r="CC324"/>
  <c r="CC360"/>
  <c r="CC396"/>
  <c r="CC432"/>
  <c r="CC468"/>
  <c r="CC41"/>
  <c r="CC77"/>
  <c r="CC113"/>
  <c r="CC149"/>
  <c r="CC185"/>
  <c r="CC115"/>
  <c r="CC355"/>
  <c r="CC144"/>
  <c r="CC25"/>
  <c r="CC67"/>
  <c r="CC109"/>
  <c r="CC151"/>
  <c r="CC199"/>
  <c r="CC241"/>
  <c r="CC277"/>
  <c r="CC313"/>
  <c r="CC349"/>
  <c r="CC385"/>
  <c r="CC421"/>
  <c r="CC457"/>
  <c r="CC493"/>
  <c r="CC30"/>
  <c r="CC66"/>
  <c r="CC102"/>
  <c r="CC138"/>
  <c r="CC174"/>
  <c r="CC210"/>
  <c r="CC246"/>
  <c r="CC282"/>
  <c r="CC318"/>
  <c r="CC354"/>
  <c r="CC390"/>
  <c r="CC426"/>
  <c r="CC462"/>
  <c r="CC498"/>
  <c r="CC35"/>
  <c r="CC71"/>
  <c r="CC107"/>
  <c r="CC143"/>
  <c r="CC179"/>
  <c r="CC215"/>
  <c r="CC251"/>
  <c r="CC287"/>
  <c r="CC323"/>
  <c r="CC359"/>
  <c r="CC395"/>
  <c r="CC431"/>
  <c r="CC467"/>
  <c r="CC503"/>
  <c r="CC40"/>
  <c r="CC74"/>
  <c r="CC146"/>
  <c r="CC218"/>
  <c r="CC290"/>
  <c r="CC362"/>
  <c r="CC434"/>
  <c r="CC61"/>
  <c r="CC145"/>
  <c r="CC235"/>
  <c r="CC307"/>
  <c r="CC379"/>
  <c r="CC451"/>
  <c r="CC24"/>
  <c r="CC96"/>
  <c r="CC168"/>
  <c r="CC240"/>
  <c r="CC312"/>
  <c r="CC384"/>
  <c r="CC456"/>
  <c r="CC23"/>
  <c r="CC95"/>
  <c r="CC167"/>
  <c r="CC233"/>
  <c r="CC281"/>
  <c r="CC341"/>
  <c r="CC389"/>
  <c r="CC449"/>
  <c r="CC497"/>
  <c r="CC27"/>
  <c r="CC134"/>
  <c r="CC254"/>
  <c r="CC350"/>
  <c r="CC470"/>
  <c r="CC70"/>
  <c r="CC154"/>
  <c r="CC238"/>
  <c r="CC322"/>
  <c r="CC418"/>
  <c r="CC502"/>
  <c r="CC93"/>
  <c r="CC177"/>
  <c r="CC261"/>
  <c r="CC357"/>
  <c r="CC441"/>
  <c r="CC20"/>
  <c r="CC116"/>
  <c r="CC200"/>
  <c r="CC296"/>
  <c r="CC380"/>
  <c r="CC464"/>
  <c r="CC51"/>
  <c r="CC136"/>
  <c r="CC232"/>
  <c r="CC316"/>
  <c r="CC400"/>
  <c r="CC484"/>
  <c r="CC87"/>
  <c r="CC183"/>
  <c r="CC267"/>
  <c r="CC351"/>
  <c r="CC435"/>
  <c r="CC55"/>
  <c r="CC139"/>
  <c r="CC223"/>
  <c r="CC301"/>
  <c r="CC373"/>
  <c r="CC445"/>
  <c r="CC18"/>
  <c r="CC90"/>
  <c r="CC162"/>
  <c r="CC234"/>
  <c r="CC306"/>
  <c r="CC378"/>
  <c r="CC450"/>
  <c r="CC17"/>
  <c r="CC89"/>
  <c r="CC161"/>
  <c r="CC221"/>
  <c r="CC275"/>
  <c r="CC329"/>
  <c r="CC383"/>
  <c r="CC437"/>
  <c r="CC491"/>
  <c r="CC46"/>
  <c r="CC122"/>
  <c r="CC230"/>
  <c r="CC338"/>
  <c r="CC446"/>
  <c r="CC58"/>
  <c r="CC142"/>
  <c r="CC226"/>
  <c r="CC310"/>
  <c r="CC394"/>
  <c r="CC490"/>
  <c r="CC81"/>
  <c r="CC165"/>
  <c r="CC249"/>
  <c r="CC333"/>
  <c r="CC429"/>
  <c r="CC513"/>
  <c r="CC104"/>
  <c r="CC188"/>
  <c r="CC272"/>
  <c r="CC368"/>
  <c r="CC452"/>
  <c r="CC33"/>
  <c r="CC124"/>
  <c r="CC208"/>
  <c r="CC304"/>
  <c r="CC388"/>
  <c r="CC472"/>
  <c r="CC75"/>
  <c r="CC159"/>
  <c r="CC255"/>
  <c r="CC339"/>
  <c r="CC423"/>
  <c r="CC507"/>
  <c r="CC43"/>
  <c r="CC133"/>
  <c r="CC217"/>
  <c r="CC295"/>
  <c r="CC367"/>
  <c r="CC439"/>
  <c r="CC511"/>
  <c r="CC84"/>
  <c r="CC156"/>
  <c r="CC228"/>
  <c r="CC300"/>
  <c r="CC372"/>
  <c r="CC444"/>
  <c r="CC504"/>
  <c r="CC65"/>
  <c r="CC137"/>
  <c r="CC209"/>
  <c r="CC269"/>
  <c r="CC317"/>
  <c r="CC377"/>
  <c r="CC425"/>
  <c r="CC485"/>
  <c r="CC34"/>
  <c r="CC110"/>
  <c r="CC206"/>
  <c r="CC326"/>
  <c r="CC422"/>
  <c r="CC26"/>
  <c r="CC130"/>
  <c r="CC214"/>
  <c r="CC298"/>
  <c r="CC382"/>
  <c r="CC466"/>
  <c r="CC69"/>
  <c r="CC153"/>
  <c r="CC237"/>
  <c r="CC321"/>
  <c r="CC405"/>
  <c r="CC501"/>
  <c r="CC92"/>
  <c r="CC176"/>
  <c r="CC260"/>
  <c r="CC344"/>
  <c r="CC440"/>
  <c r="CC15"/>
  <c r="CC112"/>
  <c r="CC196"/>
  <c r="CC280"/>
  <c r="CC376"/>
  <c r="CC460"/>
  <c r="CC63"/>
  <c r="CC147"/>
  <c r="CC231"/>
  <c r="CC327"/>
  <c r="CC411"/>
  <c r="CC495"/>
  <c r="CC19"/>
  <c r="CC103"/>
  <c r="CC187"/>
  <c r="CC271"/>
  <c r="CC343"/>
  <c r="CC415"/>
  <c r="CC487"/>
  <c r="CC60"/>
  <c r="CC132"/>
  <c r="CC204"/>
  <c r="CC276"/>
  <c r="CC348"/>
  <c r="CC420"/>
  <c r="CC492"/>
  <c r="CC59"/>
  <c r="CC131"/>
  <c r="CC203"/>
  <c r="CC257"/>
  <c r="CC311"/>
  <c r="CC365"/>
  <c r="CC419"/>
  <c r="CC473"/>
  <c r="CC28"/>
  <c r="CC86"/>
  <c r="CC194"/>
  <c r="CC302"/>
  <c r="CC410"/>
  <c r="CC506"/>
  <c r="CC106"/>
  <c r="CC202"/>
  <c r="CC286"/>
  <c r="CC370"/>
  <c r="CC454"/>
  <c r="CC39"/>
  <c r="CC141"/>
  <c r="CC225"/>
  <c r="CC309"/>
  <c r="CC393"/>
  <c r="CC477"/>
  <c r="CC80"/>
  <c r="CC164"/>
  <c r="CC248"/>
  <c r="CC332"/>
  <c r="CC416"/>
  <c r="CC512"/>
  <c r="CC100"/>
  <c r="CC184"/>
  <c r="CC268"/>
  <c r="CC352"/>
  <c r="CC448"/>
  <c r="CC50"/>
  <c r="CC135"/>
  <c r="CC219"/>
  <c r="CC303"/>
  <c r="CC399"/>
  <c r="CC483"/>
  <c r="CC97"/>
  <c r="CC181"/>
  <c r="CC265"/>
  <c r="CC337"/>
  <c r="CC409"/>
  <c r="CC481"/>
  <c r="CC54"/>
  <c r="CC126"/>
  <c r="CC198"/>
  <c r="CC270"/>
  <c r="CC342"/>
  <c r="CC414"/>
  <c r="CC486"/>
  <c r="CC53"/>
  <c r="CC125"/>
  <c r="CC197"/>
  <c r="CC245"/>
  <c r="CC305"/>
  <c r="CC353"/>
  <c r="CC413"/>
  <c r="CC461"/>
  <c r="CC22"/>
  <c r="CC62"/>
  <c r="CC182"/>
  <c r="CC278"/>
  <c r="CC398"/>
  <c r="CC494"/>
  <c r="CC94"/>
  <c r="CC178"/>
  <c r="CC274"/>
  <c r="CC358"/>
  <c r="CC442"/>
  <c r="CC21"/>
  <c r="CC117"/>
  <c r="CC213"/>
  <c r="CC297"/>
  <c r="CC381"/>
  <c r="CC465"/>
  <c r="CC56"/>
  <c r="CC152"/>
  <c r="CC236"/>
  <c r="CC320"/>
  <c r="CC404"/>
  <c r="CC488"/>
  <c r="CC88"/>
  <c r="CC172"/>
  <c r="CC256"/>
  <c r="CC340"/>
  <c r="CC424"/>
  <c r="CC32"/>
  <c r="CC123"/>
  <c r="CC207"/>
  <c r="CC291"/>
  <c r="CC375"/>
  <c r="CC471"/>
  <c r="CC91"/>
  <c r="CC175"/>
  <c r="CC259"/>
  <c r="CC331"/>
  <c r="CC403"/>
  <c r="CC475"/>
  <c r="CC48"/>
  <c r="CC120"/>
  <c r="CC192"/>
  <c r="CC264"/>
  <c r="CC336"/>
  <c r="CC408"/>
  <c r="CC480"/>
  <c r="CC29"/>
  <c r="CC101"/>
  <c r="CC173"/>
  <c r="CC239"/>
  <c r="CC293"/>
  <c r="CC347"/>
  <c r="CC401"/>
  <c r="CC455"/>
  <c r="CC509"/>
  <c r="CC45"/>
  <c r="CC158"/>
  <c r="CC266"/>
  <c r="CC374"/>
  <c r="CC482"/>
  <c r="CC82"/>
  <c r="CC166"/>
  <c r="CC250"/>
  <c r="CC346"/>
  <c r="CC430"/>
  <c r="CC514"/>
  <c r="CC105"/>
  <c r="CC189"/>
  <c r="CC285"/>
  <c r="CC369"/>
  <c r="CC453"/>
  <c r="CC38"/>
  <c r="CC128"/>
  <c r="CC224"/>
  <c r="CC308"/>
  <c r="CC392"/>
  <c r="CC476"/>
  <c r="CC64"/>
  <c r="CC160"/>
  <c r="CC244"/>
  <c r="CC328"/>
  <c r="CC412"/>
  <c r="CC496"/>
  <c r="CC111"/>
  <c r="CC195"/>
  <c r="CC279"/>
  <c r="CC363"/>
  <c r="CC447"/>
  <c r="CC13"/>
  <c r="CD13"/>
  <c r="BH9"/>
  <c r="BG13" a="1"/>
  <c r="BI13" s="1"/>
  <c r="G13" i="16" l="1" a="1"/>
  <c r="W15" a="1"/>
  <c r="BG13" i="12"/>
  <c r="BH13"/>
  <c r="BJ13"/>
  <c r="G17" i="16" l="1"/>
  <c r="G20"/>
  <c r="G14"/>
  <c r="G22"/>
  <c r="G21"/>
  <c r="G19"/>
  <c r="G15"/>
  <c r="G16"/>
  <c r="G18"/>
  <c r="G13"/>
  <c r="G24"/>
  <c r="G23"/>
  <c r="W22"/>
  <c r="AI22" s="1"/>
  <c r="W19"/>
  <c r="AI19" s="1"/>
  <c r="W26"/>
  <c r="AI26" s="1"/>
  <c r="W18"/>
  <c r="AI18" s="1"/>
  <c r="W25"/>
  <c r="AI25" s="1"/>
  <c r="W24"/>
  <c r="AI24" s="1"/>
  <c r="W23"/>
  <c r="AI23" s="1"/>
  <c r="W21"/>
  <c r="AI21" s="1"/>
  <c r="W16"/>
  <c r="AI16" s="1"/>
  <c r="W20"/>
  <c r="AI20" s="1"/>
  <c r="W17"/>
  <c r="AI17" s="1"/>
  <c r="W15"/>
  <c r="AI15" s="1"/>
  <c r="AS10" i="1" a="1"/>
  <c r="AS14" s="1"/>
  <c r="DN229" i="12" l="1"/>
  <c r="DP265"/>
  <c r="DP301"/>
  <c r="DP337"/>
  <c r="DP373"/>
  <c r="DP445"/>
  <c r="DP481"/>
  <c r="DP233"/>
  <c r="DP377"/>
  <c r="DP449"/>
  <c r="DP226"/>
  <c r="DP298"/>
  <c r="DP376"/>
  <c r="DP448"/>
  <c r="DP225"/>
  <c r="DP297"/>
  <c r="DP369"/>
  <c r="DP441"/>
  <c r="DP230"/>
  <c r="DP266"/>
  <c r="DP240"/>
  <c r="DP276"/>
  <c r="DP312"/>
  <c r="DP348"/>
  <c r="DP420"/>
  <c r="DP456"/>
  <c r="DP492"/>
  <c r="DP263"/>
  <c r="DP335"/>
  <c r="DP407"/>
  <c r="DP485"/>
  <c r="DP280"/>
  <c r="DP346"/>
  <c r="DP418"/>
  <c r="DP490"/>
  <c r="DP279"/>
  <c r="DP351"/>
  <c r="DP470"/>
  <c r="DP464"/>
  <c r="DN458"/>
  <c r="DP452"/>
  <c r="DP446"/>
  <c r="DP223"/>
  <c r="DP271"/>
  <c r="DP313"/>
  <c r="DP355"/>
  <c r="DP397"/>
  <c r="DP439"/>
  <c r="DP487"/>
  <c r="DP293"/>
  <c r="DP389"/>
  <c r="DP473"/>
  <c r="DP310"/>
  <c r="DP484"/>
  <c r="DP237"/>
  <c r="DP321"/>
  <c r="DP405"/>
  <c r="DP489"/>
  <c r="DP218"/>
  <c r="DP260"/>
  <c r="DP246"/>
  <c r="DP372"/>
  <c r="DP414"/>
  <c r="DP462"/>
  <c r="DP504"/>
  <c r="DP251"/>
  <c r="DP347"/>
  <c r="DP431"/>
  <c r="DP292"/>
  <c r="DP370"/>
  <c r="DP454"/>
  <c r="DP219"/>
  <c r="DP303"/>
  <c r="DP387"/>
  <c r="DP471"/>
  <c r="DP434"/>
  <c r="DP308"/>
  <c r="DP338"/>
  <c r="DP368"/>
  <c r="DP217"/>
  <c r="DP259"/>
  <c r="DP307"/>
  <c r="DP349"/>
  <c r="DP433"/>
  <c r="DP475"/>
  <c r="DP281"/>
  <c r="DP365"/>
  <c r="DP461"/>
  <c r="DP388"/>
  <c r="DP472"/>
  <c r="DP393"/>
  <c r="DP477"/>
  <c r="DP254"/>
  <c r="DP234"/>
  <c r="DP282"/>
  <c r="DP324"/>
  <c r="DP366"/>
  <c r="DP450"/>
  <c r="DP498"/>
  <c r="DP239"/>
  <c r="DN419"/>
  <c r="DP509"/>
  <c r="DP268"/>
  <c r="DP442"/>
  <c r="DP291"/>
  <c r="DP375"/>
  <c r="DP459"/>
  <c r="DP398"/>
  <c r="DP428"/>
  <c r="DP494"/>
  <c r="DP302"/>
  <c r="DP332"/>
  <c r="DP295"/>
  <c r="DP343"/>
  <c r="DP385"/>
  <c r="DP427"/>
  <c r="DP469"/>
  <c r="DP269"/>
  <c r="DP353"/>
  <c r="DP247"/>
  <c r="DP331"/>
  <c r="DP421"/>
  <c r="DP505"/>
  <c r="DP491"/>
  <c r="DP250"/>
  <c r="DP364"/>
  <c r="DP508"/>
  <c r="DP261"/>
  <c r="DP381"/>
  <c r="DP278"/>
  <c r="DP258"/>
  <c r="DP390"/>
  <c r="DP444"/>
  <c r="DP287"/>
  <c r="DP395"/>
  <c r="DP316"/>
  <c r="DP430"/>
  <c r="DP327"/>
  <c r="DP447"/>
  <c r="DP320"/>
  <c r="DP422"/>
  <c r="DP410"/>
  <c r="DP241"/>
  <c r="DP325"/>
  <c r="DP415"/>
  <c r="DP499"/>
  <c r="DP329"/>
  <c r="DP479"/>
  <c r="DP238"/>
  <c r="DP352"/>
  <c r="DP496"/>
  <c r="DP249"/>
  <c r="DN357"/>
  <c r="DP501"/>
  <c r="DP272"/>
  <c r="DP252"/>
  <c r="DP306"/>
  <c r="DP378"/>
  <c r="DP438"/>
  <c r="DN510"/>
  <c r="DP275"/>
  <c r="DP383"/>
  <c r="DP304"/>
  <c r="DP406"/>
  <c r="DP315"/>
  <c r="DP435"/>
  <c r="DP506"/>
  <c r="DP386"/>
  <c r="DP512"/>
  <c r="DP235"/>
  <c r="DP319"/>
  <c r="DP403"/>
  <c r="DP493"/>
  <c r="DP317"/>
  <c r="DP437"/>
  <c r="DP340"/>
  <c r="DP460"/>
  <c r="DP345"/>
  <c r="DP465"/>
  <c r="DP248"/>
  <c r="DP228"/>
  <c r="DP300"/>
  <c r="DP360"/>
  <c r="DP432"/>
  <c r="DP227"/>
  <c r="DP371"/>
  <c r="DP497"/>
  <c r="DP394"/>
  <c r="DN514"/>
  <c r="DP267"/>
  <c r="DP411"/>
  <c r="DP350"/>
  <c r="DP488"/>
  <c r="DP476"/>
  <c r="DP289"/>
  <c r="DP379"/>
  <c r="DP463"/>
  <c r="DP257"/>
  <c r="DP425"/>
  <c r="DP328"/>
  <c r="DP436"/>
  <c r="DP333"/>
  <c r="DP453"/>
  <c r="DP222"/>
  <c r="DP294"/>
  <c r="DP354"/>
  <c r="DP426"/>
  <c r="DP480"/>
  <c r="DP359"/>
  <c r="DP244"/>
  <c r="DP382"/>
  <c r="DP502"/>
  <c r="DP255"/>
  <c r="DP399"/>
  <c r="DP326"/>
  <c r="DP314"/>
  <c r="DP416"/>
  <c r="DP404"/>
  <c r="DP283"/>
  <c r="DP367"/>
  <c r="DP457"/>
  <c r="DP245"/>
  <c r="DP413"/>
  <c r="DP274"/>
  <c r="DP424"/>
  <c r="DP285"/>
  <c r="DP429"/>
  <c r="DN236"/>
  <c r="DP290"/>
  <c r="DP270"/>
  <c r="DP342"/>
  <c r="DP402"/>
  <c r="DP474"/>
  <c r="DP311"/>
  <c r="DP455"/>
  <c r="DP232"/>
  <c r="DP334"/>
  <c r="DP478"/>
  <c r="DP243"/>
  <c r="DP363"/>
  <c r="DP507"/>
  <c r="DP392"/>
  <c r="DP296"/>
  <c r="DP277"/>
  <c r="DP361"/>
  <c r="DP221"/>
  <c r="DP401"/>
  <c r="DN503"/>
  <c r="DP262"/>
  <c r="DP412"/>
  <c r="DP273"/>
  <c r="DP417"/>
  <c r="DP224"/>
  <c r="DP284"/>
  <c r="DP264"/>
  <c r="DP336"/>
  <c r="DP396"/>
  <c r="DP468"/>
  <c r="DP299"/>
  <c r="DP443"/>
  <c r="DP220"/>
  <c r="DP322"/>
  <c r="DP466"/>
  <c r="DP231"/>
  <c r="DP339"/>
  <c r="DP356"/>
  <c r="DP344"/>
  <c r="DP482"/>
  <c r="DD217"/>
  <c r="DD253"/>
  <c r="DD289"/>
  <c r="DD325"/>
  <c r="DD361"/>
  <c r="DD397"/>
  <c r="DD433"/>
  <c r="DB469"/>
  <c r="DD222"/>
  <c r="DD258"/>
  <c r="DD294"/>
  <c r="DD330"/>
  <c r="DD366"/>
  <c r="DD402"/>
  <c r="DD438"/>
  <c r="DD474"/>
  <c r="DD510"/>
  <c r="DD227"/>
  <c r="DD263"/>
  <c r="DD299"/>
  <c r="DD335"/>
  <c r="DB371"/>
  <c r="DD407"/>
  <c r="DD443"/>
  <c r="DD479"/>
  <c r="DD242"/>
  <c r="DD314"/>
  <c r="DD386"/>
  <c r="DD458"/>
  <c r="DD262"/>
  <c r="DD334"/>
  <c r="DD406"/>
  <c r="DB478"/>
  <c r="DD273"/>
  <c r="DD345"/>
  <c r="DD417"/>
  <c r="DD489"/>
  <c r="DD284"/>
  <c r="DD356"/>
  <c r="DD428"/>
  <c r="DD500"/>
  <c r="DD220"/>
  <c r="DD292"/>
  <c r="DD364"/>
  <c r="DD436"/>
  <c r="DD508"/>
  <c r="DD243"/>
  <c r="DD315"/>
  <c r="DD387"/>
  <c r="DD459"/>
  <c r="DD247"/>
  <c r="DD295"/>
  <c r="DD337"/>
  <c r="DD379"/>
  <c r="DD421"/>
  <c r="DD463"/>
  <c r="DB511"/>
  <c r="DD228"/>
  <c r="DD270"/>
  <c r="DD312"/>
  <c r="DD396"/>
  <c r="DD444"/>
  <c r="DD486"/>
  <c r="DD245"/>
  <c r="DD287"/>
  <c r="DD329"/>
  <c r="DD377"/>
  <c r="DD419"/>
  <c r="DD461"/>
  <c r="DD503"/>
  <c r="DD278"/>
  <c r="DD362"/>
  <c r="DD446"/>
  <c r="DB142"/>
  <c r="DD226"/>
  <c r="DB394"/>
  <c r="DD490"/>
  <c r="DD249"/>
  <c r="DD333"/>
  <c r="DD429"/>
  <c r="DD513"/>
  <c r="DD272"/>
  <c r="DD368"/>
  <c r="DD452"/>
  <c r="DD304"/>
  <c r="DD388"/>
  <c r="DD472"/>
  <c r="DD255"/>
  <c r="DD339"/>
  <c r="DD423"/>
  <c r="DD507"/>
  <c r="DD241"/>
  <c r="DB283"/>
  <c r="DD331"/>
  <c r="DD373"/>
  <c r="DD415"/>
  <c r="DD457"/>
  <c r="DD499"/>
  <c r="DB216"/>
  <c r="DD264"/>
  <c r="DD306"/>
  <c r="DB348"/>
  <c r="DD390"/>
  <c r="DD432"/>
  <c r="DD480"/>
  <c r="DD239"/>
  <c r="DD281"/>
  <c r="DD323"/>
  <c r="DD365"/>
  <c r="DD413"/>
  <c r="DD455"/>
  <c r="DD497"/>
  <c r="DD266"/>
  <c r="DD350"/>
  <c r="DD434"/>
  <c r="DB214"/>
  <c r="DD298"/>
  <c r="DD382"/>
  <c r="DD466"/>
  <c r="DD237"/>
  <c r="DD321"/>
  <c r="DD405"/>
  <c r="DD501"/>
  <c r="DD260"/>
  <c r="DD344"/>
  <c r="DD440"/>
  <c r="DD280"/>
  <c r="DD376"/>
  <c r="DD460"/>
  <c r="DD231"/>
  <c r="DD327"/>
  <c r="DD411"/>
  <c r="DB223"/>
  <c r="DD277"/>
  <c r="DD349"/>
  <c r="DD409"/>
  <c r="DD481"/>
  <c r="DD240"/>
  <c r="DB300"/>
  <c r="DD372"/>
  <c r="DD426"/>
  <c r="DD498"/>
  <c r="DD257"/>
  <c r="DD317"/>
  <c r="DD389"/>
  <c r="DD449"/>
  <c r="DB218"/>
  <c r="DD338"/>
  <c r="DD482"/>
  <c r="DD250"/>
  <c r="DD370"/>
  <c r="DD514"/>
  <c r="DD285"/>
  <c r="DD393"/>
  <c r="DD308"/>
  <c r="DD416"/>
  <c r="DD328"/>
  <c r="DD448"/>
  <c r="DD219"/>
  <c r="DD363"/>
  <c r="DD483"/>
  <c r="DD271"/>
  <c r="DD343"/>
  <c r="DD403"/>
  <c r="DD475"/>
  <c r="DD234"/>
  <c r="DD288"/>
  <c r="DD360"/>
  <c r="DD420"/>
  <c r="DD492"/>
  <c r="DD251"/>
  <c r="DD311"/>
  <c r="DD383"/>
  <c r="DD437"/>
  <c r="DD509"/>
  <c r="DD326"/>
  <c r="DD470"/>
  <c r="DD238"/>
  <c r="DD358"/>
  <c r="DD261"/>
  <c r="DD381"/>
  <c r="DD296"/>
  <c r="DD404"/>
  <c r="DD316"/>
  <c r="DD424"/>
  <c r="DD351"/>
  <c r="DD471"/>
  <c r="DD265"/>
  <c r="DD319"/>
  <c r="DD391"/>
  <c r="DD451"/>
  <c r="DD282"/>
  <c r="DD342"/>
  <c r="DD414"/>
  <c r="DD468"/>
  <c r="DD233"/>
  <c r="DD305"/>
  <c r="DD359"/>
  <c r="DD431"/>
  <c r="DD491"/>
  <c r="DD302"/>
  <c r="DD422"/>
  <c r="DD346"/>
  <c r="DD454"/>
  <c r="DD225"/>
  <c r="DD477"/>
  <c r="DD248"/>
  <c r="DD392"/>
  <c r="DD512"/>
  <c r="DD268"/>
  <c r="DD412"/>
  <c r="DB195"/>
  <c r="DD303"/>
  <c r="DD447"/>
  <c r="DD259"/>
  <c r="DD313"/>
  <c r="DD385"/>
  <c r="DD445"/>
  <c r="DD276"/>
  <c r="DD336"/>
  <c r="DD408"/>
  <c r="DD462"/>
  <c r="DD221"/>
  <c r="DD293"/>
  <c r="DD353"/>
  <c r="DB425"/>
  <c r="DD485"/>
  <c r="DD290"/>
  <c r="DD410"/>
  <c r="DD322"/>
  <c r="DD442"/>
  <c r="DD357"/>
  <c r="DD465"/>
  <c r="DD236"/>
  <c r="DD380"/>
  <c r="DD488"/>
  <c r="DD256"/>
  <c r="DD400"/>
  <c r="DD291"/>
  <c r="DD435"/>
  <c r="DD235"/>
  <c r="DD307"/>
  <c r="DD367"/>
  <c r="DD439"/>
  <c r="DD493"/>
  <c r="DD252"/>
  <c r="DD324"/>
  <c r="DD384"/>
  <c r="DD456"/>
  <c r="DD275"/>
  <c r="DD347"/>
  <c r="DD401"/>
  <c r="DD473"/>
  <c r="DD254"/>
  <c r="DD398"/>
  <c r="DD506"/>
  <c r="DD286"/>
  <c r="DB430"/>
  <c r="DD309"/>
  <c r="DD453"/>
  <c r="DD224"/>
  <c r="DD332"/>
  <c r="DD476"/>
  <c r="DD244"/>
  <c r="DD352"/>
  <c r="DD496"/>
  <c r="DD279"/>
  <c r="DD399"/>
  <c r="DB229"/>
  <c r="DD301"/>
  <c r="DD355"/>
  <c r="DD427"/>
  <c r="DD487"/>
  <c r="DD246"/>
  <c r="DD318"/>
  <c r="DD378"/>
  <c r="DD450"/>
  <c r="DD504"/>
  <c r="DD269"/>
  <c r="DD341"/>
  <c r="DD395"/>
  <c r="DD467"/>
  <c r="DD230"/>
  <c r="DD374"/>
  <c r="DD494"/>
  <c r="DD274"/>
  <c r="DD418"/>
  <c r="DD297"/>
  <c r="DD441"/>
  <c r="DD320"/>
  <c r="DD464"/>
  <c r="DD232"/>
  <c r="DD340"/>
  <c r="DD484"/>
  <c r="DD267"/>
  <c r="CR241"/>
  <c r="CR277"/>
  <c r="CR313"/>
  <c r="CR349"/>
  <c r="CR385"/>
  <c r="CR457"/>
  <c r="CR493"/>
  <c r="CR246"/>
  <c r="CR282"/>
  <c r="CR318"/>
  <c r="CR354"/>
  <c r="CR390"/>
  <c r="CR426"/>
  <c r="CR462"/>
  <c r="CR498"/>
  <c r="CR251"/>
  <c r="CP287"/>
  <c r="CR323"/>
  <c r="CR359"/>
  <c r="CR395"/>
  <c r="CR431"/>
  <c r="CR503"/>
  <c r="CR218"/>
  <c r="CR290"/>
  <c r="CR362"/>
  <c r="CR434"/>
  <c r="CR506"/>
  <c r="CR238"/>
  <c r="CR310"/>
  <c r="CR382"/>
  <c r="CR454"/>
  <c r="CR249"/>
  <c r="CR321"/>
  <c r="CR393"/>
  <c r="CR465"/>
  <c r="CR260"/>
  <c r="CR332"/>
  <c r="CR404"/>
  <c r="CR476"/>
  <c r="CR268"/>
  <c r="CR340"/>
  <c r="CR412"/>
  <c r="CR484"/>
  <c r="CR219"/>
  <c r="CR291"/>
  <c r="CR363"/>
  <c r="CR435"/>
  <c r="CR507"/>
  <c r="CR229"/>
  <c r="CR271"/>
  <c r="CR319"/>
  <c r="CR361"/>
  <c r="CR403"/>
  <c r="CR445"/>
  <c r="CR487"/>
  <c r="CR252"/>
  <c r="CR294"/>
  <c r="CR336"/>
  <c r="CR378"/>
  <c r="CR420"/>
  <c r="CR468"/>
  <c r="CR510"/>
  <c r="CR227"/>
  <c r="CR269"/>
  <c r="CR311"/>
  <c r="CR353"/>
  <c r="CR401"/>
  <c r="CR443"/>
  <c r="CR485"/>
  <c r="CR242"/>
  <c r="CR326"/>
  <c r="CR410"/>
  <c r="CR494"/>
  <c r="CR274"/>
  <c r="CR358"/>
  <c r="CR442"/>
  <c r="CR297"/>
  <c r="CR381"/>
  <c r="CR477"/>
  <c r="CR236"/>
  <c r="CR320"/>
  <c r="CR416"/>
  <c r="CR500"/>
  <c r="CR256"/>
  <c r="CR352"/>
  <c r="CR436"/>
  <c r="CR303"/>
  <c r="CR387"/>
  <c r="CR471"/>
  <c r="CR223"/>
  <c r="CR265"/>
  <c r="CR307"/>
  <c r="CR355"/>
  <c r="CR397"/>
  <c r="CR439"/>
  <c r="CR481"/>
  <c r="CR240"/>
  <c r="CR288"/>
  <c r="CR330"/>
  <c r="CR372"/>
  <c r="CR414"/>
  <c r="CR456"/>
  <c r="CR504"/>
  <c r="CR221"/>
  <c r="CR263"/>
  <c r="CR305"/>
  <c r="CR347"/>
  <c r="CR389"/>
  <c r="CR437"/>
  <c r="CR479"/>
  <c r="CR230"/>
  <c r="CR314"/>
  <c r="CR398"/>
  <c r="CR482"/>
  <c r="CR262"/>
  <c r="CR346"/>
  <c r="CR430"/>
  <c r="CR514"/>
  <c r="CR285"/>
  <c r="CR369"/>
  <c r="CR453"/>
  <c r="CR224"/>
  <c r="CR308"/>
  <c r="CR392"/>
  <c r="CR488"/>
  <c r="CR244"/>
  <c r="CR328"/>
  <c r="CR424"/>
  <c r="CR508"/>
  <c r="CR279"/>
  <c r="CR375"/>
  <c r="CR459"/>
  <c r="CR259"/>
  <c r="CR331"/>
  <c r="CR391"/>
  <c r="CR463"/>
  <c r="CP150"/>
  <c r="CR222"/>
  <c r="CP276"/>
  <c r="CR348"/>
  <c r="CR408"/>
  <c r="CR480"/>
  <c r="CR239"/>
  <c r="CR299"/>
  <c r="CR371"/>
  <c r="CR425"/>
  <c r="CR497"/>
  <c r="CR302"/>
  <c r="CR446"/>
  <c r="CR334"/>
  <c r="CR478"/>
  <c r="CR237"/>
  <c r="CR357"/>
  <c r="CR501"/>
  <c r="CR272"/>
  <c r="CR380"/>
  <c r="CR292"/>
  <c r="CR400"/>
  <c r="CR327"/>
  <c r="CR447"/>
  <c r="CR253"/>
  <c r="CR325"/>
  <c r="CR379"/>
  <c r="CR451"/>
  <c r="CR511"/>
  <c r="CR216"/>
  <c r="CR270"/>
  <c r="CR342"/>
  <c r="CR402"/>
  <c r="CR474"/>
  <c r="CR233"/>
  <c r="CR293"/>
  <c r="CR365"/>
  <c r="CR419"/>
  <c r="CR491"/>
  <c r="CR278"/>
  <c r="CR422"/>
  <c r="CR322"/>
  <c r="CR466"/>
  <c r="CR225"/>
  <c r="CR345"/>
  <c r="CR489"/>
  <c r="CR248"/>
  <c r="CR368"/>
  <c r="CR512"/>
  <c r="CR280"/>
  <c r="CR388"/>
  <c r="CR315"/>
  <c r="CR423"/>
  <c r="CR247"/>
  <c r="CR301"/>
  <c r="CR373"/>
  <c r="CR433"/>
  <c r="CR505"/>
  <c r="CR264"/>
  <c r="CR324"/>
  <c r="CR396"/>
  <c r="CR450"/>
  <c r="CR281"/>
  <c r="CR341"/>
  <c r="CR413"/>
  <c r="CR473"/>
  <c r="CP266"/>
  <c r="CR386"/>
  <c r="CR298"/>
  <c r="CR418"/>
  <c r="CR333"/>
  <c r="CR441"/>
  <c r="CR356"/>
  <c r="CR464"/>
  <c r="CR232"/>
  <c r="CR376"/>
  <c r="CR496"/>
  <c r="CR267"/>
  <c r="CR411"/>
  <c r="CR235"/>
  <c r="CR295"/>
  <c r="CP367"/>
  <c r="CR427"/>
  <c r="CR499"/>
  <c r="CR258"/>
  <c r="CR312"/>
  <c r="CR384"/>
  <c r="CR444"/>
  <c r="CR275"/>
  <c r="CR335"/>
  <c r="CR407"/>
  <c r="CR461"/>
  <c r="CR254"/>
  <c r="CR374"/>
  <c r="CR286"/>
  <c r="CR406"/>
  <c r="CR309"/>
  <c r="CR429"/>
  <c r="CR344"/>
  <c r="CR452"/>
  <c r="CR220"/>
  <c r="CR364"/>
  <c r="CR472"/>
  <c r="CR255"/>
  <c r="CR399"/>
  <c r="CR217"/>
  <c r="CR289"/>
  <c r="CR343"/>
  <c r="CR415"/>
  <c r="CR475"/>
  <c r="CR234"/>
  <c r="CR306"/>
  <c r="CR366"/>
  <c r="CR438"/>
  <c r="CP492"/>
  <c r="CR257"/>
  <c r="CR329"/>
  <c r="CR383"/>
  <c r="CR455"/>
  <c r="CR350"/>
  <c r="CR470"/>
  <c r="CR250"/>
  <c r="CR394"/>
  <c r="CR502"/>
  <c r="CR273"/>
  <c r="CR417"/>
  <c r="CR296"/>
  <c r="CR440"/>
  <c r="CR316"/>
  <c r="CR460"/>
  <c r="CR243"/>
  <c r="CR351"/>
  <c r="CR495"/>
  <c r="CR283"/>
  <c r="CR337"/>
  <c r="CR409"/>
  <c r="CR469"/>
  <c r="CR228"/>
  <c r="CR300"/>
  <c r="CR360"/>
  <c r="CR432"/>
  <c r="CR486"/>
  <c r="CR245"/>
  <c r="CR317"/>
  <c r="CR377"/>
  <c r="CR449"/>
  <c r="CR509"/>
  <c r="CR338"/>
  <c r="CR458"/>
  <c r="CR226"/>
  <c r="CR370"/>
  <c r="CR490"/>
  <c r="CR261"/>
  <c r="CR405"/>
  <c r="CR513"/>
  <c r="CR284"/>
  <c r="CR428"/>
  <c r="CR304"/>
  <c r="CR448"/>
  <c r="CR231"/>
  <c r="CR339"/>
  <c r="CR483"/>
  <c r="BT241"/>
  <c r="BT277"/>
  <c r="BT313"/>
  <c r="BT349"/>
  <c r="BT385"/>
  <c r="BT421"/>
  <c r="BT457"/>
  <c r="BT493"/>
  <c r="BT246"/>
  <c r="BT282"/>
  <c r="BT318"/>
  <c r="BT354"/>
  <c r="BT390"/>
  <c r="BT426"/>
  <c r="BT462"/>
  <c r="BT498"/>
  <c r="BT251"/>
  <c r="BT287"/>
  <c r="BT323"/>
  <c r="BT359"/>
  <c r="BT395"/>
  <c r="BT431"/>
  <c r="BT467"/>
  <c r="BR503"/>
  <c r="BT218"/>
  <c r="BT290"/>
  <c r="BT362"/>
  <c r="BT434"/>
  <c r="BT506"/>
  <c r="BT406"/>
  <c r="BT502"/>
  <c r="BT429"/>
  <c r="BT500"/>
  <c r="BT250"/>
  <c r="BT346"/>
  <c r="BT417"/>
  <c r="BT464"/>
  <c r="BT507"/>
  <c r="BT237"/>
  <c r="BR345"/>
  <c r="BT436"/>
  <c r="BT272"/>
  <c r="BT344"/>
  <c r="BT488"/>
  <c r="BT268"/>
  <c r="BT340"/>
  <c r="BT267"/>
  <c r="BT339"/>
  <c r="BT459"/>
  <c r="BT235"/>
  <c r="BT283"/>
  <c r="BT325"/>
  <c r="BT367"/>
  <c r="BT409"/>
  <c r="BT451"/>
  <c r="BT499"/>
  <c r="BT216"/>
  <c r="BT258"/>
  <c r="BT300"/>
  <c r="BT342"/>
  <c r="BT384"/>
  <c r="BT432"/>
  <c r="BT474"/>
  <c r="BT233"/>
  <c r="BT275"/>
  <c r="BT317"/>
  <c r="BT365"/>
  <c r="BT407"/>
  <c r="BT449"/>
  <c r="BT491"/>
  <c r="BT254"/>
  <c r="BT338"/>
  <c r="BT422"/>
  <c r="BR286"/>
  <c r="BT442"/>
  <c r="BT333"/>
  <c r="BT416"/>
  <c r="BT471"/>
  <c r="BT298"/>
  <c r="BT321"/>
  <c r="BT428"/>
  <c r="BT297"/>
  <c r="BT388"/>
  <c r="BT236"/>
  <c r="BT247"/>
  <c r="BT295"/>
  <c r="BT343"/>
  <c r="BT397"/>
  <c r="BT445"/>
  <c r="BT505"/>
  <c r="BT264"/>
  <c r="BT312"/>
  <c r="BT366"/>
  <c r="BT414"/>
  <c r="BT468"/>
  <c r="BT227"/>
  <c r="BT281"/>
  <c r="BT335"/>
  <c r="BT383"/>
  <c r="BT437"/>
  <c r="BT485"/>
  <c r="BT314"/>
  <c r="BT410"/>
  <c r="BT334"/>
  <c r="BT466"/>
  <c r="BT453"/>
  <c r="BT484"/>
  <c r="BT322"/>
  <c r="BT477"/>
  <c r="BT508"/>
  <c r="BT369"/>
  <c r="BT483"/>
  <c r="BT224"/>
  <c r="BT320"/>
  <c r="BT440"/>
  <c r="BT232"/>
  <c r="BT316"/>
  <c r="BT219"/>
  <c r="BT303"/>
  <c r="BT387"/>
  <c r="BT223"/>
  <c r="BT331"/>
  <c r="BT433"/>
  <c r="BT294"/>
  <c r="BT402"/>
  <c r="BT504"/>
  <c r="BT263"/>
  <c r="BT371"/>
  <c r="BT473"/>
  <c r="BT278"/>
  <c r="BT482"/>
  <c r="BT400"/>
  <c r="BT381"/>
  <c r="BT273"/>
  <c r="BT296"/>
  <c r="BT376"/>
  <c r="BT265"/>
  <c r="BT373"/>
  <c r="BT288"/>
  <c r="BT444"/>
  <c r="BT353"/>
  <c r="BT470"/>
  <c r="BT452"/>
  <c r="BT262"/>
  <c r="BT512"/>
  <c r="BT261"/>
  <c r="BT495"/>
  <c r="BT280"/>
  <c r="BT260"/>
  <c r="BT229"/>
  <c r="BT289"/>
  <c r="BT337"/>
  <c r="BT391"/>
  <c r="BT439"/>
  <c r="BT487"/>
  <c r="BT252"/>
  <c r="BT306"/>
  <c r="BT360"/>
  <c r="BT408"/>
  <c r="BT456"/>
  <c r="BT510"/>
  <c r="BT221"/>
  <c r="BT269"/>
  <c r="BT329"/>
  <c r="BT377"/>
  <c r="BT425"/>
  <c r="BT479"/>
  <c r="BT302"/>
  <c r="BT398"/>
  <c r="BT494"/>
  <c r="BT454"/>
  <c r="BT393"/>
  <c r="BT448"/>
  <c r="BT310"/>
  <c r="BT441"/>
  <c r="BT460"/>
  <c r="BT309"/>
  <c r="BT435"/>
  <c r="BT308"/>
  <c r="BT404"/>
  <c r="BT220"/>
  <c r="BT304"/>
  <c r="BT424"/>
  <c r="BT291"/>
  <c r="BT375"/>
  <c r="BT271"/>
  <c r="BT379"/>
  <c r="BT481"/>
  <c r="BR240"/>
  <c r="BR348"/>
  <c r="BT450"/>
  <c r="BT311"/>
  <c r="BT419"/>
  <c r="BT386"/>
  <c r="BT430"/>
  <c r="BT274"/>
  <c r="BT412"/>
  <c r="BR496"/>
  <c r="BT380"/>
  <c r="BT292"/>
  <c r="BT279"/>
  <c r="BT363"/>
  <c r="BT217"/>
  <c r="BT319"/>
  <c r="BT475"/>
  <c r="BT234"/>
  <c r="BT336"/>
  <c r="BT492"/>
  <c r="BT305"/>
  <c r="BT461"/>
  <c r="BT266"/>
  <c r="BT394"/>
  <c r="BT478"/>
  <c r="BT368"/>
  <c r="BT351"/>
  <c r="BT357"/>
  <c r="BR427"/>
  <c r="BT396"/>
  <c r="BT257"/>
  <c r="BT413"/>
  <c r="BT374"/>
  <c r="BT285"/>
  <c r="BT476"/>
  <c r="BT284"/>
  <c r="BT364"/>
  <c r="BT255"/>
  <c r="BT411"/>
  <c r="BT259"/>
  <c r="BT307"/>
  <c r="BT361"/>
  <c r="BT415"/>
  <c r="BT469"/>
  <c r="BT228"/>
  <c r="BT276"/>
  <c r="BT330"/>
  <c r="BT378"/>
  <c r="BT438"/>
  <c r="BT486"/>
  <c r="BT245"/>
  <c r="BT299"/>
  <c r="BT347"/>
  <c r="BT401"/>
  <c r="BT455"/>
  <c r="BT509"/>
  <c r="BT242"/>
  <c r="BR350"/>
  <c r="BT458"/>
  <c r="BT370"/>
  <c r="BT514"/>
  <c r="BT513"/>
  <c r="BT238"/>
  <c r="BT418"/>
  <c r="BT392"/>
  <c r="BT249"/>
  <c r="BT465"/>
  <c r="BT356"/>
  <c r="BT256"/>
  <c r="BT352"/>
  <c r="BT243"/>
  <c r="BT327"/>
  <c r="BT253"/>
  <c r="BT301"/>
  <c r="BT355"/>
  <c r="BT403"/>
  <c r="BT463"/>
  <c r="BT511"/>
  <c r="BT222"/>
  <c r="BT270"/>
  <c r="BT324"/>
  <c r="BT372"/>
  <c r="BT420"/>
  <c r="BT480"/>
  <c r="BT239"/>
  <c r="BT293"/>
  <c r="BT341"/>
  <c r="BT389"/>
  <c r="BT443"/>
  <c r="BT497"/>
  <c r="BT230"/>
  <c r="BT326"/>
  <c r="BT446"/>
  <c r="BT358"/>
  <c r="BT490"/>
  <c r="BT489"/>
  <c r="BT423"/>
  <c r="BT226"/>
  <c r="BT382"/>
  <c r="BT501"/>
  <c r="BT447"/>
  <c r="BT225"/>
  <c r="BT405"/>
  <c r="BT248"/>
  <c r="BR332"/>
  <c r="BT472"/>
  <c r="BT244"/>
  <c r="BT328"/>
  <c r="BR231"/>
  <c r="BT315"/>
  <c r="BT399"/>
  <c r="CD229"/>
  <c r="CF253"/>
  <c r="CD289"/>
  <c r="CF325"/>
  <c r="CD361"/>
  <c r="CD397"/>
  <c r="CD433"/>
  <c r="CD469"/>
  <c r="CD505"/>
  <c r="CD222"/>
  <c r="CD258"/>
  <c r="CD294"/>
  <c r="CD330"/>
  <c r="CF366"/>
  <c r="CD402"/>
  <c r="CF438"/>
  <c r="CD474"/>
  <c r="CD510"/>
  <c r="CF227"/>
  <c r="CF263"/>
  <c r="CF299"/>
  <c r="CF335"/>
  <c r="CD371"/>
  <c r="CD407"/>
  <c r="CF443"/>
  <c r="CD479"/>
  <c r="CD242"/>
  <c r="CD314"/>
  <c r="CD386"/>
  <c r="CF458"/>
  <c r="CF262"/>
  <c r="CD334"/>
  <c r="CD406"/>
  <c r="CD478"/>
  <c r="CD273"/>
  <c r="CD345"/>
  <c r="CD417"/>
  <c r="CD489"/>
  <c r="CD284"/>
  <c r="CF356"/>
  <c r="CD428"/>
  <c r="CF500"/>
  <c r="CF220"/>
  <c r="CF292"/>
  <c r="CD364"/>
  <c r="CD436"/>
  <c r="CD508"/>
  <c r="CD243"/>
  <c r="CD315"/>
  <c r="CD387"/>
  <c r="CF459"/>
  <c r="CD247"/>
  <c r="CF283"/>
  <c r="CD355"/>
  <c r="CD391"/>
  <c r="CD427"/>
  <c r="CF463"/>
  <c r="CD499"/>
  <c r="CD216"/>
  <c r="CD252"/>
  <c r="CF288"/>
  <c r="CF324"/>
  <c r="CD360"/>
  <c r="CD396"/>
  <c r="CD432"/>
  <c r="CD468"/>
  <c r="CF504"/>
  <c r="CF221"/>
  <c r="CD257"/>
  <c r="CD293"/>
  <c r="CD329"/>
  <c r="CD365"/>
  <c r="CD401"/>
  <c r="CD437"/>
  <c r="CD473"/>
  <c r="CD509"/>
  <c r="CD230"/>
  <c r="CF302"/>
  <c r="CF374"/>
  <c r="CD446"/>
  <c r="CD241"/>
  <c r="CD301"/>
  <c r="CD343"/>
  <c r="CD403"/>
  <c r="CD451"/>
  <c r="CD511"/>
  <c r="CF228"/>
  <c r="CF276"/>
  <c r="CF336"/>
  <c r="CD384"/>
  <c r="CD444"/>
  <c r="CF492"/>
  <c r="CD269"/>
  <c r="CF317"/>
  <c r="CD377"/>
  <c r="CD425"/>
  <c r="CF485"/>
  <c r="CD326"/>
  <c r="CD422"/>
  <c r="CD235"/>
  <c r="CD295"/>
  <c r="CD337"/>
  <c r="CD385"/>
  <c r="CD445"/>
  <c r="CD493"/>
  <c r="CF270"/>
  <c r="CD318"/>
  <c r="CF378"/>
  <c r="CF426"/>
  <c r="CF486"/>
  <c r="CF251"/>
  <c r="CF311"/>
  <c r="CF359"/>
  <c r="CD419"/>
  <c r="CF467"/>
  <c r="CD290"/>
  <c r="CF410"/>
  <c r="CF223"/>
  <c r="CD277"/>
  <c r="CD331"/>
  <c r="CD379"/>
  <c r="CF439"/>
  <c r="CD487"/>
  <c r="CD264"/>
  <c r="CD312"/>
  <c r="CD372"/>
  <c r="CD420"/>
  <c r="CD480"/>
  <c r="CD245"/>
  <c r="CD305"/>
  <c r="CD353"/>
  <c r="CD413"/>
  <c r="CD461"/>
  <c r="CF278"/>
  <c r="CF398"/>
  <c r="CD217"/>
  <c r="CD271"/>
  <c r="CD319"/>
  <c r="CF373"/>
  <c r="CF421"/>
  <c r="CD481"/>
  <c r="CD246"/>
  <c r="CD306"/>
  <c r="CF354"/>
  <c r="CD414"/>
  <c r="CD265"/>
  <c r="CD313"/>
  <c r="CD367"/>
  <c r="CD415"/>
  <c r="CD475"/>
  <c r="CF240"/>
  <c r="CF300"/>
  <c r="CD348"/>
  <c r="CD408"/>
  <c r="CD456"/>
  <c r="CD233"/>
  <c r="CF281"/>
  <c r="CD341"/>
  <c r="CF389"/>
  <c r="CD449"/>
  <c r="CD497"/>
  <c r="CD254"/>
  <c r="CF350"/>
  <c r="CD259"/>
  <c r="CF307"/>
  <c r="CD349"/>
  <c r="CD409"/>
  <c r="CF457"/>
  <c r="CD234"/>
  <c r="CD282"/>
  <c r="CD342"/>
  <c r="CF390"/>
  <c r="CD450"/>
  <c r="CD498"/>
  <c r="CF275"/>
  <c r="CF323"/>
  <c r="CD383"/>
  <c r="CD431"/>
  <c r="CD491"/>
  <c r="CD218"/>
  <c r="CD338"/>
  <c r="CD434"/>
  <c r="CD238"/>
  <c r="CF322"/>
  <c r="CD418"/>
  <c r="CF502"/>
  <c r="CF261"/>
  <c r="CD357"/>
  <c r="CD441"/>
  <c r="CD296"/>
  <c r="CD380"/>
  <c r="CD464"/>
  <c r="CF232"/>
  <c r="CF316"/>
  <c r="CD400"/>
  <c r="CF484"/>
  <c r="CD267"/>
  <c r="CD351"/>
  <c r="CF435"/>
  <c r="CF239"/>
  <c r="CD494"/>
  <c r="CD226"/>
  <c r="CF346"/>
  <c r="CF442"/>
  <c r="CD249"/>
  <c r="CD369"/>
  <c r="CF465"/>
  <c r="CD272"/>
  <c r="CD392"/>
  <c r="CD488"/>
  <c r="CF304"/>
  <c r="CD412"/>
  <c r="CD231"/>
  <c r="CF339"/>
  <c r="CD447"/>
  <c r="CD310"/>
  <c r="CD298"/>
  <c r="CD394"/>
  <c r="CD225"/>
  <c r="CD321"/>
  <c r="CD429"/>
  <c r="CF344"/>
  <c r="CD452"/>
  <c r="CD268"/>
  <c r="CD376"/>
  <c r="CD472"/>
  <c r="CD411"/>
  <c r="CF507"/>
  <c r="CD286"/>
  <c r="CD382"/>
  <c r="CD490"/>
  <c r="CD405"/>
  <c r="CF513"/>
  <c r="CD332"/>
  <c r="CD256"/>
  <c r="CD460"/>
  <c r="CD399"/>
  <c r="CF347"/>
  <c r="CD503"/>
  <c r="CD482"/>
  <c r="CF430"/>
  <c r="CF237"/>
  <c r="CD333"/>
  <c r="CD453"/>
  <c r="CF260"/>
  <c r="CD368"/>
  <c r="CF476"/>
  <c r="CD280"/>
  <c r="CD388"/>
  <c r="CD496"/>
  <c r="CF219"/>
  <c r="CF327"/>
  <c r="CF423"/>
  <c r="CF455"/>
  <c r="CD395"/>
  <c r="CF309"/>
  <c r="CD236"/>
  <c r="CD440"/>
  <c r="CD352"/>
  <c r="CF291"/>
  <c r="CD266"/>
  <c r="CD470"/>
  <c r="CD514"/>
  <c r="CF248"/>
  <c r="CD303"/>
  <c r="CF362"/>
  <c r="CF495"/>
  <c r="CD274"/>
  <c r="CF370"/>
  <c r="CD466"/>
  <c r="CD297"/>
  <c r="CD393"/>
  <c r="CD501"/>
  <c r="CD224"/>
  <c r="CD320"/>
  <c r="CF416"/>
  <c r="CF244"/>
  <c r="CF340"/>
  <c r="CF448"/>
  <c r="CD279"/>
  <c r="CD375"/>
  <c r="CD483"/>
  <c r="CF462"/>
  <c r="CD287"/>
  <c r="CD506"/>
  <c r="CF250"/>
  <c r="CD358"/>
  <c r="CD454"/>
  <c r="CD285"/>
  <c r="CD381"/>
  <c r="CD477"/>
  <c r="CD308"/>
  <c r="CD404"/>
  <c r="CF512"/>
  <c r="CF328"/>
  <c r="CD424"/>
  <c r="CF255"/>
  <c r="CD363"/>
  <c r="CF471"/>
  <c r="DD502"/>
  <c r="DD430"/>
  <c r="DD354"/>
  <c r="DD505"/>
  <c r="DD469"/>
  <c r="DD375"/>
  <c r="DD478"/>
  <c r="DD495"/>
  <c r="DD310"/>
  <c r="DD369"/>
  <c r="DP419"/>
  <c r="DP318"/>
  <c r="DP253"/>
  <c r="DP483"/>
  <c r="DP216"/>
  <c r="DP374"/>
  <c r="DP511"/>
  <c r="DP242"/>
  <c r="DP309"/>
  <c r="DP362"/>
  <c r="DP380"/>
  <c r="DP486"/>
  <c r="DP330"/>
  <c r="DP409"/>
  <c r="DP341"/>
  <c r="DP384"/>
  <c r="DP513"/>
  <c r="DP451"/>
  <c r="DP229"/>
  <c r="DP495"/>
  <c r="DP423"/>
  <c r="DP400"/>
  <c r="DP408"/>
  <c r="DP391"/>
  <c r="DP358"/>
  <c r="DP286"/>
  <c r="DP305"/>
  <c r="DP440"/>
  <c r="DP256"/>
  <c r="DP323"/>
  <c r="DP288"/>
  <c r="DP500"/>
  <c r="DP467"/>
  <c r="CR467"/>
  <c r="CR421"/>
  <c r="AS15" i="1"/>
  <c r="DN440" i="12"/>
  <c r="DN500"/>
  <c r="DN323"/>
  <c r="DN352"/>
  <c r="DN123"/>
  <c r="DN361"/>
  <c r="DN150"/>
  <c r="DN512"/>
  <c r="DN252"/>
  <c r="DN233"/>
  <c r="DB272"/>
  <c r="DB157"/>
  <c r="DB193"/>
  <c r="DB438"/>
  <c r="DB439"/>
  <c r="DB360"/>
  <c r="DB432"/>
  <c r="DB375"/>
  <c r="DB174"/>
  <c r="DB204"/>
  <c r="DB304"/>
  <c r="DB177"/>
  <c r="DB249"/>
  <c r="AS10" i="1"/>
  <c r="AS11"/>
  <c r="AS12"/>
  <c r="AS13"/>
  <c r="DI9" a="1"/>
  <c r="DI13" s="1"/>
  <c r="AT4" i="10"/>
  <c r="DP177" i="12"/>
  <c r="CR194"/>
  <c r="DD48"/>
  <c r="CR64"/>
  <c r="CF83"/>
  <c r="CF203"/>
  <c r="DD148"/>
  <c r="CR25"/>
  <c r="CR24"/>
  <c r="DD25"/>
  <c r="CF43"/>
  <c r="BT39"/>
  <c r="BT42"/>
  <c r="DD101"/>
  <c r="BT103"/>
  <c r="CR116"/>
  <c r="DD58"/>
  <c r="BT85"/>
  <c r="BT56"/>
  <c r="DP20"/>
  <c r="DD188"/>
  <c r="DD149"/>
  <c r="CF189"/>
  <c r="CF109"/>
  <c r="BT177"/>
  <c r="CF210"/>
  <c r="DP44"/>
  <c r="DD133"/>
  <c r="BT117"/>
  <c r="DP146"/>
  <c r="DP109"/>
  <c r="DP107"/>
  <c r="DP176"/>
  <c r="BT38"/>
  <c r="DP115"/>
  <c r="BT97"/>
  <c r="DP89"/>
  <c r="BT94"/>
  <c r="CR54"/>
  <c r="DD175"/>
  <c r="DP172"/>
  <c r="CR42"/>
  <c r="DP181"/>
  <c r="DP127"/>
  <c r="DP135"/>
  <c r="DP190"/>
  <c r="DP203"/>
  <c r="DD113"/>
  <c r="CR66"/>
  <c r="BT54"/>
  <c r="CF81"/>
  <c r="CF46"/>
  <c r="BT40"/>
  <c r="BT59"/>
  <c r="CR20"/>
  <c r="DD202"/>
  <c r="BT137"/>
  <c r="CR149"/>
  <c r="CR107"/>
  <c r="CR202"/>
  <c r="DP184"/>
  <c r="CR192"/>
  <c r="DD74"/>
  <c r="DP165"/>
  <c r="BT121"/>
  <c r="DD210"/>
  <c r="DP55"/>
  <c r="CF136"/>
  <c r="BT141"/>
  <c r="BT201"/>
  <c r="DD128"/>
  <c r="DD56"/>
  <c r="BT168"/>
  <c r="CR151"/>
  <c r="DP164"/>
  <c r="DP99"/>
  <c r="DP88"/>
  <c r="BT46"/>
  <c r="DP113"/>
  <c r="BT87"/>
  <c r="BT113"/>
  <c r="CR68"/>
  <c r="CF35"/>
  <c r="CR63"/>
  <c r="DP125"/>
  <c r="DP117"/>
  <c r="CR124"/>
  <c r="CR88"/>
  <c r="CF85"/>
  <c r="BT55"/>
  <c r="DD124"/>
  <c r="DP26"/>
  <c r="BT116"/>
  <c r="BT165"/>
  <c r="BT27"/>
  <c r="CF129"/>
  <c r="CF120"/>
  <c r="CF158"/>
  <c r="CF98"/>
  <c r="CR183"/>
  <c r="DP144"/>
  <c r="DD37"/>
  <c r="CR153"/>
  <c r="BT107"/>
  <c r="CF89"/>
  <c r="DD65"/>
  <c r="CR81"/>
  <c r="DD197"/>
  <c r="DP67"/>
  <c r="CF86"/>
  <c r="CF190"/>
  <c r="BT161"/>
  <c r="DP143"/>
  <c r="DP153"/>
  <c r="CR16"/>
  <c r="DP87"/>
  <c r="CR50"/>
  <c r="DD100"/>
  <c r="CR72"/>
  <c r="CR74"/>
  <c r="DP83"/>
  <c r="BT26"/>
  <c r="BT155"/>
  <c r="BT52"/>
  <c r="BT167"/>
  <c r="CF165"/>
  <c r="CR84"/>
  <c r="BT89"/>
  <c r="CF176"/>
  <c r="BT66"/>
  <c r="CF17"/>
  <c r="BT88"/>
  <c r="BT78"/>
  <c r="CF180"/>
  <c r="DP84"/>
  <c r="DP30"/>
  <c r="CR155"/>
  <c r="CR77"/>
  <c r="CF122"/>
  <c r="DP29"/>
  <c r="BT143"/>
  <c r="DD168"/>
  <c r="DD132"/>
  <c r="DD167"/>
  <c r="DP171"/>
  <c r="DP169"/>
  <c r="CF106"/>
  <c r="DP126"/>
  <c r="BT32"/>
  <c r="CF181"/>
  <c r="DP51"/>
  <c r="DD201"/>
  <c r="DD179"/>
  <c r="DD161"/>
  <c r="DD209"/>
  <c r="DP189"/>
  <c r="BT131"/>
  <c r="CF61"/>
  <c r="DD59"/>
  <c r="CF108"/>
  <c r="CF175"/>
  <c r="DD127"/>
  <c r="DD151"/>
  <c r="BT79"/>
  <c r="CF110"/>
  <c r="CF100"/>
  <c r="DD86"/>
  <c r="BT172"/>
  <c r="CR83"/>
  <c r="BT75"/>
  <c r="DP104"/>
  <c r="DD24"/>
  <c r="BT145"/>
  <c r="BT45"/>
  <c r="CF56"/>
  <c r="CR38"/>
  <c r="H14"/>
  <c r="DD143"/>
  <c r="DP86"/>
  <c r="BT31"/>
  <c r="DP156"/>
  <c r="CR87"/>
  <c r="BT185"/>
  <c r="DP157"/>
  <c r="CR44"/>
  <c r="DP162"/>
  <c r="DD90"/>
  <c r="CR211"/>
  <c r="DP73"/>
  <c r="DP48"/>
  <c r="DD114"/>
  <c r="BT126"/>
  <c r="BT35"/>
  <c r="CR193"/>
  <c r="CF76"/>
  <c r="DP192"/>
  <c r="DD191"/>
  <c r="DD33"/>
  <c r="DD72"/>
  <c r="CR101"/>
  <c r="DD200"/>
  <c r="DD171"/>
  <c r="BT122"/>
  <c r="DP47"/>
  <c r="DP25"/>
  <c r="CF177"/>
  <c r="BT58"/>
  <c r="DP57"/>
  <c r="BT101"/>
  <c r="CF204"/>
  <c r="DP150"/>
  <c r="CF123"/>
  <c r="CF80"/>
  <c r="DD49"/>
  <c r="DD189"/>
  <c r="DP100"/>
  <c r="DD94"/>
  <c r="CF148"/>
  <c r="DD52"/>
  <c r="DP35"/>
  <c r="CF151"/>
  <c r="CR45"/>
  <c r="CF170"/>
  <c r="CR190"/>
  <c r="BT60"/>
  <c r="CR78"/>
  <c r="DD211"/>
  <c r="DP141"/>
  <c r="CF32"/>
  <c r="BT48"/>
  <c r="DD165"/>
  <c r="CF131"/>
  <c r="DP185"/>
  <c r="DD98"/>
  <c r="CR69"/>
  <c r="BT135"/>
  <c r="CF112"/>
  <c r="DD118"/>
  <c r="CR118"/>
  <c r="DP178"/>
  <c r="CR76"/>
  <c r="DP43"/>
  <c r="CF107"/>
  <c r="DP40"/>
  <c r="DD85"/>
  <c r="CR191"/>
  <c r="DD17"/>
  <c r="CR56"/>
  <c r="DD176"/>
  <c r="BT146"/>
  <c r="CR117"/>
  <c r="CR55"/>
  <c r="DD186"/>
  <c r="DP22"/>
  <c r="DD138"/>
  <c r="CF144"/>
  <c r="DP161"/>
  <c r="CF24"/>
  <c r="DD131"/>
  <c r="CR137"/>
  <c r="DD166"/>
  <c r="CF209"/>
  <c r="CR89"/>
  <c r="CR91"/>
  <c r="BT162"/>
  <c r="DD119"/>
  <c r="DD125"/>
  <c r="DP119"/>
  <c r="DD198"/>
  <c r="DP120"/>
  <c r="DP108"/>
  <c r="CF212"/>
  <c r="BT24"/>
  <c r="BT130"/>
  <c r="CF140"/>
  <c r="BT50"/>
  <c r="CF135"/>
  <c r="BT157"/>
  <c r="CR60"/>
  <c r="CF160"/>
  <c r="BT25"/>
  <c r="BT83"/>
  <c r="CR51"/>
  <c r="BT64"/>
  <c r="DD164"/>
  <c r="DD117"/>
  <c r="DD196"/>
  <c r="DD213"/>
  <c r="CF88"/>
  <c r="CF195"/>
  <c r="DD152"/>
  <c r="CR52"/>
  <c r="DP42"/>
  <c r="DP130"/>
  <c r="CR180"/>
  <c r="DD153"/>
  <c r="CR185"/>
  <c r="CR123"/>
  <c r="DD174"/>
  <c r="CF60"/>
  <c r="BT174"/>
  <c r="BT203"/>
  <c r="DD126"/>
  <c r="DD107"/>
  <c r="DD162"/>
  <c r="CR208"/>
  <c r="DP68"/>
  <c r="CF138"/>
  <c r="DP27"/>
  <c r="CF23"/>
  <c r="DD163"/>
  <c r="CR114"/>
  <c r="DD103"/>
  <c r="BT68"/>
  <c r="CF96"/>
  <c r="CR104"/>
  <c r="DD69"/>
  <c r="BT69"/>
  <c r="CR105"/>
  <c r="CF196"/>
  <c r="DP18"/>
  <c r="BT43"/>
  <c r="DD68"/>
  <c r="CR110"/>
  <c r="DP93"/>
  <c r="CF188"/>
  <c r="CR143"/>
  <c r="DD43"/>
  <c r="CF128"/>
  <c r="DP90"/>
  <c r="CR67"/>
  <c r="CF185"/>
  <c r="BT114"/>
  <c r="CR100"/>
  <c r="DD160"/>
  <c r="BT169"/>
  <c r="CF132"/>
  <c r="DD39"/>
  <c r="BT175"/>
  <c r="CF70"/>
  <c r="CR189"/>
  <c r="DD122"/>
  <c r="CF74"/>
  <c r="CR174"/>
  <c r="CR207"/>
  <c r="DD130"/>
  <c r="CF91"/>
  <c r="DP129"/>
  <c r="CF19"/>
  <c r="CF26"/>
  <c r="CF58"/>
  <c r="DP66"/>
  <c r="DD75"/>
  <c r="DP106"/>
  <c r="CF45"/>
  <c r="CR108"/>
  <c r="CR187"/>
  <c r="CR214"/>
  <c r="DD137"/>
  <c r="CF167"/>
  <c r="BT214"/>
  <c r="DP136"/>
  <c r="CF187"/>
  <c r="DP23"/>
  <c r="BT82"/>
  <c r="DD110"/>
  <c r="CR41"/>
  <c r="DD36"/>
  <c r="DP124"/>
  <c r="CR98"/>
  <c r="BT133"/>
  <c r="CR47"/>
  <c r="CF193"/>
  <c r="DD139"/>
  <c r="BT208"/>
  <c r="CF55"/>
  <c r="BT105"/>
  <c r="CF202"/>
  <c r="BT28"/>
  <c r="BT202"/>
  <c r="DD87"/>
  <c r="DP122"/>
  <c r="BT139"/>
  <c r="CR70"/>
  <c r="CR113"/>
  <c r="DD93"/>
  <c r="DP174"/>
  <c r="CR48"/>
  <c r="CF63"/>
  <c r="CR213"/>
  <c r="CF119"/>
  <c r="CR182"/>
  <c r="CR188"/>
  <c r="CR147"/>
  <c r="DP105"/>
  <c r="CF186"/>
  <c r="CF39"/>
  <c r="CF92"/>
  <c r="CF198"/>
  <c r="DP50"/>
  <c r="CR163"/>
  <c r="DP200"/>
  <c r="DP134"/>
  <c r="CF133"/>
  <c r="DP78"/>
  <c r="DD190"/>
  <c r="DP128"/>
  <c r="DD51"/>
  <c r="DP56"/>
  <c r="CF95"/>
  <c r="DD172"/>
  <c r="DP201"/>
  <c r="DP70"/>
  <c r="CR57"/>
  <c r="CR99"/>
  <c r="DP45"/>
  <c r="DP121"/>
  <c r="BT106"/>
  <c r="BT90"/>
  <c r="BT199"/>
  <c r="CR18"/>
  <c r="DP62"/>
  <c r="CR36"/>
  <c r="DP63"/>
  <c r="CF113"/>
  <c r="CR43"/>
  <c r="CF174"/>
  <c r="CF84"/>
  <c r="DD41"/>
  <c r="CF52"/>
  <c r="BT80"/>
  <c r="CF200"/>
  <c r="DP49"/>
  <c r="DD182"/>
  <c r="CR154"/>
  <c r="DD45"/>
  <c r="CF94"/>
  <c r="BT119"/>
  <c r="CR111"/>
  <c r="CR215"/>
  <c r="BT150"/>
  <c r="DP71"/>
  <c r="CR22"/>
  <c r="CF22"/>
  <c r="BT187"/>
  <c r="DD88"/>
  <c r="DP77"/>
  <c r="CR35"/>
  <c r="BT132"/>
  <c r="DD79"/>
  <c r="BT209"/>
  <c r="BT111"/>
  <c r="DD155"/>
  <c r="CR92"/>
  <c r="BT77"/>
  <c r="DD70"/>
  <c r="BT41"/>
  <c r="CR148"/>
  <c r="CF71"/>
  <c r="DD30"/>
  <c r="CF41"/>
  <c r="DP149"/>
  <c r="BT76"/>
  <c r="BT156"/>
  <c r="DD26"/>
  <c r="BT184"/>
  <c r="DP59"/>
  <c r="DD170"/>
  <c r="DD35"/>
  <c r="DP60"/>
  <c r="DD184"/>
  <c r="CF16"/>
  <c r="DD66"/>
  <c r="DD185"/>
  <c r="DP211"/>
  <c r="CR133"/>
  <c r="CR146"/>
  <c r="DD83"/>
  <c r="CF77"/>
  <c r="DP92"/>
  <c r="DP95"/>
  <c r="DD97"/>
  <c r="DD121"/>
  <c r="CR32"/>
  <c r="BT36"/>
  <c r="CF211"/>
  <c r="CF184"/>
  <c r="DD60"/>
  <c r="DP41"/>
  <c r="CF47"/>
  <c r="DP195"/>
  <c r="CR139"/>
  <c r="DD150"/>
  <c r="BT61"/>
  <c r="DD18"/>
  <c r="CF192"/>
  <c r="CF111"/>
  <c r="DD154"/>
  <c r="CR75"/>
  <c r="BT190"/>
  <c r="CR115"/>
  <c r="DP186"/>
  <c r="CR17"/>
  <c r="DP133"/>
  <c r="CR210"/>
  <c r="DD109"/>
  <c r="BT194"/>
  <c r="CR131"/>
  <c r="DP183"/>
  <c r="CF65"/>
  <c r="DP166"/>
  <c r="CF154"/>
  <c r="CF87"/>
  <c r="BT205"/>
  <c r="CF194"/>
  <c r="CR201"/>
  <c r="DP102"/>
  <c r="CF178"/>
  <c r="BT152"/>
  <c r="CF127"/>
  <c r="CR179"/>
  <c r="DD27"/>
  <c r="DD40"/>
  <c r="DP116"/>
  <c r="DD77"/>
  <c r="CR178"/>
  <c r="DD29"/>
  <c r="CR79"/>
  <c r="CR59"/>
  <c r="DD116"/>
  <c r="DP182"/>
  <c r="CR73"/>
  <c r="DP180"/>
  <c r="CR162"/>
  <c r="DP199"/>
  <c r="CR136"/>
  <c r="DD134"/>
  <c r="CF36"/>
  <c r="BT91"/>
  <c r="BT173"/>
  <c r="DD96"/>
  <c r="CF149"/>
  <c r="CF57"/>
  <c r="DD147"/>
  <c r="CR21"/>
  <c r="DD112"/>
  <c r="CR145"/>
  <c r="DP19"/>
  <c r="DP208"/>
  <c r="CR109"/>
  <c r="DP137"/>
  <c r="DD32"/>
  <c r="CR39"/>
  <c r="DP140"/>
  <c r="DD102"/>
  <c r="BT189"/>
  <c r="DP75"/>
  <c r="BT196"/>
  <c r="CR164"/>
  <c r="DD89"/>
  <c r="DP209"/>
  <c r="CR49"/>
  <c r="CR130"/>
  <c r="CF205"/>
  <c r="DP151"/>
  <c r="CF37"/>
  <c r="CR196"/>
  <c r="BT200"/>
  <c r="DP147"/>
  <c r="BT30"/>
  <c r="DP85"/>
  <c r="CF79"/>
  <c r="BT65"/>
  <c r="DD46"/>
  <c r="BT21"/>
  <c r="CR27"/>
  <c r="CR175"/>
  <c r="CR129"/>
  <c r="CR165"/>
  <c r="CR177"/>
  <c r="DD208"/>
  <c r="DP96"/>
  <c r="CR142"/>
  <c r="BT86"/>
  <c r="CR61"/>
  <c r="CR120"/>
  <c r="CF173"/>
  <c r="CR186"/>
  <c r="CF117"/>
  <c r="CR195"/>
  <c r="DD145"/>
  <c r="DP110"/>
  <c r="CF139"/>
  <c r="DD120"/>
  <c r="CR144"/>
  <c r="CF29"/>
  <c r="CF69"/>
  <c r="DP72"/>
  <c r="DP188"/>
  <c r="CR93"/>
  <c r="CF42"/>
  <c r="DD47"/>
  <c r="DD73"/>
  <c r="DP160"/>
  <c r="CR121"/>
  <c r="DP54"/>
  <c r="CF20"/>
  <c r="DD129"/>
  <c r="BT17"/>
  <c r="DP170"/>
  <c r="DD146"/>
  <c r="DD212"/>
  <c r="CF197"/>
  <c r="BT115"/>
  <c r="CF62"/>
  <c r="CF21"/>
  <c r="DD57"/>
  <c r="CF64"/>
  <c r="BT51"/>
  <c r="CR170"/>
  <c r="CF54"/>
  <c r="DP69"/>
  <c r="CF31"/>
  <c r="CR203"/>
  <c r="CF134"/>
  <c r="CR26"/>
  <c r="DD99"/>
  <c r="BT72"/>
  <c r="CR82"/>
  <c r="CF40"/>
  <c r="CR71"/>
  <c r="BT112"/>
  <c r="DD140"/>
  <c r="CR112"/>
  <c r="DP80"/>
  <c r="DP36"/>
  <c r="BT123"/>
  <c r="DP145"/>
  <c r="CR181"/>
  <c r="CF153"/>
  <c r="DD42"/>
  <c r="BT191"/>
  <c r="CF145"/>
  <c r="DD159"/>
  <c r="CF150"/>
  <c r="DD192"/>
  <c r="DP24"/>
  <c r="DP21"/>
  <c r="CF51"/>
  <c r="CR122"/>
  <c r="CF206"/>
  <c r="BT108"/>
  <c r="DP33"/>
  <c r="BT84"/>
  <c r="BT96"/>
  <c r="BT179"/>
  <c r="BT128"/>
  <c r="DP39"/>
  <c r="CF172"/>
  <c r="BT195"/>
  <c r="CR166"/>
  <c r="DP155"/>
  <c r="CR40"/>
  <c r="CF78"/>
  <c r="CF101"/>
  <c r="CR171"/>
  <c r="CF161"/>
  <c r="BT210"/>
  <c r="CF163"/>
  <c r="DD28"/>
  <c r="BT93"/>
  <c r="DD62"/>
  <c r="CF44"/>
  <c r="DD31"/>
  <c r="DP79"/>
  <c r="DP91"/>
  <c r="DD203"/>
  <c r="BT183"/>
  <c r="BT62"/>
  <c r="CF156"/>
  <c r="DD53"/>
  <c r="BT102"/>
  <c r="CR34"/>
  <c r="BT181"/>
  <c r="DP76"/>
  <c r="DP123"/>
  <c r="CR134"/>
  <c r="DP168"/>
  <c r="DD91"/>
  <c r="BT138"/>
  <c r="CR160"/>
  <c r="BT148"/>
  <c r="DD169"/>
  <c r="CF93"/>
  <c r="CF72"/>
  <c r="DD67"/>
  <c r="BT23"/>
  <c r="CR200"/>
  <c r="DP61"/>
  <c r="DD205"/>
  <c r="BT67"/>
  <c r="CR33"/>
  <c r="DP205"/>
  <c r="DP202"/>
  <c r="CF73"/>
  <c r="DP215"/>
  <c r="DD84"/>
  <c r="DP53"/>
  <c r="DP179"/>
  <c r="BT33"/>
  <c r="CF48"/>
  <c r="BT57"/>
  <c r="BT212"/>
  <c r="DD38"/>
  <c r="BT176"/>
  <c r="BT192"/>
  <c r="DP197"/>
  <c r="DD136"/>
  <c r="CR80"/>
  <c r="CF30"/>
  <c r="DD55"/>
  <c r="BT142"/>
  <c r="DP152"/>
  <c r="BT16"/>
  <c r="BT171"/>
  <c r="BT166"/>
  <c r="CF208"/>
  <c r="DP16"/>
  <c r="CR206"/>
  <c r="CF169"/>
  <c r="CF116"/>
  <c r="BT136"/>
  <c r="CR159"/>
  <c r="CF66"/>
  <c r="DD82"/>
  <c r="DP52"/>
  <c r="DP163"/>
  <c r="BT47"/>
  <c r="CF50"/>
  <c r="CR173"/>
  <c r="CF162"/>
  <c r="DD76"/>
  <c r="DD106"/>
  <c r="DD64"/>
  <c r="BT198"/>
  <c r="CR138"/>
  <c r="DP97"/>
  <c r="BT118"/>
  <c r="BT92"/>
  <c r="CF97"/>
  <c r="BT124"/>
  <c r="CR94"/>
  <c r="DD23"/>
  <c r="DP194"/>
  <c r="DP111"/>
  <c r="DD144"/>
  <c r="CF18"/>
  <c r="BT147"/>
  <c r="CF201"/>
  <c r="DP142"/>
  <c r="DD95"/>
  <c r="CR65"/>
  <c r="CF67"/>
  <c r="BT170"/>
  <c r="CF105"/>
  <c r="CR157"/>
  <c r="CF143"/>
  <c r="DP46"/>
  <c r="CF34"/>
  <c r="BT151"/>
  <c r="CF171"/>
  <c r="BT20"/>
  <c r="BT215"/>
  <c r="DP213"/>
  <c r="DP198"/>
  <c r="CR132"/>
  <c r="BT18"/>
  <c r="CF75"/>
  <c r="BT110"/>
  <c r="DP132"/>
  <c r="CR176"/>
  <c r="CF124"/>
  <c r="DD108"/>
  <c r="BT70"/>
  <c r="DD193"/>
  <c r="CF137"/>
  <c r="CR205"/>
  <c r="CF121"/>
  <c r="CR126"/>
  <c r="BT144"/>
  <c r="DP114"/>
  <c r="CR102"/>
  <c r="CR119"/>
  <c r="CF28"/>
  <c r="DP175"/>
  <c r="CR156"/>
  <c r="DD187"/>
  <c r="BT188"/>
  <c r="CF33"/>
  <c r="BT154"/>
  <c r="CR53"/>
  <c r="CR125"/>
  <c r="DP112"/>
  <c r="DP74"/>
  <c r="DP167"/>
  <c r="DD178"/>
  <c r="CR30"/>
  <c r="DD215"/>
  <c r="CF213"/>
  <c r="BT158"/>
  <c r="CF215"/>
  <c r="DP32"/>
  <c r="DP210"/>
  <c r="BT159"/>
  <c r="DD177"/>
  <c r="BT211"/>
  <c r="DD16"/>
  <c r="CR197"/>
  <c r="BT99"/>
  <c r="CF141"/>
  <c r="BT164"/>
  <c r="CR97"/>
  <c r="CR152"/>
  <c r="CF59"/>
  <c r="CR29"/>
  <c r="BT120"/>
  <c r="BT100"/>
  <c r="BT213"/>
  <c r="CR172"/>
  <c r="CR62"/>
  <c r="CR199"/>
  <c r="CR85"/>
  <c r="DP81"/>
  <c r="DD207"/>
  <c r="DP204"/>
  <c r="DP187"/>
  <c r="DP173"/>
  <c r="BT81"/>
  <c r="CF68"/>
  <c r="DP193"/>
  <c r="CF155"/>
  <c r="CR167"/>
  <c r="DP17"/>
  <c r="DP207"/>
  <c r="DD135"/>
  <c r="DP154"/>
  <c r="CF179"/>
  <c r="BT127"/>
  <c r="CF199"/>
  <c r="DD80"/>
  <c r="DD199"/>
  <c r="DP148"/>
  <c r="BT53"/>
  <c r="DD50"/>
  <c r="BT178"/>
  <c r="DD123"/>
  <c r="CR31"/>
  <c r="DP38"/>
  <c r="CF166"/>
  <c r="BT74"/>
  <c r="CF157"/>
  <c r="CF125"/>
  <c r="CF164"/>
  <c r="DD92"/>
  <c r="CF130"/>
  <c r="DD180"/>
  <c r="DP206"/>
  <c r="CR86"/>
  <c r="CR90"/>
  <c r="CR198"/>
  <c r="BT73"/>
  <c r="CF183"/>
  <c r="CR204"/>
  <c r="DP64"/>
  <c r="DP103"/>
  <c r="CR96"/>
  <c r="CR184"/>
  <c r="CF214"/>
  <c r="CF159"/>
  <c r="CR46"/>
  <c r="BT204"/>
  <c r="CR37"/>
  <c r="BT153"/>
  <c r="CF103"/>
  <c r="CF115"/>
  <c r="DP82"/>
  <c r="DD157"/>
  <c r="DD204"/>
  <c r="DP159"/>
  <c r="CR135"/>
  <c r="CR95"/>
  <c r="DD105"/>
  <c r="CF90"/>
  <c r="CR168"/>
  <c r="BT95"/>
  <c r="BT197"/>
  <c r="DD111"/>
  <c r="BT109"/>
  <c r="DP101"/>
  <c r="DP28"/>
  <c r="BT186"/>
  <c r="DD21"/>
  <c r="DP139"/>
  <c r="CF102"/>
  <c r="CF27"/>
  <c r="DD183"/>
  <c r="BT129"/>
  <c r="BT34"/>
  <c r="BT163"/>
  <c r="DP31"/>
  <c r="DP158"/>
  <c r="DP65"/>
  <c r="DD78"/>
  <c r="DD61"/>
  <c r="CR212"/>
  <c r="CR19"/>
  <c r="DD156"/>
  <c r="CR128"/>
  <c r="CR140"/>
  <c r="BT98"/>
  <c r="DP214"/>
  <c r="DD194"/>
  <c r="DD20"/>
  <c r="BT49"/>
  <c r="BT134"/>
  <c r="BT140"/>
  <c r="CR209"/>
  <c r="CF182"/>
  <c r="BT206"/>
  <c r="CF53"/>
  <c r="CF142"/>
  <c r="CF104"/>
  <c r="DD206"/>
  <c r="CF152"/>
  <c r="CR169"/>
  <c r="BT182"/>
  <c r="BT180"/>
  <c r="DD22"/>
  <c r="DP196"/>
  <c r="CF146"/>
  <c r="DP34"/>
  <c r="DD71"/>
  <c r="DP118"/>
  <c r="DD141"/>
  <c r="DP191"/>
  <c r="CR127"/>
  <c r="BT22"/>
  <c r="DP58"/>
  <c r="DP98"/>
  <c r="BT125"/>
  <c r="DD173"/>
  <c r="CR23"/>
  <c r="DD181"/>
  <c r="DP138"/>
  <c r="CF82"/>
  <c r="CR158"/>
  <c r="BT193"/>
  <c r="DD158"/>
  <c r="CF114"/>
  <c r="CF207"/>
  <c r="DP212"/>
  <c r="DD81"/>
  <c r="BT149"/>
  <c r="CR161"/>
  <c r="CF168"/>
  <c r="CR103"/>
  <c r="BT63"/>
  <c r="DP94"/>
  <c r="BT104"/>
  <c r="DD19"/>
  <c r="CR28"/>
  <c r="DD54"/>
  <c r="BT71"/>
  <c r="CR106"/>
  <c r="DD34"/>
  <c r="CF191"/>
  <c r="DP37"/>
  <c r="CR58"/>
  <c r="CF118"/>
  <c r="CF25"/>
  <c r="CF126"/>
  <c r="CR141"/>
  <c r="BT207"/>
  <c r="CF99"/>
  <c r="BT44"/>
  <c r="BT37"/>
  <c r="CF147"/>
  <c r="DD63"/>
  <c r="DD44"/>
  <c r="BT29"/>
  <c r="BT19"/>
  <c r="BT160"/>
  <c r="DD115"/>
  <c r="DD104"/>
  <c r="CF38"/>
  <c r="CF49"/>
  <c r="F40" i="10"/>
  <c r="F39"/>
  <c r="DN182" i="12" l="1"/>
  <c r="DN349"/>
  <c r="DN489"/>
  <c r="DN268"/>
  <c r="DN213"/>
  <c r="DB253"/>
  <c r="DB402"/>
  <c r="DB252"/>
  <c r="DB161"/>
  <c r="DD216"/>
  <c r="CR287"/>
  <c r="CD281"/>
  <c r="DB135"/>
  <c r="DB116"/>
  <c r="DB207"/>
  <c r="DB117"/>
  <c r="DB139"/>
  <c r="DB185"/>
  <c r="DN151"/>
  <c r="DN212"/>
  <c r="DN175"/>
  <c r="DN167"/>
  <c r="DN136"/>
  <c r="CF428"/>
  <c r="DD371"/>
  <c r="DD300"/>
  <c r="BR331"/>
  <c r="DB311"/>
  <c r="DB447"/>
  <c r="CR276"/>
  <c r="DD229"/>
  <c r="CF241"/>
  <c r="CD410"/>
  <c r="DB494"/>
  <c r="DB388"/>
  <c r="DB493"/>
  <c r="DB332"/>
  <c r="DN266"/>
  <c r="CR367"/>
  <c r="DB404"/>
  <c r="CF293"/>
  <c r="CD513"/>
  <c r="DB384"/>
  <c r="BT332"/>
  <c r="DN194"/>
  <c r="DB341"/>
  <c r="DB121"/>
  <c r="DN197"/>
  <c r="DN170"/>
  <c r="DN131"/>
  <c r="DB133"/>
  <c r="DP510"/>
  <c r="DP514"/>
  <c r="DB376"/>
  <c r="DB136"/>
  <c r="DB196"/>
  <c r="DB508"/>
  <c r="DB386"/>
  <c r="CP468"/>
  <c r="CP349"/>
  <c r="DB390"/>
  <c r="DN303"/>
  <c r="DN337"/>
  <c r="DP503"/>
  <c r="DB316"/>
  <c r="DB159"/>
  <c r="DB325"/>
  <c r="DB258"/>
  <c r="CP245"/>
  <c r="DN166"/>
  <c r="DD511"/>
  <c r="DB182"/>
  <c r="DB353"/>
  <c r="DN319"/>
  <c r="DN127"/>
  <c r="DP236"/>
  <c r="BR220"/>
  <c r="CF478"/>
  <c r="CF385"/>
  <c r="CF245"/>
  <c r="BR468"/>
  <c r="CD344"/>
  <c r="BR388"/>
  <c r="DB286"/>
  <c r="CF371"/>
  <c r="CD448"/>
  <c r="BR254"/>
  <c r="DB347"/>
  <c r="DB514"/>
  <c r="DN225"/>
  <c r="DN240"/>
  <c r="DB362"/>
  <c r="DB236"/>
  <c r="CP260"/>
  <c r="DB191"/>
  <c r="DB175"/>
  <c r="DB308"/>
  <c r="DN214"/>
  <c r="DN338"/>
  <c r="DB147"/>
  <c r="DB189"/>
  <c r="DB474"/>
  <c r="CF408"/>
  <c r="BT427"/>
  <c r="CF510"/>
  <c r="CF387"/>
  <c r="DD425"/>
  <c r="CF454"/>
  <c r="CD438"/>
  <c r="BR401"/>
  <c r="DD394"/>
  <c r="CF222"/>
  <c r="BR353"/>
  <c r="CP386"/>
  <c r="BT348"/>
  <c r="CF273"/>
  <c r="CD443"/>
  <c r="BR397"/>
  <c r="CP254"/>
  <c r="CF229"/>
  <c r="CF386"/>
  <c r="CD467"/>
  <c r="CD221"/>
  <c r="BR402"/>
  <c r="BT350"/>
  <c r="CF377"/>
  <c r="CF310"/>
  <c r="BR512"/>
  <c r="BR493"/>
  <c r="DD218"/>
  <c r="DD348"/>
  <c r="CD261"/>
  <c r="CF226"/>
  <c r="CD220"/>
  <c r="CF345"/>
  <c r="CF363"/>
  <c r="CF238"/>
  <c r="BR374"/>
  <c r="CP246"/>
  <c r="DB163"/>
  <c r="DB231"/>
  <c r="DB323"/>
  <c r="DB302"/>
  <c r="DN228"/>
  <c r="CF296"/>
  <c r="CF376"/>
  <c r="BR430"/>
  <c r="CP337"/>
  <c r="DB132"/>
  <c r="DB424"/>
  <c r="DB329"/>
  <c r="DN416"/>
  <c r="DN452"/>
  <c r="DN429"/>
  <c r="CR266"/>
  <c r="DD283"/>
  <c r="CF475"/>
  <c r="CD362"/>
  <c r="BT240"/>
  <c r="CF466"/>
  <c r="CD373"/>
  <c r="BR311"/>
  <c r="BR277"/>
  <c r="DB336"/>
  <c r="DB244"/>
  <c r="DB392"/>
  <c r="DB383"/>
  <c r="DB499"/>
  <c r="DB477"/>
  <c r="DB442"/>
  <c r="DB445"/>
  <c r="DN273"/>
  <c r="DN364"/>
  <c r="BT345"/>
  <c r="CD398"/>
  <c r="BR500"/>
  <c r="CD350"/>
  <c r="CP483"/>
  <c r="DB463"/>
  <c r="DB381"/>
  <c r="DB401"/>
  <c r="DB416"/>
  <c r="DN317"/>
  <c r="DN300"/>
  <c r="BT231"/>
  <c r="BT503"/>
  <c r="CP482"/>
  <c r="CR492"/>
  <c r="BT496"/>
  <c r="DP458"/>
  <c r="DN221"/>
  <c r="DP357"/>
  <c r="CD495"/>
  <c r="BR287"/>
  <c r="BR411"/>
  <c r="DB162"/>
  <c r="DB293"/>
  <c r="DN301"/>
  <c r="CF266"/>
  <c r="CF332"/>
  <c r="DB513"/>
  <c r="DB129"/>
  <c r="DN145"/>
  <c r="CF268"/>
  <c r="CF319"/>
  <c r="CD492"/>
  <c r="CD507"/>
  <c r="BT286"/>
  <c r="DD223"/>
  <c r="CF269"/>
  <c r="CF406"/>
  <c r="CF437"/>
  <c r="CF401"/>
  <c r="CD421"/>
  <c r="BR310"/>
  <c r="BR399"/>
  <c r="BR333"/>
  <c r="CP160"/>
  <c r="CP219"/>
  <c r="DB209"/>
  <c r="DB459"/>
  <c r="CD275"/>
  <c r="CF308"/>
  <c r="CF422"/>
  <c r="CF418"/>
  <c r="CF271"/>
  <c r="CD316"/>
  <c r="CD250"/>
  <c r="CF429"/>
  <c r="DB449"/>
  <c r="DB471"/>
  <c r="DB312"/>
  <c r="DB470"/>
  <c r="DB333"/>
  <c r="DB224"/>
  <c r="CF280"/>
  <c r="DB158"/>
  <c r="CF236"/>
  <c r="CF351"/>
  <c r="CF230"/>
  <c r="DB427"/>
  <c r="DB412"/>
  <c r="DB343"/>
  <c r="DB461"/>
  <c r="CF434"/>
  <c r="DB350"/>
  <c r="DB255"/>
  <c r="DB491"/>
  <c r="DB292"/>
  <c r="CF252"/>
  <c r="CF494"/>
  <c r="CF392"/>
  <c r="CF487"/>
  <c r="DB137"/>
  <c r="DB297"/>
  <c r="DB220"/>
  <c r="DB437"/>
  <c r="CF488"/>
  <c r="CF297"/>
  <c r="DB239"/>
  <c r="CF330"/>
  <c r="CF396"/>
  <c r="CF405"/>
  <c r="CF509"/>
  <c r="CD255"/>
  <c r="CD219"/>
  <c r="CD504"/>
  <c r="CD237"/>
  <c r="CF489"/>
  <c r="CF306"/>
  <c r="CF303"/>
  <c r="CD390"/>
  <c r="CF343"/>
  <c r="CF282"/>
  <c r="CF254"/>
  <c r="CF444"/>
  <c r="CD327"/>
  <c r="BR475"/>
  <c r="BR498"/>
  <c r="BR465"/>
  <c r="BR361"/>
  <c r="CP462"/>
  <c r="CP388"/>
  <c r="CP359"/>
  <c r="CP315"/>
  <c r="CF461"/>
  <c r="CF427"/>
  <c r="BR307"/>
  <c r="DB431"/>
  <c r="CP288"/>
  <c r="CP353"/>
  <c r="CP396"/>
  <c r="CP427"/>
  <c r="CP332"/>
  <c r="CP437"/>
  <c r="CP234"/>
  <c r="CP225"/>
  <c r="CP285"/>
  <c r="CP184"/>
  <c r="CP147"/>
  <c r="CP277"/>
  <c r="CP429"/>
  <c r="CP292"/>
  <c r="CF414"/>
  <c r="CF364"/>
  <c r="DN448"/>
  <c r="DN348"/>
  <c r="CF469"/>
  <c r="DB227"/>
  <c r="DB277"/>
  <c r="DB266"/>
  <c r="CF499"/>
  <c r="CF358"/>
  <c r="CF470"/>
  <c r="DB440"/>
  <c r="DN238"/>
  <c r="CF505"/>
  <c r="CF313"/>
  <c r="CF285"/>
  <c r="CF436"/>
  <c r="CF352"/>
  <c r="CF411"/>
  <c r="CF420"/>
  <c r="CF456"/>
  <c r="CF259"/>
  <c r="CF413"/>
  <c r="CF329"/>
  <c r="CD299"/>
  <c r="CF501"/>
  <c r="CF441"/>
  <c r="CF446"/>
  <c r="CF384"/>
  <c r="CF224"/>
  <c r="CF474"/>
  <c r="CD486"/>
  <c r="CD439"/>
  <c r="DB479"/>
  <c r="DB415"/>
  <c r="DB429"/>
  <c r="DB124"/>
  <c r="DB241"/>
  <c r="DB184"/>
  <c r="DB146"/>
  <c r="DB153"/>
  <c r="DB462"/>
  <c r="DB217"/>
  <c r="DB483"/>
  <c r="DB173"/>
  <c r="DB295"/>
  <c r="DB201"/>
  <c r="DN202"/>
  <c r="DN415"/>
  <c r="CF294"/>
  <c r="DB465"/>
  <c r="CF388"/>
  <c r="CD324"/>
  <c r="DB279"/>
  <c r="CF274"/>
  <c r="CF257"/>
  <c r="BR221"/>
  <c r="CF391"/>
  <c r="CD356"/>
  <c r="CD465"/>
  <c r="DB138"/>
  <c r="DB408"/>
  <c r="DB149"/>
  <c r="CF477"/>
  <c r="CF234"/>
  <c r="BR302"/>
  <c r="CF415"/>
  <c r="CF246"/>
  <c r="CF360"/>
  <c r="CF298"/>
  <c r="CF272"/>
  <c r="CF503"/>
  <c r="CD462"/>
  <c r="DB267"/>
  <c r="CD335"/>
  <c r="CF216"/>
  <c r="DB397"/>
  <c r="DN465"/>
  <c r="CF493"/>
  <c r="CF243"/>
  <c r="DN373"/>
  <c r="CF348"/>
  <c r="CF480"/>
  <c r="CD239"/>
  <c r="CD455"/>
  <c r="BR270"/>
  <c r="BR482"/>
  <c r="BR389"/>
  <c r="BR323"/>
  <c r="DB169"/>
  <c r="DB155"/>
  <c r="DB505"/>
  <c r="DB152"/>
  <c r="DB171"/>
  <c r="DN211"/>
  <c r="DN418"/>
  <c r="DN339"/>
  <c r="DN362"/>
  <c r="DN313"/>
  <c r="CF481"/>
  <c r="CF231"/>
  <c r="CF472"/>
  <c r="CF331"/>
  <c r="CF468"/>
  <c r="CD240"/>
  <c r="CD370"/>
  <c r="BR239"/>
  <c r="DB298"/>
  <c r="DB234"/>
  <c r="DB210"/>
  <c r="DB342"/>
  <c r="CF482"/>
  <c r="CF321"/>
  <c r="CF460"/>
  <c r="CF287"/>
  <c r="CF402"/>
  <c r="CF514"/>
  <c r="CD502"/>
  <c r="BR462"/>
  <c r="DB263"/>
  <c r="DB156"/>
  <c r="DB150"/>
  <c r="DB507"/>
  <c r="DB358"/>
  <c r="DB222"/>
  <c r="DB301"/>
  <c r="DN120"/>
  <c r="DN426"/>
  <c r="DN218"/>
  <c r="DN172"/>
  <c r="DN396"/>
  <c r="DN294"/>
  <c r="DN501"/>
  <c r="DN288"/>
  <c r="CF361"/>
  <c r="CD378"/>
  <c r="CD307"/>
  <c r="CD500"/>
  <c r="BR443"/>
  <c r="BR368"/>
  <c r="BR313"/>
  <c r="DB235"/>
  <c r="DB278"/>
  <c r="DB176"/>
  <c r="DB144"/>
  <c r="DB389"/>
  <c r="DB289"/>
  <c r="DB411"/>
  <c r="DB208"/>
  <c r="DB119"/>
  <c r="DB475"/>
  <c r="DB165"/>
  <c r="DN442"/>
  <c r="DN410"/>
  <c r="DN482"/>
  <c r="DN309"/>
  <c r="DN227"/>
  <c r="DN336"/>
  <c r="CF498"/>
  <c r="CF479"/>
  <c r="CF318"/>
  <c r="CF334"/>
  <c r="CF380"/>
  <c r="CF365"/>
  <c r="CF432"/>
  <c r="CD328"/>
  <c r="BR219"/>
  <c r="CP365"/>
  <c r="CP403"/>
  <c r="DB484"/>
  <c r="DB443"/>
  <c r="DB444"/>
  <c r="DB271"/>
  <c r="DB202"/>
  <c r="DB305"/>
  <c r="DB349"/>
  <c r="DB356"/>
  <c r="DB183"/>
  <c r="DB274"/>
  <c r="DB247"/>
  <c r="DB261"/>
  <c r="DB426"/>
  <c r="DB368"/>
  <c r="DB328"/>
  <c r="DB338"/>
  <c r="DB365"/>
  <c r="DB315"/>
  <c r="DN181"/>
  <c r="DN388"/>
  <c r="DN137"/>
  <c r="DN480"/>
  <c r="DN343"/>
  <c r="DN321"/>
  <c r="CF249"/>
  <c r="BR273"/>
  <c r="BR435"/>
  <c r="CP169"/>
  <c r="DB422"/>
  <c r="DB285"/>
  <c r="DB382"/>
  <c r="DB377"/>
  <c r="DB363"/>
  <c r="DB455"/>
  <c r="DB167"/>
  <c r="DB126"/>
  <c r="DB359"/>
  <c r="DB396"/>
  <c r="DB259"/>
  <c r="DB122"/>
  <c r="DB154"/>
  <c r="DN383"/>
  <c r="DN397"/>
  <c r="DN353"/>
  <c r="DN367"/>
  <c r="DN206"/>
  <c r="BR236"/>
  <c r="CP323"/>
  <c r="BR335"/>
  <c r="BR485"/>
  <c r="BR308"/>
  <c r="BR257"/>
  <c r="CP412"/>
  <c r="CP452"/>
  <c r="CP144"/>
  <c r="CP401"/>
  <c r="CP477"/>
  <c r="CP375"/>
  <c r="CP188"/>
  <c r="CP151"/>
  <c r="CF440"/>
  <c r="CF412"/>
  <c r="CF496"/>
  <c r="CD223"/>
  <c r="BR384"/>
  <c r="BR471"/>
  <c r="BR509"/>
  <c r="CP497"/>
  <c r="DB288"/>
  <c r="DB242"/>
  <c r="DB313"/>
  <c r="DB436"/>
  <c r="DN139"/>
  <c r="BR346"/>
  <c r="BR369"/>
  <c r="DN269"/>
  <c r="DN246"/>
  <c r="DN191"/>
  <c r="CF367"/>
  <c r="CF326"/>
  <c r="BR256"/>
  <c r="BR283"/>
  <c r="CP391"/>
  <c r="CP149"/>
  <c r="DB291"/>
  <c r="DB148"/>
  <c r="DB245"/>
  <c r="DB354"/>
  <c r="DB192"/>
  <c r="DB186"/>
  <c r="DN493"/>
  <c r="DN423"/>
  <c r="BR484"/>
  <c r="BR511"/>
  <c r="BR305"/>
  <c r="BR459"/>
  <c r="BR379"/>
  <c r="BR322"/>
  <c r="BR349"/>
  <c r="BR506"/>
  <c r="DN369"/>
  <c r="DN402"/>
  <c r="DN328"/>
  <c r="CF295"/>
  <c r="CF368"/>
  <c r="BR440"/>
  <c r="BR318"/>
  <c r="BR328"/>
  <c r="BR463"/>
  <c r="BR406"/>
  <c r="CP140"/>
  <c r="DN476"/>
  <c r="DN371"/>
  <c r="DN479"/>
  <c r="DN148"/>
  <c r="CF320"/>
  <c r="CF372"/>
  <c r="BR419"/>
  <c r="CF242"/>
  <c r="CF433"/>
  <c r="CF349"/>
  <c r="CF453"/>
  <c r="CF337"/>
  <c r="BR292"/>
  <c r="BR514"/>
  <c r="BR342"/>
  <c r="CP226"/>
  <c r="DB357"/>
  <c r="DB467"/>
  <c r="DN272"/>
  <c r="CF490"/>
  <c r="CF407"/>
  <c r="CF506"/>
  <c r="BR373"/>
  <c r="CP296"/>
  <c r="DB340"/>
  <c r="DB372"/>
  <c r="DB294"/>
  <c r="DB140"/>
  <c r="DB219"/>
  <c r="DB318"/>
  <c r="DB400"/>
  <c r="DN428"/>
  <c r="DN126"/>
  <c r="CD423"/>
  <c r="BR371"/>
  <c r="BR453"/>
  <c r="BR274"/>
  <c r="BR445"/>
  <c r="BR396"/>
  <c r="BR393"/>
  <c r="BR438"/>
  <c r="BR386"/>
  <c r="BR508"/>
  <c r="BR359"/>
  <c r="BR247"/>
  <c r="CP196"/>
  <c r="CP157"/>
  <c r="DN380"/>
  <c r="DN494"/>
  <c r="CD442"/>
  <c r="BR222"/>
  <c r="CP238"/>
  <c r="CP126"/>
  <c r="CP455"/>
  <c r="DB421"/>
  <c r="CD260"/>
  <c r="BR405"/>
  <c r="CP351"/>
  <c r="DB378"/>
  <c r="DB410"/>
  <c r="CF419"/>
  <c r="CF425"/>
  <c r="CD459"/>
  <c r="CD251"/>
  <c r="BR299"/>
  <c r="BR439"/>
  <c r="BR296"/>
  <c r="BR230"/>
  <c r="CP424"/>
  <c r="CP480"/>
  <c r="CP339"/>
  <c r="DN377"/>
  <c r="DN384"/>
  <c r="DN387"/>
  <c r="DN365"/>
  <c r="CF497"/>
  <c r="CF431"/>
  <c r="CF395"/>
  <c r="CP137"/>
  <c r="CP133"/>
  <c r="CP436"/>
  <c r="CF409"/>
  <c r="CF381"/>
  <c r="CF483"/>
  <c r="CF333"/>
  <c r="CF279"/>
  <c r="CF277"/>
  <c r="CF508"/>
  <c r="CF357"/>
  <c r="CF449"/>
  <c r="CD484"/>
  <c r="BR382"/>
  <c r="BR233"/>
  <c r="BR265"/>
  <c r="BR315"/>
  <c r="BR255"/>
  <c r="BR372"/>
  <c r="BR320"/>
  <c r="BR370"/>
  <c r="BR505"/>
  <c r="BR339"/>
  <c r="CP498"/>
  <c r="CP308"/>
  <c r="CP312"/>
  <c r="DB448"/>
  <c r="DB170"/>
  <c r="DB213"/>
  <c r="DB346"/>
  <c r="DB413"/>
  <c r="DB414"/>
  <c r="DB457"/>
  <c r="DB352"/>
  <c r="DB319"/>
  <c r="DB441"/>
  <c r="DB433"/>
  <c r="DB181"/>
  <c r="DB188"/>
  <c r="DB364"/>
  <c r="DB395"/>
  <c r="DB468"/>
  <c r="DB374"/>
  <c r="DB417"/>
  <c r="DB509"/>
  <c r="DB265"/>
  <c r="DB243"/>
  <c r="DN391"/>
  <c r="DN454"/>
  <c r="DN462"/>
  <c r="DN488"/>
  <c r="DN302"/>
  <c r="DN374"/>
  <c r="DN219"/>
  <c r="DN262"/>
  <c r="DN291"/>
  <c r="DN293"/>
  <c r="CD512"/>
  <c r="CF445"/>
  <c r="CF452"/>
  <c r="CF315"/>
  <c r="CF382"/>
  <c r="CF265"/>
  <c r="CD485"/>
  <c r="CD253"/>
  <c r="BR426"/>
  <c r="CP318"/>
  <c r="CP501"/>
  <c r="CP302"/>
  <c r="DB256"/>
  <c r="DB225"/>
  <c r="DB215"/>
  <c r="DB237"/>
  <c r="DN210"/>
  <c r="CP211"/>
  <c r="CD317"/>
  <c r="BR377"/>
  <c r="BR352"/>
  <c r="BR451"/>
  <c r="BR284"/>
  <c r="CP121"/>
  <c r="CP425"/>
  <c r="CP494"/>
  <c r="CP269"/>
  <c r="CP474"/>
  <c r="CP159"/>
  <c r="CP190"/>
  <c r="DN382"/>
  <c r="DN122"/>
  <c r="DN360"/>
  <c r="DN179"/>
  <c r="DN243"/>
  <c r="DN184"/>
  <c r="DN258"/>
  <c r="CP239"/>
  <c r="CP469"/>
  <c r="DN358"/>
  <c r="DN445"/>
  <c r="DN368"/>
  <c r="DN473"/>
  <c r="DN408"/>
  <c r="CP164"/>
  <c r="CP307"/>
  <c r="CD283"/>
  <c r="BR495"/>
  <c r="BR466"/>
  <c r="BR336"/>
  <c r="BR414"/>
  <c r="BR398"/>
  <c r="CP376"/>
  <c r="CP382"/>
  <c r="CP343"/>
  <c r="CP142"/>
  <c r="CP470"/>
  <c r="CP472"/>
  <c r="CP406"/>
  <c r="DB345"/>
  <c r="DB131"/>
  <c r="DB452"/>
  <c r="DB160"/>
  <c r="DN485"/>
  <c r="DN355"/>
  <c r="DN297"/>
  <c r="DN327"/>
  <c r="DN347"/>
  <c r="DN390"/>
  <c r="DN320"/>
  <c r="DN308"/>
  <c r="DN331"/>
  <c r="DN152"/>
  <c r="DN466"/>
  <c r="DN215"/>
  <c r="DN278"/>
  <c r="CF286"/>
  <c r="CF305"/>
  <c r="CF312"/>
  <c r="CD288"/>
  <c r="CD416"/>
  <c r="CD374"/>
  <c r="CD471"/>
  <c r="BR275"/>
  <c r="BR499"/>
  <c r="BR356"/>
  <c r="BR365"/>
  <c r="CP261"/>
  <c r="CP192"/>
  <c r="CP364"/>
  <c r="DB190"/>
  <c r="DB228"/>
  <c r="CD389"/>
  <c r="BR312"/>
  <c r="BR381"/>
  <c r="BR415"/>
  <c r="BR408"/>
  <c r="BR319"/>
  <c r="BR450"/>
  <c r="CP491"/>
  <c r="CF511"/>
  <c r="BR235"/>
  <c r="CP379"/>
  <c r="CP463"/>
  <c r="BR447"/>
  <c r="CP310"/>
  <c r="CD300"/>
  <c r="BR272"/>
  <c r="BR242"/>
  <c r="BR362"/>
  <c r="CP448"/>
  <c r="CP263"/>
  <c r="DN334"/>
  <c r="DN248"/>
  <c r="BR267"/>
  <c r="CP478"/>
  <c r="DN279"/>
  <c r="DN138"/>
  <c r="CD325"/>
  <c r="CD263"/>
  <c r="CD457"/>
  <c r="BR423"/>
  <c r="BR347"/>
  <c r="BR228"/>
  <c r="BR416"/>
  <c r="BR474"/>
  <c r="BR329"/>
  <c r="BR469"/>
  <c r="BR326"/>
  <c r="CP373"/>
  <c r="CP507"/>
  <c r="CP496"/>
  <c r="CP248"/>
  <c r="CP430"/>
  <c r="CP397"/>
  <c r="CP442"/>
  <c r="CP209"/>
  <c r="CP187"/>
  <c r="DB486"/>
  <c r="DB250"/>
  <c r="DN405"/>
  <c r="DN162"/>
  <c r="DN198"/>
  <c r="DN205"/>
  <c r="DN187"/>
  <c r="DN287"/>
  <c r="DN344"/>
  <c r="DN144"/>
  <c r="BR341"/>
  <c r="BR354"/>
  <c r="BR458"/>
  <c r="CP371"/>
  <c r="CP282"/>
  <c r="CP488"/>
  <c r="CP311"/>
  <c r="CP267"/>
  <c r="CP135"/>
  <c r="BR437"/>
  <c r="BR376"/>
  <c r="CF341"/>
  <c r="CF400"/>
  <c r="BR448"/>
  <c r="BR456"/>
  <c r="BR244"/>
  <c r="BR425"/>
  <c r="BR246"/>
  <c r="BR422"/>
  <c r="BR478"/>
  <c r="BR434"/>
  <c r="CP503"/>
  <c r="CP508"/>
  <c r="CP148"/>
  <c r="DB206"/>
  <c r="DB485"/>
  <c r="DB233"/>
  <c r="DB464"/>
  <c r="DB419"/>
  <c r="DB498"/>
  <c r="DB270"/>
  <c r="DB361"/>
  <c r="DB145"/>
  <c r="DB187"/>
  <c r="DB473"/>
  <c r="DB257"/>
  <c r="DN392"/>
  <c r="DN464"/>
  <c r="DN203"/>
  <c r="DN208"/>
  <c r="DN242"/>
  <c r="BR404"/>
  <c r="BR218"/>
  <c r="CF404"/>
  <c r="CF247"/>
  <c r="CF417"/>
  <c r="CF342"/>
  <c r="CF353"/>
  <c r="CF491"/>
  <c r="CF290"/>
  <c r="CF284"/>
  <c r="CD276"/>
  <c r="CD336"/>
  <c r="CD426"/>
  <c r="CD339"/>
  <c r="BR268"/>
  <c r="BR460"/>
  <c r="DB492"/>
  <c r="DB226"/>
  <c r="CD270"/>
  <c r="CD347"/>
  <c r="DB307"/>
  <c r="DB203"/>
  <c r="DB355"/>
  <c r="DB506"/>
  <c r="CF258"/>
  <c r="CF355"/>
  <c r="CF451"/>
  <c r="CF233"/>
  <c r="CD292"/>
  <c r="BR316"/>
  <c r="DB428"/>
  <c r="DB391"/>
  <c r="DB405"/>
  <c r="DB497"/>
  <c r="CF394"/>
  <c r="CF264"/>
  <c r="CF393"/>
  <c r="CD309"/>
  <c r="CD435"/>
  <c r="CD278"/>
  <c r="CF424"/>
  <c r="CF289"/>
  <c r="CF267"/>
  <c r="CF450"/>
  <c r="CD476"/>
  <c r="BR223"/>
  <c r="DB275"/>
  <c r="DB254"/>
  <c r="DB281"/>
  <c r="DB423"/>
  <c r="CD262"/>
  <c r="BR279"/>
  <c r="CF397"/>
  <c r="CF375"/>
  <c r="CD340"/>
  <c r="CF314"/>
  <c r="CF218"/>
  <c r="CF256"/>
  <c r="BR237"/>
  <c r="BR281"/>
  <c r="BR421"/>
  <c r="DB180"/>
  <c r="DB456"/>
  <c r="DB326"/>
  <c r="DB466"/>
  <c r="DB303"/>
  <c r="BR340"/>
  <c r="BR263"/>
  <c r="BR476"/>
  <c r="BR454"/>
  <c r="BR413"/>
  <c r="BR344"/>
  <c r="BR249"/>
  <c r="BR330"/>
  <c r="BR400"/>
  <c r="BR303"/>
  <c r="CP232"/>
  <c r="CP236"/>
  <c r="CP163"/>
  <c r="CP352"/>
  <c r="CP186"/>
  <c r="CP428"/>
  <c r="CP509"/>
  <c r="CP290"/>
  <c r="CP231"/>
  <c r="CP143"/>
  <c r="CP439"/>
  <c r="DB407"/>
  <c r="DB487"/>
  <c r="DB321"/>
  <c r="DB205"/>
  <c r="DB322"/>
  <c r="DB251"/>
  <c r="DB453"/>
  <c r="DB409"/>
  <c r="DB164"/>
  <c r="DN376"/>
  <c r="DN433"/>
  <c r="DN345"/>
  <c r="DN322"/>
  <c r="DN474"/>
  <c r="CF447"/>
  <c r="CF383"/>
  <c r="CF379"/>
  <c r="CD304"/>
  <c r="CD322"/>
  <c r="CD302"/>
  <c r="CD366"/>
  <c r="CD323"/>
  <c r="CD232"/>
  <c r="CD227"/>
  <c r="CD463"/>
  <c r="CD291"/>
  <c r="BR288"/>
  <c r="BR271"/>
  <c r="CP340"/>
  <c r="CP197"/>
  <c r="DB451"/>
  <c r="DB172"/>
  <c r="DB269"/>
  <c r="DB450"/>
  <c r="DB502"/>
  <c r="DB280"/>
  <c r="DB339"/>
  <c r="DB123"/>
  <c r="DB472"/>
  <c r="DB238"/>
  <c r="DN483"/>
  <c r="DN443"/>
  <c r="CF403"/>
  <c r="CD228"/>
  <c r="CD430"/>
  <c r="CD311"/>
  <c r="CD359"/>
  <c r="BR367"/>
  <c r="BR502"/>
  <c r="BR250"/>
  <c r="BR262"/>
  <c r="CP358"/>
  <c r="DB500"/>
  <c r="DB248"/>
  <c r="DB310"/>
  <c r="CF225"/>
  <c r="CF235"/>
  <c r="CF217"/>
  <c r="CD458"/>
  <c r="CD346"/>
  <c r="BR490"/>
  <c r="BR432"/>
  <c r="CP446"/>
  <c r="DB299"/>
  <c r="DB480"/>
  <c r="DB458"/>
  <c r="DB141"/>
  <c r="DB454"/>
  <c r="DB284"/>
  <c r="DB399"/>
  <c r="DB512"/>
  <c r="DB324"/>
  <c r="CD244"/>
  <c r="CF301"/>
  <c r="BR300"/>
  <c r="CF369"/>
  <c r="CF473"/>
  <c r="CF399"/>
  <c r="CF464"/>
  <c r="CD354"/>
  <c r="CD248"/>
  <c r="BR420"/>
  <c r="BR260"/>
  <c r="BR455"/>
  <c r="BR317"/>
  <c r="BR248"/>
  <c r="CP165"/>
  <c r="CP279"/>
  <c r="DB306"/>
  <c r="DB335"/>
  <c r="DB393"/>
  <c r="DB490"/>
  <c r="DB385"/>
  <c r="DB317"/>
  <c r="DB296"/>
  <c r="DB403"/>
  <c r="DN366"/>
  <c r="CF338"/>
  <c r="BR282"/>
  <c r="BR429"/>
  <c r="BR358"/>
  <c r="BR366"/>
  <c r="DB143"/>
  <c r="DB379"/>
  <c r="DB127"/>
  <c r="DB314"/>
  <c r="DB268"/>
  <c r="DB197"/>
  <c r="DB168"/>
  <c r="DB264"/>
  <c r="DB198"/>
  <c r="DB482"/>
  <c r="DB178"/>
  <c r="BR483"/>
  <c r="CP413"/>
  <c r="DB488"/>
  <c r="DN491"/>
  <c r="DN264"/>
  <c r="CP504"/>
  <c r="BR409"/>
  <c r="BR243"/>
  <c r="BR280"/>
  <c r="BR297"/>
  <c r="CP457"/>
  <c r="CP356"/>
  <c r="DB501"/>
  <c r="DB118"/>
  <c r="DB420"/>
  <c r="DB331"/>
  <c r="DB446"/>
  <c r="DB194"/>
  <c r="DN186"/>
  <c r="DN159"/>
  <c r="BR301"/>
  <c r="BR488"/>
  <c r="BR431"/>
  <c r="CP445"/>
  <c r="CP314"/>
  <c r="BR383"/>
  <c r="BR380"/>
  <c r="BR226"/>
  <c r="CP265"/>
  <c r="CP327"/>
  <c r="CP421"/>
  <c r="CP177"/>
  <c r="CP215"/>
  <c r="CP422"/>
  <c r="CP309"/>
  <c r="CP456"/>
  <c r="BR489"/>
  <c r="BR481"/>
  <c r="BR385"/>
  <c r="BR252"/>
  <c r="BR442"/>
  <c r="BR486"/>
  <c r="CP200"/>
  <c r="CP485"/>
  <c r="CP252"/>
  <c r="CP175"/>
  <c r="CP407"/>
  <c r="DB125"/>
  <c r="DN125"/>
  <c r="DN385"/>
  <c r="BR378"/>
  <c r="CP304"/>
  <c r="DN427"/>
  <c r="CP357"/>
  <c r="CP280"/>
  <c r="CP372"/>
  <c r="CP264"/>
  <c r="BR479"/>
  <c r="BR227"/>
  <c r="BR295"/>
  <c r="BR417"/>
  <c r="BR410"/>
  <c r="BR452"/>
  <c r="BR497"/>
  <c r="BR494"/>
  <c r="BR472"/>
  <c r="BR251"/>
  <c r="CP426"/>
  <c r="CP380"/>
  <c r="CP257"/>
  <c r="CP216"/>
  <c r="CP291"/>
  <c r="CP191"/>
  <c r="CP172"/>
  <c r="CP205"/>
  <c r="CP341"/>
  <c r="CP154"/>
  <c r="CP348"/>
  <c r="CP122"/>
  <c r="DB435"/>
  <c r="DB496"/>
  <c r="DB290"/>
  <c r="DB130"/>
  <c r="DB230"/>
  <c r="DB406"/>
  <c r="DB179"/>
  <c r="DB481"/>
  <c r="DB387"/>
  <c r="DN130"/>
  <c r="DN140"/>
  <c r="DN424"/>
  <c r="DN261"/>
  <c r="CP486"/>
  <c r="BR412"/>
  <c r="BR259"/>
  <c r="BR238"/>
  <c r="BR216"/>
  <c r="BR285"/>
  <c r="BR327"/>
  <c r="BR364"/>
  <c r="BR464"/>
  <c r="BR433"/>
  <c r="CP128"/>
  <c r="CP166"/>
  <c r="CP350"/>
  <c r="CP460"/>
  <c r="CP136"/>
  <c r="CP294"/>
  <c r="CP377"/>
  <c r="CP162"/>
  <c r="DB212"/>
  <c r="DN160"/>
  <c r="DN231"/>
  <c r="DN263"/>
  <c r="DN280"/>
  <c r="DN497"/>
  <c r="DN432"/>
  <c r="CP418"/>
  <c r="CP199"/>
  <c r="CP203"/>
  <c r="CP389"/>
  <c r="CP173"/>
  <c r="CP330"/>
  <c r="CP153"/>
  <c r="CP178"/>
  <c r="CP444"/>
  <c r="CP198"/>
  <c r="BR232"/>
  <c r="BR403"/>
  <c r="BR449"/>
  <c r="BR234"/>
  <c r="BR276"/>
  <c r="BR337"/>
  <c r="BR338"/>
  <c r="BR387"/>
  <c r="BR504"/>
  <c r="BR487"/>
  <c r="BR357"/>
  <c r="BR394"/>
  <c r="BR461"/>
  <c r="BR245"/>
  <c r="BR278"/>
  <c r="BR467"/>
  <c r="BR480"/>
  <c r="BR513"/>
  <c r="BR264"/>
  <c r="BR289"/>
  <c r="BR290"/>
  <c r="CP124"/>
  <c r="CP409"/>
  <c r="CP213"/>
  <c r="CP490"/>
  <c r="CP130"/>
  <c r="CP432"/>
  <c r="CP451"/>
  <c r="CP127"/>
  <c r="CP222"/>
  <c r="CP408"/>
  <c r="CP218"/>
  <c r="CP512"/>
  <c r="CP237"/>
  <c r="CP262"/>
  <c r="CP443"/>
  <c r="DB134"/>
  <c r="DB418"/>
  <c r="DB320"/>
  <c r="DB434"/>
  <c r="DB166"/>
  <c r="DB309"/>
  <c r="DB334"/>
  <c r="DB221"/>
  <c r="DB366"/>
  <c r="DB495"/>
  <c r="DN161"/>
  <c r="DN283"/>
  <c r="DN255"/>
  <c r="DN325"/>
  <c r="DN434"/>
  <c r="DN173"/>
  <c r="DN129"/>
  <c r="DN142"/>
  <c r="CP333"/>
  <c r="CP281"/>
  <c r="CP476"/>
  <c r="CP273"/>
  <c r="BR304"/>
  <c r="BR407"/>
  <c r="BR492"/>
  <c r="BR224"/>
  <c r="BR309"/>
  <c r="BR418"/>
  <c r="BR269"/>
  <c r="BR390"/>
  <c r="BR229"/>
  <c r="BR266"/>
  <c r="BR351"/>
  <c r="BR424"/>
  <c r="BR491"/>
  <c r="BR360"/>
  <c r="BR258"/>
  <c r="BR457"/>
  <c r="BR241"/>
  <c r="BR314"/>
  <c r="BR363"/>
  <c r="BR436"/>
  <c r="BR391"/>
  <c r="BR392"/>
  <c r="BR477"/>
  <c r="BR293"/>
  <c r="CP210"/>
  <c r="CP193"/>
  <c r="CP346"/>
  <c r="CP119"/>
  <c r="CP435"/>
  <c r="CP258"/>
  <c r="CP385"/>
  <c r="CP500"/>
  <c r="CP405"/>
  <c r="CP449"/>
  <c r="CP322"/>
  <c r="CP120"/>
  <c r="CP179"/>
  <c r="CP411"/>
  <c r="CP123"/>
  <c r="CP361"/>
  <c r="CP224"/>
  <c r="CP395"/>
  <c r="CP132"/>
  <c r="DB199"/>
  <c r="DB327"/>
  <c r="DB262"/>
  <c r="DB460"/>
  <c r="DB211"/>
  <c r="DB398"/>
  <c r="DB369"/>
  <c r="DB246"/>
  <c r="DB476"/>
  <c r="DB260"/>
  <c r="DB503"/>
  <c r="DB287"/>
  <c r="DB504"/>
  <c r="DB276"/>
  <c r="DB367"/>
  <c r="DB151"/>
  <c r="DB489"/>
  <c r="DB273"/>
  <c r="DB370"/>
  <c r="DB337"/>
  <c r="DN232"/>
  <c r="DN341"/>
  <c r="DN463"/>
  <c r="DN217"/>
  <c r="DN375"/>
  <c r="DN174"/>
  <c r="DN389"/>
  <c r="DN403"/>
  <c r="DN146"/>
  <c r="DN143"/>
  <c r="CP284"/>
  <c r="CP217"/>
  <c r="DN306"/>
  <c r="DN370"/>
  <c r="CP393"/>
  <c r="CP415"/>
  <c r="CP170"/>
  <c r="CP183"/>
  <c r="CP510"/>
  <c r="CP506"/>
  <c r="CP185"/>
  <c r="CP295"/>
  <c r="DN507"/>
  <c r="DN277"/>
  <c r="BR325"/>
  <c r="CP383"/>
  <c r="CP235"/>
  <c r="CP399"/>
  <c r="CP493"/>
  <c r="CP241"/>
  <c r="CP392"/>
  <c r="CP441"/>
  <c r="CP394"/>
  <c r="CP329"/>
  <c r="CP131"/>
  <c r="CP220"/>
  <c r="CP306"/>
  <c r="CP433"/>
  <c r="CP440"/>
  <c r="CP489"/>
  <c r="CP240"/>
  <c r="DB380"/>
  <c r="DN275"/>
  <c r="DN128"/>
  <c r="DN245"/>
  <c r="DN222"/>
  <c r="DN398"/>
  <c r="CP195"/>
  <c r="CP459"/>
  <c r="DN484"/>
  <c r="DN456"/>
  <c r="DN310"/>
  <c r="DN498"/>
  <c r="DN119"/>
  <c r="DN468"/>
  <c r="DN406"/>
  <c r="CP381"/>
  <c r="DN156"/>
  <c r="DN513"/>
  <c r="DN470"/>
  <c r="DN201"/>
  <c r="CP419"/>
  <c r="CP325"/>
  <c r="CP168"/>
  <c r="CP158"/>
  <c r="CP207"/>
  <c r="DN304"/>
  <c r="DN284"/>
  <c r="DN253"/>
  <c r="DN363"/>
  <c r="DN276"/>
  <c r="DN478"/>
  <c r="DN399"/>
  <c r="DN121"/>
  <c r="DN207"/>
  <c r="DN420"/>
  <c r="DN169"/>
  <c r="DN286"/>
  <c r="DN157"/>
  <c r="DN292"/>
  <c r="DN224"/>
  <c r="DN326"/>
  <c r="DN379"/>
  <c r="CP244"/>
  <c r="CP286"/>
  <c r="CP228"/>
  <c r="CP319"/>
  <c r="CP326"/>
  <c r="CP167"/>
  <c r="CP417"/>
  <c r="CP473"/>
  <c r="CP334"/>
  <c r="CP384"/>
  <c r="DN449"/>
  <c r="DN296"/>
  <c r="DN441"/>
  <c r="DN189"/>
  <c r="DN342"/>
  <c r="DN378"/>
  <c r="DN460"/>
  <c r="DN461"/>
  <c r="DN381"/>
  <c r="DN132"/>
  <c r="DN430"/>
  <c r="DN329"/>
  <c r="DN421"/>
  <c r="DN401"/>
  <c r="DN307"/>
  <c r="BR217"/>
  <c r="BR375"/>
  <c r="CP141"/>
  <c r="CP454"/>
  <c r="CP202"/>
  <c r="CP242"/>
  <c r="CP227"/>
  <c r="CP438"/>
  <c r="CP189"/>
  <c r="CP283"/>
  <c r="CP398"/>
  <c r="CP431"/>
  <c r="CP450"/>
  <c r="CP145"/>
  <c r="CP233"/>
  <c r="CP275"/>
  <c r="CP420"/>
  <c r="CP204"/>
  <c r="CP331"/>
  <c r="CP374"/>
  <c r="CP423"/>
  <c r="CP479"/>
  <c r="DB282"/>
  <c r="DN340"/>
  <c r="DN386"/>
  <c r="DN305"/>
  <c r="DN180"/>
  <c r="DN247"/>
  <c r="DN477"/>
  <c r="DN335"/>
  <c r="DN435"/>
  <c r="DN311"/>
  <c r="DN318"/>
  <c r="DN496"/>
  <c r="DN244"/>
  <c r="DN281"/>
  <c r="DN504"/>
  <c r="DN204"/>
  <c r="DN295"/>
  <c r="DN417"/>
  <c r="DN165"/>
  <c r="DN359"/>
  <c r="DN234"/>
  <c r="DN438"/>
  <c r="DN495"/>
  <c r="DN118"/>
  <c r="DN256"/>
  <c r="DN149"/>
  <c r="DN393"/>
  <c r="DN254"/>
  <c r="DN395"/>
  <c r="DN481"/>
  <c r="DN154"/>
  <c r="DN486"/>
  <c r="DN472"/>
  <c r="DN185"/>
  <c r="DN444"/>
  <c r="DN249"/>
  <c r="CP174"/>
  <c r="CP344"/>
  <c r="CP274"/>
  <c r="CP299"/>
  <c r="CP180"/>
  <c r="CP134"/>
  <c r="CP316"/>
  <c r="CP317"/>
  <c r="CP176"/>
  <c r="CP300"/>
  <c r="CP221"/>
  <c r="CP328"/>
  <c r="CP378"/>
  <c r="CP505"/>
  <c r="CP289"/>
  <c r="CP453"/>
  <c r="CP230"/>
  <c r="DN450"/>
  <c r="DN346"/>
  <c r="DN270"/>
  <c r="DN469"/>
  <c r="DN447"/>
  <c r="DN439"/>
  <c r="DN192"/>
  <c r="DN431"/>
  <c r="DN404"/>
  <c r="DN265"/>
  <c r="DN459"/>
  <c r="DN171"/>
  <c r="DN508"/>
  <c r="DN220"/>
  <c r="DN176"/>
  <c r="DN314"/>
  <c r="DN260"/>
  <c r="CP447"/>
  <c r="CP256"/>
  <c r="CP342"/>
  <c r="CP201"/>
  <c r="DN282"/>
  <c r="DN190"/>
  <c r="DN299"/>
  <c r="DN437"/>
  <c r="DN230"/>
  <c r="DN163"/>
  <c r="DN141"/>
  <c r="BR446"/>
  <c r="BR343"/>
  <c r="BR501"/>
  <c r="BR510"/>
  <c r="BR294"/>
  <c r="BR507"/>
  <c r="BR291"/>
  <c r="BR355"/>
  <c r="BR428"/>
  <c r="BR261"/>
  <c r="BR298"/>
  <c r="BR253"/>
  <c r="CP484"/>
  <c r="CP268"/>
  <c r="CP390"/>
  <c r="CP481"/>
  <c r="CP229"/>
  <c r="CP416"/>
  <c r="CP321"/>
  <c r="CP324"/>
  <c r="CP487"/>
  <c r="CP271"/>
  <c r="CP458"/>
  <c r="CP206"/>
  <c r="CP363"/>
  <c r="CP208"/>
  <c r="CP402"/>
  <c r="CP464"/>
  <c r="CP212"/>
  <c r="CP369"/>
  <c r="CP117"/>
  <c r="CP502"/>
  <c r="CP214"/>
  <c r="CP155"/>
  <c r="CP336"/>
  <c r="CP499"/>
  <c r="CP247"/>
  <c r="CP434"/>
  <c r="CP182"/>
  <c r="CP293"/>
  <c r="CP400"/>
  <c r="CP270"/>
  <c r="CP253"/>
  <c r="CP404"/>
  <c r="CP116"/>
  <c r="CP305"/>
  <c r="CP370"/>
  <c r="CP118"/>
  <c r="CP511"/>
  <c r="CP223"/>
  <c r="CP338"/>
  <c r="CP495"/>
  <c r="CP243"/>
  <c r="DB120"/>
  <c r="DB510"/>
  <c r="DB200"/>
  <c r="DB351"/>
  <c r="DN124"/>
  <c r="DN413"/>
  <c r="DN492"/>
  <c r="DN153"/>
  <c r="DN133"/>
  <c r="DN455"/>
  <c r="DN239"/>
  <c r="DN290"/>
  <c r="DN354"/>
  <c r="DN505"/>
  <c r="DN289"/>
  <c r="DN267"/>
  <c r="DN446"/>
  <c r="DN316"/>
  <c r="DN216"/>
  <c r="DN511"/>
  <c r="DN223"/>
  <c r="DN453"/>
  <c r="DN237"/>
  <c r="DN414"/>
  <c r="DN502"/>
  <c r="DN250"/>
  <c r="DN330"/>
  <c r="DN409"/>
  <c r="DN193"/>
  <c r="DN226"/>
  <c r="DN407"/>
  <c r="DN457"/>
  <c r="DN436"/>
  <c r="DN199"/>
  <c r="DN177"/>
  <c r="DN350"/>
  <c r="DN332"/>
  <c r="DN315"/>
  <c r="DN257"/>
  <c r="DN356"/>
  <c r="DN451"/>
  <c r="DN235"/>
  <c r="DN285"/>
  <c r="DN422"/>
  <c r="BR324"/>
  <c r="BR321"/>
  <c r="BR395"/>
  <c r="BR444"/>
  <c r="BR441"/>
  <c r="BR225"/>
  <c r="BR334"/>
  <c r="BR473"/>
  <c r="BR306"/>
  <c r="BR470"/>
  <c r="CP467"/>
  <c r="CP354"/>
  <c r="CP138"/>
  <c r="CP301"/>
  <c r="CP272"/>
  <c r="CP465"/>
  <c r="CP249"/>
  <c r="CP335"/>
  <c r="CP360"/>
  <c r="CP278"/>
  <c r="CP471"/>
  <c r="CP255"/>
  <c r="CP347"/>
  <c r="CP366"/>
  <c r="CP313"/>
  <c r="CP125"/>
  <c r="CP320"/>
  <c r="CP513"/>
  <c r="CP297"/>
  <c r="CP466"/>
  <c r="CP250"/>
  <c r="CP156"/>
  <c r="CP355"/>
  <c r="CP139"/>
  <c r="CP362"/>
  <c r="CP146"/>
  <c r="CP303"/>
  <c r="CP461"/>
  <c r="CP251"/>
  <c r="CP414"/>
  <c r="CP181"/>
  <c r="CP368"/>
  <c r="CP152"/>
  <c r="CP345"/>
  <c r="CP129"/>
  <c r="CP514"/>
  <c r="CP298"/>
  <c r="CP475"/>
  <c r="CP259"/>
  <c r="CP410"/>
  <c r="CP194"/>
  <c r="CP387"/>
  <c r="CP171"/>
  <c r="CP161"/>
  <c r="DB240"/>
  <c r="DB330"/>
  <c r="DB373"/>
  <c r="DB344"/>
  <c r="DB128"/>
  <c r="DB232"/>
  <c r="DN412"/>
  <c r="DN196"/>
  <c r="DN499"/>
  <c r="DN188"/>
  <c r="DN333"/>
  <c r="DN117"/>
  <c r="DN241"/>
  <c r="DN490"/>
  <c r="DN274"/>
  <c r="DN411"/>
  <c r="DN195"/>
  <c r="DN116"/>
  <c r="DN183"/>
  <c r="DN425"/>
  <c r="DN209"/>
  <c r="DN164"/>
  <c r="DN324"/>
  <c r="DN475"/>
  <c r="DN259"/>
  <c r="DN312"/>
  <c r="DN158"/>
  <c r="DN394"/>
  <c r="DN178"/>
  <c r="DN467"/>
  <c r="DN251"/>
  <c r="DN200"/>
  <c r="DN506"/>
  <c r="DN351"/>
  <c r="DN135"/>
  <c r="DN298"/>
  <c r="DN168"/>
  <c r="DN155"/>
  <c r="DN471"/>
  <c r="DN400"/>
  <c r="DN509"/>
  <c r="DN372"/>
  <c r="DN487"/>
  <c r="DN271"/>
  <c r="DN134"/>
  <c r="DN147"/>
  <c r="BJ229"/>
  <c r="BJ265"/>
  <c r="BJ301"/>
  <c r="BJ337"/>
  <c r="BJ373"/>
  <c r="BJ409"/>
  <c r="BJ445"/>
  <c r="BJ481"/>
  <c r="BJ234"/>
  <c r="BJ270"/>
  <c r="BJ306"/>
  <c r="BJ342"/>
  <c r="BJ378"/>
  <c r="BJ414"/>
  <c r="BJ450"/>
  <c r="BJ311"/>
  <c r="BJ477"/>
  <c r="BJ327"/>
  <c r="BJ309"/>
  <c r="BJ380"/>
  <c r="BJ232"/>
  <c r="BJ448"/>
  <c r="BJ303"/>
  <c r="BJ242"/>
  <c r="BJ458"/>
  <c r="BJ364"/>
  <c r="BJ363"/>
  <c r="BJ374"/>
  <c r="BJ496"/>
  <c r="BJ279"/>
  <c r="BJ495"/>
  <c r="BJ290"/>
  <c r="BJ506"/>
  <c r="BJ223"/>
  <c r="BJ259"/>
  <c r="BJ295"/>
  <c r="BJ331"/>
  <c r="BJ367"/>
  <c r="BJ403"/>
  <c r="BJ439"/>
  <c r="BJ475"/>
  <c r="BJ511"/>
  <c r="BJ228"/>
  <c r="BJ264"/>
  <c r="BJ300"/>
  <c r="BJ336"/>
  <c r="BJ372"/>
  <c r="BJ408"/>
  <c r="BJ444"/>
  <c r="BJ480"/>
  <c r="BJ233"/>
  <c r="BJ269"/>
  <c r="BJ305"/>
  <c r="BJ341"/>
  <c r="BJ377"/>
  <c r="BJ413"/>
  <c r="BJ449"/>
  <c r="BJ485"/>
  <c r="BJ250"/>
  <c r="BJ322"/>
  <c r="BJ394"/>
  <c r="BJ466"/>
  <c r="BJ249"/>
  <c r="BJ321"/>
  <c r="BJ393"/>
  <c r="BJ465"/>
  <c r="BJ248"/>
  <c r="BJ320"/>
  <c r="BJ392"/>
  <c r="BJ464"/>
  <c r="BJ244"/>
  <c r="BJ388"/>
  <c r="BJ243"/>
  <c r="BJ398"/>
  <c r="BJ452"/>
  <c r="BJ376"/>
  <c r="BJ375"/>
  <c r="BJ314"/>
  <c r="BJ436"/>
  <c r="BJ219"/>
  <c r="BJ435"/>
  <c r="BJ446"/>
  <c r="BJ351"/>
  <c r="BJ434"/>
  <c r="BJ217"/>
  <c r="BJ253"/>
  <c r="BJ289"/>
  <c r="BJ325"/>
  <c r="BJ361"/>
  <c r="BJ397"/>
  <c r="BJ433"/>
  <c r="BJ469"/>
  <c r="BJ505"/>
  <c r="BJ222"/>
  <c r="BJ258"/>
  <c r="BJ294"/>
  <c r="BJ330"/>
  <c r="BJ366"/>
  <c r="BJ402"/>
  <c r="BJ438"/>
  <c r="BJ474"/>
  <c r="BJ510"/>
  <c r="BJ227"/>
  <c r="BJ263"/>
  <c r="BJ299"/>
  <c r="BJ335"/>
  <c r="BJ371"/>
  <c r="BJ407"/>
  <c r="BJ443"/>
  <c r="BJ479"/>
  <c r="BJ238"/>
  <c r="BJ310"/>
  <c r="BJ382"/>
  <c r="BJ454"/>
  <c r="BJ237"/>
  <c r="BJ453"/>
  <c r="BJ236"/>
  <c r="BJ423"/>
  <c r="BJ362"/>
  <c r="BJ247"/>
  <c r="BJ283"/>
  <c r="BJ319"/>
  <c r="BJ355"/>
  <c r="BJ391"/>
  <c r="BJ427"/>
  <c r="BJ463"/>
  <c r="BJ499"/>
  <c r="BJ216"/>
  <c r="BJ252"/>
  <c r="BJ288"/>
  <c r="BJ324"/>
  <c r="BJ360"/>
  <c r="BJ396"/>
  <c r="BJ432"/>
  <c r="BJ468"/>
  <c r="BJ504"/>
  <c r="BJ221"/>
  <c r="BJ257"/>
  <c r="BJ293"/>
  <c r="BJ329"/>
  <c r="BJ365"/>
  <c r="BJ401"/>
  <c r="BJ437"/>
  <c r="BJ473"/>
  <c r="BJ509"/>
  <c r="BJ226"/>
  <c r="BJ298"/>
  <c r="BJ370"/>
  <c r="BJ442"/>
  <c r="BJ514"/>
  <c r="BJ225"/>
  <c r="BJ297"/>
  <c r="BJ369"/>
  <c r="BJ441"/>
  <c r="BJ513"/>
  <c r="BJ224"/>
  <c r="BJ296"/>
  <c r="BJ368"/>
  <c r="BJ440"/>
  <c r="BJ512"/>
  <c r="BJ292"/>
  <c r="BJ230"/>
  <c r="BJ241"/>
  <c r="BJ277"/>
  <c r="BJ313"/>
  <c r="BJ349"/>
  <c r="BJ385"/>
  <c r="BJ421"/>
  <c r="BJ457"/>
  <c r="BJ493"/>
  <c r="BJ246"/>
  <c r="BJ282"/>
  <c r="BJ318"/>
  <c r="BJ354"/>
  <c r="BJ390"/>
  <c r="BJ426"/>
  <c r="BJ462"/>
  <c r="BJ498"/>
  <c r="BJ251"/>
  <c r="BJ287"/>
  <c r="BJ323"/>
  <c r="BJ359"/>
  <c r="BJ395"/>
  <c r="BJ431"/>
  <c r="BJ467"/>
  <c r="BJ503"/>
  <c r="BJ286"/>
  <c r="BJ358"/>
  <c r="BJ430"/>
  <c r="BJ502"/>
  <c r="BJ285"/>
  <c r="BJ357"/>
  <c r="BJ429"/>
  <c r="BJ501"/>
  <c r="BJ284"/>
  <c r="BJ356"/>
  <c r="BJ428"/>
  <c r="BJ500"/>
  <c r="BJ280"/>
  <c r="BJ352"/>
  <c r="BJ424"/>
  <c r="BJ218"/>
  <c r="BJ235"/>
  <c r="BJ271"/>
  <c r="BJ307"/>
  <c r="BJ343"/>
  <c r="BJ379"/>
  <c r="BJ415"/>
  <c r="BJ451"/>
  <c r="BJ487"/>
  <c r="BJ240"/>
  <c r="BJ276"/>
  <c r="BJ312"/>
  <c r="BJ348"/>
  <c r="BJ384"/>
  <c r="BJ420"/>
  <c r="BJ456"/>
  <c r="BJ492"/>
  <c r="BJ245"/>
  <c r="BJ281"/>
  <c r="BJ317"/>
  <c r="BJ353"/>
  <c r="BJ389"/>
  <c r="BJ425"/>
  <c r="BJ461"/>
  <c r="BJ497"/>
  <c r="BJ274"/>
  <c r="BJ346"/>
  <c r="BJ418"/>
  <c r="BJ490"/>
  <c r="BJ273"/>
  <c r="BJ345"/>
  <c r="BJ417"/>
  <c r="BJ489"/>
  <c r="BJ272"/>
  <c r="BJ344"/>
  <c r="BJ416"/>
  <c r="BJ488"/>
  <c r="BJ268"/>
  <c r="BJ340"/>
  <c r="BJ412"/>
  <c r="BJ484"/>
  <c r="BJ267"/>
  <c r="BJ339"/>
  <c r="BJ411"/>
  <c r="BJ483"/>
  <c r="BJ278"/>
  <c r="BJ350"/>
  <c r="BJ422"/>
  <c r="BJ494"/>
  <c r="BJ486"/>
  <c r="BJ239"/>
  <c r="BJ275"/>
  <c r="BJ347"/>
  <c r="BJ383"/>
  <c r="BJ419"/>
  <c r="BJ455"/>
  <c r="BJ491"/>
  <c r="BJ262"/>
  <c r="BJ334"/>
  <c r="BJ406"/>
  <c r="BJ478"/>
  <c r="BJ261"/>
  <c r="BJ333"/>
  <c r="BJ405"/>
  <c r="BJ260"/>
  <c r="BJ332"/>
  <c r="BJ404"/>
  <c r="BJ476"/>
  <c r="BJ256"/>
  <c r="BJ328"/>
  <c r="BJ400"/>
  <c r="BJ472"/>
  <c r="BJ255"/>
  <c r="BJ399"/>
  <c r="BJ471"/>
  <c r="BJ266"/>
  <c r="BJ338"/>
  <c r="BJ410"/>
  <c r="BJ482"/>
  <c r="BJ316"/>
  <c r="BJ460"/>
  <c r="BJ315"/>
  <c r="BJ387"/>
  <c r="BJ459"/>
  <c r="BJ254"/>
  <c r="BJ326"/>
  <c r="BJ470"/>
  <c r="BJ381"/>
  <c r="BJ308"/>
  <c r="BJ304"/>
  <c r="BJ231"/>
  <c r="BJ447"/>
  <c r="BJ386"/>
  <c r="BJ220"/>
  <c r="BJ508"/>
  <c r="BJ291"/>
  <c r="BJ507"/>
  <c r="BJ302"/>
  <c r="DI14" i="1"/>
  <c r="DI15"/>
  <c r="DI9"/>
  <c r="DI16"/>
  <c r="DI10"/>
  <c r="DI17"/>
  <c r="DI11"/>
  <c r="DI18"/>
  <c r="DI12"/>
  <c r="DI19"/>
  <c r="AX11" i="10"/>
  <c r="BJ35" i="12"/>
  <c r="DD195"/>
  <c r="BJ70"/>
  <c r="BJ178"/>
  <c r="BJ174"/>
  <c r="BJ123"/>
  <c r="BJ21"/>
  <c r="BJ78"/>
  <c r="BJ131"/>
  <c r="BJ171"/>
  <c r="BJ36"/>
  <c r="BJ193"/>
  <c r="BJ140"/>
  <c r="BJ108"/>
  <c r="BJ19"/>
  <c r="BJ29"/>
  <c r="BJ77"/>
  <c r="BJ95"/>
  <c r="BJ209"/>
  <c r="BJ200"/>
  <c r="BJ48"/>
  <c r="BJ153"/>
  <c r="BJ161"/>
  <c r="BJ215"/>
  <c r="BJ18"/>
  <c r="BJ166"/>
  <c r="BJ135"/>
  <c r="BJ20"/>
  <c r="BJ199"/>
  <c r="BJ88"/>
  <c r="DP131"/>
  <c r="BJ104"/>
  <c r="BJ52"/>
  <c r="BJ162"/>
  <c r="BJ168"/>
  <c r="BJ147"/>
  <c r="BJ23"/>
  <c r="BJ67"/>
  <c r="BJ132"/>
  <c r="BJ183"/>
  <c r="BJ60"/>
  <c r="BJ201"/>
  <c r="BJ105"/>
  <c r="BJ112"/>
  <c r="BJ91"/>
  <c r="BJ126"/>
  <c r="BJ145"/>
  <c r="BJ68"/>
  <c r="BJ136"/>
  <c r="BJ133"/>
  <c r="BJ45"/>
  <c r="BJ93"/>
  <c r="BJ84"/>
  <c r="BJ167"/>
  <c r="BJ116"/>
  <c r="BJ186"/>
  <c r="BJ181"/>
  <c r="BJ192"/>
  <c r="BJ71"/>
  <c r="BJ204"/>
  <c r="BJ122"/>
  <c r="BJ197"/>
  <c r="BJ94"/>
  <c r="BJ26"/>
  <c r="BJ173"/>
  <c r="BJ100"/>
  <c r="DD142"/>
  <c r="BJ177"/>
  <c r="BJ39"/>
  <c r="BJ134"/>
  <c r="BJ211"/>
  <c r="BJ54"/>
  <c r="BJ27"/>
  <c r="BJ154"/>
  <c r="BJ138"/>
  <c r="BJ69"/>
  <c r="BJ44"/>
  <c r="BJ46"/>
  <c r="BJ179"/>
  <c r="BJ40"/>
  <c r="BJ214"/>
  <c r="BJ152"/>
  <c r="BJ24"/>
  <c r="BJ49"/>
  <c r="BJ17"/>
  <c r="BJ30"/>
  <c r="BJ109"/>
  <c r="BJ61"/>
  <c r="BJ56"/>
  <c r="BJ198"/>
  <c r="BJ62"/>
  <c r="BJ124"/>
  <c r="BJ73"/>
  <c r="CR150"/>
  <c r="BJ113"/>
  <c r="BJ42"/>
  <c r="BJ79"/>
  <c r="BJ155"/>
  <c r="BJ28"/>
  <c r="BJ189"/>
  <c r="BJ148"/>
  <c r="BJ107"/>
  <c r="BJ202"/>
  <c r="BJ96"/>
  <c r="BJ114"/>
  <c r="BJ53"/>
  <c r="BJ99"/>
  <c r="BJ196"/>
  <c r="BJ47"/>
  <c r="BJ191"/>
  <c r="BJ130"/>
  <c r="BJ55"/>
  <c r="BJ121"/>
  <c r="BJ149"/>
  <c r="BJ144"/>
  <c r="BJ66"/>
  <c r="BJ195"/>
  <c r="BJ41"/>
  <c r="BJ128"/>
  <c r="BJ125"/>
  <c r="BJ127"/>
  <c r="BJ37"/>
  <c r="BJ97"/>
  <c r="BJ208"/>
  <c r="BJ172"/>
  <c r="BJ34"/>
  <c r="BJ120"/>
  <c r="BJ176"/>
  <c r="BJ156"/>
  <c r="BJ184"/>
  <c r="BJ194"/>
  <c r="BJ98"/>
  <c r="BJ137"/>
  <c r="BJ64"/>
  <c r="BJ90"/>
  <c r="BJ72"/>
  <c r="BJ165"/>
  <c r="BJ57"/>
  <c r="BJ158"/>
  <c r="BJ16"/>
  <c r="BJ38"/>
  <c r="BJ119"/>
  <c r="BJ212"/>
  <c r="BJ110"/>
  <c r="BJ188"/>
  <c r="BJ163"/>
  <c r="BJ175"/>
  <c r="BJ206"/>
  <c r="BJ82"/>
  <c r="BJ92"/>
  <c r="BJ59"/>
  <c r="BJ169"/>
  <c r="BJ210"/>
  <c r="BJ118"/>
  <c r="BJ32"/>
  <c r="BJ106"/>
  <c r="BJ207"/>
  <c r="BJ89"/>
  <c r="BJ160"/>
  <c r="BJ83"/>
  <c r="BJ141"/>
  <c r="BJ139"/>
  <c r="DD214"/>
  <c r="BJ22"/>
  <c r="BJ87"/>
  <c r="BJ51"/>
  <c r="BJ164"/>
  <c r="BJ81"/>
  <c r="BJ43"/>
  <c r="BJ185"/>
  <c r="BJ205"/>
  <c r="BJ101"/>
  <c r="BJ25"/>
  <c r="BJ190"/>
  <c r="BJ33"/>
  <c r="BJ142"/>
  <c r="BJ150"/>
  <c r="BJ115"/>
  <c r="BJ102"/>
  <c r="BJ31"/>
  <c r="BJ85"/>
  <c r="BJ111"/>
  <c r="BJ187"/>
  <c r="BJ86"/>
  <c r="BJ103"/>
  <c r="BJ50"/>
  <c r="BJ63"/>
  <c r="BJ182"/>
  <c r="BJ170"/>
  <c r="BJ80"/>
  <c r="BJ180"/>
  <c r="BJ146"/>
  <c r="BJ203"/>
  <c r="BJ75"/>
  <c r="BJ129"/>
  <c r="BJ58"/>
  <c r="BJ76"/>
  <c r="BJ157"/>
  <c r="BJ213"/>
  <c r="BJ143"/>
  <c r="BJ74"/>
  <c r="BJ65"/>
  <c r="BJ159"/>
  <c r="BJ117"/>
  <c r="BJ151"/>
  <c r="AF8" l="1" a="1"/>
  <c r="AF10" s="1"/>
  <c r="AE41" i="1"/>
  <c r="AE40"/>
  <c r="DN70" i="12"/>
  <c r="DN55"/>
  <c r="DN32"/>
  <c r="DN41"/>
  <c r="DN52"/>
  <c r="DN97"/>
  <c r="DN47"/>
  <c r="DN38"/>
  <c r="DN27"/>
  <c r="DN85"/>
  <c r="DN26"/>
  <c r="DN71"/>
  <c r="DN100"/>
  <c r="DN56"/>
  <c r="DN90"/>
  <c r="DN40"/>
  <c r="DN73"/>
  <c r="DN59"/>
  <c r="DN88"/>
  <c r="DN15"/>
  <c r="DN25"/>
  <c r="DN81"/>
  <c r="DN83"/>
  <c r="DN19"/>
  <c r="DN58"/>
  <c r="DN49"/>
  <c r="DN35"/>
  <c r="DN34"/>
  <c r="DN42"/>
  <c r="DN54"/>
  <c r="DN108"/>
  <c r="DN68"/>
  <c r="DN37"/>
  <c r="DN23"/>
  <c r="DN80"/>
  <c r="DN45"/>
  <c r="DN103"/>
  <c r="DN98"/>
  <c r="DN89"/>
  <c r="DN74"/>
  <c r="DN96"/>
  <c r="DN102"/>
  <c r="DN64"/>
  <c r="DN114"/>
  <c r="DN93"/>
  <c r="DN86"/>
  <c r="DN66"/>
  <c r="DN112"/>
  <c r="DN67"/>
  <c r="DN92"/>
  <c r="DN53"/>
  <c r="DN76"/>
  <c r="DN105"/>
  <c r="DN18"/>
  <c r="DN111"/>
  <c r="DN72"/>
  <c r="DN78"/>
  <c r="DN57"/>
  <c r="DN115"/>
  <c r="DN101"/>
  <c r="DN39"/>
  <c r="DN36"/>
  <c r="DN30"/>
  <c r="DN84"/>
  <c r="DN28"/>
  <c r="DN31"/>
  <c r="DN17"/>
  <c r="DN69"/>
  <c r="DN113"/>
  <c r="DN22"/>
  <c r="DN24"/>
  <c r="DN99"/>
  <c r="DN110"/>
  <c r="DN21"/>
  <c r="DN79"/>
  <c r="DN65"/>
  <c r="DN94"/>
  <c r="DN62"/>
  <c r="DN87"/>
  <c r="DN50"/>
  <c r="DN75"/>
  <c r="DN48"/>
  <c r="DN20"/>
  <c r="DN33"/>
  <c r="DN91"/>
  <c r="DN44"/>
  <c r="DN77"/>
  <c r="DN106"/>
  <c r="DN63"/>
  <c r="DN107"/>
  <c r="DN82"/>
  <c r="DN46"/>
  <c r="DN43"/>
  <c r="DN29"/>
  <c r="DN16"/>
  <c r="DN61"/>
  <c r="DN51"/>
  <c r="DN109"/>
  <c r="DN95"/>
  <c r="DN104"/>
  <c r="DN60"/>
  <c r="DB34"/>
  <c r="DB99"/>
  <c r="DB56"/>
  <c r="DB114"/>
  <c r="DB28"/>
  <c r="DB93"/>
  <c r="DB50"/>
  <c r="DB96"/>
  <c r="DB70"/>
  <c r="DB37"/>
  <c r="DB101"/>
  <c r="DB15"/>
  <c r="DB110"/>
  <c r="DB31"/>
  <c r="DB89"/>
  <c r="DB84"/>
  <c r="DB61"/>
  <c r="DB29"/>
  <c r="DB91"/>
  <c r="DB72"/>
  <c r="DB16"/>
  <c r="DB63"/>
  <c r="DB113"/>
  <c r="DB57"/>
  <c r="DB22"/>
  <c r="DB80"/>
  <c r="DB66"/>
  <c r="DB58"/>
  <c r="DB74"/>
  <c r="DB48"/>
  <c r="DB104"/>
  <c r="DB25"/>
  <c r="DB71"/>
  <c r="DB60"/>
  <c r="DB55"/>
  <c r="DB35"/>
  <c r="DB27"/>
  <c r="DB100"/>
  <c r="DB23"/>
  <c r="DB21"/>
  <c r="DB115"/>
  <c r="DB88"/>
  <c r="DB95"/>
  <c r="DB87"/>
  <c r="DB38"/>
  <c r="DB78"/>
  <c r="DB81"/>
  <c r="DB54"/>
  <c r="DB46"/>
  <c r="DB111"/>
  <c r="DB68"/>
  <c r="DB30"/>
  <c r="DB106"/>
  <c r="DB98"/>
  <c r="DB19"/>
  <c r="DB53"/>
  <c r="DB85"/>
  <c r="DB36"/>
  <c r="DB107"/>
  <c r="DB79"/>
  <c r="DB77"/>
  <c r="DB51"/>
  <c r="DB83"/>
  <c r="DB45"/>
  <c r="DB75"/>
  <c r="DB24"/>
  <c r="DB40"/>
  <c r="DB105"/>
  <c r="DB62"/>
  <c r="DB32"/>
  <c r="DB42"/>
  <c r="DB49"/>
  <c r="DB18"/>
  <c r="DB43"/>
  <c r="DB109"/>
  <c r="DB76"/>
  <c r="DB103"/>
  <c r="DB64"/>
  <c r="DB65"/>
  <c r="DB39"/>
  <c r="DB69"/>
  <c r="DB20"/>
  <c r="DB94"/>
  <c r="DB92"/>
  <c r="DB44"/>
  <c r="DB17"/>
  <c r="DB82"/>
  <c r="DB86"/>
  <c r="DB26"/>
  <c r="DB90"/>
  <c r="DB73"/>
  <c r="DB59"/>
  <c r="DB102"/>
  <c r="DB67"/>
  <c r="DB41"/>
  <c r="DB97"/>
  <c r="DB108"/>
  <c r="DB52"/>
  <c r="DB47"/>
  <c r="DB33"/>
  <c r="DB112"/>
  <c r="CP32"/>
  <c r="CP46"/>
  <c r="CP20"/>
  <c r="CP40"/>
  <c r="CP67"/>
  <c r="CP106"/>
  <c r="CP15"/>
  <c r="CP61"/>
  <c r="CP100"/>
  <c r="CP89"/>
  <c r="CP39"/>
  <c r="CP91"/>
  <c r="CP47"/>
  <c r="CP69"/>
  <c r="CP30"/>
  <c r="CP86"/>
  <c r="CP35"/>
  <c r="CP96"/>
  <c r="CP80"/>
  <c r="CP90"/>
  <c r="CP31"/>
  <c r="CP29"/>
  <c r="CP70"/>
  <c r="CP25"/>
  <c r="CP64"/>
  <c r="CP55"/>
  <c r="CP94"/>
  <c r="CP65"/>
  <c r="CP33"/>
  <c r="CP85"/>
  <c r="CP17"/>
  <c r="CP99"/>
  <c r="CP50"/>
  <c r="CP60"/>
  <c r="CP93"/>
  <c r="CP38"/>
  <c r="CP54"/>
  <c r="CP110"/>
  <c r="CP34"/>
  <c r="CP104"/>
  <c r="CP114"/>
  <c r="CP28"/>
  <c r="CP19"/>
  <c r="CP58"/>
  <c r="CP49"/>
  <c r="CP101"/>
  <c r="CP88"/>
  <c r="CP63"/>
  <c r="CP115"/>
  <c r="CP24"/>
  <c r="CP57"/>
  <c r="CP109"/>
  <c r="CP18"/>
  <c r="CP74"/>
  <c r="CP84"/>
  <c r="CP71"/>
  <c r="CP68"/>
  <c r="CP78"/>
  <c r="CP98"/>
  <c r="CP95"/>
  <c r="CP108"/>
  <c r="CP22"/>
  <c r="CP44"/>
  <c r="CP52"/>
  <c r="CP41"/>
  <c r="CP27"/>
  <c r="CP79"/>
  <c r="CP23"/>
  <c r="CP21"/>
  <c r="CP73"/>
  <c r="CP112"/>
  <c r="CP87"/>
  <c r="CP26"/>
  <c r="CP48"/>
  <c r="CP81"/>
  <c r="CP42"/>
  <c r="CP111"/>
  <c r="CP62"/>
  <c r="CP72"/>
  <c r="CP92"/>
  <c r="CP59"/>
  <c r="CP102"/>
  <c r="CP16"/>
  <c r="CP43"/>
  <c r="CP83"/>
  <c r="CP82"/>
  <c r="CP37"/>
  <c r="CP53"/>
  <c r="CP76"/>
  <c r="CP51"/>
  <c r="CP103"/>
  <c r="CP113"/>
  <c r="CP107"/>
  <c r="CP45"/>
  <c r="CP97"/>
  <c r="CP77"/>
  <c r="CP75"/>
  <c r="CP36"/>
  <c r="CP105"/>
  <c r="CP56"/>
  <c r="CP66"/>
  <c r="BR88"/>
  <c r="BR195"/>
  <c r="BR146"/>
  <c r="BR73"/>
  <c r="BR143"/>
  <c r="BR76"/>
  <c r="BR153"/>
  <c r="BR104"/>
  <c r="BR31"/>
  <c r="BR65"/>
  <c r="BR90"/>
  <c r="BR112"/>
  <c r="BR183"/>
  <c r="BR134"/>
  <c r="BR61"/>
  <c r="BR125"/>
  <c r="BR210"/>
  <c r="BR148"/>
  <c r="BR213"/>
  <c r="BR164"/>
  <c r="BR91"/>
  <c r="BR78"/>
  <c r="BR161"/>
  <c r="BR35"/>
  <c r="BR72"/>
  <c r="BR27"/>
  <c r="BR194"/>
  <c r="BR121"/>
  <c r="BR191"/>
  <c r="BR101"/>
  <c r="BR174"/>
  <c r="BR57"/>
  <c r="BR151"/>
  <c r="BR130"/>
  <c r="BR40"/>
  <c r="BR159"/>
  <c r="BR110"/>
  <c r="BR37"/>
  <c r="BR77"/>
  <c r="BR108"/>
  <c r="BR34"/>
  <c r="BR117"/>
  <c r="BR68"/>
  <c r="BR211"/>
  <c r="BR138"/>
  <c r="BR70"/>
  <c r="BR147"/>
  <c r="BR98"/>
  <c r="BR25"/>
  <c r="BR53"/>
  <c r="BR66"/>
  <c r="BR106"/>
  <c r="BR177"/>
  <c r="BR128"/>
  <c r="BR55"/>
  <c r="BR119"/>
  <c r="BR192"/>
  <c r="BR142"/>
  <c r="BR207"/>
  <c r="BR158"/>
  <c r="BR85"/>
  <c r="BR36"/>
  <c r="BR155"/>
  <c r="BR23"/>
  <c r="BR54"/>
  <c r="BR21"/>
  <c r="BR188"/>
  <c r="BR115"/>
  <c r="BR198"/>
  <c r="BR185"/>
  <c r="BR89"/>
  <c r="BR83"/>
  <c r="BR123"/>
  <c r="BR74"/>
  <c r="BR162"/>
  <c r="BR41"/>
  <c r="BR81"/>
  <c r="BR175"/>
  <c r="BR18"/>
  <c r="BR178"/>
  <c r="BR28"/>
  <c r="BR111"/>
  <c r="BR62"/>
  <c r="BR205"/>
  <c r="BR120"/>
  <c r="BR214"/>
  <c r="BR64"/>
  <c r="BR141"/>
  <c r="BR92"/>
  <c r="BR19"/>
  <c r="BR29"/>
  <c r="BR48"/>
  <c r="BR100"/>
  <c r="BR171"/>
  <c r="BR122"/>
  <c r="BR49"/>
  <c r="BR107"/>
  <c r="BR168"/>
  <c r="BR136"/>
  <c r="BR201"/>
  <c r="BR152"/>
  <c r="BR79"/>
  <c r="BR149"/>
  <c r="BR150"/>
  <c r="BR87"/>
  <c r="BR38"/>
  <c r="BR181"/>
  <c r="BR42"/>
  <c r="BR184"/>
  <c r="BR132"/>
  <c r="BR45"/>
  <c r="BR212"/>
  <c r="BR139"/>
  <c r="BR209"/>
  <c r="BR52"/>
  <c r="BR17"/>
  <c r="BR75"/>
  <c r="BR169"/>
  <c r="BR172"/>
  <c r="BR22"/>
  <c r="BR105"/>
  <c r="BR56"/>
  <c r="BR199"/>
  <c r="BR102"/>
  <c r="BR208"/>
  <c r="BR58"/>
  <c r="BR135"/>
  <c r="BR86"/>
  <c r="BR32"/>
  <c r="BR30"/>
  <c r="BR94"/>
  <c r="BR165"/>
  <c r="BR116"/>
  <c r="BR43"/>
  <c r="BR95"/>
  <c r="BR144"/>
  <c r="BR24"/>
  <c r="BR51"/>
  <c r="BR145"/>
  <c r="BR215"/>
  <c r="BR82"/>
  <c r="BR26"/>
  <c r="BR196"/>
  <c r="BR176"/>
  <c r="BR103"/>
  <c r="BR156"/>
  <c r="BR173"/>
  <c r="BR59"/>
  <c r="BR114"/>
  <c r="BR39"/>
  <c r="BR206"/>
  <c r="BR133"/>
  <c r="BR203"/>
  <c r="BR137"/>
  <c r="BR69"/>
  <c r="BR163"/>
  <c r="BR166"/>
  <c r="BR16"/>
  <c r="BR99"/>
  <c r="BR50"/>
  <c r="BR193"/>
  <c r="BR84"/>
  <c r="BR202"/>
  <c r="BR46"/>
  <c r="BR129"/>
  <c r="BR80"/>
  <c r="BR186"/>
  <c r="BR20"/>
  <c r="BR124"/>
  <c r="BR182"/>
  <c r="BR109"/>
  <c r="BR180"/>
  <c r="BR179"/>
  <c r="BR71"/>
  <c r="BR15"/>
  <c r="BR118"/>
  <c r="BR189"/>
  <c r="BR140"/>
  <c r="BR67"/>
  <c r="BR131"/>
  <c r="BR160"/>
  <c r="BR170"/>
  <c r="BR97"/>
  <c r="BR126"/>
  <c r="BR167"/>
  <c r="BR47"/>
  <c r="BR96"/>
  <c r="BR33"/>
  <c r="BR200"/>
  <c r="BR127"/>
  <c r="BR197"/>
  <c r="BR113"/>
  <c r="BR204"/>
  <c r="BR63"/>
  <c r="BR157"/>
  <c r="BR154"/>
  <c r="BR93"/>
  <c r="BR44"/>
  <c r="BR187"/>
  <c r="BR60"/>
  <c r="BR190"/>
  <c r="CD42"/>
  <c r="CD69"/>
  <c r="CD181"/>
  <c r="CD106"/>
  <c r="CD24"/>
  <c r="CD63"/>
  <c r="CD175"/>
  <c r="CD215"/>
  <c r="CD100"/>
  <c r="CD101"/>
  <c r="CD129"/>
  <c r="CD92"/>
  <c r="CD25"/>
  <c r="CD178"/>
  <c r="CD159"/>
  <c r="CD172"/>
  <c r="CD58"/>
  <c r="CD81"/>
  <c r="CD116"/>
  <c r="CD49"/>
  <c r="CD18"/>
  <c r="CD19"/>
  <c r="CD202"/>
  <c r="CD78"/>
  <c r="CD59"/>
  <c r="CD111"/>
  <c r="CD74"/>
  <c r="CD154"/>
  <c r="CD38"/>
  <c r="CD33"/>
  <c r="CD212"/>
  <c r="CD145"/>
  <c r="CD192"/>
  <c r="CD185"/>
  <c r="CD119"/>
  <c r="CD27"/>
  <c r="CD206"/>
  <c r="CD139"/>
  <c r="CD186"/>
  <c r="CD179"/>
  <c r="CD83"/>
  <c r="CD93"/>
  <c r="CD56"/>
  <c r="CD205"/>
  <c r="CD136"/>
  <c r="CD123"/>
  <c r="CD194"/>
  <c r="CD199"/>
  <c r="CD130"/>
  <c r="CD108"/>
  <c r="CD45"/>
  <c r="CD80"/>
  <c r="CD160"/>
  <c r="CD55"/>
  <c r="CD54"/>
  <c r="CD75"/>
  <c r="CD187"/>
  <c r="CD112"/>
  <c r="CD191"/>
  <c r="CD149"/>
  <c r="CD51"/>
  <c r="CD94"/>
  <c r="CD213"/>
  <c r="CD176"/>
  <c r="CD109"/>
  <c r="CD150"/>
  <c r="CD143"/>
  <c r="CD17"/>
  <c r="CD82"/>
  <c r="CD207"/>
  <c r="CD170"/>
  <c r="CD103"/>
  <c r="CD132"/>
  <c r="CD137"/>
  <c r="CD174"/>
  <c r="CD57"/>
  <c r="CD169"/>
  <c r="CD209"/>
  <c r="CD88"/>
  <c r="CD87"/>
  <c r="CD158"/>
  <c r="CD163"/>
  <c r="CD210"/>
  <c r="CD203"/>
  <c r="CD76"/>
  <c r="CD15"/>
  <c r="CD52"/>
  <c r="CD193"/>
  <c r="CD124"/>
  <c r="CD39"/>
  <c r="CD151"/>
  <c r="CD198"/>
  <c r="CD28"/>
  <c r="CD95"/>
  <c r="CD40"/>
  <c r="CD177"/>
  <c r="CD140"/>
  <c r="CD73"/>
  <c r="CD41"/>
  <c r="CD84"/>
  <c r="CD34"/>
  <c r="CD171"/>
  <c r="CD134"/>
  <c r="CD67"/>
  <c r="CD96"/>
  <c r="CD72"/>
  <c r="CD21"/>
  <c r="CD200"/>
  <c r="CD133"/>
  <c r="CD180"/>
  <c r="CD173"/>
  <c r="CD65"/>
  <c r="CD122"/>
  <c r="CD127"/>
  <c r="CD168"/>
  <c r="CD167"/>
  <c r="CD53"/>
  <c r="CD77"/>
  <c r="CD157"/>
  <c r="CD204"/>
  <c r="CD197"/>
  <c r="CD64"/>
  <c r="CD16"/>
  <c r="CD117"/>
  <c r="CD118"/>
  <c r="CD182"/>
  <c r="CD115"/>
  <c r="CD156"/>
  <c r="CD23"/>
  <c r="CD144"/>
  <c r="CD131"/>
  <c r="CD141"/>
  <c r="CD104"/>
  <c r="CD37"/>
  <c r="CD32"/>
  <c r="CD26"/>
  <c r="CD190"/>
  <c r="CD113"/>
  <c r="CD135"/>
  <c r="CD98"/>
  <c r="CD31"/>
  <c r="CD184"/>
  <c r="CD70"/>
  <c r="CD201"/>
  <c r="CD164"/>
  <c r="CD97"/>
  <c r="CD120"/>
  <c r="CD125"/>
  <c r="CD138"/>
  <c r="CD86"/>
  <c r="CD91"/>
  <c r="CD90"/>
  <c r="CD107"/>
  <c r="CD126"/>
  <c r="CD189"/>
  <c r="CD188"/>
  <c r="CD121"/>
  <c r="CD162"/>
  <c r="CD161"/>
  <c r="CD35"/>
  <c r="CD166"/>
  <c r="CD46"/>
  <c r="CD183"/>
  <c r="CD146"/>
  <c r="CD79"/>
  <c r="CD71"/>
  <c r="CD102"/>
  <c r="CD47"/>
  <c r="CD105"/>
  <c r="CD68"/>
  <c r="CD148"/>
  <c r="CD29"/>
  <c r="CD99"/>
  <c r="CD62"/>
  <c r="CD211"/>
  <c r="CD142"/>
  <c r="CD22"/>
  <c r="CD165"/>
  <c r="CD128"/>
  <c r="CD61"/>
  <c r="CD60"/>
  <c r="CD48"/>
  <c r="CD214"/>
  <c r="CD195"/>
  <c r="CD20"/>
  <c r="CD36"/>
  <c r="CD30"/>
  <c r="CD208"/>
  <c r="CD153"/>
  <c r="CD152"/>
  <c r="CD85"/>
  <c r="CD66"/>
  <c r="CD89"/>
  <c r="CD114"/>
  <c r="CD155"/>
  <c r="CD147"/>
  <c r="CD110"/>
  <c r="CD43"/>
  <c r="CD50"/>
  <c r="CD44"/>
  <c r="CD196"/>
  <c r="BH24"/>
  <c r="BH50"/>
  <c r="BH156"/>
  <c r="BH166"/>
  <c r="BH91"/>
  <c r="BH63"/>
  <c r="BH119"/>
  <c r="BH34"/>
  <c r="BH72"/>
  <c r="BH68"/>
  <c r="BH116"/>
  <c r="BH175"/>
  <c r="BH109"/>
  <c r="BH100"/>
  <c r="BH53"/>
  <c r="BH165"/>
  <c r="BH508"/>
  <c r="BH381"/>
  <c r="BH460"/>
  <c r="BH266"/>
  <c r="BH255"/>
  <c r="BH328"/>
  <c r="BH404"/>
  <c r="BH405"/>
  <c r="BH478"/>
  <c r="BH491"/>
  <c r="BH239"/>
  <c r="BH278"/>
  <c r="BH339"/>
  <c r="BH412"/>
  <c r="BH488"/>
  <c r="BH202"/>
  <c r="BH389"/>
  <c r="BH456"/>
  <c r="BH240"/>
  <c r="BH307"/>
  <c r="BH352"/>
  <c r="BH428"/>
  <c r="BH501"/>
  <c r="BH359"/>
  <c r="BH426"/>
  <c r="BH210"/>
  <c r="BH493"/>
  <c r="BH277"/>
  <c r="BH512"/>
  <c r="BH226"/>
  <c r="BH401"/>
  <c r="BH185"/>
  <c r="BH468"/>
  <c r="BH252"/>
  <c r="BH319"/>
  <c r="BH335"/>
  <c r="BH402"/>
  <c r="BH186"/>
  <c r="BH469"/>
  <c r="BH253"/>
  <c r="BH388"/>
  <c r="BH320"/>
  <c r="BH393"/>
  <c r="BH466"/>
  <c r="BH305"/>
  <c r="BH372"/>
  <c r="BH439"/>
  <c r="BH223"/>
  <c r="BH506"/>
  <c r="BH327"/>
  <c r="BH342"/>
  <c r="BH409"/>
  <c r="BH193"/>
  <c r="BH182"/>
  <c r="BH350"/>
  <c r="BH209"/>
  <c r="BH246"/>
  <c r="BH225"/>
  <c r="BH221"/>
  <c r="BH504"/>
  <c r="BH288"/>
  <c r="BH423"/>
  <c r="BH237"/>
  <c r="BH371"/>
  <c r="BH438"/>
  <c r="BH222"/>
  <c r="BH289"/>
  <c r="BH446"/>
  <c r="BH314"/>
  <c r="BH452"/>
  <c r="BH392"/>
  <c r="BH465"/>
  <c r="BH341"/>
  <c r="BH192"/>
  <c r="BH475"/>
  <c r="BH259"/>
  <c r="BH374"/>
  <c r="BH242"/>
  <c r="BH309"/>
  <c r="BH378"/>
  <c r="BH445"/>
  <c r="BH229"/>
  <c r="BH291"/>
  <c r="BH345"/>
  <c r="BH360"/>
  <c r="BH311"/>
  <c r="BH338"/>
  <c r="BH400"/>
  <c r="BH275"/>
  <c r="BH484"/>
  <c r="BH201"/>
  <c r="BH425"/>
  <c r="BH276"/>
  <c r="BH424"/>
  <c r="BH500"/>
  <c r="BH214"/>
  <c r="BH462"/>
  <c r="BH313"/>
  <c r="BH298"/>
  <c r="BH355"/>
  <c r="BH505"/>
  <c r="BH408"/>
  <c r="BH447"/>
  <c r="BH471"/>
  <c r="BH190"/>
  <c r="BH347"/>
  <c r="BH483"/>
  <c r="BH273"/>
  <c r="BH346"/>
  <c r="BH245"/>
  <c r="BH431"/>
  <c r="BH282"/>
  <c r="BH224"/>
  <c r="BH370"/>
  <c r="BH257"/>
  <c r="BH453"/>
  <c r="BH407"/>
  <c r="BH474"/>
  <c r="BH258"/>
  <c r="BH325"/>
  <c r="BH464"/>
  <c r="BH377"/>
  <c r="BH444"/>
  <c r="BH228"/>
  <c r="BH295"/>
  <c r="BH458"/>
  <c r="BH203"/>
  <c r="BH265"/>
  <c r="BH302"/>
  <c r="BH308"/>
  <c r="BH326"/>
  <c r="BH315"/>
  <c r="BH482"/>
  <c r="BH188"/>
  <c r="BH189"/>
  <c r="BH383"/>
  <c r="BH494"/>
  <c r="BH196"/>
  <c r="BH272"/>
  <c r="BH418"/>
  <c r="BH497"/>
  <c r="BH281"/>
  <c r="BH348"/>
  <c r="BH415"/>
  <c r="BH199"/>
  <c r="BH218"/>
  <c r="BH212"/>
  <c r="BH285"/>
  <c r="BH358"/>
  <c r="BH467"/>
  <c r="BH251"/>
  <c r="BH318"/>
  <c r="BH385"/>
  <c r="BH296"/>
  <c r="BH369"/>
  <c r="BH442"/>
  <c r="BH509"/>
  <c r="BH293"/>
  <c r="BH211"/>
  <c r="BH362"/>
  <c r="BH236"/>
  <c r="BH310"/>
  <c r="BH443"/>
  <c r="BH227"/>
  <c r="BH510"/>
  <c r="BH294"/>
  <c r="BH361"/>
  <c r="BH351"/>
  <c r="BH436"/>
  <c r="BH376"/>
  <c r="BH250"/>
  <c r="BH413"/>
  <c r="BH197"/>
  <c r="BH480"/>
  <c r="BH264"/>
  <c r="BH331"/>
  <c r="BH279"/>
  <c r="BH364"/>
  <c r="BH232"/>
  <c r="BH450"/>
  <c r="BH234"/>
  <c r="BH301"/>
  <c r="BH386"/>
  <c r="BH470"/>
  <c r="BH387"/>
  <c r="BH184"/>
  <c r="BH260"/>
  <c r="BH261"/>
  <c r="BH334"/>
  <c r="BH419"/>
  <c r="BH486"/>
  <c r="BH195"/>
  <c r="BH268"/>
  <c r="BH417"/>
  <c r="BH490"/>
  <c r="BH317"/>
  <c r="BH384"/>
  <c r="BH451"/>
  <c r="BH235"/>
  <c r="BH208"/>
  <c r="BH284"/>
  <c r="BH357"/>
  <c r="BH430"/>
  <c r="BH503"/>
  <c r="BH287"/>
  <c r="BH354"/>
  <c r="BH421"/>
  <c r="BH205"/>
  <c r="BH230"/>
  <c r="BH368"/>
  <c r="BH441"/>
  <c r="BH514"/>
  <c r="BH329"/>
  <c r="BH396"/>
  <c r="BH463"/>
  <c r="BH247"/>
  <c r="BH382"/>
  <c r="BH479"/>
  <c r="BH263"/>
  <c r="BH330"/>
  <c r="BH397"/>
  <c r="BH219"/>
  <c r="BH398"/>
  <c r="BH249"/>
  <c r="BH322"/>
  <c r="BH449"/>
  <c r="BH233"/>
  <c r="BH300"/>
  <c r="BH367"/>
  <c r="BH495"/>
  <c r="BH448"/>
  <c r="BH270"/>
  <c r="BH337"/>
  <c r="BH71"/>
  <c r="BH118"/>
  <c r="BH138"/>
  <c r="BH25"/>
  <c r="BH81"/>
  <c r="BH16"/>
  <c r="BH134"/>
  <c r="BH15"/>
  <c r="BH231"/>
  <c r="BH399"/>
  <c r="BH476"/>
  <c r="BH411"/>
  <c r="BH274"/>
  <c r="BH492"/>
  <c r="BH343"/>
  <c r="BH395"/>
  <c r="BH437"/>
  <c r="BH507"/>
  <c r="BH254"/>
  <c r="BH410"/>
  <c r="BH472"/>
  <c r="BH422"/>
  <c r="BH200"/>
  <c r="BH461"/>
  <c r="BH312"/>
  <c r="BH379"/>
  <c r="BH207"/>
  <c r="BH213"/>
  <c r="BH286"/>
  <c r="BH215"/>
  <c r="BH498"/>
  <c r="BH349"/>
  <c r="BH292"/>
  <c r="BH297"/>
  <c r="BH473"/>
  <c r="BH324"/>
  <c r="BH391"/>
  <c r="BH238"/>
  <c r="BH191"/>
  <c r="BH243"/>
  <c r="BH511"/>
  <c r="BH496"/>
  <c r="BH380"/>
  <c r="BH414"/>
  <c r="BH198"/>
  <c r="BH481"/>
  <c r="BH262"/>
  <c r="BH427"/>
  <c r="BH344"/>
  <c r="BH220"/>
  <c r="BH304"/>
  <c r="BH459"/>
  <c r="BH316"/>
  <c r="BH194"/>
  <c r="BH183"/>
  <c r="BH256"/>
  <c r="BH332"/>
  <c r="BH333"/>
  <c r="BH406"/>
  <c r="BH455"/>
  <c r="BH206"/>
  <c r="BH267"/>
  <c r="BH340"/>
  <c r="BH416"/>
  <c r="BH489"/>
  <c r="BH353"/>
  <c r="BH420"/>
  <c r="BH204"/>
  <c r="BH487"/>
  <c r="BH271"/>
  <c r="BH280"/>
  <c r="BH356"/>
  <c r="BH429"/>
  <c r="BH502"/>
  <c r="BH323"/>
  <c r="BH390"/>
  <c r="BH457"/>
  <c r="BH241"/>
  <c r="BH440"/>
  <c r="BH513"/>
  <c r="BH365"/>
  <c r="BH432"/>
  <c r="BH216"/>
  <c r="BH499"/>
  <c r="BH283"/>
  <c r="BH454"/>
  <c r="BH299"/>
  <c r="BH366"/>
  <c r="BH433"/>
  <c r="BH217"/>
  <c r="BH434"/>
  <c r="BH435"/>
  <c r="BH375"/>
  <c r="BH244"/>
  <c r="BH248"/>
  <c r="BH321"/>
  <c r="BH394"/>
  <c r="BH485"/>
  <c r="BH269"/>
  <c r="BH336"/>
  <c r="BH403"/>
  <c r="BH187"/>
  <c r="BH290"/>
  <c r="BH363"/>
  <c r="BH303"/>
  <c r="BH477"/>
  <c r="BH306"/>
  <c r="BH373"/>
  <c r="BH147"/>
  <c r="BH181"/>
  <c r="BH179"/>
  <c r="BH180"/>
  <c r="BH176"/>
  <c r="BH178"/>
  <c r="BH177"/>
  <c r="BH137"/>
  <c r="BH90"/>
  <c r="BH154"/>
  <c r="BH152"/>
  <c r="BH52"/>
  <c r="BH127"/>
  <c r="BH33"/>
  <c r="BH108"/>
  <c r="BH20"/>
  <c r="BH89"/>
  <c r="BH170"/>
  <c r="BH70"/>
  <c r="BH145"/>
  <c r="BH126"/>
  <c r="BH21"/>
  <c r="BH96"/>
  <c r="BH135"/>
  <c r="BH41"/>
  <c r="BH122"/>
  <c r="BH22"/>
  <c r="BH97"/>
  <c r="BH172"/>
  <c r="BH78"/>
  <c r="BH87"/>
  <c r="BH57"/>
  <c r="BH133"/>
  <c r="BH43"/>
  <c r="BH38"/>
  <c r="BH107"/>
  <c r="BH60"/>
  <c r="BH99"/>
  <c r="BH174"/>
  <c r="BH86"/>
  <c r="BH155"/>
  <c r="BH61"/>
  <c r="BH136"/>
  <c r="BH42"/>
  <c r="BH117"/>
  <c r="BH23"/>
  <c r="BH104"/>
  <c r="BH51"/>
  <c r="BH173"/>
  <c r="BH79"/>
  <c r="BH74"/>
  <c r="BH143"/>
  <c r="BH49"/>
  <c r="BH88"/>
  <c r="BH163"/>
  <c r="BH69"/>
  <c r="BH144"/>
  <c r="BH56"/>
  <c r="BH125"/>
  <c r="BH31"/>
  <c r="BH153"/>
  <c r="BH106"/>
  <c r="BH59"/>
  <c r="BH140"/>
  <c r="BH40"/>
  <c r="BH162"/>
  <c r="BH115"/>
  <c r="BH110"/>
  <c r="BH132"/>
  <c r="BH85"/>
  <c r="BH171"/>
  <c r="BH124"/>
  <c r="BH77"/>
  <c r="BH30"/>
  <c r="BH158"/>
  <c r="BH105"/>
  <c r="BH58"/>
  <c r="BH92"/>
  <c r="BH39"/>
  <c r="BH161"/>
  <c r="BH114"/>
  <c r="BH67"/>
  <c r="BH26"/>
  <c r="BH142"/>
  <c r="BH95"/>
  <c r="BH48"/>
  <c r="BH123"/>
  <c r="BH76"/>
  <c r="BH29"/>
  <c r="BH151"/>
  <c r="BH146"/>
  <c r="BH93"/>
  <c r="BH46"/>
  <c r="BH168"/>
  <c r="BH121"/>
  <c r="BH44"/>
  <c r="BH160"/>
  <c r="BH113"/>
  <c r="BH66"/>
  <c r="BH19"/>
  <c r="BH141"/>
  <c r="BH94"/>
  <c r="BH47"/>
  <c r="BH169"/>
  <c r="BH128"/>
  <c r="BH75"/>
  <c r="BH28"/>
  <c r="BH150"/>
  <c r="BH103"/>
  <c r="BH62"/>
  <c r="BH131"/>
  <c r="BH84"/>
  <c r="BH37"/>
  <c r="BH159"/>
  <c r="BH112"/>
  <c r="BH65"/>
  <c r="BH18"/>
  <c r="BH129"/>
  <c r="BH82"/>
  <c r="BH35"/>
  <c r="BH157"/>
  <c r="BH80"/>
  <c r="BH27"/>
  <c r="BH149"/>
  <c r="BH102"/>
  <c r="BH55"/>
  <c r="BH130"/>
  <c r="BH83"/>
  <c r="BH36"/>
  <c r="BH164"/>
  <c r="BH111"/>
  <c r="BH64"/>
  <c r="BH17"/>
  <c r="BH139"/>
  <c r="BH98"/>
  <c r="BH45"/>
  <c r="BH167"/>
  <c r="BH120"/>
  <c r="BH73"/>
  <c r="BH32"/>
  <c r="BH148"/>
  <c r="BH101"/>
  <c r="BH54"/>
  <c r="AF16" l="1"/>
  <c r="AF14"/>
  <c r="AF20"/>
  <c r="AF22"/>
  <c r="AF12"/>
  <c r="AF13"/>
  <c r="AF9"/>
  <c r="AF18"/>
  <c r="AF19"/>
  <c r="AF15"/>
  <c r="AF11"/>
  <c r="AF21"/>
  <c r="AF17"/>
  <c r="AF8"/>
  <c r="J32" i="11" a="1"/>
  <c r="J35" s="1"/>
  <c r="J36" l="1"/>
  <c r="J37"/>
  <c r="J38"/>
  <c r="J32"/>
  <c r="J39"/>
  <c r="J33"/>
  <c r="J40"/>
  <c r="J34"/>
  <c r="J41"/>
  <c r="AW29" i="5" l="1" a="1"/>
  <c r="AW33" s="1"/>
  <c r="AW34" l="1"/>
  <c r="AW40"/>
  <c r="AW41"/>
  <c r="AW35"/>
  <c r="AW29"/>
  <c r="AW36"/>
  <c r="AW30"/>
  <c r="AW37"/>
  <c r="AW31"/>
  <c r="AW38"/>
  <c r="AW32"/>
  <c r="AW39"/>
  <c r="AK45" a="1"/>
  <c r="AK49" s="1"/>
  <c r="AR56"/>
  <c r="AR55"/>
  <c r="AR54"/>
  <c r="AR53"/>
  <c r="AR52"/>
  <c r="AR51"/>
  <c r="AR50"/>
  <c r="AR49"/>
  <c r="AR48"/>
  <c r="AR47"/>
  <c r="AR46"/>
  <c r="AR45"/>
  <c r="AR36"/>
  <c r="AR37"/>
  <c r="AK29" a="1"/>
  <c r="AK32" s="1"/>
  <c r="AK33" l="1"/>
  <c r="AK34"/>
  <c r="AK50"/>
  <c r="AK39"/>
  <c r="AK56"/>
  <c r="AK40"/>
  <c r="AK51"/>
  <c r="AK45"/>
  <c r="AK52"/>
  <c r="AK46"/>
  <c r="AK53"/>
  <c r="AK47"/>
  <c r="AK54"/>
  <c r="AK48"/>
  <c r="AK55"/>
  <c r="AK41"/>
  <c r="AK35"/>
  <c r="AK29"/>
  <c r="AK36"/>
  <c r="AK30"/>
  <c r="AK37"/>
  <c r="AK31"/>
  <c r="AK38"/>
  <c r="L63" i="11" l="1"/>
  <c r="L64"/>
  <c r="L65"/>
  <c r="L66"/>
  <c r="BC4" i="5" l="1"/>
  <c r="CL9" a="1"/>
  <c r="CL13" s="1"/>
  <c r="CK9" a="1"/>
  <c r="CK13" s="1"/>
  <c r="AW10" a="1"/>
  <c r="AW14" s="1"/>
  <c r="AW19" a="1"/>
  <c r="AW23" s="1"/>
  <c r="BH29" a="1"/>
  <c r="BH33" s="1"/>
  <c r="AD49"/>
  <c r="AC49"/>
  <c r="BH10" a="1"/>
  <c r="BH14" s="1"/>
  <c r="AK7" a="1"/>
  <c r="AK10" s="1"/>
  <c r="Y49"/>
  <c r="AA4"/>
  <c r="CL14" l="1"/>
  <c r="CK14"/>
  <c r="CL15"/>
  <c r="CL9"/>
  <c r="CL16"/>
  <c r="CL10"/>
  <c r="CL17"/>
  <c r="CL11"/>
  <c r="CL18"/>
  <c r="CL12"/>
  <c r="CK15"/>
  <c r="CK9"/>
  <c r="CK16"/>
  <c r="CK10"/>
  <c r="CK17"/>
  <c r="CK11"/>
  <c r="CK18"/>
  <c r="CK12"/>
  <c r="AW15"/>
  <c r="AW10"/>
  <c r="AW11"/>
  <c r="AW12"/>
  <c r="AW13"/>
  <c r="AW24"/>
  <c r="AW25"/>
  <c r="AW19"/>
  <c r="AW26"/>
  <c r="AW20"/>
  <c r="AW21"/>
  <c r="AW22"/>
  <c r="BH34"/>
  <c r="BH40"/>
  <c r="BH41"/>
  <c r="BH35"/>
  <c r="BH29"/>
  <c r="BH42"/>
  <c r="BH36"/>
  <c r="BH30"/>
  <c r="BH43"/>
  <c r="BH37"/>
  <c r="BH31"/>
  <c r="BH38"/>
  <c r="BH32"/>
  <c r="BH39"/>
  <c r="BH15"/>
  <c r="BH10"/>
  <c r="BH11"/>
  <c r="BH12"/>
  <c r="BH13"/>
  <c r="AK11"/>
  <c r="AK12"/>
  <c r="AK7"/>
  <c r="AK8"/>
  <c r="AK9"/>
  <c r="AM6"/>
  <c r="BJ9"/>
  <c r="CK8"/>
  <c r="AY9"/>
  <c r="CL8"/>
  <c r="AY18"/>
  <c r="BJ28"/>
  <c r="AY28"/>
  <c r="U40" i="11" l="1"/>
  <c r="AI39"/>
  <c r="N40"/>
  <c r="U41"/>
  <c r="AI34" l="1"/>
  <c r="AI40"/>
  <c r="AB33"/>
  <c r="AI37"/>
  <c r="U35"/>
  <c r="AI35"/>
  <c r="U38"/>
  <c r="N35"/>
  <c r="U32"/>
  <c r="AB32"/>
  <c r="N33"/>
  <c r="N37"/>
  <c r="N41"/>
  <c r="N34"/>
  <c r="N38"/>
  <c r="U34"/>
  <c r="AI33"/>
  <c r="AI32"/>
  <c r="U33"/>
  <c r="AI36"/>
  <c r="AI38"/>
  <c r="U39"/>
  <c r="N32"/>
  <c r="N36"/>
  <c r="N39"/>
  <c r="CD12" i="1" l="1" a="1"/>
  <c r="CD12" l="1"/>
  <c r="CD15"/>
  <c r="CD21"/>
  <c r="CD14"/>
  <c r="CD20"/>
  <c r="CD18"/>
  <c r="CD13"/>
  <c r="CD17"/>
  <c r="CD19"/>
  <c r="CD16"/>
  <c r="U21" i="11"/>
  <c r="AI20"/>
  <c r="N16"/>
  <c r="AB14" l="1"/>
  <c r="AB17"/>
  <c r="AB20"/>
  <c r="U19"/>
  <c r="N15"/>
  <c r="AI16"/>
  <c r="U20"/>
  <c r="U14"/>
  <c r="N20"/>
  <c r="U17"/>
  <c r="U16"/>
  <c r="AI13"/>
  <c r="AI19"/>
  <c r="AB15"/>
  <c r="AB18"/>
  <c r="U13"/>
  <c r="N7"/>
  <c r="AB21"/>
  <c r="AB13"/>
  <c r="AI18"/>
  <c r="AI21"/>
  <c r="N17"/>
  <c r="AI15"/>
  <c r="U18"/>
  <c r="N8"/>
  <c r="AI14"/>
  <c r="AI17"/>
  <c r="N19"/>
  <c r="AB16"/>
  <c r="N18"/>
  <c r="AB19"/>
  <c r="U15"/>
  <c r="N64"/>
  <c r="N66"/>
  <c r="N65"/>
  <c r="K65" l="1"/>
  <c r="K66"/>
  <c r="K64"/>
  <c r="K63"/>
  <c r="CU9" i="1" a="1"/>
  <c r="CV10" s="1"/>
  <c r="CX10" s="1"/>
  <c r="DB9" a="1"/>
  <c r="DB12" s="1"/>
  <c r="DC9" a="1"/>
  <c r="DC13" s="1"/>
  <c r="DD9" a="1"/>
  <c r="DD13" s="1"/>
  <c r="DE9" a="1"/>
  <c r="DE13" s="1"/>
  <c r="DF9" a="1"/>
  <c r="DF13" s="1"/>
  <c r="DG9" a="1"/>
  <c r="DG13" s="1"/>
  <c r="F6" i="10"/>
  <c r="EH7" i="12"/>
  <c r="EK8"/>
  <c r="EK7"/>
  <c r="EH8"/>
  <c r="CU14" i="1" l="1"/>
  <c r="CV14"/>
  <c r="CX14" s="1"/>
  <c r="DE14"/>
  <c r="DF14"/>
  <c r="CU11"/>
  <c r="DG14"/>
  <c r="DD14"/>
  <c r="CV11"/>
  <c r="CX11" s="1"/>
  <c r="CU15"/>
  <c r="CU12"/>
  <c r="CU9"/>
  <c r="CV15"/>
  <c r="CX15" s="1"/>
  <c r="CV12"/>
  <c r="CX12" s="1"/>
  <c r="CV9"/>
  <c r="CX9" s="1"/>
  <c r="CU16"/>
  <c r="CU13"/>
  <c r="CU10"/>
  <c r="CV16"/>
  <c r="CX16" s="1"/>
  <c r="CV13"/>
  <c r="CX13" s="1"/>
  <c r="DC14"/>
  <c r="DB9"/>
  <c r="DB19"/>
  <c r="DB16"/>
  <c r="DB10"/>
  <c r="DB13"/>
  <c r="DB14"/>
  <c r="DB17"/>
  <c r="DB11"/>
  <c r="DB15"/>
  <c r="DB18"/>
  <c r="DC15"/>
  <c r="DC9"/>
  <c r="DC16"/>
  <c r="DC10"/>
  <c r="DC17"/>
  <c r="DC11"/>
  <c r="DC18"/>
  <c r="DC12"/>
  <c r="DC19"/>
  <c r="DD15"/>
  <c r="DD9"/>
  <c r="DD16"/>
  <c r="DD10"/>
  <c r="DD17"/>
  <c r="DD11"/>
  <c r="DD18"/>
  <c r="DD12"/>
  <c r="DD19"/>
  <c r="DE15"/>
  <c r="DE9"/>
  <c r="DE16"/>
  <c r="DE10"/>
  <c r="DE17"/>
  <c r="DE11"/>
  <c r="DE18"/>
  <c r="DE12"/>
  <c r="DE19"/>
  <c r="DF15"/>
  <c r="DF9"/>
  <c r="DF16"/>
  <c r="DF10"/>
  <c r="DF17"/>
  <c r="DF11"/>
  <c r="DF18"/>
  <c r="DF12"/>
  <c r="DF19"/>
  <c r="DG15"/>
  <c r="DG9"/>
  <c r="DG16"/>
  <c r="DG10"/>
  <c r="DG17"/>
  <c r="DG11"/>
  <c r="DG18"/>
  <c r="DG12"/>
  <c r="DG19"/>
  <c r="EK14" i="12" a="1"/>
  <c r="EH14" a="1"/>
  <c r="EH18" l="1"/>
  <c r="EH29"/>
  <c r="EH40"/>
  <c r="EH14"/>
  <c r="EH25"/>
  <c r="EH23"/>
  <c r="EH34"/>
  <c r="EH39"/>
  <c r="EH19"/>
  <c r="EH17"/>
  <c r="EH28"/>
  <c r="EH33"/>
  <c r="EH38"/>
  <c r="EH36"/>
  <c r="EH22"/>
  <c r="EH27"/>
  <c r="EH32"/>
  <c r="EH30"/>
  <c r="EH16"/>
  <c r="EH21"/>
  <c r="EH26"/>
  <c r="EH37"/>
  <c r="EH24"/>
  <c r="EH35"/>
  <c r="EH15"/>
  <c r="EH20"/>
  <c r="EH31"/>
  <c r="EK36"/>
  <c r="EK22"/>
  <c r="EK27"/>
  <c r="EK32"/>
  <c r="EK30"/>
  <c r="EK16"/>
  <c r="EK21"/>
  <c r="EK26"/>
  <c r="EK37"/>
  <c r="EK24"/>
  <c r="EK35"/>
  <c r="EK15"/>
  <c r="EK20"/>
  <c r="EK31"/>
  <c r="EK18"/>
  <c r="EK29"/>
  <c r="EK40"/>
  <c r="EK14"/>
  <c r="EK25"/>
  <c r="EK23"/>
  <c r="EK34"/>
  <c r="EK39"/>
  <c r="EK19"/>
  <c r="EK17"/>
  <c r="EK28"/>
  <c r="EK33"/>
  <c r="EK38"/>
  <c r="EF11" i="1" a="1"/>
  <c r="EF13" s="1"/>
  <c r="EI7"/>
  <c r="EI6"/>
  <c r="EG13" l="1"/>
  <c r="EI13" s="1"/>
  <c r="EK13" s="1"/>
  <c r="EG16"/>
  <c r="EG19"/>
  <c r="EF17"/>
  <c r="EF14"/>
  <c r="EF11"/>
  <c r="EG17"/>
  <c r="EG14"/>
  <c r="EG11"/>
  <c r="EF18"/>
  <c r="EF15"/>
  <c r="EF12"/>
  <c r="EG18"/>
  <c r="EG15"/>
  <c r="EG12"/>
  <c r="EF19"/>
  <c r="EF16"/>
  <c r="EI12" l="1"/>
  <c r="EK12" s="1"/>
  <c r="EI11"/>
  <c r="EK11" s="1"/>
  <c r="EI19"/>
  <c r="EK19" s="1"/>
  <c r="EI18"/>
  <c r="EK18" s="1"/>
  <c r="EI17"/>
  <c r="EK17" s="1"/>
  <c r="EI16"/>
  <c r="EK16" s="1"/>
  <c r="EI15"/>
  <c r="EK15" s="1"/>
  <c r="EI14"/>
  <c r="EK14" s="1"/>
  <c r="DW28" l="1" a="1"/>
  <c r="DW32" s="1"/>
  <c r="DX28" a="1"/>
  <c r="DX33" s="1"/>
  <c r="EN5" a="1"/>
  <c r="EN9" s="1"/>
  <c r="DX28" l="1"/>
  <c r="DX34"/>
  <c r="DX29"/>
  <c r="DX35"/>
  <c r="DW34"/>
  <c r="DW29"/>
  <c r="DW30"/>
  <c r="DW31"/>
  <c r="DW33"/>
  <c r="DW28"/>
  <c r="DW35"/>
  <c r="DW36"/>
  <c r="DX30"/>
  <c r="DX36"/>
  <c r="DX31"/>
  <c r="DX32"/>
  <c r="EN10"/>
  <c r="EN16"/>
  <c r="EN22"/>
  <c r="EN23"/>
  <c r="EN17"/>
  <c r="EN11"/>
  <c r="EN5"/>
  <c r="EN24"/>
  <c r="EN18"/>
  <c r="EN12"/>
  <c r="EN6"/>
  <c r="EN19"/>
  <c r="EN13"/>
  <c r="EN7"/>
  <c r="EN20"/>
  <c r="EN14"/>
  <c r="EN8"/>
  <c r="EN21"/>
  <c r="EN15"/>
  <c r="DZ28"/>
  <c r="DH9" l="1" a="1"/>
  <c r="DH13" s="1"/>
  <c r="CM95" a="1"/>
  <c r="CM100" s="1"/>
  <c r="CM82" a="1"/>
  <c r="CM87" s="1"/>
  <c r="CM95" l="1"/>
  <c r="CM102"/>
  <c r="CM101"/>
  <c r="CM99"/>
  <c r="CM98"/>
  <c r="CM105"/>
  <c r="CM97"/>
  <c r="CM104"/>
  <c r="CM96"/>
  <c r="CM103"/>
  <c r="DH14"/>
  <c r="DH15"/>
  <c r="DH9"/>
  <c r="DH16"/>
  <c r="DH10"/>
  <c r="DH17"/>
  <c r="DH11"/>
  <c r="DH18"/>
  <c r="DH12"/>
  <c r="DH19"/>
  <c r="CM85"/>
  <c r="CM91"/>
  <c r="CM84"/>
  <c r="CM90"/>
  <c r="CM83"/>
  <c r="CM89"/>
  <c r="CM82"/>
  <c r="CM88"/>
  <c r="CM86"/>
  <c r="CM92"/>
  <c r="CM69" a="1"/>
  <c r="CM78" s="1"/>
  <c r="CM69" l="1"/>
  <c r="CM75"/>
  <c r="CM77"/>
  <c r="CM76"/>
  <c r="CM71"/>
  <c r="CM70"/>
  <c r="CM74"/>
  <c r="CM73"/>
  <c r="CM79"/>
  <c r="CM72"/>
  <c r="CM56" a="1"/>
  <c r="CM62" s="1"/>
  <c r="CM43" a="1"/>
  <c r="CM49" s="1"/>
  <c r="CM30" a="1"/>
  <c r="CM35" s="1"/>
  <c r="CM17" a="1"/>
  <c r="CM21" s="1"/>
  <c r="CM7" a="1"/>
  <c r="CM10" s="1"/>
  <c r="J19" i="10"/>
  <c r="D19"/>
  <c r="CB14"/>
  <c r="AT14"/>
  <c r="I18"/>
  <c r="G11" a="1"/>
  <c r="G15" s="1"/>
  <c r="AN11"/>
  <c r="BV11" s="1"/>
  <c r="C5"/>
  <c r="F38" l="1"/>
  <c r="CN9"/>
  <c r="F37"/>
  <c r="CM34" i="1"/>
  <c r="CM33"/>
  <c r="CM40"/>
  <c r="CM32"/>
  <c r="CM39"/>
  <c r="CM36"/>
  <c r="CM31"/>
  <c r="CM38"/>
  <c r="CM30"/>
  <c r="CM37"/>
  <c r="CM61"/>
  <c r="CM60"/>
  <c r="CM66"/>
  <c r="CM59"/>
  <c r="CM65"/>
  <c r="CM58"/>
  <c r="CM64"/>
  <c r="CM57"/>
  <c r="CM63"/>
  <c r="CM56"/>
  <c r="CM48"/>
  <c r="CM47"/>
  <c r="CM53"/>
  <c r="CM46"/>
  <c r="CM51"/>
  <c r="CM50"/>
  <c r="CM52"/>
  <c r="CM45"/>
  <c r="CM44"/>
  <c r="CM43"/>
  <c r="CM22"/>
  <c r="CM23"/>
  <c r="CM24"/>
  <c r="CM19"/>
  <c r="CM26"/>
  <c r="CM20"/>
  <c r="CM17"/>
  <c r="CM18"/>
  <c r="CM25"/>
  <c r="CM27"/>
  <c r="CM11"/>
  <c r="CM12"/>
  <c r="CM13"/>
  <c r="CM7"/>
  <c r="CM14"/>
  <c r="CM8"/>
  <c r="CM9"/>
  <c r="EQ9"/>
  <c r="EQ10"/>
  <c r="EQ16"/>
  <c r="EQ22"/>
  <c r="EQ23"/>
  <c r="EQ17"/>
  <c r="EQ11"/>
  <c r="EQ5"/>
  <c r="EQ24"/>
  <c r="EQ18"/>
  <c r="EQ12"/>
  <c r="EQ6"/>
  <c r="EQ19"/>
  <c r="EQ13"/>
  <c r="EQ7"/>
  <c r="EQ20"/>
  <c r="EQ14"/>
  <c r="EQ8"/>
  <c r="EQ21"/>
  <c r="EQ15"/>
  <c r="H12" i="10"/>
  <c r="B12"/>
  <c r="G16"/>
  <c r="G11"/>
  <c r="G12"/>
  <c r="G13"/>
  <c r="G14"/>
  <c r="O18" a="1"/>
  <c r="AW18" a="1"/>
  <c r="O45" l="1"/>
  <c r="O81"/>
  <c r="O117"/>
  <c r="AN116" s="1"/>
  <c r="O153"/>
  <c r="AN152" s="1"/>
  <c r="O189"/>
  <c r="O225"/>
  <c r="O261"/>
  <c r="AN260" s="1"/>
  <c r="O297"/>
  <c r="O333"/>
  <c r="O369"/>
  <c r="O405"/>
  <c r="O441"/>
  <c r="O477"/>
  <c r="AN476" s="1"/>
  <c r="O513"/>
  <c r="O50"/>
  <c r="O86"/>
  <c r="O122"/>
  <c r="O158"/>
  <c r="O194"/>
  <c r="AN193" s="1"/>
  <c r="O230"/>
  <c r="O266"/>
  <c r="AN265" s="1"/>
  <c r="O302"/>
  <c r="AJ301" s="1"/>
  <c r="O338"/>
  <c r="O374"/>
  <c r="O410"/>
  <c r="AN409" s="1"/>
  <c r="O446"/>
  <c r="O482"/>
  <c r="AJ481" s="1"/>
  <c r="O19"/>
  <c r="O55"/>
  <c r="O91"/>
  <c r="O127"/>
  <c r="AN126" s="1"/>
  <c r="O163"/>
  <c r="O199"/>
  <c r="O235"/>
  <c r="AN234" s="1"/>
  <c r="O271"/>
  <c r="O307"/>
  <c r="O343"/>
  <c r="AN342" s="1"/>
  <c r="O379"/>
  <c r="O415"/>
  <c r="O451"/>
  <c r="O487"/>
  <c r="O18"/>
  <c r="O34"/>
  <c r="O124"/>
  <c r="O29"/>
  <c r="O108"/>
  <c r="O180"/>
  <c r="O252"/>
  <c r="O324"/>
  <c r="AN323" s="1"/>
  <c r="O396"/>
  <c r="O468"/>
  <c r="AJ467" s="1"/>
  <c r="O46"/>
  <c r="O119"/>
  <c r="O191"/>
  <c r="O263"/>
  <c r="AJ262" s="1"/>
  <c r="O335"/>
  <c r="O407"/>
  <c r="AN406" s="1"/>
  <c r="O479"/>
  <c r="O58"/>
  <c r="O130"/>
  <c r="O202"/>
  <c r="O274"/>
  <c r="O346"/>
  <c r="AN345" s="1"/>
  <c r="O418"/>
  <c r="O490"/>
  <c r="O66"/>
  <c r="O138"/>
  <c r="AN137" s="1"/>
  <c r="O210"/>
  <c r="O282"/>
  <c r="O354"/>
  <c r="AJ353" s="1"/>
  <c r="O426"/>
  <c r="O498"/>
  <c r="O89"/>
  <c r="O161"/>
  <c r="O233"/>
  <c r="O305"/>
  <c r="O377"/>
  <c r="O449"/>
  <c r="O112"/>
  <c r="AN111" s="1"/>
  <c r="O232"/>
  <c r="O316"/>
  <c r="AN315" s="1"/>
  <c r="O388"/>
  <c r="O472"/>
  <c r="O39"/>
  <c r="O75"/>
  <c r="O111"/>
  <c r="O147"/>
  <c r="AN146" s="1"/>
  <c r="O183"/>
  <c r="O219"/>
  <c r="O255"/>
  <c r="O291"/>
  <c r="AN290" s="1"/>
  <c r="O327"/>
  <c r="O363"/>
  <c r="AN362" s="1"/>
  <c r="O399"/>
  <c r="AN398" s="1"/>
  <c r="O435"/>
  <c r="O471"/>
  <c r="O507"/>
  <c r="AN506" s="1"/>
  <c r="O44"/>
  <c r="O80"/>
  <c r="O116"/>
  <c r="O152"/>
  <c r="O188"/>
  <c r="O224"/>
  <c r="AN223" s="1"/>
  <c r="O260"/>
  <c r="O296"/>
  <c r="AN295" s="1"/>
  <c r="O332"/>
  <c r="AN331" s="1"/>
  <c r="O368"/>
  <c r="O404"/>
  <c r="O440"/>
  <c r="AJ439" s="1"/>
  <c r="O476"/>
  <c r="O512"/>
  <c r="AJ511" s="1"/>
  <c r="O49"/>
  <c r="O85"/>
  <c r="O121"/>
  <c r="O157"/>
  <c r="AN156" s="1"/>
  <c r="O193"/>
  <c r="O229"/>
  <c r="AN228" s="1"/>
  <c r="O265"/>
  <c r="AJ264" s="1"/>
  <c r="O301"/>
  <c r="O337"/>
  <c r="O373"/>
  <c r="AJ372" s="1"/>
  <c r="O409"/>
  <c r="O445"/>
  <c r="AN444" s="1"/>
  <c r="O481"/>
  <c r="O517"/>
  <c r="O48"/>
  <c r="O100"/>
  <c r="AN99" s="1"/>
  <c r="O412"/>
  <c r="O96"/>
  <c r="O168"/>
  <c r="AN167" s="1"/>
  <c r="O240"/>
  <c r="O312"/>
  <c r="O384"/>
  <c r="AN383" s="1"/>
  <c r="O456"/>
  <c r="O28"/>
  <c r="O107"/>
  <c r="O179"/>
  <c r="O251"/>
  <c r="O323"/>
  <c r="AN322" s="1"/>
  <c r="O395"/>
  <c r="O467"/>
  <c r="AN466" s="1"/>
  <c r="O41"/>
  <c r="O118"/>
  <c r="O190"/>
  <c r="O262"/>
  <c r="AN261" s="1"/>
  <c r="O334"/>
  <c r="O406"/>
  <c r="O478"/>
  <c r="O54"/>
  <c r="O126"/>
  <c r="O198"/>
  <c r="AN197" s="1"/>
  <c r="O270"/>
  <c r="O342"/>
  <c r="AN341" s="1"/>
  <c r="O414"/>
  <c r="AN413" s="1"/>
  <c r="O486"/>
  <c r="O77"/>
  <c r="O149"/>
  <c r="AN148" s="1"/>
  <c r="O221"/>
  <c r="O293"/>
  <c r="O365"/>
  <c r="O437"/>
  <c r="O509"/>
  <c r="O220"/>
  <c r="AJ219" s="1"/>
  <c r="O304"/>
  <c r="O376"/>
  <c r="O460"/>
  <c r="AN459" s="1"/>
  <c r="O33"/>
  <c r="O69"/>
  <c r="O105"/>
  <c r="AN104" s="1"/>
  <c r="O141"/>
  <c r="O177"/>
  <c r="O213"/>
  <c r="AN212" s="1"/>
  <c r="O249"/>
  <c r="O285"/>
  <c r="O321"/>
  <c r="AN320" s="1"/>
  <c r="O357"/>
  <c r="O393"/>
  <c r="AJ392" s="1"/>
  <c r="O429"/>
  <c r="O465"/>
  <c r="O501"/>
  <c r="O38"/>
  <c r="O74"/>
  <c r="O110"/>
  <c r="AN109" s="1"/>
  <c r="O146"/>
  <c r="O182"/>
  <c r="O218"/>
  <c r="O254"/>
  <c r="AN253" s="1"/>
  <c r="O290"/>
  <c r="O326"/>
  <c r="AN325" s="1"/>
  <c r="O362"/>
  <c r="AN361" s="1"/>
  <c r="O398"/>
  <c r="O434"/>
  <c r="O470"/>
  <c r="AN469" s="1"/>
  <c r="O506"/>
  <c r="O43"/>
  <c r="O79"/>
  <c r="O115"/>
  <c r="O151"/>
  <c r="O187"/>
  <c r="AN186" s="1"/>
  <c r="O223"/>
  <c r="O259"/>
  <c r="AN258" s="1"/>
  <c r="O295"/>
  <c r="AJ294" s="1"/>
  <c r="O331"/>
  <c r="O367"/>
  <c r="O403"/>
  <c r="AN402" s="1"/>
  <c r="O439"/>
  <c r="O475"/>
  <c r="AN474" s="1"/>
  <c r="O511"/>
  <c r="AN510" s="1"/>
  <c r="O42"/>
  <c r="O88"/>
  <c r="O256"/>
  <c r="AN255" s="1"/>
  <c r="O84"/>
  <c r="O156"/>
  <c r="AN155" s="1"/>
  <c r="O228"/>
  <c r="O300"/>
  <c r="O372"/>
  <c r="O444"/>
  <c r="AN443" s="1"/>
  <c r="O516"/>
  <c r="O95"/>
  <c r="O167"/>
  <c r="AN166" s="1"/>
  <c r="O239"/>
  <c r="O311"/>
  <c r="O383"/>
  <c r="AN382" s="1"/>
  <c r="O455"/>
  <c r="O23"/>
  <c r="O106"/>
  <c r="AN105" s="1"/>
  <c r="O178"/>
  <c r="O250"/>
  <c r="O322"/>
  <c r="AJ321" s="1"/>
  <c r="O394"/>
  <c r="O466"/>
  <c r="O40"/>
  <c r="O114"/>
  <c r="O186"/>
  <c r="O258"/>
  <c r="AN257" s="1"/>
  <c r="O330"/>
  <c r="O402"/>
  <c r="AJ401" s="1"/>
  <c r="O474"/>
  <c r="O65"/>
  <c r="O137"/>
  <c r="O209"/>
  <c r="AN208" s="1"/>
  <c r="O281"/>
  <c r="O353"/>
  <c r="AN352" s="1"/>
  <c r="O425"/>
  <c r="AN424" s="1"/>
  <c r="O497"/>
  <c r="O208"/>
  <c r="O292"/>
  <c r="AN291" s="1"/>
  <c r="O364"/>
  <c r="O448"/>
  <c r="AN447" s="1"/>
  <c r="O27"/>
  <c r="O63"/>
  <c r="O99"/>
  <c r="O135"/>
  <c r="AN134" s="1"/>
  <c r="O171"/>
  <c r="O207"/>
  <c r="O243"/>
  <c r="O123"/>
  <c r="O231"/>
  <c r="O309"/>
  <c r="AN308" s="1"/>
  <c r="O381"/>
  <c r="O453"/>
  <c r="AN452" s="1"/>
  <c r="O26"/>
  <c r="O98"/>
  <c r="O170"/>
  <c r="O242"/>
  <c r="O314"/>
  <c r="O386"/>
  <c r="AN385" s="1"/>
  <c r="O458"/>
  <c r="AN457" s="1"/>
  <c r="O31"/>
  <c r="O103"/>
  <c r="O175"/>
  <c r="AN174" s="1"/>
  <c r="O247"/>
  <c r="O319"/>
  <c r="O391"/>
  <c r="O463"/>
  <c r="O30"/>
  <c r="O160"/>
  <c r="AN159" s="1"/>
  <c r="O132"/>
  <c r="O276"/>
  <c r="AN275" s="1"/>
  <c r="O420"/>
  <c r="AN419" s="1"/>
  <c r="O71"/>
  <c r="O215"/>
  <c r="O359"/>
  <c r="AN358" s="1"/>
  <c r="O503"/>
  <c r="O154"/>
  <c r="AN153" s="1"/>
  <c r="O298"/>
  <c r="AN297" s="1"/>
  <c r="O442"/>
  <c r="O90"/>
  <c r="O234"/>
  <c r="AJ233" s="1"/>
  <c r="O378"/>
  <c r="O35"/>
  <c r="O185"/>
  <c r="O329"/>
  <c r="O473"/>
  <c r="O268"/>
  <c r="AN267" s="1"/>
  <c r="O424"/>
  <c r="O93"/>
  <c r="O201"/>
  <c r="O303"/>
  <c r="O375"/>
  <c r="O447"/>
  <c r="AJ446" s="1"/>
  <c r="O20"/>
  <c r="O92"/>
  <c r="O164"/>
  <c r="AN163" s="1"/>
  <c r="O236"/>
  <c r="O308"/>
  <c r="O380"/>
  <c r="AN379" s="1"/>
  <c r="O452"/>
  <c r="O25"/>
  <c r="O97"/>
  <c r="O169"/>
  <c r="O241"/>
  <c r="O313"/>
  <c r="AN312" s="1"/>
  <c r="O385"/>
  <c r="O457"/>
  <c r="AN456" s="1"/>
  <c r="O24"/>
  <c r="O136"/>
  <c r="O120"/>
  <c r="O264"/>
  <c r="AN263" s="1"/>
  <c r="O408"/>
  <c r="O59"/>
  <c r="O203"/>
  <c r="O347"/>
  <c r="O491"/>
  <c r="O142"/>
  <c r="AN141" s="1"/>
  <c r="O286"/>
  <c r="O430"/>
  <c r="AJ429" s="1"/>
  <c r="O78"/>
  <c r="O222"/>
  <c r="O366"/>
  <c r="O510"/>
  <c r="AN509" s="1"/>
  <c r="O173"/>
  <c r="O317"/>
  <c r="AN316" s="1"/>
  <c r="O461"/>
  <c r="AJ460" s="1"/>
  <c r="O244"/>
  <c r="O400"/>
  <c r="O87"/>
  <c r="O195"/>
  <c r="O279"/>
  <c r="O351"/>
  <c r="AN350" s="1"/>
  <c r="O423"/>
  <c r="O495"/>
  <c r="O68"/>
  <c r="O140"/>
  <c r="O212"/>
  <c r="AJ211" s="1"/>
  <c r="O284"/>
  <c r="O356"/>
  <c r="O428"/>
  <c r="O500"/>
  <c r="AJ499" s="1"/>
  <c r="O73"/>
  <c r="O145"/>
  <c r="AN144" s="1"/>
  <c r="O217"/>
  <c r="AN216" s="1"/>
  <c r="O289"/>
  <c r="O361"/>
  <c r="O433"/>
  <c r="AN432" s="1"/>
  <c r="O505"/>
  <c r="O76"/>
  <c r="O72"/>
  <c r="O216"/>
  <c r="O360"/>
  <c r="O504"/>
  <c r="AN503" s="1"/>
  <c r="O155"/>
  <c r="O299"/>
  <c r="AN298" s="1"/>
  <c r="O443"/>
  <c r="AN442" s="1"/>
  <c r="O94"/>
  <c r="O238"/>
  <c r="O382"/>
  <c r="AJ381" s="1"/>
  <c r="O22"/>
  <c r="O174"/>
  <c r="AN173" s="1"/>
  <c r="O318"/>
  <c r="O462"/>
  <c r="O125"/>
  <c r="O269"/>
  <c r="AN268" s="1"/>
  <c r="O413"/>
  <c r="O196"/>
  <c r="AJ195" s="1"/>
  <c r="O352"/>
  <c r="O508"/>
  <c r="AN507" s="1"/>
  <c r="O57"/>
  <c r="O165"/>
  <c r="AN164" s="1"/>
  <c r="O273"/>
  <c r="O345"/>
  <c r="AN344" s="1"/>
  <c r="O417"/>
  <c r="AN416" s="1"/>
  <c r="O489"/>
  <c r="O62"/>
  <c r="O134"/>
  <c r="AN133" s="1"/>
  <c r="O206"/>
  <c r="O278"/>
  <c r="AN277" s="1"/>
  <c r="O350"/>
  <c r="O422"/>
  <c r="O494"/>
  <c r="O67"/>
  <c r="O139"/>
  <c r="O211"/>
  <c r="AJ210" s="1"/>
  <c r="O283"/>
  <c r="AN282" s="1"/>
  <c r="O355"/>
  <c r="O427"/>
  <c r="O499"/>
  <c r="AN498" s="1"/>
  <c r="O64"/>
  <c r="O60"/>
  <c r="O204"/>
  <c r="AN203" s="1"/>
  <c r="O348"/>
  <c r="O492"/>
  <c r="O143"/>
  <c r="AN142" s="1"/>
  <c r="O287"/>
  <c r="O431"/>
  <c r="AJ430" s="1"/>
  <c r="O82"/>
  <c r="O226"/>
  <c r="O370"/>
  <c r="O514"/>
  <c r="AN513" s="1"/>
  <c r="O162"/>
  <c r="O306"/>
  <c r="AN305" s="1"/>
  <c r="O450"/>
  <c r="AN449" s="1"/>
  <c r="O113"/>
  <c r="O257"/>
  <c r="O401"/>
  <c r="AN400" s="1"/>
  <c r="O172"/>
  <c r="O340"/>
  <c r="O496"/>
  <c r="O51"/>
  <c r="O159"/>
  <c r="O267"/>
  <c r="AN266" s="1"/>
  <c r="O339"/>
  <c r="O411"/>
  <c r="AN410" s="1"/>
  <c r="O483"/>
  <c r="O56"/>
  <c r="O128"/>
  <c r="O200"/>
  <c r="AN199" s="1"/>
  <c r="O272"/>
  <c r="O344"/>
  <c r="O416"/>
  <c r="AJ415" s="1"/>
  <c r="O488"/>
  <c r="O61"/>
  <c r="O133"/>
  <c r="AN132" s="1"/>
  <c r="O205"/>
  <c r="O277"/>
  <c r="AN276" s="1"/>
  <c r="O349"/>
  <c r="O421"/>
  <c r="O493"/>
  <c r="O52"/>
  <c r="O47"/>
  <c r="O192"/>
  <c r="AN191" s="1"/>
  <c r="O336"/>
  <c r="O480"/>
  <c r="O131"/>
  <c r="O275"/>
  <c r="AN274" s="1"/>
  <c r="O419"/>
  <c r="O70"/>
  <c r="O214"/>
  <c r="AJ213" s="1"/>
  <c r="O358"/>
  <c r="O502"/>
  <c r="O150"/>
  <c r="AN149" s="1"/>
  <c r="O294"/>
  <c r="O438"/>
  <c r="O101"/>
  <c r="AN100" s="1"/>
  <c r="O245"/>
  <c r="O389"/>
  <c r="AN388" s="1"/>
  <c r="O148"/>
  <c r="AN147" s="1"/>
  <c r="O328"/>
  <c r="AJ327" s="1"/>
  <c r="O484"/>
  <c r="O21"/>
  <c r="O129"/>
  <c r="O237"/>
  <c r="O315"/>
  <c r="AN314" s="1"/>
  <c r="O387"/>
  <c r="O459"/>
  <c r="AJ458" s="1"/>
  <c r="O32"/>
  <c r="O104"/>
  <c r="O176"/>
  <c r="O248"/>
  <c r="AN247" s="1"/>
  <c r="O320"/>
  <c r="O392"/>
  <c r="AN391" s="1"/>
  <c r="O464"/>
  <c r="AN463" s="1"/>
  <c r="O37"/>
  <c r="O109"/>
  <c r="O181"/>
  <c r="AN180" s="1"/>
  <c r="O253"/>
  <c r="O325"/>
  <c r="AN324" s="1"/>
  <c r="O397"/>
  <c r="O469"/>
  <c r="O36"/>
  <c r="O184"/>
  <c r="AN183" s="1"/>
  <c r="O144"/>
  <c r="O288"/>
  <c r="AN287" s="1"/>
  <c r="O432"/>
  <c r="O83"/>
  <c r="O227"/>
  <c r="O371"/>
  <c r="O515"/>
  <c r="O166"/>
  <c r="AN165" s="1"/>
  <c r="O310"/>
  <c r="AN309" s="1"/>
  <c r="O454"/>
  <c r="O102"/>
  <c r="AN101" s="1"/>
  <c r="O246"/>
  <c r="AN245" s="1"/>
  <c r="O390"/>
  <c r="O53"/>
  <c r="O197"/>
  <c r="AN196" s="1"/>
  <c r="O341"/>
  <c r="O485"/>
  <c r="O280"/>
  <c r="AN279" s="1"/>
  <c r="O436"/>
  <c r="AN435" s="1"/>
  <c r="AW52"/>
  <c r="AW88"/>
  <c r="AW124"/>
  <c r="AW160"/>
  <c r="AW196"/>
  <c r="AW232"/>
  <c r="AW268"/>
  <c r="AW304"/>
  <c r="AW340"/>
  <c r="AW376"/>
  <c r="AW412"/>
  <c r="AW448"/>
  <c r="AW484"/>
  <c r="AW26"/>
  <c r="AW104"/>
  <c r="AW182"/>
  <c r="AW254"/>
  <c r="AW326"/>
  <c r="AW398"/>
  <c r="AW476"/>
  <c r="AW49"/>
  <c r="AW121"/>
  <c r="AW193"/>
  <c r="AW265"/>
  <c r="AW337"/>
  <c r="AW415"/>
  <c r="AW487"/>
  <c r="AW54"/>
  <c r="AW126"/>
  <c r="AW198"/>
  <c r="AW270"/>
  <c r="AW342"/>
  <c r="AW414"/>
  <c r="AW480"/>
  <c r="AW35"/>
  <c r="AW71"/>
  <c r="AW107"/>
  <c r="AW143"/>
  <c r="AW179"/>
  <c r="AW215"/>
  <c r="AW251"/>
  <c r="AW287"/>
  <c r="AW27"/>
  <c r="AW63"/>
  <c r="AW99"/>
  <c r="AW135"/>
  <c r="AW171"/>
  <c r="AW207"/>
  <c r="AW243"/>
  <c r="AW279"/>
  <c r="AW315"/>
  <c r="AW351"/>
  <c r="AW387"/>
  <c r="AW423"/>
  <c r="AW459"/>
  <c r="AW495"/>
  <c r="AW44"/>
  <c r="AW110"/>
  <c r="AW176"/>
  <c r="AW248"/>
  <c r="AW320"/>
  <c r="AW392"/>
  <c r="AW464"/>
  <c r="AW31"/>
  <c r="AW103"/>
  <c r="AW175"/>
  <c r="AW247"/>
  <c r="AW319"/>
  <c r="AW385"/>
  <c r="AW457"/>
  <c r="AW24"/>
  <c r="AW96"/>
  <c r="AW168"/>
  <c r="AW240"/>
  <c r="AW312"/>
  <c r="AW384"/>
  <c r="AW462"/>
  <c r="AW377"/>
  <c r="AW407"/>
  <c r="AW401"/>
  <c r="AW395"/>
  <c r="AW389"/>
  <c r="AW419"/>
  <c r="AW46"/>
  <c r="AW82"/>
  <c r="AW118"/>
  <c r="AW154"/>
  <c r="AW190"/>
  <c r="AW226"/>
  <c r="AW262"/>
  <c r="AW298"/>
  <c r="AW334"/>
  <c r="AW370"/>
  <c r="AW406"/>
  <c r="AW442"/>
  <c r="AW478"/>
  <c r="AW514"/>
  <c r="AW92"/>
  <c r="AW170"/>
  <c r="AW242"/>
  <c r="AW314"/>
  <c r="AW386"/>
  <c r="AW458"/>
  <c r="AW37"/>
  <c r="AW109"/>
  <c r="AW181"/>
  <c r="AW253"/>
  <c r="AW325"/>
  <c r="AW403"/>
  <c r="AW475"/>
  <c r="AW42"/>
  <c r="AW114"/>
  <c r="AW186"/>
  <c r="AW258"/>
  <c r="AW330"/>
  <c r="AW402"/>
  <c r="AW468"/>
  <c r="AW29"/>
  <c r="AW65"/>
  <c r="AW101"/>
  <c r="AW137"/>
  <c r="AW173"/>
  <c r="AW209"/>
  <c r="AW245"/>
  <c r="AW281"/>
  <c r="AW21"/>
  <c r="AW57"/>
  <c r="AW93"/>
  <c r="AW129"/>
  <c r="AW165"/>
  <c r="AW201"/>
  <c r="AW237"/>
  <c r="AW273"/>
  <c r="AW309"/>
  <c r="AW345"/>
  <c r="AW381"/>
  <c r="AW417"/>
  <c r="AW453"/>
  <c r="AW489"/>
  <c r="AW32"/>
  <c r="AW98"/>
  <c r="AW164"/>
  <c r="AW236"/>
  <c r="AW308"/>
  <c r="AW380"/>
  <c r="AW452"/>
  <c r="AW19"/>
  <c r="AW91"/>
  <c r="AW163"/>
  <c r="AW235"/>
  <c r="AW307"/>
  <c r="AW373"/>
  <c r="AW445"/>
  <c r="AW517"/>
  <c r="AW84"/>
  <c r="AW156"/>
  <c r="AW228"/>
  <c r="AW300"/>
  <c r="AW372"/>
  <c r="AW450"/>
  <c r="AW341"/>
  <c r="AW371"/>
  <c r="AW365"/>
  <c r="AW359"/>
  <c r="AW353"/>
  <c r="AW383"/>
  <c r="AW64"/>
  <c r="AW112"/>
  <c r="AW172"/>
  <c r="AW220"/>
  <c r="AW280"/>
  <c r="AW328"/>
  <c r="AW388"/>
  <c r="AW436"/>
  <c r="AW496"/>
  <c r="AW80"/>
  <c r="AW206"/>
  <c r="AW302"/>
  <c r="AW422"/>
  <c r="AW25"/>
  <c r="AW145"/>
  <c r="AW241"/>
  <c r="AW367"/>
  <c r="AW463"/>
  <c r="AW78"/>
  <c r="AW174"/>
  <c r="AW294"/>
  <c r="AW390"/>
  <c r="AW504"/>
  <c r="AW59"/>
  <c r="AW119"/>
  <c r="AW167"/>
  <c r="AW227"/>
  <c r="AW275"/>
  <c r="AW39"/>
  <c r="AW87"/>
  <c r="AW147"/>
  <c r="AW195"/>
  <c r="AW255"/>
  <c r="AW303"/>
  <c r="AW363"/>
  <c r="AW411"/>
  <c r="AW471"/>
  <c r="AW20"/>
  <c r="AW128"/>
  <c r="AW224"/>
  <c r="AW344"/>
  <c r="AW440"/>
  <c r="AW55"/>
  <c r="AW151"/>
  <c r="AW271"/>
  <c r="AW361"/>
  <c r="AW481"/>
  <c r="AW72"/>
  <c r="AW192"/>
  <c r="AW288"/>
  <c r="AW408"/>
  <c r="AW510"/>
  <c r="AW479"/>
  <c r="AW323"/>
  <c r="AW461"/>
  <c r="AW58"/>
  <c r="AW106"/>
  <c r="AW166"/>
  <c r="AW214"/>
  <c r="AW274"/>
  <c r="AW322"/>
  <c r="AW382"/>
  <c r="AW430"/>
  <c r="AW490"/>
  <c r="AW68"/>
  <c r="AW194"/>
  <c r="AW290"/>
  <c r="AW410"/>
  <c r="AW512"/>
  <c r="AW133"/>
  <c r="AW229"/>
  <c r="AW349"/>
  <c r="AW451"/>
  <c r="AW66"/>
  <c r="AW162"/>
  <c r="AW282"/>
  <c r="AW378"/>
  <c r="AW492"/>
  <c r="AW53"/>
  <c r="AW113"/>
  <c r="AW161"/>
  <c r="AW221"/>
  <c r="AW269"/>
  <c r="AW33"/>
  <c r="AW81"/>
  <c r="AW141"/>
  <c r="AW189"/>
  <c r="AW249"/>
  <c r="AW297"/>
  <c r="AW357"/>
  <c r="AW405"/>
  <c r="AW465"/>
  <c r="AW513"/>
  <c r="AW116"/>
  <c r="AW212"/>
  <c r="AW332"/>
  <c r="AW428"/>
  <c r="AW43"/>
  <c r="AW139"/>
  <c r="AW259"/>
  <c r="AW355"/>
  <c r="AW469"/>
  <c r="AW60"/>
  <c r="AW180"/>
  <c r="AW276"/>
  <c r="AW396"/>
  <c r="AW498"/>
  <c r="AW443"/>
  <c r="AW509"/>
  <c r="AW425"/>
  <c r="AW40"/>
  <c r="AW100"/>
  <c r="AW148"/>
  <c r="AW208"/>
  <c r="AW256"/>
  <c r="AW316"/>
  <c r="AW364"/>
  <c r="AW424"/>
  <c r="AW472"/>
  <c r="AW50"/>
  <c r="AW158"/>
  <c r="AW278"/>
  <c r="AW374"/>
  <c r="AW500"/>
  <c r="AW97"/>
  <c r="AW217"/>
  <c r="AW313"/>
  <c r="AW439"/>
  <c r="AW30"/>
  <c r="AW150"/>
  <c r="AW246"/>
  <c r="AW366"/>
  <c r="AW456"/>
  <c r="AW47"/>
  <c r="AW95"/>
  <c r="AW155"/>
  <c r="AW203"/>
  <c r="AW263"/>
  <c r="AW311"/>
  <c r="AW75"/>
  <c r="AW123"/>
  <c r="AW183"/>
  <c r="AW231"/>
  <c r="AW291"/>
  <c r="AW339"/>
  <c r="AW399"/>
  <c r="AW447"/>
  <c r="AW507"/>
  <c r="AW86"/>
  <c r="AW200"/>
  <c r="AW296"/>
  <c r="AW416"/>
  <c r="AW506"/>
  <c r="AW127"/>
  <c r="AW223"/>
  <c r="AW343"/>
  <c r="AW433"/>
  <c r="AW48"/>
  <c r="AW144"/>
  <c r="AW264"/>
  <c r="AW360"/>
  <c r="AW486"/>
  <c r="AW335"/>
  <c r="AW473"/>
  <c r="AW317"/>
  <c r="AW491"/>
  <c r="AW34"/>
  <c r="AW94"/>
  <c r="AW142"/>
  <c r="AW202"/>
  <c r="AW250"/>
  <c r="AW310"/>
  <c r="AW358"/>
  <c r="AW418"/>
  <c r="AW466"/>
  <c r="AW38"/>
  <c r="AW146"/>
  <c r="AW266"/>
  <c r="AW362"/>
  <c r="AW488"/>
  <c r="AW85"/>
  <c r="AW205"/>
  <c r="AW301"/>
  <c r="AW427"/>
  <c r="AW18"/>
  <c r="AW138"/>
  <c r="AW234"/>
  <c r="AW354"/>
  <c r="AW444"/>
  <c r="AW41"/>
  <c r="AW89"/>
  <c r="AW149"/>
  <c r="AW197"/>
  <c r="AW257"/>
  <c r="AW305"/>
  <c r="AW69"/>
  <c r="AW117"/>
  <c r="AW177"/>
  <c r="AW225"/>
  <c r="AW285"/>
  <c r="AW333"/>
  <c r="AW393"/>
  <c r="AW441"/>
  <c r="AW501"/>
  <c r="AW74"/>
  <c r="AW188"/>
  <c r="AW284"/>
  <c r="AW404"/>
  <c r="AW494"/>
  <c r="AW115"/>
  <c r="AW211"/>
  <c r="AW331"/>
  <c r="AW421"/>
  <c r="AW36"/>
  <c r="AW132"/>
  <c r="AW252"/>
  <c r="AW348"/>
  <c r="AW474"/>
  <c r="AW485"/>
  <c r="AW437"/>
  <c r="AW503"/>
  <c r="AW455"/>
  <c r="AW28"/>
  <c r="AW76"/>
  <c r="AW136"/>
  <c r="AW184"/>
  <c r="AW244"/>
  <c r="AW292"/>
  <c r="AW352"/>
  <c r="AW400"/>
  <c r="AW460"/>
  <c r="AW508"/>
  <c r="AW134"/>
  <c r="AW230"/>
  <c r="AW350"/>
  <c r="AW446"/>
  <c r="AW73"/>
  <c r="AW169"/>
  <c r="AW289"/>
  <c r="AW391"/>
  <c r="AW511"/>
  <c r="AW102"/>
  <c r="AW222"/>
  <c r="AW318"/>
  <c r="AW438"/>
  <c r="AW23"/>
  <c r="AW83"/>
  <c r="AW131"/>
  <c r="AW191"/>
  <c r="AW239"/>
  <c r="AW299"/>
  <c r="AW51"/>
  <c r="AW111"/>
  <c r="AW159"/>
  <c r="AW219"/>
  <c r="AW267"/>
  <c r="AW327"/>
  <c r="AW375"/>
  <c r="AW435"/>
  <c r="AW483"/>
  <c r="AW62"/>
  <c r="AW152"/>
  <c r="AW272"/>
  <c r="AW368"/>
  <c r="AW482"/>
  <c r="AW79"/>
  <c r="AW199"/>
  <c r="AW295"/>
  <c r="AW409"/>
  <c r="AW505"/>
  <c r="AW120"/>
  <c r="AW216"/>
  <c r="AW336"/>
  <c r="AW432"/>
  <c r="AW449"/>
  <c r="AW329"/>
  <c r="AW467"/>
  <c r="AW347"/>
  <c r="AW22"/>
  <c r="AW70"/>
  <c r="AW130"/>
  <c r="AW178"/>
  <c r="AW238"/>
  <c r="AW286"/>
  <c r="AW346"/>
  <c r="AW394"/>
  <c r="AW454"/>
  <c r="AW502"/>
  <c r="AW122"/>
  <c r="AW218"/>
  <c r="AW338"/>
  <c r="AW434"/>
  <c r="AW61"/>
  <c r="AW157"/>
  <c r="AW277"/>
  <c r="AW379"/>
  <c r="AW499"/>
  <c r="AW90"/>
  <c r="AW210"/>
  <c r="AW306"/>
  <c r="AW426"/>
  <c r="AW516"/>
  <c r="AW77"/>
  <c r="AW125"/>
  <c r="AW185"/>
  <c r="AW233"/>
  <c r="AW293"/>
  <c r="AW45"/>
  <c r="AW105"/>
  <c r="AW153"/>
  <c r="AW213"/>
  <c r="AW261"/>
  <c r="AW321"/>
  <c r="AW369"/>
  <c r="AW429"/>
  <c r="AW477"/>
  <c r="AW56"/>
  <c r="AW140"/>
  <c r="AW260"/>
  <c r="AW356"/>
  <c r="AW470"/>
  <c r="AW67"/>
  <c r="AW187"/>
  <c r="AW283"/>
  <c r="AW397"/>
  <c r="AW493"/>
  <c r="AW108"/>
  <c r="AW204"/>
  <c r="AW324"/>
  <c r="AW420"/>
  <c r="AW413"/>
  <c r="AW515"/>
  <c r="AW431"/>
  <c r="AW497"/>
  <c r="AN399"/>
  <c r="AN471"/>
  <c r="AN188"/>
  <c r="AN224"/>
  <c r="AN332"/>
  <c r="AN368"/>
  <c r="AJ404"/>
  <c r="AN440"/>
  <c r="AN121"/>
  <c r="AN157"/>
  <c r="AN337"/>
  <c r="AN373"/>
  <c r="AN120"/>
  <c r="AN336"/>
  <c r="AN408"/>
  <c r="AJ480"/>
  <c r="AN347"/>
  <c r="AN491"/>
  <c r="AN214"/>
  <c r="AJ286"/>
  <c r="AN150"/>
  <c r="AN222"/>
  <c r="AJ366"/>
  <c r="AJ461"/>
  <c r="AN249"/>
  <c r="AN243"/>
  <c r="AN339"/>
  <c r="AN423"/>
  <c r="AN98"/>
  <c r="AN140"/>
  <c r="AN182"/>
  <c r="AJ272"/>
  <c r="AN356"/>
  <c r="AN115"/>
  <c r="AJ205"/>
  <c r="AN421"/>
  <c r="AN251"/>
  <c r="AN190"/>
  <c r="AN161"/>
  <c r="AN168"/>
  <c r="AN371"/>
  <c r="AN394"/>
  <c r="AN414"/>
  <c r="AN129"/>
  <c r="AN189"/>
  <c r="AN237"/>
  <c r="AN333"/>
  <c r="AN375"/>
  <c r="AN417"/>
  <c r="AJ501"/>
  <c r="AN176"/>
  <c r="AN218"/>
  <c r="AN434"/>
  <c r="AN482"/>
  <c r="AN151"/>
  <c r="AJ241"/>
  <c r="AN283"/>
  <c r="AJ367"/>
  <c r="AN184"/>
  <c r="AN436"/>
  <c r="AJ300"/>
  <c r="AN384"/>
  <c r="AN468"/>
  <c r="AN239"/>
  <c r="AJ407"/>
  <c r="AN346"/>
  <c r="AN114"/>
  <c r="AJ378"/>
  <c r="AN462"/>
  <c r="AN220"/>
  <c r="AN310"/>
  <c r="AN246"/>
  <c r="AN123"/>
  <c r="AN171"/>
  <c r="AN231"/>
  <c r="AN411"/>
  <c r="AN453"/>
  <c r="AN495"/>
  <c r="AN170"/>
  <c r="AN254"/>
  <c r="AN302"/>
  <c r="AN428"/>
  <c r="AJ470"/>
  <c r="AN103"/>
  <c r="AN187"/>
  <c r="AN235"/>
  <c r="AJ319"/>
  <c r="AN451"/>
  <c r="AJ493"/>
  <c r="AN160"/>
  <c r="AN340"/>
  <c r="AJ508"/>
  <c r="AN108"/>
  <c r="AN204"/>
  <c r="AN143"/>
  <c r="AJ227"/>
  <c r="AN395"/>
  <c r="AJ479"/>
  <c r="AN250"/>
  <c r="AN418"/>
  <c r="AN514"/>
  <c r="AN102"/>
  <c r="AN270"/>
  <c r="AN450"/>
  <c r="AN221"/>
  <c r="AN485"/>
  <c r="AN516"/>
  <c r="AN130"/>
  <c r="AN478"/>
  <c r="AN365"/>
  <c r="AN117"/>
  <c r="AJ225"/>
  <c r="AN273"/>
  <c r="AN357"/>
  <c r="AJ405"/>
  <c r="AN489"/>
  <c r="AN122"/>
  <c r="AN206"/>
  <c r="AJ248"/>
  <c r="AN338"/>
  <c r="AN380"/>
  <c r="AN422"/>
  <c r="AN464"/>
  <c r="AN139"/>
  <c r="AN181"/>
  <c r="AN271"/>
  <c r="AN355"/>
  <c r="AJ397"/>
  <c r="AN487"/>
  <c r="AN232"/>
  <c r="AJ328"/>
  <c r="AN412"/>
  <c r="AN496"/>
  <c r="AN360"/>
  <c r="AN215"/>
  <c r="AN299"/>
  <c r="AJ238"/>
  <c r="AN490"/>
  <c r="AN426"/>
  <c r="AN125"/>
  <c r="AN293"/>
  <c r="AN377"/>
  <c r="AJ473"/>
  <c r="AN304"/>
  <c r="AN107"/>
  <c r="AN226"/>
  <c r="AN162"/>
  <c r="AN113"/>
  <c r="AN351"/>
  <c r="AN393"/>
  <c r="AN441"/>
  <c r="AN110"/>
  <c r="AN158"/>
  <c r="AJ200"/>
  <c r="AN284"/>
  <c r="AN326"/>
  <c r="AN374"/>
  <c r="AN175"/>
  <c r="AN217"/>
  <c r="AJ307"/>
  <c r="AN349"/>
  <c r="AJ433"/>
  <c r="AN136"/>
  <c r="AJ348"/>
  <c r="AN201"/>
  <c r="AN303"/>
  <c r="AN387"/>
  <c r="AN477"/>
  <c r="AN236"/>
  <c r="AJ278"/>
  <c r="AN494"/>
  <c r="AN127"/>
  <c r="AN169"/>
  <c r="AN343"/>
  <c r="AN427"/>
  <c r="AN124"/>
  <c r="AN292"/>
  <c r="AN472"/>
  <c r="AJ240"/>
  <c r="AN504"/>
  <c r="AN179"/>
  <c r="AJ359"/>
  <c r="AN118"/>
  <c r="AN202"/>
  <c r="AN138"/>
  <c r="AJ318"/>
  <c r="AN185"/>
  <c r="AN269"/>
  <c r="AN437"/>
  <c r="AJ505"/>
  <c r="AN112"/>
  <c r="AN280"/>
  <c r="AN364"/>
  <c r="AN396"/>
  <c r="AN492"/>
  <c r="AJ335"/>
  <c r="AN431"/>
  <c r="AN515"/>
  <c r="AN106"/>
  <c r="AJ370"/>
  <c r="AN454"/>
  <c r="AN306"/>
  <c r="AN390"/>
  <c r="AN425"/>
  <c r="AN329"/>
  <c r="AJ497"/>
  <c r="AN475"/>
  <c r="AN252"/>
  <c r="AN455"/>
  <c r="AN483"/>
  <c r="AN128"/>
  <c r="AN488"/>
  <c r="AN484"/>
  <c r="AN281"/>
  <c r="AN369"/>
  <c r="AN194"/>
  <c r="AN230"/>
  <c r="AN256"/>
  <c r="AN420"/>
  <c r="AN363"/>
  <c r="AN296"/>
  <c r="AN512"/>
  <c r="AN229"/>
  <c r="AJ445"/>
  <c r="AN172"/>
  <c r="AN244"/>
  <c r="AN192"/>
  <c r="AN131"/>
  <c r="AN502"/>
  <c r="AN438"/>
  <c r="AN177"/>
  <c r="AN465"/>
  <c r="AJ259"/>
  <c r="AN376"/>
  <c r="AN448"/>
  <c r="AN119"/>
  <c r="AN389"/>
  <c r="AN207"/>
  <c r="AN145"/>
  <c r="AN289"/>
  <c r="AJ334"/>
  <c r="AJ198"/>
  <c r="AJ486"/>
  <c r="AN242"/>
  <c r="AN386"/>
  <c r="AN311"/>
  <c r="AN178"/>
  <c r="AN330"/>
  <c r="AN209"/>
  <c r="AJ5" a="1"/>
  <c r="AJ5" s="1"/>
  <c r="AN403"/>
  <c r="AN317"/>
  <c r="AN285"/>
  <c r="AN288"/>
  <c r="AN313"/>
  <c r="AN354"/>
  <c r="AN135"/>
  <c r="AN500"/>
  <c r="AN154"/>
  <c r="AJ313"/>
  <c r="AJ500"/>
  <c r="AJ403"/>
  <c r="AJ288"/>
  <c r="AJ354"/>
  <c r="AJ317"/>
  <c r="AJ285"/>
  <c r="AJ369"/>
  <c r="AJ226"/>
  <c r="AN46"/>
  <c r="AN56"/>
  <c r="AN73"/>
  <c r="AN35"/>
  <c r="AN40"/>
  <c r="AN60"/>
  <c r="AN70"/>
  <c r="AN32"/>
  <c r="AN89"/>
  <c r="AN43"/>
  <c r="AN63"/>
  <c r="AN54"/>
  <c r="AN47"/>
  <c r="AN74"/>
  <c r="AN79"/>
  <c r="AN84"/>
  <c r="AN83"/>
  <c r="AN85"/>
  <c r="AN48"/>
  <c r="AN78"/>
  <c r="AN39"/>
  <c r="AN96"/>
  <c r="AN77"/>
  <c r="AN71"/>
  <c r="AN31"/>
  <c r="AN57"/>
  <c r="AN58"/>
  <c r="AN55"/>
  <c r="AN49"/>
  <c r="AN95"/>
  <c r="AN42"/>
  <c r="AN94"/>
  <c r="AN34"/>
  <c r="AN92"/>
  <c r="AN91"/>
  <c r="AN75"/>
  <c r="AN59"/>
  <c r="AN69"/>
  <c r="AN52"/>
  <c r="AN76"/>
  <c r="AN41"/>
  <c r="AN68"/>
  <c r="AN80"/>
  <c r="AN87"/>
  <c r="AN36"/>
  <c r="AN82"/>
  <c r="X30"/>
  <c r="AN93"/>
  <c r="AN53"/>
  <c r="AN50"/>
  <c r="AN64"/>
  <c r="AN44"/>
  <c r="AN33"/>
  <c r="AN88"/>
  <c r="AN37"/>
  <c r="AN86"/>
  <c r="AN67"/>
  <c r="AN66"/>
  <c r="AN51"/>
  <c r="AN38"/>
  <c r="AN61"/>
  <c r="AN97"/>
  <c r="AN90"/>
  <c r="AN45"/>
  <c r="AN62"/>
  <c r="AN72"/>
  <c r="AN65"/>
  <c r="AN81"/>
  <c r="W29"/>
  <c r="T25"/>
  <c r="X20"/>
  <c r="AZ18"/>
  <c r="T19"/>
  <c r="U24"/>
  <c r="BD21"/>
  <c r="X21"/>
  <c r="X19"/>
  <c r="R29"/>
  <c r="U25"/>
  <c r="BA28"/>
  <c r="S19"/>
  <c r="BG23"/>
  <c r="Y28"/>
  <c r="W20"/>
  <c r="T18"/>
  <c r="BA22"/>
  <c r="U18"/>
  <c r="BC21"/>
  <c r="S22"/>
  <c r="U29"/>
  <c r="BA20"/>
  <c r="BE24"/>
  <c r="BB29"/>
  <c r="T29"/>
  <c r="Y23"/>
  <c r="BG24"/>
  <c r="BF23"/>
  <c r="T28"/>
  <c r="S24"/>
  <c r="W26"/>
  <c r="X25"/>
  <c r="BG25"/>
  <c r="BE29"/>
  <c r="V22"/>
  <c r="BA24"/>
  <c r="AN26"/>
  <c r="BD24"/>
  <c r="S23"/>
  <c r="BA27"/>
  <c r="BF21"/>
  <c r="R25"/>
  <c r="BG26"/>
  <c r="BF19"/>
  <c r="BE26"/>
  <c r="X23"/>
  <c r="Y18"/>
  <c r="V25"/>
  <c r="V28"/>
  <c r="BC29"/>
  <c r="V23"/>
  <c r="R20"/>
  <c r="R26"/>
  <c r="BE20"/>
  <c r="W18"/>
  <c r="BD29"/>
  <c r="X29"/>
  <c r="U19"/>
  <c r="V29"/>
  <c r="BF26"/>
  <c r="U26"/>
  <c r="X24"/>
  <c r="BE23"/>
  <c r="BF28"/>
  <c r="R24"/>
  <c r="W25"/>
  <c r="Y19"/>
  <c r="AN28"/>
  <c r="X18"/>
  <c r="R21"/>
  <c r="W28"/>
  <c r="R19"/>
  <c r="V19"/>
  <c r="V24"/>
  <c r="S28"/>
  <c r="T26"/>
  <c r="X22"/>
  <c r="BF22"/>
  <c r="Y25"/>
  <c r="AZ24"/>
  <c r="Y27"/>
  <c r="AZ22"/>
  <c r="AN29"/>
  <c r="BG22"/>
  <c r="V27"/>
  <c r="U28"/>
  <c r="BD26"/>
  <c r="U22"/>
  <c r="T20"/>
  <c r="U20"/>
  <c r="Y26"/>
  <c r="BG21"/>
  <c r="BA23"/>
  <c r="BC20"/>
  <c r="R18"/>
  <c r="S25"/>
  <c r="V20"/>
  <c r="X28"/>
  <c r="W22"/>
  <c r="R28"/>
  <c r="T22"/>
  <c r="BA21"/>
  <c r="BC26"/>
  <c r="BB23"/>
  <c r="V18"/>
  <c r="T23"/>
  <c r="BD23"/>
  <c r="R22"/>
  <c r="Y20"/>
  <c r="S26"/>
  <c r="Y24"/>
  <c r="BF20"/>
  <c r="BA18"/>
  <c r="W24"/>
  <c r="W23"/>
  <c r="BG20"/>
  <c r="T24"/>
  <c r="BF24"/>
  <c r="BE22"/>
  <c r="BD20"/>
  <c r="R23"/>
  <c r="BA26"/>
  <c r="BG18"/>
  <c r="BB26"/>
  <c r="S18"/>
  <c r="V26"/>
  <c r="U23"/>
  <c r="S20"/>
  <c r="BE18"/>
  <c r="AZ26"/>
  <c r="Y22"/>
  <c r="BB22"/>
  <c r="AN25"/>
  <c r="W19"/>
  <c r="BD22"/>
  <c r="BF18"/>
  <c r="AZ23"/>
  <c r="BB21"/>
  <c r="BA29"/>
  <c r="BB20"/>
  <c r="BA19"/>
  <c r="BB24"/>
  <c r="BC22"/>
  <c r="X26"/>
  <c r="Y29"/>
  <c r="AJ400" l="1"/>
  <c r="AN195"/>
  <c r="AJ466"/>
  <c r="AN211"/>
  <c r="AN321"/>
  <c r="AJ189"/>
  <c r="AJ358"/>
  <c r="AN294"/>
  <c r="AN219"/>
  <c r="AJ427"/>
  <c r="AJ347"/>
  <c r="AJ218"/>
  <c r="AN301"/>
  <c r="AJ217"/>
  <c r="AJ414"/>
  <c r="AJ402"/>
  <c r="AJ478"/>
  <c r="AJ231"/>
  <c r="AN501"/>
  <c r="AJ309"/>
  <c r="AJ254"/>
  <c r="AJ487"/>
  <c r="AJ277"/>
  <c r="AN433"/>
  <c r="AN479"/>
  <c r="AJ345"/>
  <c r="AJ447"/>
  <c r="AJ380"/>
  <c r="AN227"/>
  <c r="AN238"/>
  <c r="AN470"/>
  <c r="AN458"/>
  <c r="AJ351"/>
  <c r="AN405"/>
  <c r="AJ435"/>
  <c r="AJ299"/>
  <c r="AJ360"/>
  <c r="AJ368"/>
  <c r="AN460"/>
  <c r="AJ302"/>
  <c r="AJ377"/>
  <c r="AN286"/>
  <c r="AJ245"/>
  <c r="AJ419"/>
  <c r="AJ287"/>
  <c r="AN480"/>
  <c r="AJ399"/>
  <c r="AJ494"/>
  <c r="AJ340"/>
  <c r="AJ220"/>
  <c r="AN307"/>
  <c r="AN461"/>
  <c r="AJ365"/>
  <c r="AN481"/>
  <c r="AJ418"/>
  <c r="AJ284"/>
  <c r="AJ464"/>
  <c r="AJ412"/>
  <c r="AN348"/>
  <c r="AN407"/>
  <c r="AJ208"/>
  <c r="AJ215"/>
  <c r="AN493"/>
  <c r="AJ282"/>
  <c r="AJ355"/>
  <c r="AN473"/>
  <c r="AN328"/>
  <c r="AN278"/>
  <c r="AJ434"/>
  <c r="AJ338"/>
  <c r="AJ375"/>
  <c r="AJ344"/>
  <c r="AJ257"/>
  <c r="AJ274"/>
  <c r="AJ332"/>
  <c r="AJ271"/>
  <c r="AJ336"/>
  <c r="AJ296"/>
  <c r="AJ305"/>
  <c r="AJ349"/>
  <c r="AJ298"/>
  <c r="AJ394"/>
  <c r="AJ331"/>
  <c r="AJ212"/>
  <c r="AJ343"/>
  <c r="AJ216"/>
  <c r="AJ490"/>
  <c r="AJ363"/>
  <c r="AJ246"/>
  <c r="AN508"/>
  <c r="AJ261"/>
  <c r="AJ452"/>
  <c r="AJ364"/>
  <c r="AJ337"/>
  <c r="AJ322"/>
  <c r="AN200"/>
  <c r="AN241"/>
  <c r="AJ209"/>
  <c r="AN334"/>
  <c r="AN467"/>
  <c r="AJ303"/>
  <c r="AJ504"/>
  <c r="AJ477"/>
  <c r="AJ440"/>
  <c r="AN335"/>
  <c r="AJ266"/>
  <c r="AJ465"/>
  <c r="AJ457"/>
  <c r="AN259"/>
  <c r="AJ383"/>
  <c r="AJ482"/>
  <c r="AJ416"/>
  <c r="AJ256"/>
  <c r="AJ236"/>
  <c r="AJ393"/>
  <c r="AJ398"/>
  <c r="AJ384"/>
  <c r="AN370"/>
  <c r="AJ249"/>
  <c r="AJ204"/>
  <c r="AJ408"/>
  <c r="AJ247"/>
  <c r="AJ276"/>
  <c r="AJ492"/>
  <c r="AJ242"/>
  <c r="AJ455"/>
  <c r="AN367"/>
  <c r="AN248"/>
  <c r="AJ496"/>
  <c r="AJ444"/>
  <c r="AJ510"/>
  <c r="AJ197"/>
  <c r="AJ206"/>
  <c r="AJ449"/>
  <c r="AJ385"/>
  <c r="AJ428"/>
  <c r="AJ450"/>
  <c r="AJ268"/>
  <c r="AJ514"/>
  <c r="AN415"/>
  <c r="AJ275"/>
  <c r="AJ483"/>
  <c r="AJ289"/>
  <c r="AJ265"/>
  <c r="AJ451"/>
  <c r="AJ512"/>
  <c r="AJ488"/>
  <c r="AJ361"/>
  <c r="AJ291"/>
  <c r="AJ191"/>
  <c r="AJ382"/>
  <c r="AJ411"/>
  <c r="AJ222"/>
  <c r="AN210"/>
  <c r="AN262"/>
  <c r="AN318"/>
  <c r="AJ320"/>
  <c r="AJ373"/>
  <c r="AJ252"/>
  <c r="AJ188"/>
  <c r="AJ502"/>
  <c r="AN439"/>
  <c r="AN404"/>
  <c r="AJ432"/>
  <c r="AJ253"/>
  <c r="AJ484"/>
  <c r="AJ491"/>
  <c r="AJ443"/>
  <c r="AJ290"/>
  <c r="AJ281"/>
  <c r="AJ417"/>
  <c r="AJ420"/>
  <c r="AJ234"/>
  <c r="AJ190"/>
  <c r="AJ469"/>
  <c r="AJ462"/>
  <c r="AJ333"/>
  <c r="AJ267"/>
  <c r="AJ406"/>
  <c r="AJ346"/>
  <c r="AJ235"/>
  <c r="AJ396"/>
  <c r="AJ391"/>
  <c r="AJ426"/>
  <c r="AJ232"/>
  <c r="AJ352"/>
  <c r="AJ279"/>
  <c r="AJ516"/>
  <c r="AJ224"/>
  <c r="AJ270"/>
  <c r="AJ293"/>
  <c r="AJ315"/>
  <c r="AJ468"/>
  <c r="AJ229"/>
  <c r="AJ273"/>
  <c r="AJ297"/>
  <c r="AJ395"/>
  <c r="AN430"/>
  <c r="AJ423"/>
  <c r="AJ258"/>
  <c r="AJ280"/>
  <c r="AJ475"/>
  <c r="AJ489"/>
  <c r="AJ387"/>
  <c r="AJ329"/>
  <c r="AJ306"/>
  <c r="AJ509"/>
  <c r="AJ356"/>
  <c r="AJ239"/>
  <c r="AJ269"/>
  <c r="AJ422"/>
  <c r="AJ304"/>
  <c r="AJ507"/>
  <c r="AJ448"/>
  <c r="AJ214"/>
  <c r="AJ308"/>
  <c r="AJ194"/>
  <c r="AJ425"/>
  <c r="AJ456"/>
  <c r="AJ438"/>
  <c r="AJ388"/>
  <c r="AN353"/>
  <c r="AN505"/>
  <c r="AN300"/>
  <c r="AN327"/>
  <c r="AJ292"/>
  <c r="AJ431"/>
  <c r="AJ283"/>
  <c r="AJ471"/>
  <c r="AJ201"/>
  <c r="AJ326"/>
  <c r="AJ341"/>
  <c r="AJ221"/>
  <c r="AJ495"/>
  <c r="AJ312"/>
  <c r="AJ441"/>
  <c r="AJ413"/>
  <c r="AJ410"/>
  <c r="AJ485"/>
  <c r="AJ350"/>
  <c r="AJ379"/>
  <c r="AN429"/>
  <c r="AN397"/>
  <c r="AJ207"/>
  <c r="AJ389"/>
  <c r="AJ330"/>
  <c r="AJ251"/>
  <c r="AJ244"/>
  <c r="AJ192"/>
  <c r="AJ498"/>
  <c r="AJ311"/>
  <c r="AJ342"/>
  <c r="AN401"/>
  <c r="AN198"/>
  <c r="AN497"/>
  <c r="AN499"/>
  <c r="AJ463"/>
  <c r="AN378"/>
  <c r="AN392"/>
  <c r="AN381"/>
  <c r="AN486"/>
  <c r="AJ260"/>
  <c r="AJ424"/>
  <c r="AJ325"/>
  <c r="AJ323"/>
  <c r="AJ339"/>
  <c r="AJ503"/>
  <c r="AJ203"/>
  <c r="AN319"/>
  <c r="AN264"/>
  <c r="AN205"/>
  <c r="AN272"/>
  <c r="AN372"/>
  <c r="AN445"/>
  <c r="AJ316"/>
  <c r="AJ295"/>
  <c r="AJ193"/>
  <c r="AJ324"/>
  <c r="AJ390"/>
  <c r="AJ263"/>
  <c r="AJ436"/>
  <c r="AJ223"/>
  <c r="AJ442"/>
  <c r="AJ374"/>
  <c r="AJ376"/>
  <c r="AJ386"/>
  <c r="AJ228"/>
  <c r="AN359"/>
  <c r="AN511"/>
  <c r="AN213"/>
  <c r="AN233"/>
  <c r="AJ237"/>
  <c r="AJ314"/>
  <c r="AJ243"/>
  <c r="AJ255"/>
  <c r="AJ202"/>
  <c r="AJ476"/>
  <c r="AJ472"/>
  <c r="AJ250"/>
  <c r="AJ513"/>
  <c r="AN366"/>
  <c r="AN240"/>
  <c r="AN225"/>
  <c r="AJ437"/>
  <c r="AJ515"/>
  <c r="AJ459"/>
  <c r="AJ421"/>
  <c r="AJ409"/>
  <c r="AJ371"/>
  <c r="AJ310"/>
  <c r="AJ230"/>
  <c r="AJ506"/>
  <c r="AJ454"/>
  <c r="AN446"/>
  <c r="AJ199"/>
  <c r="AJ453"/>
  <c r="AJ357"/>
  <c r="AJ196"/>
  <c r="AJ362"/>
  <c r="AJ474"/>
  <c r="AN12"/>
  <c r="BR474"/>
  <c r="BA474"/>
  <c r="BG474"/>
  <c r="BF474"/>
  <c r="AZ474"/>
  <c r="BB474"/>
  <c r="BE474"/>
  <c r="BD474"/>
  <c r="BC474"/>
  <c r="BR247"/>
  <c r="BD247"/>
  <c r="BE247"/>
  <c r="BC247"/>
  <c r="BB247"/>
  <c r="BA247"/>
  <c r="AZ247"/>
  <c r="BG247"/>
  <c r="BF247"/>
  <c r="BR374"/>
  <c r="BC374"/>
  <c r="BB374"/>
  <c r="BA374"/>
  <c r="BG374"/>
  <c r="BE374"/>
  <c r="AZ374"/>
  <c r="BD374"/>
  <c r="BF374"/>
  <c r="BR499"/>
  <c r="BE499"/>
  <c r="BD499"/>
  <c r="AZ499"/>
  <c r="BG499"/>
  <c r="BF499"/>
  <c r="BB499"/>
  <c r="BC499"/>
  <c r="BA499"/>
  <c r="BR191"/>
  <c r="BB191"/>
  <c r="BA191"/>
  <c r="BG191"/>
  <c r="BC191"/>
  <c r="AZ191"/>
  <c r="BF191"/>
  <c r="BE191"/>
  <c r="BD191"/>
  <c r="BR263"/>
  <c r="BB263"/>
  <c r="BF263"/>
  <c r="BE263"/>
  <c r="BD263"/>
  <c r="BC263"/>
  <c r="AZ263"/>
  <c r="BG263"/>
  <c r="BA263"/>
  <c r="BR389"/>
  <c r="BC389"/>
  <c r="BB389"/>
  <c r="BA389"/>
  <c r="BG389"/>
  <c r="BE389"/>
  <c r="BD389"/>
  <c r="AZ389"/>
  <c r="BF389"/>
  <c r="BR189"/>
  <c r="AZ189"/>
  <c r="BF189"/>
  <c r="BE189"/>
  <c r="BA189"/>
  <c r="BG189"/>
  <c r="BD189"/>
  <c r="BC189"/>
  <c r="BB189"/>
  <c r="BR484"/>
  <c r="BE484"/>
  <c r="BD484"/>
  <c r="BB484"/>
  <c r="BA484"/>
  <c r="AZ484"/>
  <c r="BF484"/>
  <c r="BG484"/>
  <c r="BC484"/>
  <c r="BR275"/>
  <c r="BB275"/>
  <c r="BD275"/>
  <c r="BC275"/>
  <c r="BA275"/>
  <c r="BF275"/>
  <c r="BE275"/>
  <c r="AZ275"/>
  <c r="BG275"/>
  <c r="BR336"/>
  <c r="AZ336"/>
  <c r="BF336"/>
  <c r="BE336"/>
  <c r="BD336"/>
  <c r="BC336"/>
  <c r="BG336"/>
  <c r="BA336"/>
  <c r="BB336"/>
  <c r="BR391"/>
  <c r="BE391"/>
  <c r="BD391"/>
  <c r="BC391"/>
  <c r="BA391"/>
  <c r="AZ391"/>
  <c r="BG391"/>
  <c r="BF391"/>
  <c r="BB391"/>
  <c r="BR232"/>
  <c r="BD232"/>
  <c r="BB232"/>
  <c r="BA232"/>
  <c r="AZ232"/>
  <c r="BG232"/>
  <c r="BF232"/>
  <c r="BE232"/>
  <c r="BC232"/>
  <c r="BR221"/>
  <c r="BB221"/>
  <c r="BA221"/>
  <c r="BG221"/>
  <c r="BE221"/>
  <c r="BD221"/>
  <c r="BC221"/>
  <c r="AZ221"/>
  <c r="BF221"/>
  <c r="BR288"/>
  <c r="AZ288"/>
  <c r="BF288"/>
  <c r="BA288"/>
  <c r="BG288"/>
  <c r="BE288"/>
  <c r="BC288"/>
  <c r="BB288"/>
  <c r="BD288"/>
  <c r="BR506"/>
  <c r="BC506"/>
  <c r="BB506"/>
  <c r="BF506"/>
  <c r="BE506"/>
  <c r="BG506"/>
  <c r="BD506"/>
  <c r="BA506"/>
  <c r="AZ506"/>
  <c r="BR259"/>
  <c r="BD259"/>
  <c r="BB259"/>
  <c r="BA259"/>
  <c r="AZ259"/>
  <c r="BG259"/>
  <c r="BF259"/>
  <c r="BC259"/>
  <c r="BE259"/>
  <c r="BR430"/>
  <c r="BE430"/>
  <c r="BD430"/>
  <c r="BC430"/>
  <c r="BA430"/>
  <c r="AZ430"/>
  <c r="BG430"/>
  <c r="BF430"/>
  <c r="BB430"/>
  <c r="BR454"/>
  <c r="BE454"/>
  <c r="BD454"/>
  <c r="AZ454"/>
  <c r="BG454"/>
  <c r="BF454"/>
  <c r="BC454"/>
  <c r="BB454"/>
  <c r="BA454"/>
  <c r="BR210"/>
  <c r="AZ210"/>
  <c r="BF210"/>
  <c r="BE210"/>
  <c r="BC210"/>
  <c r="BB210"/>
  <c r="BA210"/>
  <c r="BG210"/>
  <c r="BD210"/>
  <c r="BR440"/>
  <c r="BC440"/>
  <c r="BB440"/>
  <c r="BD440"/>
  <c r="BA440"/>
  <c r="AZ440"/>
  <c r="BF440"/>
  <c r="BG440"/>
  <c r="BE440"/>
  <c r="BR515"/>
  <c r="BC515"/>
  <c r="BB515"/>
  <c r="BF515"/>
  <c r="BE515"/>
  <c r="BD515"/>
  <c r="BG515"/>
  <c r="AZ515"/>
  <c r="BA515"/>
  <c r="BR466"/>
  <c r="BE466"/>
  <c r="BD466"/>
  <c r="BB466"/>
  <c r="BA466"/>
  <c r="BG466"/>
  <c r="BF466"/>
  <c r="AZ466"/>
  <c r="BC466"/>
  <c r="BR490"/>
  <c r="BE490"/>
  <c r="BD490"/>
  <c r="AZ490"/>
  <c r="BG490"/>
  <c r="BF490"/>
  <c r="BC490"/>
  <c r="BB490"/>
  <c r="BA490"/>
  <c r="BR222"/>
  <c r="AZ222"/>
  <c r="BF222"/>
  <c r="BE222"/>
  <c r="BG222"/>
  <c r="BD222"/>
  <c r="BC222"/>
  <c r="BB222"/>
  <c r="BA222"/>
  <c r="BR446"/>
  <c r="BC446"/>
  <c r="BB446"/>
  <c r="AZ446"/>
  <c r="BG446"/>
  <c r="BE446"/>
  <c r="BF446"/>
  <c r="BD446"/>
  <c r="BA446"/>
  <c r="BR502"/>
  <c r="BE502"/>
  <c r="BD502"/>
  <c r="BB502"/>
  <c r="AZ502"/>
  <c r="BC502"/>
  <c r="BA502"/>
  <c r="BF502"/>
  <c r="BG502"/>
  <c r="BR252"/>
  <c r="AZ252"/>
  <c r="BF252"/>
  <c r="BA252"/>
  <c r="BG252"/>
  <c r="BE252"/>
  <c r="BD252"/>
  <c r="BB252"/>
  <c r="BC252"/>
  <c r="BR470"/>
  <c r="BC470"/>
  <c r="BB470"/>
  <c r="BF470"/>
  <c r="BE470"/>
  <c r="BD470"/>
  <c r="AZ470"/>
  <c r="BA470"/>
  <c r="BG470"/>
  <c r="BR339"/>
  <c r="AZ339"/>
  <c r="BF339"/>
  <c r="BC339"/>
  <c r="BB339"/>
  <c r="BA339"/>
  <c r="BE339"/>
  <c r="BG339"/>
  <c r="BD339"/>
  <c r="BR234"/>
  <c r="AZ234"/>
  <c r="BF234"/>
  <c r="BA234"/>
  <c r="BG234"/>
  <c r="BE234"/>
  <c r="BD234"/>
  <c r="BC234"/>
  <c r="BB234"/>
  <c r="BR452"/>
  <c r="BC452"/>
  <c r="BB452"/>
  <c r="BF452"/>
  <c r="BE452"/>
  <c r="BD452"/>
  <c r="BA452"/>
  <c r="AZ452"/>
  <c r="BG452"/>
  <c r="BR467"/>
  <c r="BC467"/>
  <c r="BB467"/>
  <c r="BD467"/>
  <c r="BA467"/>
  <c r="AZ467"/>
  <c r="BG467"/>
  <c r="BF467"/>
  <c r="BE467"/>
  <c r="BR207"/>
  <c r="AZ207"/>
  <c r="BF207"/>
  <c r="BE207"/>
  <c r="BA207"/>
  <c r="BG207"/>
  <c r="BD207"/>
  <c r="BC207"/>
  <c r="BB207"/>
  <c r="BR322"/>
  <c r="BD322"/>
  <c r="BB322"/>
  <c r="BA322"/>
  <c r="AZ322"/>
  <c r="BG322"/>
  <c r="BE322"/>
  <c r="BC322"/>
  <c r="BF322"/>
  <c r="BR209"/>
  <c r="BB209"/>
  <c r="BA209"/>
  <c r="BG209"/>
  <c r="BC209"/>
  <c r="AZ209"/>
  <c r="BF209"/>
  <c r="BE209"/>
  <c r="BD209"/>
  <c r="BR492"/>
  <c r="BA492"/>
  <c r="BG492"/>
  <c r="BF492"/>
  <c r="AZ492"/>
  <c r="BB492"/>
  <c r="BD492"/>
  <c r="BE492"/>
  <c r="BC492"/>
  <c r="BR276"/>
  <c r="AZ276"/>
  <c r="BF276"/>
  <c r="BC276"/>
  <c r="BB276"/>
  <c r="BA276"/>
  <c r="BE276"/>
  <c r="BG276"/>
  <c r="BD276"/>
  <c r="BR385"/>
  <c r="BE385"/>
  <c r="BD385"/>
  <c r="BC385"/>
  <c r="BA385"/>
  <c r="AZ385"/>
  <c r="BG385"/>
  <c r="BF385"/>
  <c r="BB385"/>
  <c r="BR494"/>
  <c r="BC494"/>
  <c r="BB494"/>
  <c r="BD494"/>
  <c r="BA494"/>
  <c r="AZ494"/>
  <c r="BF494"/>
  <c r="BG494"/>
  <c r="BE494"/>
  <c r="BR278"/>
  <c r="BB278"/>
  <c r="BA278"/>
  <c r="AZ278"/>
  <c r="BG278"/>
  <c r="BF278"/>
  <c r="BE278"/>
  <c r="BD278"/>
  <c r="BC278"/>
  <c r="BR223"/>
  <c r="BD223"/>
  <c r="BC223"/>
  <c r="BG223"/>
  <c r="BF223"/>
  <c r="BE223"/>
  <c r="BB223"/>
  <c r="BA223"/>
  <c r="AZ223"/>
  <c r="BR393"/>
  <c r="BA393"/>
  <c r="BG393"/>
  <c r="BE393"/>
  <c r="AZ393"/>
  <c r="BF393"/>
  <c r="BC393"/>
  <c r="BD393"/>
  <c r="BB393"/>
  <c r="BR491"/>
  <c r="BC491"/>
  <c r="BB491"/>
  <c r="AZ491"/>
  <c r="BG491"/>
  <c r="BF491"/>
  <c r="BD491"/>
  <c r="BE491"/>
  <c r="BA491"/>
  <c r="BR486"/>
  <c r="BA486"/>
  <c r="BG486"/>
  <c r="AZ486"/>
  <c r="BF486"/>
  <c r="BD486"/>
  <c r="BC486"/>
  <c r="BB486"/>
  <c r="BE486"/>
  <c r="BR373"/>
  <c r="BE373"/>
  <c r="BD373"/>
  <c r="BC373"/>
  <c r="BA373"/>
  <c r="BG373"/>
  <c r="AZ373"/>
  <c r="BF373"/>
  <c r="BB373"/>
  <c r="BR236"/>
  <c r="BB236"/>
  <c r="BF236"/>
  <c r="BE236"/>
  <c r="BD236"/>
  <c r="BC236"/>
  <c r="BA236"/>
  <c r="AZ236"/>
  <c r="BG236"/>
  <c r="BR493"/>
  <c r="BE493"/>
  <c r="BD493"/>
  <c r="BB493"/>
  <c r="BA493"/>
  <c r="BF493"/>
  <c r="AZ493"/>
  <c r="BG493"/>
  <c r="BC493"/>
  <c r="BR358"/>
  <c r="BD358"/>
  <c r="BB358"/>
  <c r="BA358"/>
  <c r="AZ358"/>
  <c r="BG358"/>
  <c r="BE358"/>
  <c r="BC358"/>
  <c r="BF358"/>
  <c r="BR208"/>
  <c r="BD208"/>
  <c r="BC208"/>
  <c r="BA208"/>
  <c r="AZ208"/>
  <c r="BG208"/>
  <c r="BF208"/>
  <c r="BE208"/>
  <c r="BB208"/>
  <c r="BR215"/>
  <c r="BB215"/>
  <c r="BA215"/>
  <c r="BG215"/>
  <c r="BF215"/>
  <c r="BE215"/>
  <c r="BD215"/>
  <c r="BC215"/>
  <c r="AZ215"/>
  <c r="BR498"/>
  <c r="BA498"/>
  <c r="BG498"/>
  <c r="AZ498"/>
  <c r="BF498"/>
  <c r="BE498"/>
  <c r="BD498"/>
  <c r="BC498"/>
  <c r="BB498"/>
  <c r="BR282"/>
  <c r="AZ282"/>
  <c r="BF282"/>
  <c r="BE282"/>
  <c r="BD282"/>
  <c r="BC282"/>
  <c r="BG282"/>
  <c r="BA282"/>
  <c r="BB282"/>
  <c r="BR397"/>
  <c r="BE397"/>
  <c r="BD397"/>
  <c r="BC397"/>
  <c r="BA397"/>
  <c r="AZ397"/>
  <c r="BG397"/>
  <c r="BF397"/>
  <c r="BB397"/>
  <c r="BR500"/>
  <c r="BC500"/>
  <c r="BB500"/>
  <c r="AZ500"/>
  <c r="BG500"/>
  <c r="BF500"/>
  <c r="BD500"/>
  <c r="BE500"/>
  <c r="BA500"/>
  <c r="BR284"/>
  <c r="BB284"/>
  <c r="BD284"/>
  <c r="BC284"/>
  <c r="BA284"/>
  <c r="BF284"/>
  <c r="BE284"/>
  <c r="AZ284"/>
  <c r="BG284"/>
  <c r="BR235"/>
  <c r="BD235"/>
  <c r="AZ235"/>
  <c r="BG235"/>
  <c r="BF235"/>
  <c r="BE235"/>
  <c r="BC235"/>
  <c r="BB235"/>
  <c r="BA235"/>
  <c r="BR399"/>
  <c r="BA399"/>
  <c r="BG399"/>
  <c r="AZ399"/>
  <c r="BF399"/>
  <c r="BE399"/>
  <c r="BD399"/>
  <c r="BC399"/>
  <c r="BB399"/>
  <c r="BR274"/>
  <c r="BD274"/>
  <c r="BE274"/>
  <c r="BC274"/>
  <c r="BB274"/>
  <c r="AZ274"/>
  <c r="BG274"/>
  <c r="BF274"/>
  <c r="BA274"/>
  <c r="BR448"/>
  <c r="BE448"/>
  <c r="BD448"/>
  <c r="BB448"/>
  <c r="BA448"/>
  <c r="AZ448"/>
  <c r="BG448"/>
  <c r="BF448"/>
  <c r="BC448"/>
  <c r="BR334"/>
  <c r="BD334"/>
  <c r="AZ334"/>
  <c r="BG334"/>
  <c r="BF334"/>
  <c r="BE334"/>
  <c r="BB334"/>
  <c r="BC334"/>
  <c r="BA334"/>
  <c r="BR297"/>
  <c r="AZ297"/>
  <c r="BF297"/>
  <c r="BA297"/>
  <c r="BG297"/>
  <c r="BE297"/>
  <c r="BC297"/>
  <c r="BB297"/>
  <c r="BD297"/>
  <c r="BR370"/>
  <c r="BE370"/>
  <c r="BD370"/>
  <c r="BC370"/>
  <c r="BA370"/>
  <c r="AZ370"/>
  <c r="BG370"/>
  <c r="BF370"/>
  <c r="BB370"/>
  <c r="BR401"/>
  <c r="BC401"/>
  <c r="BB401"/>
  <c r="BA401"/>
  <c r="BG401"/>
  <c r="BE401"/>
  <c r="BD401"/>
  <c r="AZ401"/>
  <c r="BF401"/>
  <c r="BR408"/>
  <c r="BA408"/>
  <c r="BG408"/>
  <c r="AZ408"/>
  <c r="BF408"/>
  <c r="BE408"/>
  <c r="BD408"/>
  <c r="BC408"/>
  <c r="BB408"/>
  <c r="BR217"/>
  <c r="BD217"/>
  <c r="BC217"/>
  <c r="BA217"/>
  <c r="AZ217"/>
  <c r="BG217"/>
  <c r="BF217"/>
  <c r="BE217"/>
  <c r="BB217"/>
  <c r="BR218"/>
  <c r="BB218"/>
  <c r="BA218"/>
  <c r="BG218"/>
  <c r="BC218"/>
  <c r="AZ218"/>
  <c r="BF218"/>
  <c r="BE218"/>
  <c r="BD218"/>
  <c r="BR201"/>
  <c r="AZ201"/>
  <c r="BF201"/>
  <c r="BE201"/>
  <c r="BC201"/>
  <c r="BB201"/>
  <c r="BA201"/>
  <c r="BG201"/>
  <c r="BD201"/>
  <c r="BR305"/>
  <c r="BB305"/>
  <c r="BA305"/>
  <c r="AZ305"/>
  <c r="BG305"/>
  <c r="BF305"/>
  <c r="BD305"/>
  <c r="BE305"/>
  <c r="BC305"/>
  <c r="BR360"/>
  <c r="AZ360"/>
  <c r="BF360"/>
  <c r="BA360"/>
  <c r="BG360"/>
  <c r="BE360"/>
  <c r="BC360"/>
  <c r="BB360"/>
  <c r="BD360"/>
  <c r="BR403"/>
  <c r="BE403"/>
  <c r="BD403"/>
  <c r="BC403"/>
  <c r="BA403"/>
  <c r="BG403"/>
  <c r="AZ403"/>
  <c r="BF403"/>
  <c r="BB403"/>
  <c r="BR268"/>
  <c r="BD268"/>
  <c r="BB268"/>
  <c r="BA268"/>
  <c r="AZ268"/>
  <c r="BG268"/>
  <c r="BC268"/>
  <c r="BF268"/>
  <c r="BE268"/>
  <c r="BR227"/>
  <c r="BB227"/>
  <c r="BA227"/>
  <c r="BG227"/>
  <c r="BC227"/>
  <c r="AZ227"/>
  <c r="BF227"/>
  <c r="BE227"/>
  <c r="BD227"/>
  <c r="BR294"/>
  <c r="AZ294"/>
  <c r="BF294"/>
  <c r="BC294"/>
  <c r="BB294"/>
  <c r="BA294"/>
  <c r="BG294"/>
  <c r="BE294"/>
  <c r="BD294"/>
  <c r="BR512"/>
  <c r="BC512"/>
  <c r="BB512"/>
  <c r="BD512"/>
  <c r="BA512"/>
  <c r="AZ512"/>
  <c r="BE512"/>
  <c r="BF512"/>
  <c r="BG512"/>
  <c r="BR271"/>
  <c r="BD271"/>
  <c r="AZ271"/>
  <c r="BG271"/>
  <c r="BF271"/>
  <c r="BE271"/>
  <c r="BB271"/>
  <c r="BC271"/>
  <c r="BA271"/>
  <c r="BR376"/>
  <c r="BE376"/>
  <c r="BD376"/>
  <c r="BC376"/>
  <c r="BA376"/>
  <c r="BG376"/>
  <c r="AZ376"/>
  <c r="BF376"/>
  <c r="BB376"/>
  <c r="BR233"/>
  <c r="BB233"/>
  <c r="BA233"/>
  <c r="AZ233"/>
  <c r="BG233"/>
  <c r="BF233"/>
  <c r="BE233"/>
  <c r="BD233"/>
  <c r="BC233"/>
  <c r="BR300"/>
  <c r="AZ300"/>
  <c r="BF300"/>
  <c r="BE300"/>
  <c r="BD300"/>
  <c r="BC300"/>
  <c r="BB300"/>
  <c r="BG300"/>
  <c r="BA300"/>
  <c r="BR319"/>
  <c r="BD319"/>
  <c r="BE319"/>
  <c r="BC319"/>
  <c r="BB319"/>
  <c r="AZ319"/>
  <c r="BG319"/>
  <c r="BF319"/>
  <c r="BA319"/>
  <c r="BR412"/>
  <c r="BE412"/>
  <c r="BD412"/>
  <c r="BC412"/>
  <c r="BA412"/>
  <c r="AZ412"/>
  <c r="BG412"/>
  <c r="BF412"/>
  <c r="BB412"/>
  <c r="BR257"/>
  <c r="BB257"/>
  <c r="BD257"/>
  <c r="BC257"/>
  <c r="BA257"/>
  <c r="AZ257"/>
  <c r="BG257"/>
  <c r="BE257"/>
  <c r="BF257"/>
  <c r="BR324"/>
  <c r="AZ324"/>
  <c r="BF324"/>
  <c r="BA324"/>
  <c r="BG324"/>
  <c r="BE324"/>
  <c r="BC324"/>
  <c r="BB324"/>
  <c r="BD324"/>
  <c r="BR331"/>
  <c r="BD331"/>
  <c r="BB331"/>
  <c r="BA331"/>
  <c r="AZ331"/>
  <c r="BG331"/>
  <c r="BE331"/>
  <c r="BC331"/>
  <c r="BF331"/>
  <c r="BR375"/>
  <c r="BA375"/>
  <c r="BG375"/>
  <c r="AZ375"/>
  <c r="BF375"/>
  <c r="BE375"/>
  <c r="BD375"/>
  <c r="BC375"/>
  <c r="BB375"/>
  <c r="BR239"/>
  <c r="BB239"/>
  <c r="BD239"/>
  <c r="BC239"/>
  <c r="BA239"/>
  <c r="AZ239"/>
  <c r="BG239"/>
  <c r="BF239"/>
  <c r="BE239"/>
  <c r="BR306"/>
  <c r="AZ306"/>
  <c r="BF306"/>
  <c r="BA306"/>
  <c r="BG306"/>
  <c r="BE306"/>
  <c r="BC306"/>
  <c r="BB306"/>
  <c r="BD306"/>
  <c r="BR283"/>
  <c r="BD283"/>
  <c r="BE283"/>
  <c r="BC283"/>
  <c r="BB283"/>
  <c r="AZ283"/>
  <c r="BG283"/>
  <c r="BF283"/>
  <c r="BA283"/>
  <c r="BR279"/>
  <c r="AZ279"/>
  <c r="BF279"/>
  <c r="BA279"/>
  <c r="BG279"/>
  <c r="BE279"/>
  <c r="BC279"/>
  <c r="BB279"/>
  <c r="BD279"/>
  <c r="BR262"/>
  <c r="BD262"/>
  <c r="AZ262"/>
  <c r="BG262"/>
  <c r="BF262"/>
  <c r="BE262"/>
  <c r="BC262"/>
  <c r="BA262"/>
  <c r="BB262"/>
  <c r="BR388"/>
  <c r="BE388"/>
  <c r="BD388"/>
  <c r="BC388"/>
  <c r="BA388"/>
  <c r="AZ388"/>
  <c r="BG388"/>
  <c r="BF388"/>
  <c r="BB388"/>
  <c r="BR245"/>
  <c r="BB245"/>
  <c r="BF245"/>
  <c r="BE245"/>
  <c r="BD245"/>
  <c r="BC245"/>
  <c r="BA245"/>
  <c r="AZ245"/>
  <c r="BG245"/>
  <c r="BR312"/>
  <c r="AZ312"/>
  <c r="BF312"/>
  <c r="BC312"/>
  <c r="BB312"/>
  <c r="BA312"/>
  <c r="BE312"/>
  <c r="BG312"/>
  <c r="BD312"/>
  <c r="BR463"/>
  <c r="BE463"/>
  <c r="BD463"/>
  <c r="AZ463"/>
  <c r="BG463"/>
  <c r="BF463"/>
  <c r="BC463"/>
  <c r="BB463"/>
  <c r="BA463"/>
  <c r="BR314"/>
  <c r="BB314"/>
  <c r="BA314"/>
  <c r="AZ314"/>
  <c r="BG314"/>
  <c r="BF314"/>
  <c r="BD314"/>
  <c r="BE314"/>
  <c r="BC314"/>
  <c r="BR228"/>
  <c r="AZ228"/>
  <c r="BF228"/>
  <c r="BE228"/>
  <c r="BC228"/>
  <c r="BB228"/>
  <c r="BA228"/>
  <c r="BG228"/>
  <c r="BD228"/>
  <c r="BR295"/>
  <c r="BD295"/>
  <c r="BB295"/>
  <c r="BA295"/>
  <c r="AZ295"/>
  <c r="BG295"/>
  <c r="BE295"/>
  <c r="BC295"/>
  <c r="BF295"/>
  <c r="BR429"/>
  <c r="BA429"/>
  <c r="BG429"/>
  <c r="BE429"/>
  <c r="AZ429"/>
  <c r="BF429"/>
  <c r="BC429"/>
  <c r="BB429"/>
  <c r="BD429"/>
  <c r="BR213"/>
  <c r="AZ213"/>
  <c r="BF213"/>
  <c r="BE213"/>
  <c r="BG213"/>
  <c r="BD213"/>
  <c r="BC213"/>
  <c r="BB213"/>
  <c r="BA213"/>
  <c r="BR352"/>
  <c r="BD352"/>
  <c r="AZ352"/>
  <c r="BG352"/>
  <c r="BF352"/>
  <c r="BE352"/>
  <c r="BB352"/>
  <c r="BC352"/>
  <c r="BA352"/>
  <c r="BR308"/>
  <c r="BB308"/>
  <c r="BF308"/>
  <c r="BE308"/>
  <c r="BD308"/>
  <c r="BA308"/>
  <c r="AZ308"/>
  <c r="BG308"/>
  <c r="BC308"/>
  <c r="BR243"/>
  <c r="AZ243"/>
  <c r="BF243"/>
  <c r="BA243"/>
  <c r="BG243"/>
  <c r="BE243"/>
  <c r="BD243"/>
  <c r="BC243"/>
  <c r="BB243"/>
  <c r="BR298"/>
  <c r="BD298"/>
  <c r="AZ298"/>
  <c r="BG298"/>
  <c r="BF298"/>
  <c r="BE298"/>
  <c r="BB298"/>
  <c r="BC298"/>
  <c r="BA298"/>
  <c r="BR424"/>
  <c r="BE424"/>
  <c r="BD424"/>
  <c r="BC424"/>
  <c r="BA424"/>
  <c r="AZ424"/>
  <c r="BG424"/>
  <c r="BF424"/>
  <c r="BB424"/>
  <c r="BR251"/>
  <c r="BB251"/>
  <c r="BA251"/>
  <c r="AZ251"/>
  <c r="BG251"/>
  <c r="BF251"/>
  <c r="BE251"/>
  <c r="BC251"/>
  <c r="BD251"/>
  <c r="BR318"/>
  <c r="AZ318"/>
  <c r="BF318"/>
  <c r="BE318"/>
  <c r="BD318"/>
  <c r="BC318"/>
  <c r="BA318"/>
  <c r="BG318"/>
  <c r="BB318"/>
  <c r="BR475"/>
  <c r="BE475"/>
  <c r="BD475"/>
  <c r="BB475"/>
  <c r="AZ475"/>
  <c r="BF475"/>
  <c r="BA475"/>
  <c r="BG475"/>
  <c r="BC475"/>
  <c r="BR320"/>
  <c r="BB320"/>
  <c r="BD320"/>
  <c r="BC320"/>
  <c r="BA320"/>
  <c r="BF320"/>
  <c r="BE320"/>
  <c r="AZ320"/>
  <c r="BG320"/>
  <c r="BR307"/>
  <c r="BD307"/>
  <c r="AZ307"/>
  <c r="BG307"/>
  <c r="BF307"/>
  <c r="BE307"/>
  <c r="BC307"/>
  <c r="BB307"/>
  <c r="BA307"/>
  <c r="BR435"/>
  <c r="BA435"/>
  <c r="BG435"/>
  <c r="AZ435"/>
  <c r="BF435"/>
  <c r="BE435"/>
  <c r="BD435"/>
  <c r="BC435"/>
  <c r="BB435"/>
  <c r="BR219"/>
  <c r="AZ219"/>
  <c r="BF219"/>
  <c r="BE219"/>
  <c r="BC219"/>
  <c r="BB219"/>
  <c r="BA219"/>
  <c r="BG219"/>
  <c r="BD219"/>
  <c r="BR460"/>
  <c r="BE460"/>
  <c r="BD460"/>
  <c r="BF460"/>
  <c r="BC460"/>
  <c r="BB460"/>
  <c r="BA460"/>
  <c r="AZ460"/>
  <c r="BG460"/>
  <c r="BR250"/>
  <c r="BD250"/>
  <c r="BB250"/>
  <c r="BA250"/>
  <c r="AZ250"/>
  <c r="BG250"/>
  <c r="BF250"/>
  <c r="BC250"/>
  <c r="BE250"/>
  <c r="BR513"/>
  <c r="BA513"/>
  <c r="BG513"/>
  <c r="AZ513"/>
  <c r="BF513"/>
  <c r="BD513"/>
  <c r="BC513"/>
  <c r="BB513"/>
  <c r="BE513"/>
  <c r="BR199"/>
  <c r="BD199"/>
  <c r="BC199"/>
  <c r="BA199"/>
  <c r="AZ199"/>
  <c r="BG199"/>
  <c r="BF199"/>
  <c r="BE199"/>
  <c r="BB199"/>
  <c r="BR343"/>
  <c r="BD343"/>
  <c r="AZ343"/>
  <c r="BG343"/>
  <c r="BF343"/>
  <c r="BE343"/>
  <c r="BC343"/>
  <c r="BB343"/>
  <c r="BA343"/>
  <c r="BR481"/>
  <c r="BE481"/>
  <c r="BD481"/>
  <c r="AZ481"/>
  <c r="BB481"/>
  <c r="BG481"/>
  <c r="BF481"/>
  <c r="BC481"/>
  <c r="BA481"/>
  <c r="BR480"/>
  <c r="BA480"/>
  <c r="BG480"/>
  <c r="AZ480"/>
  <c r="BF480"/>
  <c r="BE480"/>
  <c r="BD480"/>
  <c r="BC480"/>
  <c r="BB480"/>
  <c r="BR361"/>
  <c r="BD361"/>
  <c r="AZ361"/>
  <c r="BG361"/>
  <c r="BF361"/>
  <c r="BE361"/>
  <c r="BC361"/>
  <c r="BB361"/>
  <c r="BA361"/>
  <c r="BR290"/>
  <c r="BB290"/>
  <c r="BF290"/>
  <c r="BE290"/>
  <c r="BD290"/>
  <c r="BA290"/>
  <c r="AZ290"/>
  <c r="BG290"/>
  <c r="BC290"/>
  <c r="BR309"/>
  <c r="AZ309"/>
  <c r="BF309"/>
  <c r="BE309"/>
  <c r="BD309"/>
  <c r="BC309"/>
  <c r="BG309"/>
  <c r="BA309"/>
  <c r="BB309"/>
  <c r="BR406"/>
  <c r="BE406"/>
  <c r="BD406"/>
  <c r="BC406"/>
  <c r="BA406"/>
  <c r="AZ406"/>
  <c r="BG406"/>
  <c r="BF406"/>
  <c r="BB406"/>
  <c r="BR449"/>
  <c r="BC449"/>
  <c r="BB449"/>
  <c r="BD449"/>
  <c r="BA449"/>
  <c r="BG449"/>
  <c r="BF449"/>
  <c r="AZ449"/>
  <c r="BE449"/>
  <c r="BR432"/>
  <c r="BA432"/>
  <c r="BG432"/>
  <c r="AZ432"/>
  <c r="BF432"/>
  <c r="BD432"/>
  <c r="BC432"/>
  <c r="BB432"/>
  <c r="BE432"/>
  <c r="BR265"/>
  <c r="BD265"/>
  <c r="BE265"/>
  <c r="BC265"/>
  <c r="BB265"/>
  <c r="BA265"/>
  <c r="BF265"/>
  <c r="BG265"/>
  <c r="AZ265"/>
  <c r="BR224"/>
  <c r="BB224"/>
  <c r="BA224"/>
  <c r="BG224"/>
  <c r="BF224"/>
  <c r="BE224"/>
  <c r="BD224"/>
  <c r="BC224"/>
  <c r="AZ224"/>
  <c r="BR225"/>
  <c r="AZ225"/>
  <c r="BF225"/>
  <c r="BE225"/>
  <c r="BA225"/>
  <c r="BG225"/>
  <c r="BD225"/>
  <c r="BC225"/>
  <c r="BB225"/>
  <c r="BR317"/>
  <c r="BB317"/>
  <c r="BF317"/>
  <c r="BE317"/>
  <c r="BD317"/>
  <c r="BA317"/>
  <c r="AZ317"/>
  <c r="BG317"/>
  <c r="BC317"/>
  <c r="BR366"/>
  <c r="BA366"/>
  <c r="BG366"/>
  <c r="AZ366"/>
  <c r="BF366"/>
  <c r="BE366"/>
  <c r="BD366"/>
  <c r="BC366"/>
  <c r="BB366"/>
  <c r="BR415"/>
  <c r="BE415"/>
  <c r="BD415"/>
  <c r="BC415"/>
  <c r="BA415"/>
  <c r="AZ415"/>
  <c r="BG415"/>
  <c r="BF415"/>
  <c r="BB415"/>
  <c r="BR190"/>
  <c r="BD190"/>
  <c r="BC190"/>
  <c r="BA190"/>
  <c r="AZ190"/>
  <c r="BG190"/>
  <c r="BF190"/>
  <c r="BE190"/>
  <c r="BB190"/>
  <c r="BR329"/>
  <c r="BB329"/>
  <c r="BD329"/>
  <c r="BC329"/>
  <c r="BA329"/>
  <c r="BF329"/>
  <c r="BE329"/>
  <c r="AZ329"/>
  <c r="BG329"/>
  <c r="BR372"/>
  <c r="BA372"/>
  <c r="BG372"/>
  <c r="AZ372"/>
  <c r="BF372"/>
  <c r="BE372"/>
  <c r="BC372"/>
  <c r="BD372"/>
  <c r="BB372"/>
  <c r="BR457"/>
  <c r="BE457"/>
  <c r="BD457"/>
  <c r="BB457"/>
  <c r="BA457"/>
  <c r="AZ457"/>
  <c r="BG457"/>
  <c r="BF457"/>
  <c r="BC457"/>
  <c r="BR226"/>
  <c r="BD226"/>
  <c r="BC226"/>
  <c r="BA226"/>
  <c r="AZ226"/>
  <c r="BG226"/>
  <c r="BF226"/>
  <c r="BE226"/>
  <c r="BB226"/>
  <c r="BR377"/>
  <c r="BC377"/>
  <c r="BB377"/>
  <c r="BA377"/>
  <c r="BG377"/>
  <c r="BE377"/>
  <c r="AZ377"/>
  <c r="BD377"/>
  <c r="BF377"/>
  <c r="BR396"/>
  <c r="BA396"/>
  <c r="BG396"/>
  <c r="AZ396"/>
  <c r="BF396"/>
  <c r="BE396"/>
  <c r="BC396"/>
  <c r="BD396"/>
  <c r="BB396"/>
  <c r="BR193"/>
  <c r="BD193"/>
  <c r="BC193"/>
  <c r="BE193"/>
  <c r="BB193"/>
  <c r="BA193"/>
  <c r="AZ193"/>
  <c r="BG193"/>
  <c r="BF193"/>
  <c r="BR188"/>
  <c r="BB188"/>
  <c r="BA188"/>
  <c r="BG188"/>
  <c r="BF188"/>
  <c r="BE188"/>
  <c r="BD188"/>
  <c r="BC188"/>
  <c r="AZ188"/>
  <c r="BR469"/>
  <c r="BE469"/>
  <c r="BD469"/>
  <c r="BF469"/>
  <c r="BC469"/>
  <c r="BA469"/>
  <c r="BB469"/>
  <c r="AZ469"/>
  <c r="BG469"/>
  <c r="BR411"/>
  <c r="BA411"/>
  <c r="BG411"/>
  <c r="AZ411"/>
  <c r="BF411"/>
  <c r="BE411"/>
  <c r="BD411"/>
  <c r="BC411"/>
  <c r="BB411"/>
  <c r="BR195"/>
  <c r="AZ195"/>
  <c r="BF195"/>
  <c r="BE195"/>
  <c r="BG195"/>
  <c r="BD195"/>
  <c r="BC195"/>
  <c r="BB195"/>
  <c r="BA195"/>
  <c r="BR341"/>
  <c r="BB341"/>
  <c r="BA341"/>
  <c r="AZ341"/>
  <c r="BG341"/>
  <c r="BF341"/>
  <c r="BD341"/>
  <c r="BE341"/>
  <c r="BC341"/>
  <c r="BR378"/>
  <c r="BA378"/>
  <c r="BG378"/>
  <c r="AZ378"/>
  <c r="BF378"/>
  <c r="BE378"/>
  <c r="BC378"/>
  <c r="BD378"/>
  <c r="BB378"/>
  <c r="BR421"/>
  <c r="BE421"/>
  <c r="BD421"/>
  <c r="BC421"/>
  <c r="BA421"/>
  <c r="AZ421"/>
  <c r="BG421"/>
  <c r="BF421"/>
  <c r="BB421"/>
  <c r="BR315"/>
  <c r="AZ315"/>
  <c r="BF315"/>
  <c r="BA315"/>
  <c r="BG315"/>
  <c r="BE315"/>
  <c r="BC315"/>
  <c r="BB315"/>
  <c r="BD315"/>
  <c r="BR478"/>
  <c r="BE478"/>
  <c r="BD478"/>
  <c r="BF478"/>
  <c r="BC478"/>
  <c r="BB478"/>
  <c r="AZ478"/>
  <c r="BA478"/>
  <c r="BG478"/>
  <c r="BR287"/>
  <c r="BB287"/>
  <c r="BA287"/>
  <c r="AZ287"/>
  <c r="BG287"/>
  <c r="BF287"/>
  <c r="BD287"/>
  <c r="BE287"/>
  <c r="BC287"/>
  <c r="BR348"/>
  <c r="AZ348"/>
  <c r="BF348"/>
  <c r="BC348"/>
  <c r="BB348"/>
  <c r="BA348"/>
  <c r="BE348"/>
  <c r="BG348"/>
  <c r="BD348"/>
  <c r="BR350"/>
  <c r="BB350"/>
  <c r="BA350"/>
  <c r="AZ350"/>
  <c r="BG350"/>
  <c r="BF350"/>
  <c r="BE350"/>
  <c r="BD350"/>
  <c r="BC350"/>
  <c r="BR335"/>
  <c r="BB335"/>
  <c r="BF335"/>
  <c r="BE335"/>
  <c r="BD335"/>
  <c r="BA335"/>
  <c r="AZ335"/>
  <c r="BG335"/>
  <c r="BC335"/>
  <c r="BR367"/>
  <c r="BE367"/>
  <c r="BD367"/>
  <c r="BC367"/>
  <c r="BA367"/>
  <c r="AZ367"/>
  <c r="BG367"/>
  <c r="BF367"/>
  <c r="BB367"/>
  <c r="BR465"/>
  <c r="BA465"/>
  <c r="BG465"/>
  <c r="BF465"/>
  <c r="AZ465"/>
  <c r="BB465"/>
  <c r="BE465"/>
  <c r="BD465"/>
  <c r="BC465"/>
  <c r="BR249"/>
  <c r="AZ249"/>
  <c r="BF249"/>
  <c r="BC249"/>
  <c r="BB249"/>
  <c r="BA249"/>
  <c r="BG249"/>
  <c r="BD249"/>
  <c r="BE249"/>
  <c r="BR380"/>
  <c r="BC380"/>
  <c r="BB380"/>
  <c r="BA380"/>
  <c r="BG380"/>
  <c r="BE380"/>
  <c r="AZ380"/>
  <c r="BD380"/>
  <c r="BF380"/>
  <c r="BR323"/>
  <c r="BB323"/>
  <c r="BA323"/>
  <c r="AZ323"/>
  <c r="BG323"/>
  <c r="BF323"/>
  <c r="BE323"/>
  <c r="BD323"/>
  <c r="BC323"/>
  <c r="BR423"/>
  <c r="BA423"/>
  <c r="BG423"/>
  <c r="BE423"/>
  <c r="AZ423"/>
  <c r="BF423"/>
  <c r="BD423"/>
  <c r="BC423"/>
  <c r="BB423"/>
  <c r="BR514"/>
  <c r="BE514"/>
  <c r="BD514"/>
  <c r="BF514"/>
  <c r="BC514"/>
  <c r="AZ514"/>
  <c r="BA514"/>
  <c r="BB514"/>
  <c r="BG514"/>
  <c r="BR293"/>
  <c r="BB293"/>
  <c r="BD293"/>
  <c r="BC293"/>
  <c r="BA293"/>
  <c r="BF293"/>
  <c r="BE293"/>
  <c r="AZ293"/>
  <c r="BG293"/>
  <c r="BR354"/>
  <c r="AZ354"/>
  <c r="BF354"/>
  <c r="BE354"/>
  <c r="BD354"/>
  <c r="BC354"/>
  <c r="BA354"/>
  <c r="BG354"/>
  <c r="BB354"/>
  <c r="BR356"/>
  <c r="BB356"/>
  <c r="BD356"/>
  <c r="BC356"/>
  <c r="BA356"/>
  <c r="BF356"/>
  <c r="AZ356"/>
  <c r="BE356"/>
  <c r="BG356"/>
  <c r="BR347"/>
  <c r="BB347"/>
  <c r="BD347"/>
  <c r="BC347"/>
  <c r="BA347"/>
  <c r="BF347"/>
  <c r="BE347"/>
  <c r="AZ347"/>
  <c r="BG347"/>
  <c r="BR379"/>
  <c r="BE379"/>
  <c r="BD379"/>
  <c r="BC379"/>
  <c r="BA379"/>
  <c r="BG379"/>
  <c r="AZ379"/>
  <c r="BF379"/>
  <c r="BB379"/>
  <c r="BR471"/>
  <c r="BA471"/>
  <c r="BG471"/>
  <c r="AZ471"/>
  <c r="BF471"/>
  <c r="BE471"/>
  <c r="BD471"/>
  <c r="BC471"/>
  <c r="BB471"/>
  <c r="BR255"/>
  <c r="AZ255"/>
  <c r="BF255"/>
  <c r="BE255"/>
  <c r="BD255"/>
  <c r="BC255"/>
  <c r="BB255"/>
  <c r="BG255"/>
  <c r="BA255"/>
  <c r="BR472"/>
  <c r="BE472"/>
  <c r="BD472"/>
  <c r="AZ472"/>
  <c r="BG472"/>
  <c r="BF472"/>
  <c r="BC472"/>
  <c r="BB472"/>
  <c r="BA472"/>
  <c r="BR405"/>
  <c r="BA405"/>
  <c r="BG405"/>
  <c r="AZ405"/>
  <c r="BF405"/>
  <c r="BE405"/>
  <c r="BC405"/>
  <c r="BD405"/>
  <c r="BB405"/>
  <c r="BR455"/>
  <c r="BC455"/>
  <c r="BB455"/>
  <c r="AZ455"/>
  <c r="BG455"/>
  <c r="BF455"/>
  <c r="BE455"/>
  <c r="BD455"/>
  <c r="BA455"/>
  <c r="BR194"/>
  <c r="BB194"/>
  <c r="BA194"/>
  <c r="BG194"/>
  <c r="BE194"/>
  <c r="BD194"/>
  <c r="BC194"/>
  <c r="AZ194"/>
  <c r="BF194"/>
  <c r="BR266"/>
  <c r="BB266"/>
  <c r="BD266"/>
  <c r="BC266"/>
  <c r="BA266"/>
  <c r="AZ266"/>
  <c r="BE266"/>
  <c r="BG266"/>
  <c r="BF266"/>
  <c r="BR508"/>
  <c r="BE508"/>
  <c r="BD508"/>
  <c r="AZ508"/>
  <c r="BG508"/>
  <c r="BF508"/>
  <c r="BB508"/>
  <c r="BA508"/>
  <c r="BC508"/>
  <c r="BR496"/>
  <c r="BE496"/>
  <c r="BD496"/>
  <c r="BF496"/>
  <c r="BC496"/>
  <c r="BB496"/>
  <c r="BA496"/>
  <c r="AZ496"/>
  <c r="BG496"/>
  <c r="BR511"/>
  <c r="BE511"/>
  <c r="BD511"/>
  <c r="BB511"/>
  <c r="BA511"/>
  <c r="AZ511"/>
  <c r="BG511"/>
  <c r="BC511"/>
  <c r="BF511"/>
  <c r="BR362"/>
  <c r="BB362"/>
  <c r="BF362"/>
  <c r="BE362"/>
  <c r="BD362"/>
  <c r="BA362"/>
  <c r="AZ362"/>
  <c r="BG362"/>
  <c r="BC362"/>
  <c r="BR359"/>
  <c r="BB359"/>
  <c r="BA359"/>
  <c r="AZ359"/>
  <c r="BG359"/>
  <c r="BF359"/>
  <c r="BE359"/>
  <c r="BD359"/>
  <c r="BC359"/>
  <c r="BR417"/>
  <c r="BA417"/>
  <c r="BG417"/>
  <c r="AZ417"/>
  <c r="BF417"/>
  <c r="BE417"/>
  <c r="BC417"/>
  <c r="BB417"/>
  <c r="BD417"/>
  <c r="BR256"/>
  <c r="BD256"/>
  <c r="BE256"/>
  <c r="BC256"/>
  <c r="BB256"/>
  <c r="BA256"/>
  <c r="BF256"/>
  <c r="AZ256"/>
  <c r="BG256"/>
  <c r="BR504"/>
  <c r="BA504"/>
  <c r="BG504"/>
  <c r="AZ504"/>
  <c r="BF504"/>
  <c r="BD504"/>
  <c r="BC504"/>
  <c r="BB504"/>
  <c r="BE504"/>
  <c r="BR409"/>
  <c r="BE409"/>
  <c r="BD409"/>
  <c r="BC409"/>
  <c r="BA409"/>
  <c r="AZ409"/>
  <c r="BG409"/>
  <c r="BF409"/>
  <c r="BB409"/>
  <c r="BR296"/>
  <c r="BB296"/>
  <c r="BA296"/>
  <c r="AZ296"/>
  <c r="BG296"/>
  <c r="BF296"/>
  <c r="BD296"/>
  <c r="BE296"/>
  <c r="BC296"/>
  <c r="BR192"/>
  <c r="AZ192"/>
  <c r="BF192"/>
  <c r="BE192"/>
  <c r="BC192"/>
  <c r="BB192"/>
  <c r="BA192"/>
  <c r="BG192"/>
  <c r="BD192"/>
  <c r="BR333"/>
  <c r="AZ333"/>
  <c r="BF333"/>
  <c r="BA333"/>
  <c r="BG333"/>
  <c r="BE333"/>
  <c r="BC333"/>
  <c r="BB333"/>
  <c r="BD333"/>
  <c r="BR442"/>
  <c r="BE442"/>
  <c r="BD442"/>
  <c r="BF442"/>
  <c r="BA442"/>
  <c r="AZ442"/>
  <c r="BC442"/>
  <c r="BB442"/>
  <c r="BG442"/>
  <c r="BR461"/>
  <c r="BC461"/>
  <c r="BB461"/>
  <c r="BF461"/>
  <c r="BE461"/>
  <c r="BD461"/>
  <c r="BA461"/>
  <c r="AZ461"/>
  <c r="BG461"/>
  <c r="BR438"/>
  <c r="BA438"/>
  <c r="BG438"/>
  <c r="BF438"/>
  <c r="AZ438"/>
  <c r="BB438"/>
  <c r="BE438"/>
  <c r="BD438"/>
  <c r="BC438"/>
  <c r="BR277"/>
  <c r="BD277"/>
  <c r="BB277"/>
  <c r="BA277"/>
  <c r="AZ277"/>
  <c r="BG277"/>
  <c r="BE277"/>
  <c r="BC277"/>
  <c r="BF277"/>
  <c r="BR230"/>
  <c r="BB230"/>
  <c r="BD230"/>
  <c r="BC230"/>
  <c r="BA230"/>
  <c r="AZ230"/>
  <c r="BG230"/>
  <c r="BF230"/>
  <c r="BE230"/>
  <c r="BR237"/>
  <c r="AZ237"/>
  <c r="BF237"/>
  <c r="BE237"/>
  <c r="BD237"/>
  <c r="BC237"/>
  <c r="BB237"/>
  <c r="BA237"/>
  <c r="BG237"/>
  <c r="BR473"/>
  <c r="BC473"/>
  <c r="BB473"/>
  <c r="AZ473"/>
  <c r="BG473"/>
  <c r="BF473"/>
  <c r="BE473"/>
  <c r="BD473"/>
  <c r="BA473"/>
  <c r="BR444"/>
  <c r="BA444"/>
  <c r="BG444"/>
  <c r="BF444"/>
  <c r="AZ444"/>
  <c r="BE444"/>
  <c r="BC444"/>
  <c r="BD444"/>
  <c r="BB444"/>
  <c r="BR289"/>
  <c r="BD289"/>
  <c r="AZ289"/>
  <c r="BG289"/>
  <c r="BF289"/>
  <c r="BE289"/>
  <c r="BB289"/>
  <c r="BC289"/>
  <c r="BA289"/>
  <c r="BR254"/>
  <c r="BB254"/>
  <c r="BF254"/>
  <c r="BE254"/>
  <c r="BD254"/>
  <c r="BC254"/>
  <c r="AZ254"/>
  <c r="BG254"/>
  <c r="BA254"/>
  <c r="BR261"/>
  <c r="AZ261"/>
  <c r="BF261"/>
  <c r="BA261"/>
  <c r="BG261"/>
  <c r="BE261"/>
  <c r="BD261"/>
  <c r="BB261"/>
  <c r="BC261"/>
  <c r="BR468"/>
  <c r="BA468"/>
  <c r="BG468"/>
  <c r="AZ468"/>
  <c r="BF468"/>
  <c r="BD468"/>
  <c r="BC468"/>
  <c r="BB468"/>
  <c r="BE468"/>
  <c r="BR337"/>
  <c r="BD337"/>
  <c r="BE337"/>
  <c r="BC337"/>
  <c r="BB337"/>
  <c r="AZ337"/>
  <c r="BG337"/>
  <c r="BF337"/>
  <c r="BA337"/>
  <c r="BR260"/>
  <c r="BB260"/>
  <c r="BA260"/>
  <c r="AZ260"/>
  <c r="BG260"/>
  <c r="BF260"/>
  <c r="BE260"/>
  <c r="BC260"/>
  <c r="BD260"/>
  <c r="BR273"/>
  <c r="AZ273"/>
  <c r="BF273"/>
  <c r="BE273"/>
  <c r="BD273"/>
  <c r="BC273"/>
  <c r="BG273"/>
  <c r="BB273"/>
  <c r="BA273"/>
  <c r="BR447"/>
  <c r="BA447"/>
  <c r="BG447"/>
  <c r="AZ447"/>
  <c r="BF447"/>
  <c r="BB447"/>
  <c r="BE447"/>
  <c r="BD447"/>
  <c r="BC447"/>
  <c r="BR231"/>
  <c r="AZ231"/>
  <c r="BF231"/>
  <c r="BC231"/>
  <c r="BB231"/>
  <c r="BA231"/>
  <c r="BG231"/>
  <c r="BE231"/>
  <c r="BD231"/>
  <c r="BR459"/>
  <c r="BA459"/>
  <c r="BG459"/>
  <c r="BF459"/>
  <c r="AZ459"/>
  <c r="BD459"/>
  <c r="BC459"/>
  <c r="BB459"/>
  <c r="BE459"/>
  <c r="BR450"/>
  <c r="BA450"/>
  <c r="BG450"/>
  <c r="AZ450"/>
  <c r="BF450"/>
  <c r="BD450"/>
  <c r="BC450"/>
  <c r="BB450"/>
  <c r="BE450"/>
  <c r="BR301"/>
  <c r="BD301"/>
  <c r="BE301"/>
  <c r="BC301"/>
  <c r="BB301"/>
  <c r="AZ301"/>
  <c r="BG301"/>
  <c r="BF301"/>
  <c r="BA301"/>
  <c r="BR200"/>
  <c r="BB200"/>
  <c r="BA200"/>
  <c r="BG200"/>
  <c r="BC200"/>
  <c r="AZ200"/>
  <c r="BF200"/>
  <c r="BE200"/>
  <c r="BD200"/>
  <c r="BR351"/>
  <c r="AZ351"/>
  <c r="BF351"/>
  <c r="BA351"/>
  <c r="BG351"/>
  <c r="BE351"/>
  <c r="BC351"/>
  <c r="BB351"/>
  <c r="BD351"/>
  <c r="BR346"/>
  <c r="BD346"/>
  <c r="BE346"/>
  <c r="BC346"/>
  <c r="BB346"/>
  <c r="AZ346"/>
  <c r="BG346"/>
  <c r="BF346"/>
  <c r="BA346"/>
  <c r="BR353"/>
  <c r="BB353"/>
  <c r="BF353"/>
  <c r="BE353"/>
  <c r="BD353"/>
  <c r="BA353"/>
  <c r="AZ353"/>
  <c r="BG353"/>
  <c r="BC353"/>
  <c r="BR384"/>
  <c r="BA384"/>
  <c r="BG384"/>
  <c r="AZ384"/>
  <c r="BF384"/>
  <c r="BE384"/>
  <c r="BD384"/>
  <c r="BC384"/>
  <c r="BB384"/>
  <c r="BR386"/>
  <c r="BC386"/>
  <c r="BB386"/>
  <c r="BA386"/>
  <c r="BG386"/>
  <c r="BE386"/>
  <c r="AZ386"/>
  <c r="BD386"/>
  <c r="BF386"/>
  <c r="BR407"/>
  <c r="BC407"/>
  <c r="BB407"/>
  <c r="BA407"/>
  <c r="BG407"/>
  <c r="BE407"/>
  <c r="AZ407"/>
  <c r="BD407"/>
  <c r="BF407"/>
  <c r="BR433"/>
  <c r="BE433"/>
  <c r="BD433"/>
  <c r="BF433"/>
  <c r="BC433"/>
  <c r="BB433"/>
  <c r="BA433"/>
  <c r="AZ433"/>
  <c r="BG433"/>
  <c r="BR501"/>
  <c r="BA501"/>
  <c r="BG501"/>
  <c r="BF501"/>
  <c r="AZ501"/>
  <c r="BB501"/>
  <c r="BD501"/>
  <c r="BE501"/>
  <c r="BC501"/>
  <c r="BR285"/>
  <c r="AZ285"/>
  <c r="BF285"/>
  <c r="BC285"/>
  <c r="BB285"/>
  <c r="BA285"/>
  <c r="BG285"/>
  <c r="BE285"/>
  <c r="BD285"/>
  <c r="BR203"/>
  <c r="BB203"/>
  <c r="BA203"/>
  <c r="BG203"/>
  <c r="BE203"/>
  <c r="BD203"/>
  <c r="BC203"/>
  <c r="AZ203"/>
  <c r="BF203"/>
  <c r="BR270"/>
  <c r="AZ270"/>
  <c r="BF270"/>
  <c r="BA270"/>
  <c r="BG270"/>
  <c r="BE270"/>
  <c r="BC270"/>
  <c r="BB270"/>
  <c r="BD270"/>
  <c r="BR488"/>
  <c r="BC488"/>
  <c r="BB488"/>
  <c r="BF488"/>
  <c r="BE488"/>
  <c r="BA488"/>
  <c r="AZ488"/>
  <c r="BD488"/>
  <c r="BG488"/>
  <c r="BR220"/>
  <c r="BD220"/>
  <c r="BC220"/>
  <c r="BE220"/>
  <c r="BB220"/>
  <c r="BA220"/>
  <c r="AZ220"/>
  <c r="BG220"/>
  <c r="BF220"/>
  <c r="BR382"/>
  <c r="BE382"/>
  <c r="BD382"/>
  <c r="BC382"/>
  <c r="BA382"/>
  <c r="AZ382"/>
  <c r="BG382"/>
  <c r="BF382"/>
  <c r="BB382"/>
  <c r="BR365"/>
  <c r="BC365"/>
  <c r="BB365"/>
  <c r="BA365"/>
  <c r="BG365"/>
  <c r="BE365"/>
  <c r="AZ365"/>
  <c r="BD365"/>
  <c r="BF365"/>
  <c r="BR390"/>
  <c r="BA390"/>
  <c r="BG390"/>
  <c r="AZ390"/>
  <c r="BF390"/>
  <c r="BE390"/>
  <c r="BD390"/>
  <c r="BC390"/>
  <c r="BB390"/>
  <c r="BR392"/>
  <c r="BC392"/>
  <c r="BB392"/>
  <c r="BA392"/>
  <c r="BG392"/>
  <c r="BE392"/>
  <c r="AZ392"/>
  <c r="BD392"/>
  <c r="BF392"/>
  <c r="BR419"/>
  <c r="BC419"/>
  <c r="BG419"/>
  <c r="BB419"/>
  <c r="BA419"/>
  <c r="BE419"/>
  <c r="BD419"/>
  <c r="AZ419"/>
  <c r="BF419"/>
  <c r="BR445"/>
  <c r="BE445"/>
  <c r="BD445"/>
  <c r="AZ445"/>
  <c r="BG445"/>
  <c r="BF445"/>
  <c r="BC445"/>
  <c r="BB445"/>
  <c r="BA445"/>
  <c r="BR507"/>
  <c r="BA507"/>
  <c r="BG507"/>
  <c r="BF507"/>
  <c r="AZ507"/>
  <c r="BD507"/>
  <c r="BB507"/>
  <c r="BE507"/>
  <c r="BC507"/>
  <c r="BR291"/>
  <c r="AZ291"/>
  <c r="BF291"/>
  <c r="BE291"/>
  <c r="BD291"/>
  <c r="BC291"/>
  <c r="BG291"/>
  <c r="BA291"/>
  <c r="BB291"/>
  <c r="BR311"/>
  <c r="BB311"/>
  <c r="BD311"/>
  <c r="BC311"/>
  <c r="BA311"/>
  <c r="BF311"/>
  <c r="BE311"/>
  <c r="AZ311"/>
  <c r="BG311"/>
  <c r="BR410"/>
  <c r="BC410"/>
  <c r="BB410"/>
  <c r="BA410"/>
  <c r="BG410"/>
  <c r="BE410"/>
  <c r="BD410"/>
  <c r="AZ410"/>
  <c r="BF410"/>
  <c r="BR476"/>
  <c r="BC476"/>
  <c r="BB476"/>
  <c r="BD476"/>
  <c r="BA476"/>
  <c r="AZ476"/>
  <c r="BG476"/>
  <c r="BF476"/>
  <c r="BE476"/>
  <c r="BR205"/>
  <c r="BD205"/>
  <c r="BC205"/>
  <c r="BG205"/>
  <c r="BF205"/>
  <c r="BE205"/>
  <c r="BB205"/>
  <c r="BA205"/>
  <c r="AZ205"/>
  <c r="BR349"/>
  <c r="BD349"/>
  <c r="BB349"/>
  <c r="BA349"/>
  <c r="AZ349"/>
  <c r="BG349"/>
  <c r="BE349"/>
  <c r="BC349"/>
  <c r="BF349"/>
  <c r="BR286"/>
  <c r="BD286"/>
  <c r="BB286"/>
  <c r="BA286"/>
  <c r="AZ286"/>
  <c r="BG286"/>
  <c r="BE286"/>
  <c r="BC286"/>
  <c r="BF286"/>
  <c r="BR310"/>
  <c r="BD310"/>
  <c r="BE310"/>
  <c r="BC310"/>
  <c r="BB310"/>
  <c r="AZ310"/>
  <c r="BG310"/>
  <c r="BF310"/>
  <c r="BA310"/>
  <c r="BR416"/>
  <c r="BC416"/>
  <c r="BA416"/>
  <c r="BB416"/>
  <c r="BG416"/>
  <c r="BE416"/>
  <c r="BD416"/>
  <c r="AZ416"/>
  <c r="BF416"/>
  <c r="BR497"/>
  <c r="BC497"/>
  <c r="BB497"/>
  <c r="BF497"/>
  <c r="BE497"/>
  <c r="AZ497"/>
  <c r="BD497"/>
  <c r="BA497"/>
  <c r="BG497"/>
  <c r="BR368"/>
  <c r="BC368"/>
  <c r="BB368"/>
  <c r="BA368"/>
  <c r="BG368"/>
  <c r="BE368"/>
  <c r="BD368"/>
  <c r="AZ368"/>
  <c r="BF368"/>
  <c r="BR371"/>
  <c r="BC371"/>
  <c r="BB371"/>
  <c r="BA371"/>
  <c r="BG371"/>
  <c r="BE371"/>
  <c r="AZ371"/>
  <c r="BD371"/>
  <c r="BF371"/>
  <c r="BR441"/>
  <c r="BA441"/>
  <c r="BG441"/>
  <c r="BF441"/>
  <c r="AZ441"/>
  <c r="BD441"/>
  <c r="BC441"/>
  <c r="BB441"/>
  <c r="BE441"/>
  <c r="BR292"/>
  <c r="BD292"/>
  <c r="BE292"/>
  <c r="BC292"/>
  <c r="BB292"/>
  <c r="AZ292"/>
  <c r="BG292"/>
  <c r="BF292"/>
  <c r="BA292"/>
  <c r="BR244"/>
  <c r="BD244"/>
  <c r="AZ244"/>
  <c r="BG244"/>
  <c r="BF244"/>
  <c r="BE244"/>
  <c r="BC244"/>
  <c r="BB244"/>
  <c r="BA244"/>
  <c r="BR510"/>
  <c r="BA510"/>
  <c r="BG510"/>
  <c r="AZ510"/>
  <c r="BF510"/>
  <c r="BB510"/>
  <c r="BD510"/>
  <c r="BC510"/>
  <c r="BE510"/>
  <c r="BR427"/>
  <c r="BE427"/>
  <c r="BC427"/>
  <c r="BD427"/>
  <c r="BA427"/>
  <c r="BG427"/>
  <c r="AZ427"/>
  <c r="BF427"/>
  <c r="BB427"/>
  <c r="BR302"/>
  <c r="BB302"/>
  <c r="BD302"/>
  <c r="BC302"/>
  <c r="BA302"/>
  <c r="BF302"/>
  <c r="BE302"/>
  <c r="AZ302"/>
  <c r="BG302"/>
  <c r="BR204"/>
  <c r="AZ204"/>
  <c r="BF204"/>
  <c r="BE204"/>
  <c r="BG204"/>
  <c r="BD204"/>
  <c r="BC204"/>
  <c r="BB204"/>
  <c r="BA204"/>
  <c r="BR345"/>
  <c r="AZ345"/>
  <c r="BF345"/>
  <c r="BE345"/>
  <c r="BD345"/>
  <c r="BC345"/>
  <c r="BG345"/>
  <c r="BA345"/>
  <c r="BB345"/>
  <c r="BR328"/>
  <c r="BD328"/>
  <c r="BE328"/>
  <c r="BC328"/>
  <c r="BB328"/>
  <c r="AZ328"/>
  <c r="BG328"/>
  <c r="BF328"/>
  <c r="BA328"/>
  <c r="BR280"/>
  <c r="BD280"/>
  <c r="AZ280"/>
  <c r="BG280"/>
  <c r="BF280"/>
  <c r="BE280"/>
  <c r="BB280"/>
  <c r="BC280"/>
  <c r="BA280"/>
  <c r="BR516"/>
  <c r="BA516"/>
  <c r="BG516"/>
  <c r="AZ516"/>
  <c r="BF516"/>
  <c r="BE516"/>
  <c r="BB516"/>
  <c r="BD516"/>
  <c r="BC516"/>
  <c r="BR439"/>
  <c r="BE439"/>
  <c r="BD439"/>
  <c r="BB439"/>
  <c r="BA439"/>
  <c r="BG439"/>
  <c r="BF439"/>
  <c r="AZ439"/>
  <c r="BC439"/>
  <c r="BR326"/>
  <c r="BB326"/>
  <c r="BF326"/>
  <c r="BE326"/>
  <c r="BD326"/>
  <c r="BA326"/>
  <c r="AZ326"/>
  <c r="BG326"/>
  <c r="BC326"/>
  <c r="BR269"/>
  <c r="BB269"/>
  <c r="BA269"/>
  <c r="AZ269"/>
  <c r="BG269"/>
  <c r="BF269"/>
  <c r="BC269"/>
  <c r="BE269"/>
  <c r="BD269"/>
  <c r="BR369"/>
  <c r="BA369"/>
  <c r="BG369"/>
  <c r="AZ369"/>
  <c r="BF369"/>
  <c r="BE369"/>
  <c r="BD369"/>
  <c r="BC369"/>
  <c r="BB369"/>
  <c r="BR364"/>
  <c r="BD364"/>
  <c r="BE364"/>
  <c r="BC364"/>
  <c r="BB364"/>
  <c r="AZ364"/>
  <c r="BG364"/>
  <c r="BF364"/>
  <c r="BA364"/>
  <c r="BR316"/>
  <c r="BD316"/>
  <c r="AZ316"/>
  <c r="BG316"/>
  <c r="BF316"/>
  <c r="BE316"/>
  <c r="BB316"/>
  <c r="BC316"/>
  <c r="BA316"/>
  <c r="BR487"/>
  <c r="BE487"/>
  <c r="BD487"/>
  <c r="BF487"/>
  <c r="BC487"/>
  <c r="BB487"/>
  <c r="AZ487"/>
  <c r="BA487"/>
  <c r="BG487"/>
  <c r="BR332"/>
  <c r="BB332"/>
  <c r="BA332"/>
  <c r="AZ332"/>
  <c r="BG332"/>
  <c r="BF332"/>
  <c r="BD332"/>
  <c r="BE332"/>
  <c r="BC332"/>
  <c r="BR299"/>
  <c r="BB299"/>
  <c r="BF299"/>
  <c r="BE299"/>
  <c r="BD299"/>
  <c r="BA299"/>
  <c r="AZ299"/>
  <c r="BG299"/>
  <c r="BC299"/>
  <c r="BR381"/>
  <c r="BA381"/>
  <c r="BG381"/>
  <c r="AZ381"/>
  <c r="BF381"/>
  <c r="BE381"/>
  <c r="BD381"/>
  <c r="BC381"/>
  <c r="BB381"/>
  <c r="BR483"/>
  <c r="BA483"/>
  <c r="BG483"/>
  <c r="BF483"/>
  <c r="AZ483"/>
  <c r="BB483"/>
  <c r="BD483"/>
  <c r="BE483"/>
  <c r="BC483"/>
  <c r="BR267"/>
  <c r="AZ267"/>
  <c r="BF267"/>
  <c r="BC267"/>
  <c r="BB267"/>
  <c r="BA267"/>
  <c r="BD267"/>
  <c r="BG267"/>
  <c r="BE267"/>
  <c r="BR451"/>
  <c r="BE451"/>
  <c r="BD451"/>
  <c r="BF451"/>
  <c r="BC451"/>
  <c r="BB451"/>
  <c r="BA451"/>
  <c r="AZ451"/>
  <c r="BG451"/>
  <c r="BR272"/>
  <c r="BB272"/>
  <c r="BF272"/>
  <c r="BE272"/>
  <c r="BD272"/>
  <c r="BA272"/>
  <c r="AZ272"/>
  <c r="BG272"/>
  <c r="BC272"/>
  <c r="BR216"/>
  <c r="AZ216"/>
  <c r="BF216"/>
  <c r="BE216"/>
  <c r="BA216"/>
  <c r="BG216"/>
  <c r="BD216"/>
  <c r="BC216"/>
  <c r="BB216"/>
  <c r="BR387"/>
  <c r="BA387"/>
  <c r="BG387"/>
  <c r="AZ387"/>
  <c r="BF387"/>
  <c r="BE387"/>
  <c r="BC387"/>
  <c r="BD387"/>
  <c r="BB387"/>
  <c r="BR400"/>
  <c r="BE400"/>
  <c r="BD400"/>
  <c r="BC400"/>
  <c r="BA400"/>
  <c r="AZ400"/>
  <c r="BG400"/>
  <c r="BF400"/>
  <c r="BB400"/>
  <c r="BR425"/>
  <c r="BC425"/>
  <c r="BA425"/>
  <c r="BG425"/>
  <c r="BB425"/>
  <c r="BE425"/>
  <c r="BD425"/>
  <c r="AZ425"/>
  <c r="BF425"/>
  <c r="BR420"/>
  <c r="BA420"/>
  <c r="BG420"/>
  <c r="AZ420"/>
  <c r="BF420"/>
  <c r="BE420"/>
  <c r="BD420"/>
  <c r="BC420"/>
  <c r="BB420"/>
  <c r="BR241"/>
  <c r="BD241"/>
  <c r="BB241"/>
  <c r="BA241"/>
  <c r="AZ241"/>
  <c r="BG241"/>
  <c r="BF241"/>
  <c r="BE241"/>
  <c r="BC241"/>
  <c r="BR422"/>
  <c r="BC422"/>
  <c r="BB422"/>
  <c r="BG422"/>
  <c r="BA422"/>
  <c r="BE422"/>
  <c r="BD422"/>
  <c r="AZ422"/>
  <c r="BF422"/>
  <c r="BR206"/>
  <c r="BB206"/>
  <c r="BA206"/>
  <c r="BG206"/>
  <c r="BF206"/>
  <c r="BE206"/>
  <c r="BD206"/>
  <c r="BC206"/>
  <c r="AZ206"/>
  <c r="BR479"/>
  <c r="BC479"/>
  <c r="BB479"/>
  <c r="BF479"/>
  <c r="BE479"/>
  <c r="AZ479"/>
  <c r="BA479"/>
  <c r="BD479"/>
  <c r="BG479"/>
  <c r="BR505"/>
  <c r="BE505"/>
  <c r="BD505"/>
  <c r="BF505"/>
  <c r="BC505"/>
  <c r="BB505"/>
  <c r="AZ505"/>
  <c r="BA505"/>
  <c r="BG505"/>
  <c r="BR321"/>
  <c r="AZ321"/>
  <c r="BF321"/>
  <c r="BC321"/>
  <c r="BB321"/>
  <c r="BA321"/>
  <c r="BE321"/>
  <c r="BG321"/>
  <c r="BD321"/>
  <c r="BR281"/>
  <c r="BB281"/>
  <c r="BF281"/>
  <c r="BE281"/>
  <c r="BD281"/>
  <c r="BA281"/>
  <c r="AZ281"/>
  <c r="BG281"/>
  <c r="BC281"/>
  <c r="BR342"/>
  <c r="AZ342"/>
  <c r="BF342"/>
  <c r="BA342"/>
  <c r="BG342"/>
  <c r="BE342"/>
  <c r="BC342"/>
  <c r="BB342"/>
  <c r="BD342"/>
  <c r="BR211"/>
  <c r="BD211"/>
  <c r="BC211"/>
  <c r="BE211"/>
  <c r="BB211"/>
  <c r="BA211"/>
  <c r="AZ211"/>
  <c r="BG211"/>
  <c r="BF211"/>
  <c r="BR436"/>
  <c r="BE436"/>
  <c r="BD436"/>
  <c r="AZ436"/>
  <c r="BG436"/>
  <c r="BC436"/>
  <c r="BF436"/>
  <c r="BB436"/>
  <c r="BA436"/>
  <c r="BR437"/>
  <c r="BC437"/>
  <c r="BB437"/>
  <c r="AZ437"/>
  <c r="BG437"/>
  <c r="BF437"/>
  <c r="BE437"/>
  <c r="BD437"/>
  <c r="BA437"/>
  <c r="BR426"/>
  <c r="BA426"/>
  <c r="BG426"/>
  <c r="AZ426"/>
  <c r="BF426"/>
  <c r="BE426"/>
  <c r="BD426"/>
  <c r="BC426"/>
  <c r="BB426"/>
  <c r="BR253"/>
  <c r="BD253"/>
  <c r="AZ253"/>
  <c r="BG253"/>
  <c r="BF253"/>
  <c r="BE253"/>
  <c r="BC253"/>
  <c r="BA253"/>
  <c r="BB253"/>
  <c r="BR428"/>
  <c r="BC428"/>
  <c r="BB428"/>
  <c r="BA428"/>
  <c r="BG428"/>
  <c r="BE428"/>
  <c r="BD428"/>
  <c r="AZ428"/>
  <c r="BF428"/>
  <c r="BR212"/>
  <c r="BB212"/>
  <c r="BA212"/>
  <c r="BG212"/>
  <c r="BE212"/>
  <c r="BD212"/>
  <c r="BC212"/>
  <c r="AZ212"/>
  <c r="BF212"/>
  <c r="BR485"/>
  <c r="BC485"/>
  <c r="BB485"/>
  <c r="BD485"/>
  <c r="BA485"/>
  <c r="AZ485"/>
  <c r="BG485"/>
  <c r="BF485"/>
  <c r="BE485"/>
  <c r="BR327"/>
  <c r="AZ327"/>
  <c r="BF327"/>
  <c r="BE327"/>
  <c r="BD327"/>
  <c r="BC327"/>
  <c r="BA327"/>
  <c r="BG327"/>
  <c r="BB327"/>
  <c r="BR338"/>
  <c r="BB338"/>
  <c r="BD338"/>
  <c r="BC338"/>
  <c r="BA338"/>
  <c r="BF338"/>
  <c r="BE338"/>
  <c r="AZ338"/>
  <c r="BG338"/>
  <c r="BR258"/>
  <c r="AZ258"/>
  <c r="BF258"/>
  <c r="BC258"/>
  <c r="BB258"/>
  <c r="BA258"/>
  <c r="BG258"/>
  <c r="BD258"/>
  <c r="BE258"/>
  <c r="BR330"/>
  <c r="AZ330"/>
  <c r="BF330"/>
  <c r="BC330"/>
  <c r="BB330"/>
  <c r="BA330"/>
  <c r="BE330"/>
  <c r="BG330"/>
  <c r="BD330"/>
  <c r="BR402"/>
  <c r="BA402"/>
  <c r="BG402"/>
  <c r="AZ402"/>
  <c r="BF402"/>
  <c r="BE402"/>
  <c r="BD402"/>
  <c r="BC402"/>
  <c r="BB402"/>
  <c r="BR196"/>
  <c r="BD196"/>
  <c r="BC196"/>
  <c r="BG196"/>
  <c r="BF196"/>
  <c r="BE196"/>
  <c r="BB196"/>
  <c r="BA196"/>
  <c r="AZ196"/>
  <c r="BR197"/>
  <c r="BB197"/>
  <c r="BA197"/>
  <c r="BG197"/>
  <c r="BF197"/>
  <c r="BE197"/>
  <c r="BD197"/>
  <c r="BC197"/>
  <c r="AZ197"/>
  <c r="BR264"/>
  <c r="AZ264"/>
  <c r="BF264"/>
  <c r="BE264"/>
  <c r="BD264"/>
  <c r="BC264"/>
  <c r="BB264"/>
  <c r="BG264"/>
  <c r="BA264"/>
  <c r="BR482"/>
  <c r="BC482"/>
  <c r="BB482"/>
  <c r="AZ482"/>
  <c r="BG482"/>
  <c r="BF482"/>
  <c r="BE482"/>
  <c r="BD482"/>
  <c r="BA482"/>
  <c r="BR394"/>
  <c r="BE394"/>
  <c r="BD394"/>
  <c r="BC394"/>
  <c r="BA394"/>
  <c r="AZ394"/>
  <c r="BG394"/>
  <c r="BF394"/>
  <c r="BB394"/>
  <c r="BR418"/>
  <c r="BE418"/>
  <c r="BD418"/>
  <c r="BC418"/>
  <c r="BA418"/>
  <c r="AZ418"/>
  <c r="BG418"/>
  <c r="BF418"/>
  <c r="BB418"/>
  <c r="BR198"/>
  <c r="AZ198"/>
  <c r="BF198"/>
  <c r="BE198"/>
  <c r="BA198"/>
  <c r="BG198"/>
  <c r="BD198"/>
  <c r="BC198"/>
  <c r="BB198"/>
  <c r="BR434"/>
  <c r="BC434"/>
  <c r="BB434"/>
  <c r="BF434"/>
  <c r="BA434"/>
  <c r="BE434"/>
  <c r="BD434"/>
  <c r="AZ434"/>
  <c r="BG434"/>
  <c r="BR503"/>
  <c r="BC503"/>
  <c r="BB503"/>
  <c r="BD503"/>
  <c r="BA503"/>
  <c r="BF503"/>
  <c r="AZ503"/>
  <c r="BG503"/>
  <c r="BE503"/>
  <c r="BR383"/>
  <c r="BC383"/>
  <c r="BB383"/>
  <c r="BA383"/>
  <c r="BG383"/>
  <c r="BE383"/>
  <c r="BD383"/>
  <c r="AZ383"/>
  <c r="BF383"/>
  <c r="BR453"/>
  <c r="BA453"/>
  <c r="BG453"/>
  <c r="BF453"/>
  <c r="AZ453"/>
  <c r="BE453"/>
  <c r="BD453"/>
  <c r="BB453"/>
  <c r="BC453"/>
  <c r="BR202"/>
  <c r="BD202"/>
  <c r="BC202"/>
  <c r="BE202"/>
  <c r="BB202"/>
  <c r="BA202"/>
  <c r="AZ202"/>
  <c r="BG202"/>
  <c r="BF202"/>
  <c r="BR398"/>
  <c r="BC398"/>
  <c r="BB398"/>
  <c r="BA398"/>
  <c r="BG398"/>
  <c r="BE398"/>
  <c r="BD398"/>
  <c r="AZ398"/>
  <c r="BF398"/>
  <c r="BR431"/>
  <c r="BC431"/>
  <c r="BB431"/>
  <c r="BD431"/>
  <c r="BA431"/>
  <c r="AZ431"/>
  <c r="BG431"/>
  <c r="BF431"/>
  <c r="BE431"/>
  <c r="BR477"/>
  <c r="BA477"/>
  <c r="BG477"/>
  <c r="AZ477"/>
  <c r="BF477"/>
  <c r="BD477"/>
  <c r="BC477"/>
  <c r="BB477"/>
  <c r="BE477"/>
  <c r="BR214"/>
  <c r="BD214"/>
  <c r="BC214"/>
  <c r="BG214"/>
  <c r="BF214"/>
  <c r="BE214"/>
  <c r="BB214"/>
  <c r="BA214"/>
  <c r="AZ214"/>
  <c r="BR238"/>
  <c r="BD238"/>
  <c r="BE238"/>
  <c r="BC238"/>
  <c r="BB238"/>
  <c r="BA238"/>
  <c r="AZ238"/>
  <c r="BG238"/>
  <c r="BF238"/>
  <c r="BR404"/>
  <c r="BC404"/>
  <c r="BB404"/>
  <c r="BA404"/>
  <c r="BG404"/>
  <c r="BE404"/>
  <c r="BD404"/>
  <c r="AZ404"/>
  <c r="BF404"/>
  <c r="BR443"/>
  <c r="BC443"/>
  <c r="BB443"/>
  <c r="BF443"/>
  <c r="BE443"/>
  <c r="BD443"/>
  <c r="BA443"/>
  <c r="AZ443"/>
  <c r="BG443"/>
  <c r="BR489"/>
  <c r="BA489"/>
  <c r="BG489"/>
  <c r="AZ489"/>
  <c r="BF489"/>
  <c r="BE489"/>
  <c r="BD489"/>
  <c r="BB489"/>
  <c r="BC489"/>
  <c r="BR303"/>
  <c r="AZ303"/>
  <c r="BF303"/>
  <c r="BC303"/>
  <c r="BB303"/>
  <c r="BA303"/>
  <c r="BE303"/>
  <c r="BG303"/>
  <c r="BD303"/>
  <c r="BR344"/>
  <c r="BB344"/>
  <c r="BF344"/>
  <c r="BE344"/>
  <c r="BD344"/>
  <c r="BA344"/>
  <c r="AZ344"/>
  <c r="BG344"/>
  <c r="BC344"/>
  <c r="BR395"/>
  <c r="BC395"/>
  <c r="BB395"/>
  <c r="BA395"/>
  <c r="BG395"/>
  <c r="BE395"/>
  <c r="AZ395"/>
  <c r="BD395"/>
  <c r="BF395"/>
  <c r="BR495"/>
  <c r="BA495"/>
  <c r="BG495"/>
  <c r="AZ495"/>
  <c r="BF495"/>
  <c r="BD495"/>
  <c r="BC495"/>
  <c r="BB495"/>
  <c r="BE495"/>
  <c r="BR304"/>
  <c r="BD304"/>
  <c r="BB304"/>
  <c r="BA304"/>
  <c r="AZ304"/>
  <c r="BG304"/>
  <c r="BE304"/>
  <c r="BC304"/>
  <c r="BF304"/>
  <c r="BR509"/>
  <c r="BC509"/>
  <c r="BB509"/>
  <c r="AZ509"/>
  <c r="BG509"/>
  <c r="BF509"/>
  <c r="BE509"/>
  <c r="BD509"/>
  <c r="BA509"/>
  <c r="BR456"/>
  <c r="BA456"/>
  <c r="BG456"/>
  <c r="AZ456"/>
  <c r="BF456"/>
  <c r="BB456"/>
  <c r="BD456"/>
  <c r="BE456"/>
  <c r="BC456"/>
  <c r="BR240"/>
  <c r="AZ240"/>
  <c r="BF240"/>
  <c r="BC240"/>
  <c r="BB240"/>
  <c r="BA240"/>
  <c r="BG240"/>
  <c r="BE240"/>
  <c r="BD240"/>
  <c r="BR313"/>
  <c r="BD313"/>
  <c r="BB313"/>
  <c r="BA313"/>
  <c r="AZ313"/>
  <c r="BG313"/>
  <c r="BE313"/>
  <c r="BC313"/>
  <c r="BF313"/>
  <c r="BR458"/>
  <c r="BC458"/>
  <c r="BB458"/>
  <c r="BD458"/>
  <c r="BA458"/>
  <c r="AZ458"/>
  <c r="BG458"/>
  <c r="BF458"/>
  <c r="BE458"/>
  <c r="BR242"/>
  <c r="BB242"/>
  <c r="BA242"/>
  <c r="AZ242"/>
  <c r="BG242"/>
  <c r="BF242"/>
  <c r="BE242"/>
  <c r="BD242"/>
  <c r="BC242"/>
  <c r="BR357"/>
  <c r="AZ357"/>
  <c r="BF357"/>
  <c r="BC357"/>
  <c r="BB357"/>
  <c r="BA357"/>
  <c r="BE357"/>
  <c r="BG357"/>
  <c r="BD357"/>
  <c r="BR413"/>
  <c r="BC413"/>
  <c r="BB413"/>
  <c r="BA413"/>
  <c r="BG413"/>
  <c r="BE413"/>
  <c r="AZ413"/>
  <c r="BD413"/>
  <c r="BF413"/>
  <c r="BR414"/>
  <c r="BA414"/>
  <c r="BG414"/>
  <c r="AZ414"/>
  <c r="BF414"/>
  <c r="BE414"/>
  <c r="BD414"/>
  <c r="BC414"/>
  <c r="BB414"/>
  <c r="BR229"/>
  <c r="BD229"/>
  <c r="BC229"/>
  <c r="BE229"/>
  <c r="BB229"/>
  <c r="BA229"/>
  <c r="AZ229"/>
  <c r="BG229"/>
  <c r="BF229"/>
  <c r="BR355"/>
  <c r="BD355"/>
  <c r="BE355"/>
  <c r="BC355"/>
  <c r="BB355"/>
  <c r="AZ355"/>
  <c r="BG355"/>
  <c r="BF355"/>
  <c r="BA355"/>
  <c r="BR340"/>
  <c r="BD340"/>
  <c r="BB340"/>
  <c r="BA340"/>
  <c r="AZ340"/>
  <c r="BG340"/>
  <c r="BE340"/>
  <c r="BC340"/>
  <c r="BF340"/>
  <c r="BR462"/>
  <c r="BA462"/>
  <c r="BG462"/>
  <c r="AZ462"/>
  <c r="BF462"/>
  <c r="BE462"/>
  <c r="BD462"/>
  <c r="BC462"/>
  <c r="BB462"/>
  <c r="BR246"/>
  <c r="AZ246"/>
  <c r="BF246"/>
  <c r="BE246"/>
  <c r="BD246"/>
  <c r="BC246"/>
  <c r="BB246"/>
  <c r="BA246"/>
  <c r="BG246"/>
  <c r="BR325"/>
  <c r="BD325"/>
  <c r="AZ325"/>
  <c r="BG325"/>
  <c r="BF325"/>
  <c r="BE325"/>
  <c r="BB325"/>
  <c r="BC325"/>
  <c r="BA325"/>
  <c r="BR464"/>
  <c r="BC464"/>
  <c r="BB464"/>
  <c r="AZ464"/>
  <c r="BG464"/>
  <c r="BF464"/>
  <c r="BD464"/>
  <c r="BE464"/>
  <c r="BA464"/>
  <c r="BR248"/>
  <c r="BB248"/>
  <c r="BD248"/>
  <c r="BC248"/>
  <c r="BA248"/>
  <c r="AZ248"/>
  <c r="BG248"/>
  <c r="BE248"/>
  <c r="BF248"/>
  <c r="BR363"/>
  <c r="AZ363"/>
  <c r="BF363"/>
  <c r="BE363"/>
  <c r="BD363"/>
  <c r="BC363"/>
  <c r="BG363"/>
  <c r="BB363"/>
  <c r="BA363"/>
  <c r="AC466"/>
  <c r="AG466"/>
  <c r="AF466"/>
  <c r="AA466"/>
  <c r="Z466"/>
  <c r="W466"/>
  <c r="R466"/>
  <c r="Y466"/>
  <c r="V466"/>
  <c r="X466"/>
  <c r="U466"/>
  <c r="T466"/>
  <c r="S466"/>
  <c r="AG319"/>
  <c r="AF319"/>
  <c r="AC319"/>
  <c r="S319"/>
  <c r="Y319"/>
  <c r="AA319"/>
  <c r="T319"/>
  <c r="Z319"/>
  <c r="R319"/>
  <c r="W319"/>
  <c r="V319"/>
  <c r="U319"/>
  <c r="X319"/>
  <c r="AC496"/>
  <c r="AG496"/>
  <c r="AF496"/>
  <c r="AA496"/>
  <c r="Z496"/>
  <c r="W496"/>
  <c r="V496"/>
  <c r="U496"/>
  <c r="T496"/>
  <c r="S496"/>
  <c r="R496"/>
  <c r="Y496"/>
  <c r="X496"/>
  <c r="AG489"/>
  <c r="AF489"/>
  <c r="AC489"/>
  <c r="AA489"/>
  <c r="Z489"/>
  <c r="S489"/>
  <c r="Y489"/>
  <c r="U489"/>
  <c r="R489"/>
  <c r="T489"/>
  <c r="X489"/>
  <c r="W489"/>
  <c r="V489"/>
  <c r="AG458"/>
  <c r="AF458"/>
  <c r="AC458"/>
  <c r="AA458"/>
  <c r="U458"/>
  <c r="Z458"/>
  <c r="X458"/>
  <c r="W458"/>
  <c r="V458"/>
  <c r="S458"/>
  <c r="Y458"/>
  <c r="T458"/>
  <c r="R458"/>
  <c r="AG427"/>
  <c r="AF427"/>
  <c r="AC427"/>
  <c r="AA427"/>
  <c r="W427"/>
  <c r="Z427"/>
  <c r="U427"/>
  <c r="T427"/>
  <c r="R427"/>
  <c r="S427"/>
  <c r="Y427"/>
  <c r="X427"/>
  <c r="V427"/>
  <c r="AG432"/>
  <c r="AC432"/>
  <c r="AF432"/>
  <c r="AA432"/>
  <c r="Z432"/>
  <c r="S432"/>
  <c r="Y432"/>
  <c r="X432"/>
  <c r="W432"/>
  <c r="U432"/>
  <c r="V432"/>
  <c r="R432"/>
  <c r="T432"/>
  <c r="AC383"/>
  <c r="AG383"/>
  <c r="AF383"/>
  <c r="AA383"/>
  <c r="Z383"/>
  <c r="U383"/>
  <c r="T383"/>
  <c r="R383"/>
  <c r="Y383"/>
  <c r="X383"/>
  <c r="W383"/>
  <c r="V383"/>
  <c r="S383"/>
  <c r="AC437"/>
  <c r="AG437"/>
  <c r="AF437"/>
  <c r="AA437"/>
  <c r="Z437"/>
  <c r="U437"/>
  <c r="T437"/>
  <c r="S437"/>
  <c r="R437"/>
  <c r="Y437"/>
  <c r="X437"/>
  <c r="V437"/>
  <c r="W437"/>
  <c r="AG246"/>
  <c r="AC246"/>
  <c r="AF246"/>
  <c r="AA246"/>
  <c r="S246"/>
  <c r="Y246"/>
  <c r="Z246"/>
  <c r="U246"/>
  <c r="T246"/>
  <c r="R246"/>
  <c r="V246"/>
  <c r="X246"/>
  <c r="W246"/>
  <c r="AC334"/>
  <c r="AG334"/>
  <c r="AF334"/>
  <c r="AA334"/>
  <c r="Z334"/>
  <c r="W334"/>
  <c r="V334"/>
  <c r="X334"/>
  <c r="U334"/>
  <c r="T334"/>
  <c r="S334"/>
  <c r="R334"/>
  <c r="Y334"/>
  <c r="AC275"/>
  <c r="AG275"/>
  <c r="AF275"/>
  <c r="U275"/>
  <c r="S275"/>
  <c r="AA275"/>
  <c r="Z275"/>
  <c r="V275"/>
  <c r="T275"/>
  <c r="R275"/>
  <c r="Y275"/>
  <c r="X275"/>
  <c r="W275"/>
  <c r="AG444"/>
  <c r="AC444"/>
  <c r="AF444"/>
  <c r="AA444"/>
  <c r="Z444"/>
  <c r="S444"/>
  <c r="Y444"/>
  <c r="V444"/>
  <c r="U444"/>
  <c r="R444"/>
  <c r="T444"/>
  <c r="W444"/>
  <c r="X444"/>
  <c r="AC292"/>
  <c r="AG292"/>
  <c r="AF292"/>
  <c r="W292"/>
  <c r="T292"/>
  <c r="AA292"/>
  <c r="X292"/>
  <c r="Z292"/>
  <c r="V292"/>
  <c r="Y292"/>
  <c r="U292"/>
  <c r="S292"/>
  <c r="R292"/>
  <c r="AG469"/>
  <c r="AF469"/>
  <c r="AC469"/>
  <c r="W469"/>
  <c r="AA469"/>
  <c r="Z469"/>
  <c r="V469"/>
  <c r="T469"/>
  <c r="U469"/>
  <c r="S469"/>
  <c r="R469"/>
  <c r="X469"/>
  <c r="Y469"/>
  <c r="AG253"/>
  <c r="AF253"/>
  <c r="AC253"/>
  <c r="W253"/>
  <c r="V253"/>
  <c r="AA253"/>
  <c r="Z253"/>
  <c r="Y253"/>
  <c r="X253"/>
  <c r="U253"/>
  <c r="R253"/>
  <c r="T253"/>
  <c r="S253"/>
  <c r="AG320"/>
  <c r="AF320"/>
  <c r="AC320"/>
  <c r="W320"/>
  <c r="AA320"/>
  <c r="Z320"/>
  <c r="S320"/>
  <c r="R320"/>
  <c r="Y320"/>
  <c r="X320"/>
  <c r="V320"/>
  <c r="U320"/>
  <c r="T320"/>
  <c r="AG387"/>
  <c r="AF387"/>
  <c r="AC387"/>
  <c r="AA387"/>
  <c r="Z387"/>
  <c r="S387"/>
  <c r="Y387"/>
  <c r="R387"/>
  <c r="X387"/>
  <c r="U387"/>
  <c r="T387"/>
  <c r="W387"/>
  <c r="V387"/>
  <c r="AC305"/>
  <c r="AG305"/>
  <c r="AF305"/>
  <c r="W305"/>
  <c r="X305"/>
  <c r="V305"/>
  <c r="AA305"/>
  <c r="Z305"/>
  <c r="R305"/>
  <c r="Y305"/>
  <c r="U305"/>
  <c r="T305"/>
  <c r="S305"/>
  <c r="AC431"/>
  <c r="AG431"/>
  <c r="AF431"/>
  <c r="U431"/>
  <c r="AA431"/>
  <c r="Z431"/>
  <c r="R431"/>
  <c r="Y431"/>
  <c r="X431"/>
  <c r="W431"/>
  <c r="V431"/>
  <c r="S431"/>
  <c r="T431"/>
  <c r="AG249"/>
  <c r="AF249"/>
  <c r="AC249"/>
  <c r="AA249"/>
  <c r="S249"/>
  <c r="Y249"/>
  <c r="Z249"/>
  <c r="R249"/>
  <c r="V249"/>
  <c r="U249"/>
  <c r="T249"/>
  <c r="X249"/>
  <c r="W249"/>
  <c r="AC245"/>
  <c r="AG245"/>
  <c r="AF245"/>
  <c r="U245"/>
  <c r="Z245"/>
  <c r="V245"/>
  <c r="S245"/>
  <c r="R245"/>
  <c r="AA245"/>
  <c r="Y245"/>
  <c r="X245"/>
  <c r="W245"/>
  <c r="T245"/>
  <c r="AG462"/>
  <c r="AC462"/>
  <c r="AF462"/>
  <c r="AA462"/>
  <c r="S462"/>
  <c r="Y462"/>
  <c r="Z462"/>
  <c r="U462"/>
  <c r="T462"/>
  <c r="R462"/>
  <c r="X462"/>
  <c r="W462"/>
  <c r="V462"/>
  <c r="AG193"/>
  <c r="AF193"/>
  <c r="AC193"/>
  <c r="W193"/>
  <c r="T193"/>
  <c r="AA193"/>
  <c r="U193"/>
  <c r="Z193"/>
  <c r="S193"/>
  <c r="R193"/>
  <c r="Y193"/>
  <c r="X193"/>
  <c r="V193"/>
  <c r="AG260"/>
  <c r="AF260"/>
  <c r="AC260"/>
  <c r="U260"/>
  <c r="X260"/>
  <c r="T260"/>
  <c r="S260"/>
  <c r="R260"/>
  <c r="AA260"/>
  <c r="Z260"/>
  <c r="Y260"/>
  <c r="W260"/>
  <c r="V260"/>
  <c r="AG399"/>
  <c r="AF399"/>
  <c r="AC399"/>
  <c r="AA399"/>
  <c r="Z399"/>
  <c r="S399"/>
  <c r="Y399"/>
  <c r="V399"/>
  <c r="U399"/>
  <c r="T399"/>
  <c r="R399"/>
  <c r="X399"/>
  <c r="W399"/>
  <c r="AC329"/>
  <c r="AG329"/>
  <c r="AF329"/>
  <c r="AA329"/>
  <c r="Z329"/>
  <c r="U329"/>
  <c r="T329"/>
  <c r="R329"/>
  <c r="Y329"/>
  <c r="X329"/>
  <c r="W329"/>
  <c r="V329"/>
  <c r="S329"/>
  <c r="AC226"/>
  <c r="AG226"/>
  <c r="AF226"/>
  <c r="W226"/>
  <c r="V226"/>
  <c r="AA226"/>
  <c r="Z226"/>
  <c r="Y226"/>
  <c r="X226"/>
  <c r="U226"/>
  <c r="T226"/>
  <c r="S226"/>
  <c r="R226"/>
  <c r="AG510"/>
  <c r="AC510"/>
  <c r="AF510"/>
  <c r="AA510"/>
  <c r="Z510"/>
  <c r="S510"/>
  <c r="Y510"/>
  <c r="R510"/>
  <c r="W510"/>
  <c r="X510"/>
  <c r="V510"/>
  <c r="U510"/>
  <c r="T510"/>
  <c r="AG324"/>
  <c r="AC324"/>
  <c r="AF324"/>
  <c r="AA324"/>
  <c r="Z324"/>
  <c r="S324"/>
  <c r="Y324"/>
  <c r="R324"/>
  <c r="X324"/>
  <c r="V324"/>
  <c r="U324"/>
  <c r="T324"/>
  <c r="W324"/>
  <c r="AG415"/>
  <c r="AF415"/>
  <c r="AC415"/>
  <c r="AA415"/>
  <c r="Z415"/>
  <c r="W415"/>
  <c r="X415"/>
  <c r="V415"/>
  <c r="U415"/>
  <c r="T415"/>
  <c r="S415"/>
  <c r="R415"/>
  <c r="Y415"/>
  <c r="AG199"/>
  <c r="AF199"/>
  <c r="AC199"/>
  <c r="W199"/>
  <c r="V199"/>
  <c r="AA199"/>
  <c r="Z199"/>
  <c r="Y199"/>
  <c r="X199"/>
  <c r="U199"/>
  <c r="R199"/>
  <c r="T199"/>
  <c r="S199"/>
  <c r="AG482"/>
  <c r="AF482"/>
  <c r="AC482"/>
  <c r="Z482"/>
  <c r="U482"/>
  <c r="AA482"/>
  <c r="S482"/>
  <c r="R482"/>
  <c r="X482"/>
  <c r="Y482"/>
  <c r="W482"/>
  <c r="V482"/>
  <c r="T482"/>
  <c r="AG266"/>
  <c r="AF266"/>
  <c r="AC266"/>
  <c r="U266"/>
  <c r="S266"/>
  <c r="AA266"/>
  <c r="Z266"/>
  <c r="X266"/>
  <c r="W266"/>
  <c r="V266"/>
  <c r="Y266"/>
  <c r="T266"/>
  <c r="R266"/>
  <c r="AG333"/>
  <c r="AF333"/>
  <c r="AC333"/>
  <c r="AA333"/>
  <c r="Z333"/>
  <c r="S333"/>
  <c r="Y333"/>
  <c r="R333"/>
  <c r="X333"/>
  <c r="V333"/>
  <c r="U333"/>
  <c r="T333"/>
  <c r="W333"/>
  <c r="AG306"/>
  <c r="AC306"/>
  <c r="AF306"/>
  <c r="AA306"/>
  <c r="Z306"/>
  <c r="U306"/>
  <c r="W306"/>
  <c r="V306"/>
  <c r="S306"/>
  <c r="R306"/>
  <c r="Y306"/>
  <c r="X306"/>
  <c r="T306"/>
  <c r="AC335"/>
  <c r="AG335"/>
  <c r="AF335"/>
  <c r="Z335"/>
  <c r="U335"/>
  <c r="T335"/>
  <c r="AA335"/>
  <c r="X335"/>
  <c r="W335"/>
  <c r="S335"/>
  <c r="V335"/>
  <c r="R335"/>
  <c r="Y335"/>
  <c r="AG511"/>
  <c r="AF511"/>
  <c r="AC511"/>
  <c r="Z511"/>
  <c r="W511"/>
  <c r="AA511"/>
  <c r="R511"/>
  <c r="Y511"/>
  <c r="X511"/>
  <c r="V511"/>
  <c r="S511"/>
  <c r="U511"/>
  <c r="T511"/>
  <c r="AG213"/>
  <c r="AF213"/>
  <c r="AC213"/>
  <c r="AA213"/>
  <c r="S213"/>
  <c r="Y213"/>
  <c r="Z213"/>
  <c r="R213"/>
  <c r="X213"/>
  <c r="W213"/>
  <c r="V213"/>
  <c r="U213"/>
  <c r="T213"/>
  <c r="AG204"/>
  <c r="AC204"/>
  <c r="AF204"/>
  <c r="AA204"/>
  <c r="S204"/>
  <c r="Y204"/>
  <c r="Z204"/>
  <c r="R204"/>
  <c r="T204"/>
  <c r="X204"/>
  <c r="W204"/>
  <c r="V204"/>
  <c r="U204"/>
  <c r="AG373"/>
  <c r="AF373"/>
  <c r="AC373"/>
  <c r="AA373"/>
  <c r="W373"/>
  <c r="Z373"/>
  <c r="V373"/>
  <c r="R373"/>
  <c r="Y373"/>
  <c r="U373"/>
  <c r="X373"/>
  <c r="T373"/>
  <c r="S373"/>
  <c r="AG440"/>
  <c r="AF440"/>
  <c r="AC440"/>
  <c r="U440"/>
  <c r="AA440"/>
  <c r="Z440"/>
  <c r="R440"/>
  <c r="Y440"/>
  <c r="X440"/>
  <c r="W440"/>
  <c r="V440"/>
  <c r="S440"/>
  <c r="T440"/>
  <c r="AG435"/>
  <c r="AF435"/>
  <c r="AC435"/>
  <c r="AA435"/>
  <c r="Z435"/>
  <c r="S435"/>
  <c r="Y435"/>
  <c r="V435"/>
  <c r="U435"/>
  <c r="R435"/>
  <c r="T435"/>
  <c r="W435"/>
  <c r="X435"/>
  <c r="AC197"/>
  <c r="AG197"/>
  <c r="AF197"/>
  <c r="U197"/>
  <c r="X197"/>
  <c r="W197"/>
  <c r="V197"/>
  <c r="T197"/>
  <c r="AA197"/>
  <c r="Z197"/>
  <c r="Y197"/>
  <c r="S197"/>
  <c r="R197"/>
  <c r="AC479"/>
  <c r="AG479"/>
  <c r="AF479"/>
  <c r="U479"/>
  <c r="AA479"/>
  <c r="Z479"/>
  <c r="V479"/>
  <c r="T479"/>
  <c r="S479"/>
  <c r="Y479"/>
  <c r="X479"/>
  <c r="W479"/>
  <c r="R479"/>
  <c r="AC484"/>
  <c r="AG484"/>
  <c r="AF484"/>
  <c r="AA484"/>
  <c r="W484"/>
  <c r="Z484"/>
  <c r="R484"/>
  <c r="Y484"/>
  <c r="X484"/>
  <c r="V484"/>
  <c r="U484"/>
  <c r="S484"/>
  <c r="T484"/>
  <c r="AG349"/>
  <c r="AF349"/>
  <c r="AC349"/>
  <c r="Z349"/>
  <c r="W349"/>
  <c r="V349"/>
  <c r="AA349"/>
  <c r="T349"/>
  <c r="S349"/>
  <c r="R349"/>
  <c r="Y349"/>
  <c r="X349"/>
  <c r="U349"/>
  <c r="AG416"/>
  <c r="AF416"/>
  <c r="AC416"/>
  <c r="Z416"/>
  <c r="U416"/>
  <c r="AA416"/>
  <c r="W416"/>
  <c r="V416"/>
  <c r="S416"/>
  <c r="T416"/>
  <c r="R416"/>
  <c r="Y416"/>
  <c r="X416"/>
  <c r="AG200"/>
  <c r="AF200"/>
  <c r="AC200"/>
  <c r="U200"/>
  <c r="Z200"/>
  <c r="V200"/>
  <c r="Y200"/>
  <c r="X200"/>
  <c r="AA200"/>
  <c r="W200"/>
  <c r="T200"/>
  <c r="S200"/>
  <c r="R200"/>
  <c r="AG483"/>
  <c r="AF483"/>
  <c r="AC483"/>
  <c r="AA483"/>
  <c r="S483"/>
  <c r="Y483"/>
  <c r="Z483"/>
  <c r="R483"/>
  <c r="X483"/>
  <c r="W483"/>
  <c r="V483"/>
  <c r="U483"/>
  <c r="T483"/>
  <c r="AG267"/>
  <c r="AF267"/>
  <c r="AC267"/>
  <c r="AA267"/>
  <c r="S267"/>
  <c r="Y267"/>
  <c r="Z267"/>
  <c r="R267"/>
  <c r="X267"/>
  <c r="W267"/>
  <c r="V267"/>
  <c r="U267"/>
  <c r="T267"/>
  <c r="AG237"/>
  <c r="AF237"/>
  <c r="AC237"/>
  <c r="AA237"/>
  <c r="S237"/>
  <c r="Y237"/>
  <c r="Z237"/>
  <c r="U237"/>
  <c r="W237"/>
  <c r="V237"/>
  <c r="T237"/>
  <c r="X237"/>
  <c r="R237"/>
  <c r="AC491"/>
  <c r="AG491"/>
  <c r="AF491"/>
  <c r="AA491"/>
  <c r="U491"/>
  <c r="Z491"/>
  <c r="S491"/>
  <c r="R491"/>
  <c r="X491"/>
  <c r="Y491"/>
  <c r="W491"/>
  <c r="V491"/>
  <c r="T491"/>
  <c r="AG206"/>
  <c r="AF206"/>
  <c r="AC206"/>
  <c r="U206"/>
  <c r="X206"/>
  <c r="T206"/>
  <c r="S206"/>
  <c r="R206"/>
  <c r="AA206"/>
  <c r="Z206"/>
  <c r="Y206"/>
  <c r="W206"/>
  <c r="V206"/>
  <c r="AC353"/>
  <c r="AG353"/>
  <c r="AF353"/>
  <c r="Z353"/>
  <c r="U353"/>
  <c r="T353"/>
  <c r="AA353"/>
  <c r="X353"/>
  <c r="W353"/>
  <c r="V353"/>
  <c r="S353"/>
  <c r="R353"/>
  <c r="Y353"/>
  <c r="AC208"/>
  <c r="AG208"/>
  <c r="AF208"/>
  <c r="W208"/>
  <c r="V208"/>
  <c r="AA208"/>
  <c r="Z208"/>
  <c r="U208"/>
  <c r="T208"/>
  <c r="S208"/>
  <c r="Y208"/>
  <c r="X208"/>
  <c r="R208"/>
  <c r="AG345"/>
  <c r="AF345"/>
  <c r="AC345"/>
  <c r="AA345"/>
  <c r="Z345"/>
  <c r="S345"/>
  <c r="Y345"/>
  <c r="R345"/>
  <c r="X345"/>
  <c r="W345"/>
  <c r="V345"/>
  <c r="U345"/>
  <c r="T345"/>
  <c r="AG314"/>
  <c r="AF314"/>
  <c r="AC314"/>
  <c r="W314"/>
  <c r="X314"/>
  <c r="V314"/>
  <c r="AA314"/>
  <c r="Z314"/>
  <c r="T314"/>
  <c r="S314"/>
  <c r="R314"/>
  <c r="Y314"/>
  <c r="U314"/>
  <c r="AC394"/>
  <c r="AG394"/>
  <c r="AF394"/>
  <c r="Z394"/>
  <c r="W394"/>
  <c r="AA394"/>
  <c r="S394"/>
  <c r="R394"/>
  <c r="Y394"/>
  <c r="X394"/>
  <c r="V394"/>
  <c r="U394"/>
  <c r="T394"/>
  <c r="AG283"/>
  <c r="AF283"/>
  <c r="AC283"/>
  <c r="W283"/>
  <c r="T283"/>
  <c r="AA283"/>
  <c r="R283"/>
  <c r="Z283"/>
  <c r="Y283"/>
  <c r="S283"/>
  <c r="X283"/>
  <c r="V283"/>
  <c r="U283"/>
  <c r="AC509"/>
  <c r="AG509"/>
  <c r="AF509"/>
  <c r="U509"/>
  <c r="AA509"/>
  <c r="Z509"/>
  <c r="S509"/>
  <c r="R509"/>
  <c r="Y509"/>
  <c r="X509"/>
  <c r="W509"/>
  <c r="V509"/>
  <c r="T509"/>
  <c r="AC406"/>
  <c r="AG406"/>
  <c r="AF406"/>
  <c r="AA406"/>
  <c r="Z406"/>
  <c r="W406"/>
  <c r="X406"/>
  <c r="V406"/>
  <c r="U406"/>
  <c r="T406"/>
  <c r="S406"/>
  <c r="R406"/>
  <c r="Y406"/>
  <c r="AC443"/>
  <c r="AG443"/>
  <c r="AF443"/>
  <c r="U443"/>
  <c r="AA443"/>
  <c r="Z443"/>
  <c r="W443"/>
  <c r="V443"/>
  <c r="T443"/>
  <c r="S443"/>
  <c r="X443"/>
  <c r="Y443"/>
  <c r="R443"/>
  <c r="AG252"/>
  <c r="AC252"/>
  <c r="AF252"/>
  <c r="AA252"/>
  <c r="S252"/>
  <c r="Y252"/>
  <c r="Z252"/>
  <c r="W252"/>
  <c r="X252"/>
  <c r="V252"/>
  <c r="U252"/>
  <c r="T252"/>
  <c r="R252"/>
  <c r="AC311"/>
  <c r="AG311"/>
  <c r="AF311"/>
  <c r="W311"/>
  <c r="AA311"/>
  <c r="Z311"/>
  <c r="S311"/>
  <c r="R311"/>
  <c r="Y311"/>
  <c r="V311"/>
  <c r="U311"/>
  <c r="T311"/>
  <c r="X311"/>
  <c r="AC364"/>
  <c r="AG364"/>
  <c r="AF364"/>
  <c r="AA364"/>
  <c r="W364"/>
  <c r="Z364"/>
  <c r="V364"/>
  <c r="R364"/>
  <c r="Y364"/>
  <c r="X364"/>
  <c r="U364"/>
  <c r="T364"/>
  <c r="S364"/>
  <c r="AG505"/>
  <c r="AF505"/>
  <c r="AC505"/>
  <c r="W505"/>
  <c r="AA505"/>
  <c r="Z505"/>
  <c r="V505"/>
  <c r="T505"/>
  <c r="U505"/>
  <c r="S505"/>
  <c r="R505"/>
  <c r="Y505"/>
  <c r="X505"/>
  <c r="AG289"/>
  <c r="AF289"/>
  <c r="AC289"/>
  <c r="W289"/>
  <c r="V289"/>
  <c r="AA289"/>
  <c r="Z289"/>
  <c r="U289"/>
  <c r="T289"/>
  <c r="X289"/>
  <c r="S289"/>
  <c r="R289"/>
  <c r="Y289"/>
  <c r="AG356"/>
  <c r="AF356"/>
  <c r="AC356"/>
  <c r="AA356"/>
  <c r="Z356"/>
  <c r="U356"/>
  <c r="T356"/>
  <c r="R356"/>
  <c r="Y356"/>
  <c r="X356"/>
  <c r="W356"/>
  <c r="V356"/>
  <c r="S356"/>
  <c r="AG423"/>
  <c r="AF423"/>
  <c r="AC423"/>
  <c r="AA423"/>
  <c r="Z423"/>
  <c r="S423"/>
  <c r="Y423"/>
  <c r="X423"/>
  <c r="W423"/>
  <c r="V423"/>
  <c r="U423"/>
  <c r="R423"/>
  <c r="T423"/>
  <c r="AG207"/>
  <c r="AF207"/>
  <c r="AC207"/>
  <c r="AA207"/>
  <c r="S207"/>
  <c r="Y207"/>
  <c r="Z207"/>
  <c r="W207"/>
  <c r="U207"/>
  <c r="T207"/>
  <c r="R207"/>
  <c r="V207"/>
  <c r="X207"/>
  <c r="AC449"/>
  <c r="AG449"/>
  <c r="AF449"/>
  <c r="AA449"/>
  <c r="Z449"/>
  <c r="U449"/>
  <c r="R449"/>
  <c r="Y449"/>
  <c r="X449"/>
  <c r="W449"/>
  <c r="V449"/>
  <c r="S449"/>
  <c r="T449"/>
  <c r="AC346"/>
  <c r="AG346"/>
  <c r="AF346"/>
  <c r="AA346"/>
  <c r="W346"/>
  <c r="Z346"/>
  <c r="V346"/>
  <c r="R346"/>
  <c r="Y346"/>
  <c r="X346"/>
  <c r="U346"/>
  <c r="T346"/>
  <c r="S346"/>
  <c r="AG414"/>
  <c r="AC414"/>
  <c r="AF414"/>
  <c r="AA414"/>
  <c r="Z414"/>
  <c r="S414"/>
  <c r="Y414"/>
  <c r="X414"/>
  <c r="W414"/>
  <c r="V414"/>
  <c r="U414"/>
  <c r="T414"/>
  <c r="R414"/>
  <c r="AG254"/>
  <c r="AF254"/>
  <c r="AC254"/>
  <c r="U254"/>
  <c r="Z254"/>
  <c r="V254"/>
  <c r="Y254"/>
  <c r="X254"/>
  <c r="AA254"/>
  <c r="W254"/>
  <c r="T254"/>
  <c r="S254"/>
  <c r="R254"/>
  <c r="AG321"/>
  <c r="AF321"/>
  <c r="AC321"/>
  <c r="AA321"/>
  <c r="Z321"/>
  <c r="U321"/>
  <c r="R321"/>
  <c r="Y321"/>
  <c r="X321"/>
  <c r="S321"/>
  <c r="W321"/>
  <c r="V321"/>
  <c r="T321"/>
  <c r="AC389"/>
  <c r="AG389"/>
  <c r="AF389"/>
  <c r="Z389"/>
  <c r="U389"/>
  <c r="T389"/>
  <c r="AA389"/>
  <c r="W389"/>
  <c r="V389"/>
  <c r="R389"/>
  <c r="S389"/>
  <c r="Y389"/>
  <c r="X389"/>
  <c r="AC286"/>
  <c r="AG286"/>
  <c r="AF286"/>
  <c r="W286"/>
  <c r="Z286"/>
  <c r="R286"/>
  <c r="Y286"/>
  <c r="T286"/>
  <c r="S286"/>
  <c r="AA286"/>
  <c r="U286"/>
  <c r="X286"/>
  <c r="V286"/>
  <c r="AC316"/>
  <c r="AG316"/>
  <c r="AF316"/>
  <c r="S316"/>
  <c r="Y316"/>
  <c r="AA316"/>
  <c r="Z316"/>
  <c r="V316"/>
  <c r="U316"/>
  <c r="X316"/>
  <c r="W316"/>
  <c r="T316"/>
  <c r="R316"/>
  <c r="AG265"/>
  <c r="AF265"/>
  <c r="AC265"/>
  <c r="W265"/>
  <c r="T265"/>
  <c r="AA265"/>
  <c r="X265"/>
  <c r="Z265"/>
  <c r="V265"/>
  <c r="U265"/>
  <c r="Y265"/>
  <c r="S265"/>
  <c r="R265"/>
  <c r="AG332"/>
  <c r="AF332"/>
  <c r="AC332"/>
  <c r="U332"/>
  <c r="T332"/>
  <c r="AA332"/>
  <c r="Z332"/>
  <c r="V332"/>
  <c r="S332"/>
  <c r="R332"/>
  <c r="Y332"/>
  <c r="X332"/>
  <c r="W332"/>
  <c r="AG471"/>
  <c r="AF471"/>
  <c r="AC471"/>
  <c r="AA471"/>
  <c r="Z471"/>
  <c r="S471"/>
  <c r="Y471"/>
  <c r="U471"/>
  <c r="T471"/>
  <c r="R471"/>
  <c r="X471"/>
  <c r="W471"/>
  <c r="V471"/>
  <c r="AG219"/>
  <c r="AF219"/>
  <c r="AC219"/>
  <c r="AA219"/>
  <c r="S219"/>
  <c r="Y219"/>
  <c r="Z219"/>
  <c r="U219"/>
  <c r="T219"/>
  <c r="R219"/>
  <c r="X219"/>
  <c r="W219"/>
  <c r="V219"/>
  <c r="AC401"/>
  <c r="AG401"/>
  <c r="AF401"/>
  <c r="AA401"/>
  <c r="Z401"/>
  <c r="U401"/>
  <c r="T401"/>
  <c r="S401"/>
  <c r="R401"/>
  <c r="Y401"/>
  <c r="X401"/>
  <c r="W401"/>
  <c r="V401"/>
  <c r="AC298"/>
  <c r="AG298"/>
  <c r="AF298"/>
  <c r="W298"/>
  <c r="V298"/>
  <c r="AA298"/>
  <c r="Z298"/>
  <c r="S298"/>
  <c r="R298"/>
  <c r="Y298"/>
  <c r="X298"/>
  <c r="U298"/>
  <c r="T298"/>
  <c r="AC239"/>
  <c r="AG239"/>
  <c r="AF239"/>
  <c r="U239"/>
  <c r="S239"/>
  <c r="AA239"/>
  <c r="Z239"/>
  <c r="X239"/>
  <c r="W239"/>
  <c r="V239"/>
  <c r="Y239"/>
  <c r="T239"/>
  <c r="R239"/>
  <c r="AG408"/>
  <c r="AC408"/>
  <c r="AF408"/>
  <c r="AA408"/>
  <c r="Z408"/>
  <c r="S408"/>
  <c r="Y408"/>
  <c r="V408"/>
  <c r="U408"/>
  <c r="T408"/>
  <c r="R408"/>
  <c r="X408"/>
  <c r="W408"/>
  <c r="AC256"/>
  <c r="AG256"/>
  <c r="AF256"/>
  <c r="W256"/>
  <c r="T256"/>
  <c r="AA256"/>
  <c r="R256"/>
  <c r="Z256"/>
  <c r="Y256"/>
  <c r="X256"/>
  <c r="V256"/>
  <c r="U256"/>
  <c r="S256"/>
  <c r="AG451"/>
  <c r="AF451"/>
  <c r="AC451"/>
  <c r="AA451"/>
  <c r="W451"/>
  <c r="Z451"/>
  <c r="V451"/>
  <c r="U451"/>
  <c r="T451"/>
  <c r="R451"/>
  <c r="Y451"/>
  <c r="S451"/>
  <c r="X451"/>
  <c r="AG235"/>
  <c r="AF235"/>
  <c r="AC235"/>
  <c r="W235"/>
  <c r="V235"/>
  <c r="AA235"/>
  <c r="Z235"/>
  <c r="U235"/>
  <c r="T235"/>
  <c r="S235"/>
  <c r="X235"/>
  <c r="R235"/>
  <c r="Y235"/>
  <c r="AG302"/>
  <c r="AF302"/>
  <c r="AC302"/>
  <c r="W302"/>
  <c r="AA302"/>
  <c r="Z302"/>
  <c r="S302"/>
  <c r="R302"/>
  <c r="Y302"/>
  <c r="T302"/>
  <c r="X302"/>
  <c r="V302"/>
  <c r="U302"/>
  <c r="AG369"/>
  <c r="AF369"/>
  <c r="AC369"/>
  <c r="AA369"/>
  <c r="Z369"/>
  <c r="S369"/>
  <c r="Y369"/>
  <c r="R369"/>
  <c r="X369"/>
  <c r="V369"/>
  <c r="U369"/>
  <c r="T369"/>
  <c r="W369"/>
  <c r="AC515"/>
  <c r="AG515"/>
  <c r="AF515"/>
  <c r="U515"/>
  <c r="AA515"/>
  <c r="Z515"/>
  <c r="V515"/>
  <c r="S515"/>
  <c r="T515"/>
  <c r="Y515"/>
  <c r="X515"/>
  <c r="W515"/>
  <c r="R515"/>
  <c r="AG218"/>
  <c r="AF218"/>
  <c r="AC218"/>
  <c r="U218"/>
  <c r="Z218"/>
  <c r="V218"/>
  <c r="S218"/>
  <c r="R218"/>
  <c r="AA218"/>
  <c r="Y218"/>
  <c r="T218"/>
  <c r="X218"/>
  <c r="W218"/>
  <c r="AG285"/>
  <c r="AF285"/>
  <c r="AC285"/>
  <c r="AA285"/>
  <c r="S285"/>
  <c r="Y285"/>
  <c r="Z285"/>
  <c r="R285"/>
  <c r="T285"/>
  <c r="X285"/>
  <c r="W285"/>
  <c r="V285"/>
  <c r="U285"/>
  <c r="AG390"/>
  <c r="AC390"/>
  <c r="AF390"/>
  <c r="AA390"/>
  <c r="Z390"/>
  <c r="S390"/>
  <c r="Y390"/>
  <c r="R390"/>
  <c r="X390"/>
  <c r="W390"/>
  <c r="V390"/>
  <c r="U390"/>
  <c r="T390"/>
  <c r="AC227"/>
  <c r="AG227"/>
  <c r="AF227"/>
  <c r="U227"/>
  <c r="Z227"/>
  <c r="V227"/>
  <c r="Y227"/>
  <c r="X227"/>
  <c r="AA227"/>
  <c r="W227"/>
  <c r="R227"/>
  <c r="T227"/>
  <c r="S227"/>
  <c r="AG396"/>
  <c r="AC396"/>
  <c r="AF396"/>
  <c r="AA396"/>
  <c r="Z396"/>
  <c r="S396"/>
  <c r="Y396"/>
  <c r="X396"/>
  <c r="W396"/>
  <c r="U396"/>
  <c r="V396"/>
  <c r="T396"/>
  <c r="R396"/>
  <c r="AG445"/>
  <c r="AF445"/>
  <c r="AC445"/>
  <c r="AA445"/>
  <c r="Z445"/>
  <c r="W445"/>
  <c r="U445"/>
  <c r="T445"/>
  <c r="S445"/>
  <c r="Y445"/>
  <c r="R445"/>
  <c r="V445"/>
  <c r="X445"/>
  <c r="AG512"/>
  <c r="AF512"/>
  <c r="AC512"/>
  <c r="AA512"/>
  <c r="U512"/>
  <c r="Z512"/>
  <c r="X512"/>
  <c r="W512"/>
  <c r="V512"/>
  <c r="T512"/>
  <c r="S512"/>
  <c r="R512"/>
  <c r="Y512"/>
  <c r="AC269"/>
  <c r="AG269"/>
  <c r="AF269"/>
  <c r="U269"/>
  <c r="X269"/>
  <c r="R269"/>
  <c r="Y269"/>
  <c r="W269"/>
  <c r="AA269"/>
  <c r="Z269"/>
  <c r="V269"/>
  <c r="T269"/>
  <c r="S269"/>
  <c r="AG486"/>
  <c r="AC486"/>
  <c r="AF486"/>
  <c r="AA486"/>
  <c r="S486"/>
  <c r="Y486"/>
  <c r="Z486"/>
  <c r="W486"/>
  <c r="V486"/>
  <c r="U486"/>
  <c r="X486"/>
  <c r="R486"/>
  <c r="T486"/>
  <c r="AG258"/>
  <c r="AC258"/>
  <c r="AF258"/>
  <c r="AA258"/>
  <c r="S258"/>
  <c r="Y258"/>
  <c r="Z258"/>
  <c r="R258"/>
  <c r="T258"/>
  <c r="X258"/>
  <c r="W258"/>
  <c r="V258"/>
  <c r="U258"/>
  <c r="AG240"/>
  <c r="AC240"/>
  <c r="AF240"/>
  <c r="AA240"/>
  <c r="S240"/>
  <c r="Y240"/>
  <c r="Z240"/>
  <c r="R240"/>
  <c r="X240"/>
  <c r="W240"/>
  <c r="V240"/>
  <c r="U240"/>
  <c r="T240"/>
  <c r="AG385"/>
  <c r="AF385"/>
  <c r="AC385"/>
  <c r="Z385"/>
  <c r="W385"/>
  <c r="V385"/>
  <c r="AA385"/>
  <c r="S385"/>
  <c r="R385"/>
  <c r="Y385"/>
  <c r="X385"/>
  <c r="U385"/>
  <c r="T385"/>
  <c r="AG452"/>
  <c r="AF452"/>
  <c r="AC452"/>
  <c r="AA452"/>
  <c r="Z452"/>
  <c r="U452"/>
  <c r="V452"/>
  <c r="T452"/>
  <c r="S452"/>
  <c r="X452"/>
  <c r="Y452"/>
  <c r="W452"/>
  <c r="R452"/>
  <c r="AG236"/>
  <c r="AF236"/>
  <c r="AC236"/>
  <c r="U236"/>
  <c r="Z236"/>
  <c r="V236"/>
  <c r="W236"/>
  <c r="T236"/>
  <c r="AA236"/>
  <c r="S236"/>
  <c r="Y236"/>
  <c r="X236"/>
  <c r="R236"/>
  <c r="AG303"/>
  <c r="AF303"/>
  <c r="AC303"/>
  <c r="AA303"/>
  <c r="Z303"/>
  <c r="U303"/>
  <c r="R303"/>
  <c r="Y303"/>
  <c r="X303"/>
  <c r="V303"/>
  <c r="T303"/>
  <c r="S303"/>
  <c r="W303"/>
  <c r="AC424"/>
  <c r="AG424"/>
  <c r="AF424"/>
  <c r="AA424"/>
  <c r="Z424"/>
  <c r="W424"/>
  <c r="X424"/>
  <c r="V424"/>
  <c r="U424"/>
  <c r="T424"/>
  <c r="S424"/>
  <c r="R424"/>
  <c r="Y424"/>
  <c r="AG453"/>
  <c r="AF453"/>
  <c r="AC453"/>
  <c r="AA453"/>
  <c r="Z453"/>
  <c r="S453"/>
  <c r="Y453"/>
  <c r="U453"/>
  <c r="T453"/>
  <c r="R453"/>
  <c r="W453"/>
  <c r="X453"/>
  <c r="V453"/>
  <c r="AG422"/>
  <c r="AF422"/>
  <c r="AC422"/>
  <c r="U422"/>
  <c r="AA422"/>
  <c r="Z422"/>
  <c r="R422"/>
  <c r="Y422"/>
  <c r="X422"/>
  <c r="W422"/>
  <c r="V422"/>
  <c r="T422"/>
  <c r="S422"/>
  <c r="AG391"/>
  <c r="AF391"/>
  <c r="AC391"/>
  <c r="AA391"/>
  <c r="W391"/>
  <c r="Z391"/>
  <c r="V391"/>
  <c r="Y391"/>
  <c r="X391"/>
  <c r="U391"/>
  <c r="T391"/>
  <c r="S391"/>
  <c r="R391"/>
  <c r="AG348"/>
  <c r="AC348"/>
  <c r="AF348"/>
  <c r="AA348"/>
  <c r="Z348"/>
  <c r="S348"/>
  <c r="Y348"/>
  <c r="R348"/>
  <c r="X348"/>
  <c r="T348"/>
  <c r="W348"/>
  <c r="V348"/>
  <c r="U348"/>
  <c r="AC263"/>
  <c r="AG263"/>
  <c r="AF263"/>
  <c r="U263"/>
  <c r="Z263"/>
  <c r="V263"/>
  <c r="W263"/>
  <c r="T263"/>
  <c r="AA263"/>
  <c r="S263"/>
  <c r="X263"/>
  <c r="R263"/>
  <c r="Y263"/>
  <c r="AG499"/>
  <c r="AF499"/>
  <c r="AC499"/>
  <c r="AA499"/>
  <c r="Z499"/>
  <c r="W499"/>
  <c r="T499"/>
  <c r="S499"/>
  <c r="Y499"/>
  <c r="R499"/>
  <c r="X499"/>
  <c r="V499"/>
  <c r="U499"/>
  <c r="AG201"/>
  <c r="AF201"/>
  <c r="AC201"/>
  <c r="AA201"/>
  <c r="S201"/>
  <c r="Y201"/>
  <c r="Z201"/>
  <c r="U201"/>
  <c r="X201"/>
  <c r="W201"/>
  <c r="R201"/>
  <c r="V201"/>
  <c r="T201"/>
  <c r="AC478"/>
  <c r="AG478"/>
  <c r="AF478"/>
  <c r="AA478"/>
  <c r="Z478"/>
  <c r="W478"/>
  <c r="V478"/>
  <c r="U478"/>
  <c r="T478"/>
  <c r="S478"/>
  <c r="R478"/>
  <c r="Y478"/>
  <c r="X478"/>
  <c r="AG330"/>
  <c r="AC330"/>
  <c r="AF330"/>
  <c r="AA330"/>
  <c r="Z330"/>
  <c r="S330"/>
  <c r="Y330"/>
  <c r="R330"/>
  <c r="X330"/>
  <c r="T330"/>
  <c r="W330"/>
  <c r="V330"/>
  <c r="U330"/>
  <c r="AC419"/>
  <c r="AG419"/>
  <c r="AF419"/>
  <c r="AA419"/>
  <c r="Z419"/>
  <c r="U419"/>
  <c r="T419"/>
  <c r="S419"/>
  <c r="Y419"/>
  <c r="R419"/>
  <c r="X419"/>
  <c r="W419"/>
  <c r="V419"/>
  <c r="AC436"/>
  <c r="AG436"/>
  <c r="AF436"/>
  <c r="AA436"/>
  <c r="W436"/>
  <c r="Z436"/>
  <c r="U436"/>
  <c r="T436"/>
  <c r="S436"/>
  <c r="Y436"/>
  <c r="R436"/>
  <c r="V436"/>
  <c r="X436"/>
  <c r="AG325"/>
  <c r="AF325"/>
  <c r="AC325"/>
  <c r="AA325"/>
  <c r="Z325"/>
  <c r="W325"/>
  <c r="V325"/>
  <c r="X325"/>
  <c r="U325"/>
  <c r="T325"/>
  <c r="S325"/>
  <c r="R325"/>
  <c r="Y325"/>
  <c r="AG392"/>
  <c r="AF392"/>
  <c r="AC392"/>
  <c r="AA392"/>
  <c r="Z392"/>
  <c r="U392"/>
  <c r="T392"/>
  <c r="Y392"/>
  <c r="X392"/>
  <c r="V392"/>
  <c r="W392"/>
  <c r="S392"/>
  <c r="R392"/>
  <c r="AG459"/>
  <c r="AF459"/>
  <c r="AC459"/>
  <c r="AA459"/>
  <c r="Z459"/>
  <c r="S459"/>
  <c r="Y459"/>
  <c r="W459"/>
  <c r="V459"/>
  <c r="U459"/>
  <c r="R459"/>
  <c r="T459"/>
  <c r="X459"/>
  <c r="AG243"/>
  <c r="AF243"/>
  <c r="AC243"/>
  <c r="AA243"/>
  <c r="S243"/>
  <c r="Y243"/>
  <c r="Z243"/>
  <c r="W243"/>
  <c r="R243"/>
  <c r="X243"/>
  <c r="V243"/>
  <c r="U243"/>
  <c r="T243"/>
  <c r="AC490"/>
  <c r="AG490"/>
  <c r="AF490"/>
  <c r="W490"/>
  <c r="AA490"/>
  <c r="Z490"/>
  <c r="T490"/>
  <c r="S490"/>
  <c r="Y490"/>
  <c r="R490"/>
  <c r="X490"/>
  <c r="V490"/>
  <c r="U490"/>
  <c r="AC304"/>
  <c r="AG304"/>
  <c r="AF304"/>
  <c r="Z304"/>
  <c r="S304"/>
  <c r="Y304"/>
  <c r="X304"/>
  <c r="W304"/>
  <c r="AA304"/>
  <c r="V304"/>
  <c r="U304"/>
  <c r="T304"/>
  <c r="R304"/>
  <c r="AG259"/>
  <c r="AF259"/>
  <c r="AC259"/>
  <c r="W259"/>
  <c r="Z259"/>
  <c r="R259"/>
  <c r="Y259"/>
  <c r="T259"/>
  <c r="S259"/>
  <c r="AA259"/>
  <c r="U259"/>
  <c r="X259"/>
  <c r="V259"/>
  <c r="AG326"/>
  <c r="AF326"/>
  <c r="AC326"/>
  <c r="Z326"/>
  <c r="U326"/>
  <c r="T326"/>
  <c r="AA326"/>
  <c r="X326"/>
  <c r="W326"/>
  <c r="V326"/>
  <c r="S326"/>
  <c r="R326"/>
  <c r="Y326"/>
  <c r="AG393"/>
  <c r="AF393"/>
  <c r="AC393"/>
  <c r="AA393"/>
  <c r="Z393"/>
  <c r="S393"/>
  <c r="Y393"/>
  <c r="R393"/>
  <c r="X393"/>
  <c r="W393"/>
  <c r="V393"/>
  <c r="U393"/>
  <c r="T393"/>
  <c r="AC430"/>
  <c r="AG430"/>
  <c r="AF430"/>
  <c r="Z430"/>
  <c r="W430"/>
  <c r="AA430"/>
  <c r="S430"/>
  <c r="R430"/>
  <c r="Y430"/>
  <c r="X430"/>
  <c r="V430"/>
  <c r="T430"/>
  <c r="U430"/>
  <c r="AG426"/>
  <c r="AC426"/>
  <c r="AF426"/>
  <c r="AA426"/>
  <c r="Z426"/>
  <c r="S426"/>
  <c r="Y426"/>
  <c r="V426"/>
  <c r="U426"/>
  <c r="T426"/>
  <c r="R426"/>
  <c r="X426"/>
  <c r="W426"/>
  <c r="AC460"/>
  <c r="AG460"/>
  <c r="AF460"/>
  <c r="AA460"/>
  <c r="Z460"/>
  <c r="W460"/>
  <c r="V460"/>
  <c r="U460"/>
  <c r="T460"/>
  <c r="R460"/>
  <c r="Y460"/>
  <c r="X460"/>
  <c r="S460"/>
  <c r="AG337"/>
  <c r="AF337"/>
  <c r="AC337"/>
  <c r="AA337"/>
  <c r="W337"/>
  <c r="Z337"/>
  <c r="V337"/>
  <c r="R337"/>
  <c r="Y337"/>
  <c r="X337"/>
  <c r="U337"/>
  <c r="T337"/>
  <c r="S337"/>
  <c r="AG404"/>
  <c r="AF404"/>
  <c r="AC404"/>
  <c r="U404"/>
  <c r="AA404"/>
  <c r="Z404"/>
  <c r="R404"/>
  <c r="Y404"/>
  <c r="X404"/>
  <c r="W404"/>
  <c r="V404"/>
  <c r="T404"/>
  <c r="S404"/>
  <c r="AG507"/>
  <c r="AF507"/>
  <c r="AC507"/>
  <c r="AA507"/>
  <c r="Z507"/>
  <c r="S507"/>
  <c r="Y507"/>
  <c r="U507"/>
  <c r="T507"/>
  <c r="R507"/>
  <c r="X507"/>
  <c r="W507"/>
  <c r="V507"/>
  <c r="AG255"/>
  <c r="AF255"/>
  <c r="AC255"/>
  <c r="AA255"/>
  <c r="S255"/>
  <c r="Y255"/>
  <c r="Z255"/>
  <c r="U255"/>
  <c r="X255"/>
  <c r="W255"/>
  <c r="R255"/>
  <c r="V255"/>
  <c r="T255"/>
  <c r="AC473"/>
  <c r="AG473"/>
  <c r="AF473"/>
  <c r="AA473"/>
  <c r="Z473"/>
  <c r="U473"/>
  <c r="S473"/>
  <c r="R473"/>
  <c r="Y473"/>
  <c r="X473"/>
  <c r="W473"/>
  <c r="V473"/>
  <c r="T473"/>
  <c r="AC370"/>
  <c r="AG370"/>
  <c r="AF370"/>
  <c r="AA370"/>
  <c r="Z370"/>
  <c r="W370"/>
  <c r="V370"/>
  <c r="X370"/>
  <c r="U370"/>
  <c r="T370"/>
  <c r="S370"/>
  <c r="R370"/>
  <c r="Y370"/>
  <c r="AC323"/>
  <c r="AG323"/>
  <c r="AF323"/>
  <c r="U323"/>
  <c r="T323"/>
  <c r="AA323"/>
  <c r="Z323"/>
  <c r="V323"/>
  <c r="S323"/>
  <c r="R323"/>
  <c r="Y323"/>
  <c r="X323"/>
  <c r="W323"/>
  <c r="AG480"/>
  <c r="AC480"/>
  <c r="AF480"/>
  <c r="AA480"/>
  <c r="Z480"/>
  <c r="S480"/>
  <c r="Y480"/>
  <c r="U480"/>
  <c r="R480"/>
  <c r="T480"/>
  <c r="X480"/>
  <c r="W480"/>
  <c r="V480"/>
  <c r="AC328"/>
  <c r="AG328"/>
  <c r="AF328"/>
  <c r="AA328"/>
  <c r="W328"/>
  <c r="Z328"/>
  <c r="V328"/>
  <c r="R328"/>
  <c r="Y328"/>
  <c r="X328"/>
  <c r="U328"/>
  <c r="T328"/>
  <c r="S328"/>
  <c r="AG487"/>
  <c r="AF487"/>
  <c r="AC487"/>
  <c r="AA487"/>
  <c r="W487"/>
  <c r="Z487"/>
  <c r="V487"/>
  <c r="U487"/>
  <c r="T487"/>
  <c r="S487"/>
  <c r="R487"/>
  <c r="X487"/>
  <c r="Y487"/>
  <c r="AG271"/>
  <c r="AF271"/>
  <c r="AC271"/>
  <c r="W271"/>
  <c r="V271"/>
  <c r="AA271"/>
  <c r="Z271"/>
  <c r="S271"/>
  <c r="R271"/>
  <c r="Y271"/>
  <c r="X271"/>
  <c r="U271"/>
  <c r="T271"/>
  <c r="AG338"/>
  <c r="AF338"/>
  <c r="AC338"/>
  <c r="AA338"/>
  <c r="Z338"/>
  <c r="U338"/>
  <c r="T338"/>
  <c r="R338"/>
  <c r="Y338"/>
  <c r="X338"/>
  <c r="W338"/>
  <c r="V338"/>
  <c r="S338"/>
  <c r="AG405"/>
  <c r="AF405"/>
  <c r="AC405"/>
  <c r="AA405"/>
  <c r="Z405"/>
  <c r="S405"/>
  <c r="Y405"/>
  <c r="X405"/>
  <c r="W405"/>
  <c r="V405"/>
  <c r="U405"/>
  <c r="T405"/>
  <c r="R405"/>
  <c r="AG189"/>
  <c r="AF189"/>
  <c r="AC189"/>
  <c r="AA189"/>
  <c r="S189"/>
  <c r="Y189"/>
  <c r="Z189"/>
  <c r="W189"/>
  <c r="R189"/>
  <c r="X189"/>
  <c r="V189"/>
  <c r="U189"/>
  <c r="T189"/>
  <c r="AC233"/>
  <c r="AG233"/>
  <c r="AF233"/>
  <c r="U233"/>
  <c r="X233"/>
  <c r="T233"/>
  <c r="S233"/>
  <c r="R233"/>
  <c r="AA233"/>
  <c r="Z233"/>
  <c r="V233"/>
  <c r="Y233"/>
  <c r="W233"/>
  <c r="AC202"/>
  <c r="AG202"/>
  <c r="AF202"/>
  <c r="W202"/>
  <c r="T202"/>
  <c r="AA202"/>
  <c r="R202"/>
  <c r="Z202"/>
  <c r="Y202"/>
  <c r="X202"/>
  <c r="V202"/>
  <c r="U202"/>
  <c r="S202"/>
  <c r="AC232"/>
  <c r="AG232"/>
  <c r="AF232"/>
  <c r="W232"/>
  <c r="Z232"/>
  <c r="R232"/>
  <c r="Y232"/>
  <c r="T232"/>
  <c r="S232"/>
  <c r="AA232"/>
  <c r="X232"/>
  <c r="V232"/>
  <c r="U232"/>
  <c r="AG223"/>
  <c r="AF223"/>
  <c r="AC223"/>
  <c r="W223"/>
  <c r="Z223"/>
  <c r="R223"/>
  <c r="Y223"/>
  <c r="V223"/>
  <c r="U223"/>
  <c r="T223"/>
  <c r="AA223"/>
  <c r="X223"/>
  <c r="S223"/>
  <c r="AG290"/>
  <c r="AF290"/>
  <c r="AC290"/>
  <c r="U290"/>
  <c r="Z290"/>
  <c r="V290"/>
  <c r="W290"/>
  <c r="T290"/>
  <c r="AA290"/>
  <c r="Y290"/>
  <c r="X290"/>
  <c r="S290"/>
  <c r="R290"/>
  <c r="AG357"/>
  <c r="AF357"/>
  <c r="AC357"/>
  <c r="AA357"/>
  <c r="Z357"/>
  <c r="S357"/>
  <c r="Y357"/>
  <c r="R357"/>
  <c r="X357"/>
  <c r="T357"/>
  <c r="W357"/>
  <c r="V357"/>
  <c r="U357"/>
  <c r="AG402"/>
  <c r="AC402"/>
  <c r="AF402"/>
  <c r="AA402"/>
  <c r="Z402"/>
  <c r="S402"/>
  <c r="Y402"/>
  <c r="T402"/>
  <c r="R402"/>
  <c r="X402"/>
  <c r="W402"/>
  <c r="V402"/>
  <c r="U402"/>
  <c r="AC359"/>
  <c r="AG359"/>
  <c r="AF359"/>
  <c r="U359"/>
  <c r="T359"/>
  <c r="AA359"/>
  <c r="Z359"/>
  <c r="V359"/>
  <c r="S359"/>
  <c r="R359"/>
  <c r="Y359"/>
  <c r="X359"/>
  <c r="W359"/>
  <c r="AC341"/>
  <c r="AG341"/>
  <c r="AF341"/>
  <c r="U341"/>
  <c r="T341"/>
  <c r="AA341"/>
  <c r="Z341"/>
  <c r="V341"/>
  <c r="S341"/>
  <c r="R341"/>
  <c r="Y341"/>
  <c r="X341"/>
  <c r="W341"/>
  <c r="AC238"/>
  <c r="AG238"/>
  <c r="AF238"/>
  <c r="W238"/>
  <c r="T238"/>
  <c r="AA238"/>
  <c r="X238"/>
  <c r="Z238"/>
  <c r="V238"/>
  <c r="U238"/>
  <c r="Y238"/>
  <c r="S238"/>
  <c r="R238"/>
  <c r="AG336"/>
  <c r="AC336"/>
  <c r="AF336"/>
  <c r="AA336"/>
  <c r="Z336"/>
  <c r="S336"/>
  <c r="Y336"/>
  <c r="R336"/>
  <c r="X336"/>
  <c r="W336"/>
  <c r="V336"/>
  <c r="U336"/>
  <c r="T336"/>
  <c r="AC196"/>
  <c r="AG196"/>
  <c r="AF196"/>
  <c r="W196"/>
  <c r="Z196"/>
  <c r="R196"/>
  <c r="Y196"/>
  <c r="V196"/>
  <c r="U196"/>
  <c r="T196"/>
  <c r="AA196"/>
  <c r="X196"/>
  <c r="S196"/>
  <c r="AG421"/>
  <c r="AF421"/>
  <c r="AC421"/>
  <c r="Z421"/>
  <c r="W421"/>
  <c r="AA421"/>
  <c r="S421"/>
  <c r="R421"/>
  <c r="Y421"/>
  <c r="X421"/>
  <c r="V421"/>
  <c r="T421"/>
  <c r="U421"/>
  <c r="AG205"/>
  <c r="AF205"/>
  <c r="AC205"/>
  <c r="W205"/>
  <c r="Z205"/>
  <c r="R205"/>
  <c r="Y205"/>
  <c r="T205"/>
  <c r="S205"/>
  <c r="AA205"/>
  <c r="U205"/>
  <c r="X205"/>
  <c r="V205"/>
  <c r="AG488"/>
  <c r="AF488"/>
  <c r="AC488"/>
  <c r="AA488"/>
  <c r="Z488"/>
  <c r="U488"/>
  <c r="V488"/>
  <c r="T488"/>
  <c r="S488"/>
  <c r="Y488"/>
  <c r="X488"/>
  <c r="W488"/>
  <c r="R488"/>
  <c r="AG272"/>
  <c r="AF272"/>
  <c r="AC272"/>
  <c r="U272"/>
  <c r="Z272"/>
  <c r="V272"/>
  <c r="S272"/>
  <c r="R272"/>
  <c r="AA272"/>
  <c r="Y272"/>
  <c r="T272"/>
  <c r="X272"/>
  <c r="W272"/>
  <c r="AG339"/>
  <c r="AF339"/>
  <c r="AC339"/>
  <c r="AA339"/>
  <c r="Z339"/>
  <c r="S339"/>
  <c r="Y339"/>
  <c r="R339"/>
  <c r="X339"/>
  <c r="T339"/>
  <c r="W339"/>
  <c r="V339"/>
  <c r="U339"/>
  <c r="AC407"/>
  <c r="AG407"/>
  <c r="AF407"/>
  <c r="Z407"/>
  <c r="U407"/>
  <c r="AA407"/>
  <c r="W407"/>
  <c r="V407"/>
  <c r="T407"/>
  <c r="S407"/>
  <c r="R407"/>
  <c r="Y407"/>
  <c r="X407"/>
  <c r="AC281"/>
  <c r="AG281"/>
  <c r="AF281"/>
  <c r="U281"/>
  <c r="Z281"/>
  <c r="V281"/>
  <c r="Y281"/>
  <c r="X281"/>
  <c r="AA281"/>
  <c r="T281"/>
  <c r="S281"/>
  <c r="R281"/>
  <c r="W281"/>
  <c r="AG309"/>
  <c r="AF309"/>
  <c r="AC309"/>
  <c r="AA309"/>
  <c r="Z309"/>
  <c r="U309"/>
  <c r="T309"/>
  <c r="S309"/>
  <c r="Y309"/>
  <c r="X309"/>
  <c r="W309"/>
  <c r="V309"/>
  <c r="R309"/>
  <c r="AG278"/>
  <c r="AF278"/>
  <c r="AC278"/>
  <c r="U278"/>
  <c r="X278"/>
  <c r="W278"/>
  <c r="V278"/>
  <c r="AA278"/>
  <c r="Z278"/>
  <c r="S278"/>
  <c r="R278"/>
  <c r="Y278"/>
  <c r="T278"/>
  <c r="AC322"/>
  <c r="AG322"/>
  <c r="AF322"/>
  <c r="Z322"/>
  <c r="W322"/>
  <c r="V322"/>
  <c r="AA322"/>
  <c r="T322"/>
  <c r="S322"/>
  <c r="R322"/>
  <c r="Y322"/>
  <c r="X322"/>
  <c r="U322"/>
  <c r="AG247"/>
  <c r="AF247"/>
  <c r="AC247"/>
  <c r="W247"/>
  <c r="T247"/>
  <c r="AA247"/>
  <c r="U247"/>
  <c r="Z247"/>
  <c r="S247"/>
  <c r="R247"/>
  <c r="Y247"/>
  <c r="X247"/>
  <c r="V247"/>
  <c r="AC497"/>
  <c r="AG497"/>
  <c r="AF497"/>
  <c r="U497"/>
  <c r="AA497"/>
  <c r="Z497"/>
  <c r="V497"/>
  <c r="S497"/>
  <c r="T497"/>
  <c r="Y497"/>
  <c r="X497"/>
  <c r="W497"/>
  <c r="R497"/>
  <c r="AC352"/>
  <c r="AG352"/>
  <c r="AF352"/>
  <c r="AA352"/>
  <c r="Z352"/>
  <c r="W352"/>
  <c r="V352"/>
  <c r="X352"/>
  <c r="U352"/>
  <c r="T352"/>
  <c r="S352"/>
  <c r="R352"/>
  <c r="Y352"/>
  <c r="AG417"/>
  <c r="AF417"/>
  <c r="AC417"/>
  <c r="AA417"/>
  <c r="Z417"/>
  <c r="S417"/>
  <c r="Y417"/>
  <c r="V417"/>
  <c r="U417"/>
  <c r="T417"/>
  <c r="R417"/>
  <c r="X417"/>
  <c r="W417"/>
  <c r="AC221"/>
  <c r="AG221"/>
  <c r="AF221"/>
  <c r="U221"/>
  <c r="S221"/>
  <c r="AA221"/>
  <c r="Z221"/>
  <c r="V221"/>
  <c r="T221"/>
  <c r="R221"/>
  <c r="Y221"/>
  <c r="X221"/>
  <c r="W221"/>
  <c r="AG282"/>
  <c r="AC282"/>
  <c r="AF282"/>
  <c r="AA282"/>
  <c r="S282"/>
  <c r="Y282"/>
  <c r="Z282"/>
  <c r="U282"/>
  <c r="X282"/>
  <c r="W282"/>
  <c r="V282"/>
  <c r="T282"/>
  <c r="R282"/>
  <c r="AC503"/>
  <c r="AG503"/>
  <c r="AF503"/>
  <c r="AA503"/>
  <c r="Z503"/>
  <c r="U503"/>
  <c r="X503"/>
  <c r="W503"/>
  <c r="V503"/>
  <c r="T503"/>
  <c r="S503"/>
  <c r="R503"/>
  <c r="Y503"/>
  <c r="AC508"/>
  <c r="AG508"/>
  <c r="AF508"/>
  <c r="Z508"/>
  <c r="W508"/>
  <c r="AA508"/>
  <c r="T508"/>
  <c r="S508"/>
  <c r="Y508"/>
  <c r="R508"/>
  <c r="X508"/>
  <c r="V508"/>
  <c r="U508"/>
  <c r="AG361"/>
  <c r="AF361"/>
  <c r="AC361"/>
  <c r="AA361"/>
  <c r="Z361"/>
  <c r="W361"/>
  <c r="V361"/>
  <c r="X361"/>
  <c r="U361"/>
  <c r="T361"/>
  <c r="S361"/>
  <c r="R361"/>
  <c r="Y361"/>
  <c r="AG428"/>
  <c r="AF428"/>
  <c r="AC428"/>
  <c r="AA428"/>
  <c r="Z428"/>
  <c r="U428"/>
  <c r="T428"/>
  <c r="S428"/>
  <c r="R428"/>
  <c r="Y428"/>
  <c r="X428"/>
  <c r="V428"/>
  <c r="W428"/>
  <c r="AG212"/>
  <c r="AF212"/>
  <c r="AC212"/>
  <c r="U212"/>
  <c r="S212"/>
  <c r="AA212"/>
  <c r="Z212"/>
  <c r="X212"/>
  <c r="W212"/>
  <c r="V212"/>
  <c r="Y212"/>
  <c r="T212"/>
  <c r="R212"/>
  <c r="AG495"/>
  <c r="AF495"/>
  <c r="AC495"/>
  <c r="AA495"/>
  <c r="Z495"/>
  <c r="S495"/>
  <c r="Y495"/>
  <c r="W495"/>
  <c r="V495"/>
  <c r="U495"/>
  <c r="X495"/>
  <c r="T495"/>
  <c r="R495"/>
  <c r="AG279"/>
  <c r="AF279"/>
  <c r="AC279"/>
  <c r="AA279"/>
  <c r="S279"/>
  <c r="Y279"/>
  <c r="Z279"/>
  <c r="W279"/>
  <c r="X279"/>
  <c r="V279"/>
  <c r="U279"/>
  <c r="T279"/>
  <c r="R279"/>
  <c r="AG366"/>
  <c r="AC366"/>
  <c r="AF366"/>
  <c r="AA366"/>
  <c r="Z366"/>
  <c r="S366"/>
  <c r="Y366"/>
  <c r="R366"/>
  <c r="X366"/>
  <c r="T366"/>
  <c r="W366"/>
  <c r="V366"/>
  <c r="U366"/>
  <c r="AC448"/>
  <c r="AG448"/>
  <c r="AF448"/>
  <c r="AA448"/>
  <c r="W448"/>
  <c r="Z448"/>
  <c r="S448"/>
  <c r="R448"/>
  <c r="Y448"/>
  <c r="X448"/>
  <c r="V448"/>
  <c r="T448"/>
  <c r="U448"/>
  <c r="AG331"/>
  <c r="AF331"/>
  <c r="AC331"/>
  <c r="Z331"/>
  <c r="W331"/>
  <c r="V331"/>
  <c r="AA331"/>
  <c r="T331"/>
  <c r="S331"/>
  <c r="R331"/>
  <c r="Y331"/>
  <c r="X331"/>
  <c r="U331"/>
  <c r="AG398"/>
  <c r="AF398"/>
  <c r="AC398"/>
  <c r="Z398"/>
  <c r="U398"/>
  <c r="AA398"/>
  <c r="W398"/>
  <c r="V398"/>
  <c r="T398"/>
  <c r="S398"/>
  <c r="R398"/>
  <c r="Y398"/>
  <c r="X398"/>
  <c r="AG465"/>
  <c r="AF465"/>
  <c r="AC465"/>
  <c r="AA465"/>
  <c r="S465"/>
  <c r="Y465"/>
  <c r="Z465"/>
  <c r="R465"/>
  <c r="X465"/>
  <c r="W465"/>
  <c r="V465"/>
  <c r="U465"/>
  <c r="T465"/>
  <c r="AG378"/>
  <c r="AC378"/>
  <c r="AF378"/>
  <c r="AA378"/>
  <c r="Z378"/>
  <c r="S378"/>
  <c r="Y378"/>
  <c r="R378"/>
  <c r="X378"/>
  <c r="V378"/>
  <c r="U378"/>
  <c r="T378"/>
  <c r="W378"/>
  <c r="AG312"/>
  <c r="AC312"/>
  <c r="AF312"/>
  <c r="AA312"/>
  <c r="Z312"/>
  <c r="U312"/>
  <c r="R312"/>
  <c r="Y312"/>
  <c r="X312"/>
  <c r="W312"/>
  <c r="V312"/>
  <c r="T312"/>
  <c r="S312"/>
  <c r="AG409"/>
  <c r="AF409"/>
  <c r="AC409"/>
  <c r="AA409"/>
  <c r="W409"/>
  <c r="Z409"/>
  <c r="U409"/>
  <c r="T409"/>
  <c r="Y409"/>
  <c r="S409"/>
  <c r="R409"/>
  <c r="X409"/>
  <c r="V409"/>
  <c r="AG476"/>
  <c r="AF476"/>
  <c r="AC476"/>
  <c r="U476"/>
  <c r="AA476"/>
  <c r="Z476"/>
  <c r="X476"/>
  <c r="W476"/>
  <c r="V476"/>
  <c r="T476"/>
  <c r="S476"/>
  <c r="R476"/>
  <c r="Y476"/>
  <c r="AG291"/>
  <c r="AF291"/>
  <c r="AC291"/>
  <c r="AA291"/>
  <c r="S291"/>
  <c r="Y291"/>
  <c r="Z291"/>
  <c r="U291"/>
  <c r="W291"/>
  <c r="V291"/>
  <c r="R291"/>
  <c r="X291"/>
  <c r="T291"/>
  <c r="AC442"/>
  <c r="AG442"/>
  <c r="AF442"/>
  <c r="AA442"/>
  <c r="Z442"/>
  <c r="W442"/>
  <c r="X442"/>
  <c r="V442"/>
  <c r="U442"/>
  <c r="T442"/>
  <c r="R442"/>
  <c r="Y442"/>
  <c r="S442"/>
  <c r="AG450"/>
  <c r="AC450"/>
  <c r="AF450"/>
  <c r="AA450"/>
  <c r="S450"/>
  <c r="Y450"/>
  <c r="Z450"/>
  <c r="W450"/>
  <c r="U450"/>
  <c r="V450"/>
  <c r="R450"/>
  <c r="X450"/>
  <c r="T450"/>
  <c r="AG516"/>
  <c r="AC516"/>
  <c r="AF516"/>
  <c r="AA516"/>
  <c r="S516"/>
  <c r="Y516"/>
  <c r="Z516"/>
  <c r="U516"/>
  <c r="T516"/>
  <c r="R516"/>
  <c r="X516"/>
  <c r="V516"/>
  <c r="W516"/>
  <c r="AC371"/>
  <c r="AG371"/>
  <c r="AF371"/>
  <c r="Z371"/>
  <c r="U371"/>
  <c r="T371"/>
  <c r="AA371"/>
  <c r="X371"/>
  <c r="W371"/>
  <c r="S371"/>
  <c r="V371"/>
  <c r="R371"/>
  <c r="Y371"/>
  <c r="AC400"/>
  <c r="AG400"/>
  <c r="AF400"/>
  <c r="AA400"/>
  <c r="W400"/>
  <c r="Z400"/>
  <c r="U400"/>
  <c r="T400"/>
  <c r="Y400"/>
  <c r="S400"/>
  <c r="R400"/>
  <c r="X400"/>
  <c r="V400"/>
  <c r="AG307"/>
  <c r="AF307"/>
  <c r="AC307"/>
  <c r="S307"/>
  <c r="Y307"/>
  <c r="AA307"/>
  <c r="Z307"/>
  <c r="V307"/>
  <c r="U307"/>
  <c r="W307"/>
  <c r="T307"/>
  <c r="R307"/>
  <c r="X307"/>
  <c r="AG374"/>
  <c r="AF374"/>
  <c r="AC374"/>
  <c r="AA374"/>
  <c r="Z374"/>
  <c r="U374"/>
  <c r="T374"/>
  <c r="R374"/>
  <c r="Y374"/>
  <c r="X374"/>
  <c r="W374"/>
  <c r="V374"/>
  <c r="S374"/>
  <c r="AG441"/>
  <c r="AF441"/>
  <c r="AC441"/>
  <c r="AA441"/>
  <c r="Z441"/>
  <c r="S441"/>
  <c r="Y441"/>
  <c r="X441"/>
  <c r="W441"/>
  <c r="V441"/>
  <c r="U441"/>
  <c r="R441"/>
  <c r="T441"/>
  <c r="AG225"/>
  <c r="AF225"/>
  <c r="AC225"/>
  <c r="AA225"/>
  <c r="S225"/>
  <c r="Y225"/>
  <c r="Z225"/>
  <c r="W225"/>
  <c r="X225"/>
  <c r="V225"/>
  <c r="U225"/>
  <c r="T225"/>
  <c r="R225"/>
  <c r="AC377"/>
  <c r="AG377"/>
  <c r="AF377"/>
  <c r="U377"/>
  <c r="T377"/>
  <c r="AA377"/>
  <c r="Z377"/>
  <c r="V377"/>
  <c r="S377"/>
  <c r="Y377"/>
  <c r="R377"/>
  <c r="X377"/>
  <c r="W377"/>
  <c r="AC274"/>
  <c r="AG274"/>
  <c r="AF274"/>
  <c r="W274"/>
  <c r="T274"/>
  <c r="AA274"/>
  <c r="U274"/>
  <c r="Z274"/>
  <c r="S274"/>
  <c r="R274"/>
  <c r="V274"/>
  <c r="Y274"/>
  <c r="X274"/>
  <c r="AG300"/>
  <c r="AC300"/>
  <c r="AF300"/>
  <c r="AA300"/>
  <c r="S300"/>
  <c r="Z300"/>
  <c r="U300"/>
  <c r="T300"/>
  <c r="R300"/>
  <c r="X300"/>
  <c r="W300"/>
  <c r="V300"/>
  <c r="Y300"/>
  <c r="AC376"/>
  <c r="AG376"/>
  <c r="AF376"/>
  <c r="Z376"/>
  <c r="W376"/>
  <c r="V376"/>
  <c r="AA376"/>
  <c r="T376"/>
  <c r="S376"/>
  <c r="Y376"/>
  <c r="R376"/>
  <c r="X376"/>
  <c r="U376"/>
  <c r="AG295"/>
  <c r="AF295"/>
  <c r="AC295"/>
  <c r="W295"/>
  <c r="Z295"/>
  <c r="R295"/>
  <c r="Y295"/>
  <c r="X295"/>
  <c r="AA295"/>
  <c r="V295"/>
  <c r="U295"/>
  <c r="T295"/>
  <c r="S295"/>
  <c r="AG362"/>
  <c r="AF362"/>
  <c r="AC362"/>
  <c r="Z362"/>
  <c r="U362"/>
  <c r="T362"/>
  <c r="AA362"/>
  <c r="X362"/>
  <c r="W362"/>
  <c r="V362"/>
  <c r="S362"/>
  <c r="R362"/>
  <c r="Y362"/>
  <c r="AG429"/>
  <c r="AF429"/>
  <c r="AC429"/>
  <c r="AA429"/>
  <c r="Z429"/>
  <c r="S429"/>
  <c r="Y429"/>
  <c r="T429"/>
  <c r="R429"/>
  <c r="X429"/>
  <c r="W429"/>
  <c r="U429"/>
  <c r="V429"/>
  <c r="AC317"/>
  <c r="AG317"/>
  <c r="AF317"/>
  <c r="Z317"/>
  <c r="W317"/>
  <c r="U317"/>
  <c r="T317"/>
  <c r="AA317"/>
  <c r="R317"/>
  <c r="Y317"/>
  <c r="X317"/>
  <c r="V317"/>
  <c r="S317"/>
  <c r="AC214"/>
  <c r="AG214"/>
  <c r="AF214"/>
  <c r="W214"/>
  <c r="Z214"/>
  <c r="R214"/>
  <c r="Y214"/>
  <c r="X214"/>
  <c r="V214"/>
  <c r="AA214"/>
  <c r="S214"/>
  <c r="U214"/>
  <c r="T214"/>
  <c r="AG224"/>
  <c r="AF224"/>
  <c r="AC224"/>
  <c r="U224"/>
  <c r="X224"/>
  <c r="W224"/>
  <c r="V224"/>
  <c r="T224"/>
  <c r="AA224"/>
  <c r="Z224"/>
  <c r="Y224"/>
  <c r="S224"/>
  <c r="R224"/>
  <c r="AC413"/>
  <c r="AG413"/>
  <c r="AF413"/>
  <c r="U413"/>
  <c r="AA413"/>
  <c r="Z413"/>
  <c r="R413"/>
  <c r="Y413"/>
  <c r="X413"/>
  <c r="W413"/>
  <c r="V413"/>
  <c r="T413"/>
  <c r="S413"/>
  <c r="AG198"/>
  <c r="AC198"/>
  <c r="AF198"/>
  <c r="AA198"/>
  <c r="S198"/>
  <c r="Y198"/>
  <c r="Z198"/>
  <c r="W198"/>
  <c r="X198"/>
  <c r="V198"/>
  <c r="U198"/>
  <c r="T198"/>
  <c r="R198"/>
  <c r="AC310"/>
  <c r="AG310"/>
  <c r="AF310"/>
  <c r="S310"/>
  <c r="Y310"/>
  <c r="AA310"/>
  <c r="T310"/>
  <c r="Z310"/>
  <c r="R310"/>
  <c r="U310"/>
  <c r="X310"/>
  <c r="W310"/>
  <c r="V310"/>
  <c r="AC251"/>
  <c r="AG251"/>
  <c r="AF251"/>
  <c r="U251"/>
  <c r="X251"/>
  <c r="W251"/>
  <c r="V251"/>
  <c r="T251"/>
  <c r="AA251"/>
  <c r="Z251"/>
  <c r="Y251"/>
  <c r="S251"/>
  <c r="R251"/>
  <c r="AG420"/>
  <c r="AC420"/>
  <c r="AF420"/>
  <c r="AA420"/>
  <c r="Z420"/>
  <c r="S420"/>
  <c r="Y420"/>
  <c r="T420"/>
  <c r="R420"/>
  <c r="X420"/>
  <c r="W420"/>
  <c r="U420"/>
  <c r="V420"/>
  <c r="AC268"/>
  <c r="AG268"/>
  <c r="AF268"/>
  <c r="W268"/>
  <c r="Z268"/>
  <c r="R268"/>
  <c r="Y268"/>
  <c r="X268"/>
  <c r="V268"/>
  <c r="AA268"/>
  <c r="S268"/>
  <c r="U268"/>
  <c r="T268"/>
  <c r="AG457"/>
  <c r="AF457"/>
  <c r="AC457"/>
  <c r="Z457"/>
  <c r="W457"/>
  <c r="AA457"/>
  <c r="R457"/>
  <c r="Y457"/>
  <c r="V457"/>
  <c r="X457"/>
  <c r="T457"/>
  <c r="U457"/>
  <c r="S457"/>
  <c r="AG241"/>
  <c r="AF241"/>
  <c r="AC241"/>
  <c r="W241"/>
  <c r="Z241"/>
  <c r="R241"/>
  <c r="Y241"/>
  <c r="X241"/>
  <c r="V241"/>
  <c r="AA241"/>
  <c r="U241"/>
  <c r="T241"/>
  <c r="S241"/>
  <c r="AG308"/>
  <c r="AF308"/>
  <c r="AC308"/>
  <c r="Z308"/>
  <c r="W308"/>
  <c r="U308"/>
  <c r="T308"/>
  <c r="AA308"/>
  <c r="Y308"/>
  <c r="X308"/>
  <c r="V308"/>
  <c r="S308"/>
  <c r="R308"/>
  <c r="AG375"/>
  <c r="AF375"/>
  <c r="AC375"/>
  <c r="AA375"/>
  <c r="Z375"/>
  <c r="S375"/>
  <c r="Y375"/>
  <c r="R375"/>
  <c r="X375"/>
  <c r="T375"/>
  <c r="W375"/>
  <c r="V375"/>
  <c r="U375"/>
  <c r="AG270"/>
  <c r="AC270"/>
  <c r="AF270"/>
  <c r="AA270"/>
  <c r="S270"/>
  <c r="Y270"/>
  <c r="Z270"/>
  <c r="W270"/>
  <c r="R270"/>
  <c r="X270"/>
  <c r="T270"/>
  <c r="V270"/>
  <c r="U270"/>
  <c r="AG386"/>
  <c r="AF386"/>
  <c r="AC386"/>
  <c r="U386"/>
  <c r="T386"/>
  <c r="AA386"/>
  <c r="Z386"/>
  <c r="S386"/>
  <c r="R386"/>
  <c r="X386"/>
  <c r="Y386"/>
  <c r="W386"/>
  <c r="V386"/>
  <c r="AG234"/>
  <c r="AC234"/>
  <c r="AF234"/>
  <c r="AA234"/>
  <c r="S234"/>
  <c r="Y234"/>
  <c r="Z234"/>
  <c r="W234"/>
  <c r="U234"/>
  <c r="T234"/>
  <c r="R234"/>
  <c r="X234"/>
  <c r="V234"/>
  <c r="AG355"/>
  <c r="AF355"/>
  <c r="AC355"/>
  <c r="AA355"/>
  <c r="W355"/>
  <c r="Z355"/>
  <c r="V355"/>
  <c r="R355"/>
  <c r="Y355"/>
  <c r="X355"/>
  <c r="U355"/>
  <c r="T355"/>
  <c r="S355"/>
  <c r="AG264"/>
  <c r="AC264"/>
  <c r="AF264"/>
  <c r="AA264"/>
  <c r="S264"/>
  <c r="Y264"/>
  <c r="Z264"/>
  <c r="U264"/>
  <c r="W264"/>
  <c r="V264"/>
  <c r="T264"/>
  <c r="X264"/>
  <c r="R264"/>
  <c r="AC191"/>
  <c r="AG191"/>
  <c r="AF191"/>
  <c r="U191"/>
  <c r="Z191"/>
  <c r="V191"/>
  <c r="S191"/>
  <c r="R191"/>
  <c r="AA191"/>
  <c r="Y191"/>
  <c r="X191"/>
  <c r="W191"/>
  <c r="T191"/>
  <c r="AG494"/>
  <c r="AF494"/>
  <c r="AC494"/>
  <c r="AA494"/>
  <c r="U494"/>
  <c r="Z494"/>
  <c r="X494"/>
  <c r="V494"/>
  <c r="W494"/>
  <c r="T494"/>
  <c r="S494"/>
  <c r="R494"/>
  <c r="Y494"/>
  <c r="AG210"/>
  <c r="AC210"/>
  <c r="AF210"/>
  <c r="AA210"/>
  <c r="S210"/>
  <c r="Y210"/>
  <c r="Z210"/>
  <c r="U210"/>
  <c r="W210"/>
  <c r="V210"/>
  <c r="T210"/>
  <c r="X210"/>
  <c r="R210"/>
  <c r="AG463"/>
  <c r="AF463"/>
  <c r="AC463"/>
  <c r="AA463"/>
  <c r="Z463"/>
  <c r="W463"/>
  <c r="T463"/>
  <c r="S463"/>
  <c r="R463"/>
  <c r="Y463"/>
  <c r="X463"/>
  <c r="V463"/>
  <c r="U463"/>
  <c r="AG504"/>
  <c r="AC504"/>
  <c r="AF504"/>
  <c r="AA504"/>
  <c r="S504"/>
  <c r="Y504"/>
  <c r="Z504"/>
  <c r="W504"/>
  <c r="V504"/>
  <c r="U504"/>
  <c r="X504"/>
  <c r="T504"/>
  <c r="R504"/>
  <c r="AC293"/>
  <c r="AG293"/>
  <c r="AF293"/>
  <c r="U293"/>
  <c r="S293"/>
  <c r="AA293"/>
  <c r="Z293"/>
  <c r="X293"/>
  <c r="W293"/>
  <c r="Y293"/>
  <c r="V293"/>
  <c r="T293"/>
  <c r="R293"/>
  <c r="AC190"/>
  <c r="AG190"/>
  <c r="AF190"/>
  <c r="W190"/>
  <c r="V190"/>
  <c r="AA190"/>
  <c r="Z190"/>
  <c r="S190"/>
  <c r="R190"/>
  <c r="Y190"/>
  <c r="T190"/>
  <c r="X190"/>
  <c r="U190"/>
  <c r="AG354"/>
  <c r="AC354"/>
  <c r="AF354"/>
  <c r="AA354"/>
  <c r="Z354"/>
  <c r="S354"/>
  <c r="Y354"/>
  <c r="R354"/>
  <c r="X354"/>
  <c r="W354"/>
  <c r="V354"/>
  <c r="U354"/>
  <c r="T354"/>
  <c r="AG276"/>
  <c r="AC276"/>
  <c r="AF276"/>
  <c r="AA276"/>
  <c r="S276"/>
  <c r="Y276"/>
  <c r="Z276"/>
  <c r="R276"/>
  <c r="V276"/>
  <c r="U276"/>
  <c r="T276"/>
  <c r="W276"/>
  <c r="X276"/>
  <c r="AG397"/>
  <c r="AF397"/>
  <c r="AC397"/>
  <c r="AA397"/>
  <c r="Z397"/>
  <c r="W397"/>
  <c r="X397"/>
  <c r="V397"/>
  <c r="U397"/>
  <c r="T397"/>
  <c r="S397"/>
  <c r="R397"/>
  <c r="Y397"/>
  <c r="AG464"/>
  <c r="AF464"/>
  <c r="AC464"/>
  <c r="Z464"/>
  <c r="U464"/>
  <c r="AA464"/>
  <c r="S464"/>
  <c r="Y464"/>
  <c r="X464"/>
  <c r="R464"/>
  <c r="W464"/>
  <c r="V464"/>
  <c r="T464"/>
  <c r="AG248"/>
  <c r="AF248"/>
  <c r="AC248"/>
  <c r="U248"/>
  <c r="S248"/>
  <c r="AA248"/>
  <c r="Z248"/>
  <c r="V248"/>
  <c r="T248"/>
  <c r="R248"/>
  <c r="W248"/>
  <c r="Y248"/>
  <c r="X248"/>
  <c r="AG315"/>
  <c r="AF315"/>
  <c r="AC315"/>
  <c r="AA315"/>
  <c r="Z315"/>
  <c r="U315"/>
  <c r="W315"/>
  <c r="V315"/>
  <c r="X315"/>
  <c r="T315"/>
  <c r="S315"/>
  <c r="R315"/>
  <c r="Y315"/>
  <c r="AG294"/>
  <c r="AC294"/>
  <c r="AF294"/>
  <c r="AA294"/>
  <c r="S294"/>
  <c r="Y294"/>
  <c r="Z294"/>
  <c r="R294"/>
  <c r="X294"/>
  <c r="W294"/>
  <c r="U294"/>
  <c r="T294"/>
  <c r="V294"/>
  <c r="AG288"/>
  <c r="AC288"/>
  <c r="AF288"/>
  <c r="AA288"/>
  <c r="S288"/>
  <c r="Y288"/>
  <c r="Z288"/>
  <c r="W288"/>
  <c r="U288"/>
  <c r="T288"/>
  <c r="X288"/>
  <c r="V288"/>
  <c r="R288"/>
  <c r="AG403"/>
  <c r="AF403"/>
  <c r="AC403"/>
  <c r="Z403"/>
  <c r="W403"/>
  <c r="AA403"/>
  <c r="S403"/>
  <c r="R403"/>
  <c r="Y403"/>
  <c r="X403"/>
  <c r="V403"/>
  <c r="U403"/>
  <c r="T403"/>
  <c r="AG470"/>
  <c r="AF470"/>
  <c r="AC470"/>
  <c r="AA470"/>
  <c r="Z470"/>
  <c r="U470"/>
  <c r="V470"/>
  <c r="T470"/>
  <c r="S470"/>
  <c r="Y470"/>
  <c r="X470"/>
  <c r="W470"/>
  <c r="R470"/>
  <c r="AC299"/>
  <c r="AG299"/>
  <c r="AF299"/>
  <c r="U299"/>
  <c r="Z299"/>
  <c r="V299"/>
  <c r="S299"/>
  <c r="R299"/>
  <c r="AA299"/>
  <c r="T299"/>
  <c r="Y299"/>
  <c r="X299"/>
  <c r="W299"/>
  <c r="AG468"/>
  <c r="AC468"/>
  <c r="AF468"/>
  <c r="AA468"/>
  <c r="S468"/>
  <c r="Y468"/>
  <c r="Z468"/>
  <c r="W468"/>
  <c r="V468"/>
  <c r="U468"/>
  <c r="X468"/>
  <c r="T468"/>
  <c r="R468"/>
  <c r="AG481"/>
  <c r="AF481"/>
  <c r="AC481"/>
  <c r="AA481"/>
  <c r="Z481"/>
  <c r="W481"/>
  <c r="T481"/>
  <c r="S481"/>
  <c r="Y481"/>
  <c r="R481"/>
  <c r="X481"/>
  <c r="V481"/>
  <c r="U481"/>
  <c r="AG327"/>
  <c r="AF327"/>
  <c r="AC327"/>
  <c r="AA327"/>
  <c r="Z327"/>
  <c r="S327"/>
  <c r="Y327"/>
  <c r="R327"/>
  <c r="X327"/>
  <c r="W327"/>
  <c r="V327"/>
  <c r="U327"/>
  <c r="T327"/>
  <c r="AC514"/>
  <c r="AG514"/>
  <c r="AF514"/>
  <c r="AA514"/>
  <c r="Z514"/>
  <c r="W514"/>
  <c r="V514"/>
  <c r="U514"/>
  <c r="T514"/>
  <c r="S514"/>
  <c r="R514"/>
  <c r="Y514"/>
  <c r="X514"/>
  <c r="AG474"/>
  <c r="AC474"/>
  <c r="AF474"/>
  <c r="AA474"/>
  <c r="Z474"/>
  <c r="S474"/>
  <c r="Y474"/>
  <c r="R474"/>
  <c r="X474"/>
  <c r="W474"/>
  <c r="V474"/>
  <c r="U474"/>
  <c r="T474"/>
  <c r="AC467"/>
  <c r="AG467"/>
  <c r="AF467"/>
  <c r="AA467"/>
  <c r="Z467"/>
  <c r="U467"/>
  <c r="X467"/>
  <c r="W467"/>
  <c r="V467"/>
  <c r="T467"/>
  <c r="S467"/>
  <c r="R467"/>
  <c r="Y467"/>
  <c r="AC472"/>
  <c r="AG472"/>
  <c r="AF472"/>
  <c r="W472"/>
  <c r="AA472"/>
  <c r="Z472"/>
  <c r="T472"/>
  <c r="R472"/>
  <c r="S472"/>
  <c r="Y472"/>
  <c r="X472"/>
  <c r="V472"/>
  <c r="U472"/>
  <c r="AG343"/>
  <c r="AF343"/>
  <c r="AC343"/>
  <c r="AA343"/>
  <c r="Z343"/>
  <c r="W343"/>
  <c r="V343"/>
  <c r="X343"/>
  <c r="U343"/>
  <c r="T343"/>
  <c r="S343"/>
  <c r="R343"/>
  <c r="Y343"/>
  <c r="AG410"/>
  <c r="AF410"/>
  <c r="AC410"/>
  <c r="AA410"/>
  <c r="Z410"/>
  <c r="U410"/>
  <c r="T410"/>
  <c r="S410"/>
  <c r="R410"/>
  <c r="Y410"/>
  <c r="X410"/>
  <c r="W410"/>
  <c r="V410"/>
  <c r="AG194"/>
  <c r="AF194"/>
  <c r="AC194"/>
  <c r="U194"/>
  <c r="S194"/>
  <c r="AA194"/>
  <c r="Z194"/>
  <c r="V194"/>
  <c r="T194"/>
  <c r="R194"/>
  <c r="W194"/>
  <c r="Y194"/>
  <c r="X194"/>
  <c r="AG477"/>
  <c r="AF477"/>
  <c r="AC477"/>
  <c r="AA477"/>
  <c r="Z477"/>
  <c r="S477"/>
  <c r="Y477"/>
  <c r="W477"/>
  <c r="V477"/>
  <c r="U477"/>
  <c r="X477"/>
  <c r="T477"/>
  <c r="R477"/>
  <c r="AG261"/>
  <c r="AF261"/>
  <c r="AC261"/>
  <c r="AA261"/>
  <c r="S261"/>
  <c r="Y261"/>
  <c r="Z261"/>
  <c r="W261"/>
  <c r="U261"/>
  <c r="T261"/>
  <c r="R261"/>
  <c r="V261"/>
  <c r="X261"/>
  <c r="AC418"/>
  <c r="AG418"/>
  <c r="AF418"/>
  <c r="AA418"/>
  <c r="W418"/>
  <c r="Z418"/>
  <c r="U418"/>
  <c r="T418"/>
  <c r="S418"/>
  <c r="R418"/>
  <c r="Y418"/>
  <c r="X418"/>
  <c r="V418"/>
  <c r="AG367"/>
  <c r="AF367"/>
  <c r="AC367"/>
  <c r="Z367"/>
  <c r="W367"/>
  <c r="V367"/>
  <c r="AA367"/>
  <c r="T367"/>
  <c r="S367"/>
  <c r="R367"/>
  <c r="Y367"/>
  <c r="X367"/>
  <c r="U367"/>
  <c r="AG434"/>
  <c r="AF434"/>
  <c r="AC434"/>
  <c r="Z434"/>
  <c r="U434"/>
  <c r="AA434"/>
  <c r="W434"/>
  <c r="V434"/>
  <c r="T434"/>
  <c r="S434"/>
  <c r="X434"/>
  <c r="Y434"/>
  <c r="R434"/>
  <c r="AG501"/>
  <c r="AF501"/>
  <c r="AC501"/>
  <c r="AA501"/>
  <c r="S501"/>
  <c r="Y501"/>
  <c r="Z501"/>
  <c r="R501"/>
  <c r="X501"/>
  <c r="W501"/>
  <c r="V501"/>
  <c r="U501"/>
  <c r="T501"/>
  <c r="AC461"/>
  <c r="AG461"/>
  <c r="AF461"/>
  <c r="U461"/>
  <c r="AA461"/>
  <c r="Z461"/>
  <c r="V461"/>
  <c r="T461"/>
  <c r="S461"/>
  <c r="X461"/>
  <c r="Y461"/>
  <c r="W461"/>
  <c r="R461"/>
  <c r="AC358"/>
  <c r="AG358"/>
  <c r="AF358"/>
  <c r="Z358"/>
  <c r="W358"/>
  <c r="V358"/>
  <c r="AA358"/>
  <c r="T358"/>
  <c r="S358"/>
  <c r="R358"/>
  <c r="Y358"/>
  <c r="X358"/>
  <c r="U358"/>
  <c r="AC244"/>
  <c r="AG244"/>
  <c r="AF244"/>
  <c r="W244"/>
  <c r="V244"/>
  <c r="AA244"/>
  <c r="Z244"/>
  <c r="S244"/>
  <c r="R244"/>
  <c r="Y244"/>
  <c r="T244"/>
  <c r="X244"/>
  <c r="U244"/>
  <c r="AG229"/>
  <c r="AF229"/>
  <c r="AC229"/>
  <c r="W229"/>
  <c r="T229"/>
  <c r="AA229"/>
  <c r="R229"/>
  <c r="Z229"/>
  <c r="Y229"/>
  <c r="X229"/>
  <c r="S229"/>
  <c r="V229"/>
  <c r="U229"/>
  <c r="AG296"/>
  <c r="AF296"/>
  <c r="AC296"/>
  <c r="U296"/>
  <c r="X296"/>
  <c r="R296"/>
  <c r="Y296"/>
  <c r="AA296"/>
  <c r="Z296"/>
  <c r="S296"/>
  <c r="W296"/>
  <c r="V296"/>
  <c r="T296"/>
  <c r="AC485"/>
  <c r="AG485"/>
  <c r="AF485"/>
  <c r="AA485"/>
  <c r="Z485"/>
  <c r="U485"/>
  <c r="X485"/>
  <c r="W485"/>
  <c r="V485"/>
  <c r="T485"/>
  <c r="S485"/>
  <c r="R485"/>
  <c r="Y485"/>
  <c r="AC382"/>
  <c r="AG382"/>
  <c r="AF382"/>
  <c r="AA382"/>
  <c r="W382"/>
  <c r="Z382"/>
  <c r="V382"/>
  <c r="R382"/>
  <c r="Y382"/>
  <c r="X382"/>
  <c r="U382"/>
  <c r="T382"/>
  <c r="S382"/>
  <c r="AC347"/>
  <c r="AG347"/>
  <c r="AF347"/>
  <c r="AA347"/>
  <c r="Z347"/>
  <c r="U347"/>
  <c r="T347"/>
  <c r="R347"/>
  <c r="Y347"/>
  <c r="X347"/>
  <c r="W347"/>
  <c r="V347"/>
  <c r="S347"/>
  <c r="AG192"/>
  <c r="AC192"/>
  <c r="AF192"/>
  <c r="AA192"/>
  <c r="S192"/>
  <c r="Y192"/>
  <c r="Z192"/>
  <c r="U192"/>
  <c r="T192"/>
  <c r="R192"/>
  <c r="V192"/>
  <c r="X192"/>
  <c r="W192"/>
  <c r="AG492"/>
  <c r="AC492"/>
  <c r="AF492"/>
  <c r="AA492"/>
  <c r="Z492"/>
  <c r="S492"/>
  <c r="Y492"/>
  <c r="R492"/>
  <c r="X492"/>
  <c r="W492"/>
  <c r="V492"/>
  <c r="U492"/>
  <c r="T492"/>
  <c r="AC340"/>
  <c r="AG340"/>
  <c r="AF340"/>
  <c r="Z340"/>
  <c r="W340"/>
  <c r="V340"/>
  <c r="AA340"/>
  <c r="T340"/>
  <c r="S340"/>
  <c r="R340"/>
  <c r="Y340"/>
  <c r="X340"/>
  <c r="U340"/>
  <c r="AG493"/>
  <c r="AF493"/>
  <c r="AC493"/>
  <c r="Z493"/>
  <c r="W493"/>
  <c r="AA493"/>
  <c r="R493"/>
  <c r="Y493"/>
  <c r="X493"/>
  <c r="V493"/>
  <c r="U493"/>
  <c r="T493"/>
  <c r="S493"/>
  <c r="AG277"/>
  <c r="AF277"/>
  <c r="AC277"/>
  <c r="W277"/>
  <c r="Z277"/>
  <c r="R277"/>
  <c r="Y277"/>
  <c r="V277"/>
  <c r="U277"/>
  <c r="AA277"/>
  <c r="X277"/>
  <c r="T277"/>
  <c r="S277"/>
  <c r="AG344"/>
  <c r="AF344"/>
  <c r="AC344"/>
  <c r="Z344"/>
  <c r="U344"/>
  <c r="T344"/>
  <c r="AA344"/>
  <c r="X344"/>
  <c r="W344"/>
  <c r="V344"/>
  <c r="S344"/>
  <c r="R344"/>
  <c r="Y344"/>
  <c r="AG411"/>
  <c r="AF411"/>
  <c r="AC411"/>
  <c r="AA411"/>
  <c r="Z411"/>
  <c r="S411"/>
  <c r="Y411"/>
  <c r="T411"/>
  <c r="R411"/>
  <c r="W411"/>
  <c r="X411"/>
  <c r="V411"/>
  <c r="U411"/>
  <c r="AG195"/>
  <c r="AF195"/>
  <c r="AC195"/>
  <c r="AA195"/>
  <c r="S195"/>
  <c r="Y195"/>
  <c r="Z195"/>
  <c r="R195"/>
  <c r="V195"/>
  <c r="U195"/>
  <c r="T195"/>
  <c r="X195"/>
  <c r="W195"/>
  <c r="AC209"/>
  <c r="AG209"/>
  <c r="AF209"/>
  <c r="U209"/>
  <c r="Z209"/>
  <c r="V209"/>
  <c r="W209"/>
  <c r="T209"/>
  <c r="AA209"/>
  <c r="S209"/>
  <c r="X209"/>
  <c r="R209"/>
  <c r="Y209"/>
  <c r="AG273"/>
  <c r="AF273"/>
  <c r="AC273"/>
  <c r="AA273"/>
  <c r="S273"/>
  <c r="Y273"/>
  <c r="Z273"/>
  <c r="U273"/>
  <c r="T273"/>
  <c r="R273"/>
  <c r="X273"/>
  <c r="W273"/>
  <c r="V273"/>
  <c r="AG318"/>
  <c r="AC318"/>
  <c r="AF318"/>
  <c r="AA318"/>
  <c r="Z318"/>
  <c r="U318"/>
  <c r="T318"/>
  <c r="S318"/>
  <c r="V318"/>
  <c r="R318"/>
  <c r="Y318"/>
  <c r="X318"/>
  <c r="W318"/>
  <c r="AG242"/>
  <c r="AF242"/>
  <c r="AC242"/>
  <c r="U242"/>
  <c r="X242"/>
  <c r="R242"/>
  <c r="Y242"/>
  <c r="W242"/>
  <c r="AA242"/>
  <c r="Z242"/>
  <c r="S242"/>
  <c r="V242"/>
  <c r="T242"/>
  <c r="AC250"/>
  <c r="AG250"/>
  <c r="AF250"/>
  <c r="W250"/>
  <c r="Z250"/>
  <c r="R250"/>
  <c r="Y250"/>
  <c r="V250"/>
  <c r="U250"/>
  <c r="T250"/>
  <c r="AA250"/>
  <c r="X250"/>
  <c r="S250"/>
  <c r="AG211"/>
  <c r="AF211"/>
  <c r="AC211"/>
  <c r="W211"/>
  <c r="T211"/>
  <c r="AA211"/>
  <c r="X211"/>
  <c r="Z211"/>
  <c r="V211"/>
  <c r="U211"/>
  <c r="Y211"/>
  <c r="S211"/>
  <c r="R211"/>
  <c r="AC425"/>
  <c r="AG425"/>
  <c r="AF425"/>
  <c r="Z425"/>
  <c r="U425"/>
  <c r="AA425"/>
  <c r="W425"/>
  <c r="V425"/>
  <c r="T425"/>
  <c r="S425"/>
  <c r="R425"/>
  <c r="Y425"/>
  <c r="X425"/>
  <c r="AC280"/>
  <c r="AG280"/>
  <c r="AF280"/>
  <c r="W280"/>
  <c r="V280"/>
  <c r="AA280"/>
  <c r="Z280"/>
  <c r="Y280"/>
  <c r="X280"/>
  <c r="R280"/>
  <c r="U280"/>
  <c r="T280"/>
  <c r="S280"/>
  <c r="AG381"/>
  <c r="AF381"/>
  <c r="AC381"/>
  <c r="AA381"/>
  <c r="Z381"/>
  <c r="S381"/>
  <c r="Y381"/>
  <c r="R381"/>
  <c r="X381"/>
  <c r="W381"/>
  <c r="V381"/>
  <c r="U381"/>
  <c r="T381"/>
  <c r="AG216"/>
  <c r="AC216"/>
  <c r="AF216"/>
  <c r="AA216"/>
  <c r="S216"/>
  <c r="Y216"/>
  <c r="Z216"/>
  <c r="W216"/>
  <c r="R216"/>
  <c r="X216"/>
  <c r="T216"/>
  <c r="V216"/>
  <c r="U216"/>
  <c r="AG350"/>
  <c r="AF350"/>
  <c r="AC350"/>
  <c r="U350"/>
  <c r="T350"/>
  <c r="AA350"/>
  <c r="Z350"/>
  <c r="V350"/>
  <c r="S350"/>
  <c r="R350"/>
  <c r="Y350"/>
  <c r="X350"/>
  <c r="W350"/>
  <c r="AC365"/>
  <c r="AG365"/>
  <c r="AF365"/>
  <c r="AA365"/>
  <c r="Z365"/>
  <c r="U365"/>
  <c r="T365"/>
  <c r="R365"/>
  <c r="Y365"/>
  <c r="X365"/>
  <c r="W365"/>
  <c r="V365"/>
  <c r="S365"/>
  <c r="AC262"/>
  <c r="AG262"/>
  <c r="AF262"/>
  <c r="W262"/>
  <c r="V262"/>
  <c r="AA262"/>
  <c r="Z262"/>
  <c r="U262"/>
  <c r="T262"/>
  <c r="S262"/>
  <c r="Y262"/>
  <c r="X262"/>
  <c r="R262"/>
  <c r="AC203"/>
  <c r="AG203"/>
  <c r="AF203"/>
  <c r="U203"/>
  <c r="S203"/>
  <c r="AA203"/>
  <c r="Z203"/>
  <c r="R203"/>
  <c r="Y203"/>
  <c r="X203"/>
  <c r="T203"/>
  <c r="W203"/>
  <c r="V203"/>
  <c r="AG360"/>
  <c r="AC360"/>
  <c r="AF360"/>
  <c r="AA360"/>
  <c r="Z360"/>
  <c r="S360"/>
  <c r="Y360"/>
  <c r="R360"/>
  <c r="X360"/>
  <c r="V360"/>
  <c r="U360"/>
  <c r="T360"/>
  <c r="W360"/>
  <c r="AC220"/>
  <c r="AG220"/>
  <c r="AF220"/>
  <c r="W220"/>
  <c r="T220"/>
  <c r="AA220"/>
  <c r="U220"/>
  <c r="Z220"/>
  <c r="S220"/>
  <c r="R220"/>
  <c r="V220"/>
  <c r="Y220"/>
  <c r="X220"/>
  <c r="AG433"/>
  <c r="AF433"/>
  <c r="AC433"/>
  <c r="AA433"/>
  <c r="Z433"/>
  <c r="W433"/>
  <c r="X433"/>
  <c r="V433"/>
  <c r="U433"/>
  <c r="T433"/>
  <c r="R433"/>
  <c r="Y433"/>
  <c r="S433"/>
  <c r="AG217"/>
  <c r="AF217"/>
  <c r="AC217"/>
  <c r="W217"/>
  <c r="V217"/>
  <c r="AA217"/>
  <c r="Z217"/>
  <c r="S217"/>
  <c r="R217"/>
  <c r="Y217"/>
  <c r="X217"/>
  <c r="U217"/>
  <c r="T217"/>
  <c r="AG500"/>
  <c r="AF500"/>
  <c r="AC500"/>
  <c r="Z500"/>
  <c r="U500"/>
  <c r="AA500"/>
  <c r="S500"/>
  <c r="Y500"/>
  <c r="X500"/>
  <c r="R500"/>
  <c r="W500"/>
  <c r="V500"/>
  <c r="T500"/>
  <c r="AG284"/>
  <c r="AF284"/>
  <c r="AC284"/>
  <c r="U284"/>
  <c r="S284"/>
  <c r="AA284"/>
  <c r="Z284"/>
  <c r="R284"/>
  <c r="Y284"/>
  <c r="W284"/>
  <c r="V284"/>
  <c r="T284"/>
  <c r="X284"/>
  <c r="AG351"/>
  <c r="AF351"/>
  <c r="AC351"/>
  <c r="AA351"/>
  <c r="Z351"/>
  <c r="S351"/>
  <c r="Y351"/>
  <c r="R351"/>
  <c r="X351"/>
  <c r="V351"/>
  <c r="U351"/>
  <c r="T351"/>
  <c r="W351"/>
  <c r="AC287"/>
  <c r="AG287"/>
  <c r="AF287"/>
  <c r="U287"/>
  <c r="X287"/>
  <c r="T287"/>
  <c r="S287"/>
  <c r="AA287"/>
  <c r="Z287"/>
  <c r="Y287"/>
  <c r="W287"/>
  <c r="V287"/>
  <c r="R287"/>
  <c r="AG456"/>
  <c r="AC456"/>
  <c r="AF456"/>
  <c r="AA456"/>
  <c r="Z456"/>
  <c r="S456"/>
  <c r="Y456"/>
  <c r="R456"/>
  <c r="X456"/>
  <c r="W456"/>
  <c r="U456"/>
  <c r="V456"/>
  <c r="T456"/>
  <c r="AG475"/>
  <c r="AF475"/>
  <c r="AC475"/>
  <c r="Z475"/>
  <c r="W475"/>
  <c r="AA475"/>
  <c r="R475"/>
  <c r="Y475"/>
  <c r="X475"/>
  <c r="V475"/>
  <c r="U475"/>
  <c r="S475"/>
  <c r="T475"/>
  <c r="AC455"/>
  <c r="AG455"/>
  <c r="AF455"/>
  <c r="AA455"/>
  <c r="U455"/>
  <c r="Z455"/>
  <c r="S455"/>
  <c r="Y455"/>
  <c r="R455"/>
  <c r="X455"/>
  <c r="V455"/>
  <c r="W455"/>
  <c r="T455"/>
  <c r="AG188"/>
  <c r="AF188"/>
  <c r="AC188"/>
  <c r="U188"/>
  <c r="X188"/>
  <c r="R188"/>
  <c r="Y188"/>
  <c r="W188"/>
  <c r="AA188"/>
  <c r="Z188"/>
  <c r="S188"/>
  <c r="V188"/>
  <c r="T188"/>
  <c r="AG363"/>
  <c r="AF363"/>
  <c r="AC363"/>
  <c r="AA363"/>
  <c r="Z363"/>
  <c r="S363"/>
  <c r="Y363"/>
  <c r="R363"/>
  <c r="X363"/>
  <c r="W363"/>
  <c r="V363"/>
  <c r="U363"/>
  <c r="T363"/>
  <c r="AC257"/>
  <c r="AG257"/>
  <c r="AF257"/>
  <c r="U257"/>
  <c r="S257"/>
  <c r="AA257"/>
  <c r="Z257"/>
  <c r="R257"/>
  <c r="Y257"/>
  <c r="X257"/>
  <c r="T257"/>
  <c r="W257"/>
  <c r="V257"/>
  <c r="AG438"/>
  <c r="AC438"/>
  <c r="AF438"/>
  <c r="AA438"/>
  <c r="Z438"/>
  <c r="S438"/>
  <c r="Y438"/>
  <c r="T438"/>
  <c r="R438"/>
  <c r="X438"/>
  <c r="W438"/>
  <c r="U438"/>
  <c r="V438"/>
  <c r="AG222"/>
  <c r="AC222"/>
  <c r="AF222"/>
  <c r="AA222"/>
  <c r="S222"/>
  <c r="Y222"/>
  <c r="Z222"/>
  <c r="R222"/>
  <c r="V222"/>
  <c r="U222"/>
  <c r="T222"/>
  <c r="W222"/>
  <c r="X222"/>
  <c r="AG228"/>
  <c r="AC228"/>
  <c r="AF228"/>
  <c r="AA228"/>
  <c r="S228"/>
  <c r="Y228"/>
  <c r="Z228"/>
  <c r="U228"/>
  <c r="X228"/>
  <c r="W228"/>
  <c r="V228"/>
  <c r="T228"/>
  <c r="R228"/>
  <c r="AG379"/>
  <c r="AF379"/>
  <c r="AC379"/>
  <c r="AA379"/>
  <c r="Z379"/>
  <c r="W379"/>
  <c r="V379"/>
  <c r="X379"/>
  <c r="U379"/>
  <c r="T379"/>
  <c r="S379"/>
  <c r="R379"/>
  <c r="Y379"/>
  <c r="AG446"/>
  <c r="AF446"/>
  <c r="AC446"/>
  <c r="Z446"/>
  <c r="U446"/>
  <c r="AA446"/>
  <c r="T446"/>
  <c r="S446"/>
  <c r="R446"/>
  <c r="Y446"/>
  <c r="X446"/>
  <c r="V446"/>
  <c r="W446"/>
  <c r="AG230"/>
  <c r="AF230"/>
  <c r="AC230"/>
  <c r="U230"/>
  <c r="S230"/>
  <c r="AA230"/>
  <c r="Z230"/>
  <c r="R230"/>
  <c r="Y230"/>
  <c r="X230"/>
  <c r="W230"/>
  <c r="V230"/>
  <c r="T230"/>
  <c r="AG513"/>
  <c r="AF513"/>
  <c r="AC513"/>
  <c r="AA513"/>
  <c r="S513"/>
  <c r="Y513"/>
  <c r="Z513"/>
  <c r="W513"/>
  <c r="V513"/>
  <c r="U513"/>
  <c r="X513"/>
  <c r="T513"/>
  <c r="R513"/>
  <c r="AG297"/>
  <c r="AF297"/>
  <c r="AC297"/>
  <c r="AA297"/>
  <c r="S297"/>
  <c r="Y297"/>
  <c r="Z297"/>
  <c r="W297"/>
  <c r="R297"/>
  <c r="V297"/>
  <c r="U297"/>
  <c r="T297"/>
  <c r="X297"/>
  <c r="AG342"/>
  <c r="AC342"/>
  <c r="AF342"/>
  <c r="AA342"/>
  <c r="Z342"/>
  <c r="S342"/>
  <c r="Y342"/>
  <c r="R342"/>
  <c r="X342"/>
  <c r="V342"/>
  <c r="U342"/>
  <c r="T342"/>
  <c r="W342"/>
  <c r="AC215"/>
  <c r="AG215"/>
  <c r="AF215"/>
  <c r="U215"/>
  <c r="X215"/>
  <c r="R215"/>
  <c r="Y215"/>
  <c r="W215"/>
  <c r="AA215"/>
  <c r="Z215"/>
  <c r="V215"/>
  <c r="T215"/>
  <c r="S215"/>
  <c r="AG372"/>
  <c r="AC372"/>
  <c r="AF372"/>
  <c r="AA372"/>
  <c r="Z372"/>
  <c r="S372"/>
  <c r="Y372"/>
  <c r="R372"/>
  <c r="X372"/>
  <c r="W372"/>
  <c r="V372"/>
  <c r="U372"/>
  <c r="T372"/>
  <c r="AG439"/>
  <c r="AF439"/>
  <c r="AC439"/>
  <c r="Z439"/>
  <c r="W439"/>
  <c r="AA439"/>
  <c r="S439"/>
  <c r="R439"/>
  <c r="Y439"/>
  <c r="X439"/>
  <c r="V439"/>
  <c r="T439"/>
  <c r="U439"/>
  <c r="AG506"/>
  <c r="AF506"/>
  <c r="AC506"/>
  <c r="AA506"/>
  <c r="U506"/>
  <c r="Z506"/>
  <c r="V506"/>
  <c r="T506"/>
  <c r="S506"/>
  <c r="Y506"/>
  <c r="X506"/>
  <c r="W506"/>
  <c r="R506"/>
  <c r="AC502"/>
  <c r="AG502"/>
  <c r="AF502"/>
  <c r="Z502"/>
  <c r="W502"/>
  <c r="AA502"/>
  <c r="R502"/>
  <c r="Y502"/>
  <c r="V502"/>
  <c r="X502"/>
  <c r="U502"/>
  <c r="T502"/>
  <c r="S502"/>
  <c r="AG384"/>
  <c r="AC384"/>
  <c r="AF384"/>
  <c r="AA384"/>
  <c r="Z384"/>
  <c r="S384"/>
  <c r="Y384"/>
  <c r="R384"/>
  <c r="T384"/>
  <c r="W384"/>
  <c r="X384"/>
  <c r="V384"/>
  <c r="U384"/>
  <c r="AC388"/>
  <c r="AG388"/>
  <c r="AF388"/>
  <c r="AA388"/>
  <c r="Z388"/>
  <c r="W388"/>
  <c r="V388"/>
  <c r="U388"/>
  <c r="T388"/>
  <c r="S388"/>
  <c r="R388"/>
  <c r="Y388"/>
  <c r="X388"/>
  <c r="AG301"/>
  <c r="AF301"/>
  <c r="AC301"/>
  <c r="S301"/>
  <c r="Y301"/>
  <c r="AA301"/>
  <c r="T301"/>
  <c r="Z301"/>
  <c r="R301"/>
  <c r="X301"/>
  <c r="W301"/>
  <c r="V301"/>
  <c r="U301"/>
  <c r="AG368"/>
  <c r="AF368"/>
  <c r="AC368"/>
  <c r="U368"/>
  <c r="T368"/>
  <c r="AA368"/>
  <c r="Z368"/>
  <c r="V368"/>
  <c r="S368"/>
  <c r="R368"/>
  <c r="Y368"/>
  <c r="X368"/>
  <c r="W368"/>
  <c r="AC454"/>
  <c r="AG454"/>
  <c r="AF454"/>
  <c r="W454"/>
  <c r="AA454"/>
  <c r="Z454"/>
  <c r="T454"/>
  <c r="S454"/>
  <c r="Y454"/>
  <c r="R454"/>
  <c r="V454"/>
  <c r="X454"/>
  <c r="U454"/>
  <c r="AG498"/>
  <c r="AC498"/>
  <c r="AF498"/>
  <c r="AA498"/>
  <c r="S498"/>
  <c r="Y498"/>
  <c r="Z498"/>
  <c r="U498"/>
  <c r="T498"/>
  <c r="R498"/>
  <c r="X498"/>
  <c r="W498"/>
  <c r="V498"/>
  <c r="AC395"/>
  <c r="AG395"/>
  <c r="AF395"/>
  <c r="U395"/>
  <c r="AA395"/>
  <c r="Z395"/>
  <c r="R395"/>
  <c r="Y395"/>
  <c r="X395"/>
  <c r="W395"/>
  <c r="V395"/>
  <c r="T395"/>
  <c r="S395"/>
  <c r="AC412"/>
  <c r="AG412"/>
  <c r="AF412"/>
  <c r="Z412"/>
  <c r="W412"/>
  <c r="AA412"/>
  <c r="S412"/>
  <c r="R412"/>
  <c r="Y412"/>
  <c r="X412"/>
  <c r="V412"/>
  <c r="U412"/>
  <c r="T412"/>
  <c r="AG313"/>
  <c r="AF313"/>
  <c r="AC313"/>
  <c r="Z313"/>
  <c r="S313"/>
  <c r="Y313"/>
  <c r="X313"/>
  <c r="W313"/>
  <c r="AA313"/>
  <c r="R313"/>
  <c r="V313"/>
  <c r="U313"/>
  <c r="T313"/>
  <c r="AG380"/>
  <c r="AF380"/>
  <c r="AC380"/>
  <c r="Z380"/>
  <c r="U380"/>
  <c r="T380"/>
  <c r="AA380"/>
  <c r="X380"/>
  <c r="W380"/>
  <c r="S380"/>
  <c r="V380"/>
  <c r="R380"/>
  <c r="Y380"/>
  <c r="AG447"/>
  <c r="AF447"/>
  <c r="AC447"/>
  <c r="AA447"/>
  <c r="S447"/>
  <c r="Y447"/>
  <c r="Z447"/>
  <c r="T447"/>
  <c r="R447"/>
  <c r="X447"/>
  <c r="W447"/>
  <c r="U447"/>
  <c r="V447"/>
  <c r="AG231"/>
  <c r="AF231"/>
  <c r="AC231"/>
  <c r="AA231"/>
  <c r="S231"/>
  <c r="Y231"/>
  <c r="Z231"/>
  <c r="R231"/>
  <c r="T231"/>
  <c r="X231"/>
  <c r="U231"/>
  <c r="W231"/>
  <c r="V231"/>
  <c r="AJ7"/>
  <c r="AJ6"/>
  <c r="P303"/>
  <c r="AL40"/>
  <c r="AL140"/>
  <c r="AL196"/>
  <c r="AL162"/>
  <c r="AL378"/>
  <c r="P304"/>
  <c r="AL516"/>
  <c r="AP517" s="1"/>
  <c r="AL445"/>
  <c r="P125"/>
  <c r="P369"/>
  <c r="P406"/>
  <c r="P206"/>
  <c r="AL436"/>
  <c r="P211"/>
  <c r="P427"/>
  <c r="AL496"/>
  <c r="P219"/>
  <c r="P435"/>
  <c r="AL272"/>
  <c r="AL488"/>
  <c r="AL277"/>
  <c r="P510"/>
  <c r="P368"/>
  <c r="P265"/>
  <c r="AL285"/>
  <c r="P122"/>
  <c r="AL338"/>
  <c r="P136"/>
  <c r="P127"/>
  <c r="P343"/>
  <c r="P360"/>
  <c r="P226"/>
  <c r="P383"/>
  <c r="AL423"/>
  <c r="P224"/>
  <c r="AL157"/>
  <c r="P282"/>
  <c r="AL449"/>
  <c r="P417"/>
  <c r="AL38"/>
  <c r="AL475"/>
  <c r="P492"/>
  <c r="AL515"/>
  <c r="AP516" s="1"/>
  <c r="P413"/>
  <c r="P267"/>
  <c r="P320"/>
  <c r="AL109"/>
  <c r="AL126"/>
  <c r="AL342"/>
  <c r="AL160"/>
  <c r="P365"/>
  <c r="P323"/>
  <c r="P301"/>
  <c r="AL202"/>
  <c r="AL250"/>
  <c r="AL170"/>
  <c r="P386"/>
  <c r="AL175"/>
  <c r="P192"/>
  <c r="P399"/>
  <c r="AL236"/>
  <c r="P258"/>
  <c r="P474"/>
  <c r="P497"/>
  <c r="AL193"/>
  <c r="P354"/>
  <c r="P108"/>
  <c r="P131"/>
  <c r="P387"/>
  <c r="AL508"/>
  <c r="P174"/>
  <c r="P381"/>
  <c r="P460"/>
  <c r="P218"/>
  <c r="P490"/>
  <c r="P439"/>
  <c r="P456"/>
  <c r="AL35"/>
  <c r="P418"/>
  <c r="P59"/>
  <c r="AL217"/>
  <c r="AL135"/>
  <c r="P278"/>
  <c r="AL444"/>
  <c r="P507"/>
  <c r="AL154"/>
  <c r="AL484"/>
  <c r="P233"/>
  <c r="AL352"/>
  <c r="P442"/>
  <c r="AL409"/>
  <c r="P132"/>
  <c r="AL155"/>
  <c r="P447"/>
  <c r="P284"/>
  <c r="P500"/>
  <c r="P505"/>
  <c r="P306"/>
  <c r="P329"/>
  <c r="P264"/>
  <c r="P297"/>
  <c r="P172"/>
  <c r="P355"/>
  <c r="P214"/>
  <c r="P363"/>
  <c r="P200"/>
  <c r="P205"/>
  <c r="P461"/>
  <c r="P188"/>
  <c r="P210"/>
  <c r="P271"/>
  <c r="P487"/>
  <c r="AL27"/>
  <c r="AL30"/>
  <c r="P197"/>
  <c r="P129"/>
  <c r="AL298"/>
  <c r="P398"/>
  <c r="P187"/>
  <c r="P420"/>
  <c r="P502"/>
  <c r="P227"/>
  <c r="AL443"/>
  <c r="P481"/>
  <c r="P161"/>
  <c r="P337"/>
  <c r="AL159"/>
  <c r="P433"/>
  <c r="P234"/>
  <c r="AL71"/>
  <c r="AL62"/>
  <c r="AL84"/>
  <c r="P291"/>
  <c r="AL344"/>
  <c r="P148"/>
  <c r="AL357"/>
  <c r="AL404"/>
  <c r="AL57"/>
  <c r="AL326"/>
  <c r="P371"/>
  <c r="P195"/>
  <c r="P411"/>
  <c r="P248"/>
  <c r="P270"/>
  <c r="P293"/>
  <c r="P332"/>
  <c r="P246"/>
  <c r="P477"/>
  <c r="P319"/>
  <c r="P94"/>
  <c r="P142"/>
  <c r="P327"/>
  <c r="P164"/>
  <c r="P286"/>
  <c r="P186"/>
  <c r="P424"/>
  <c r="P209"/>
  <c r="P377"/>
  <c r="P393"/>
  <c r="P514"/>
  <c r="P235"/>
  <c r="P451"/>
  <c r="P275"/>
  <c r="P491"/>
  <c r="P315"/>
  <c r="P322"/>
  <c r="P309"/>
  <c r="P130"/>
  <c r="P362"/>
  <c r="P151"/>
  <c r="P191"/>
  <c r="P407"/>
  <c r="P359"/>
  <c r="AL375"/>
  <c r="P473"/>
  <c r="P441"/>
  <c r="P128"/>
  <c r="P133"/>
  <c r="P150"/>
  <c r="AL118"/>
  <c r="P141"/>
  <c r="P194"/>
  <c r="P199"/>
  <c r="P216"/>
  <c r="P178"/>
  <c r="P498"/>
  <c r="AL489"/>
  <c r="AL100"/>
  <c r="AL124"/>
  <c r="P123"/>
  <c r="P339"/>
  <c r="P392"/>
  <c r="P328"/>
  <c r="P181"/>
  <c r="AL397"/>
  <c r="P382"/>
  <c r="AL437"/>
  <c r="P405"/>
  <c r="P26"/>
  <c r="P247"/>
  <c r="P463"/>
  <c r="P92"/>
  <c r="P308"/>
  <c r="P76"/>
  <c r="AL114"/>
  <c r="AL137"/>
  <c r="P476"/>
  <c r="AL321"/>
  <c r="P208"/>
  <c r="AL158"/>
  <c r="P316"/>
  <c r="P180"/>
  <c r="P21"/>
  <c r="P237"/>
  <c r="AL453"/>
  <c r="P74"/>
  <c r="P79"/>
  <c r="P96"/>
  <c r="P335"/>
  <c r="P228"/>
  <c r="AL318"/>
  <c r="BA138"/>
  <c r="BE106"/>
  <c r="AZ146"/>
  <c r="BB149"/>
  <c r="BC149"/>
  <c r="BC127"/>
  <c r="BG127"/>
  <c r="AZ155"/>
  <c r="BB175"/>
  <c r="BA185"/>
  <c r="BB187"/>
  <c r="BG115"/>
  <c r="BB123"/>
  <c r="BF161"/>
  <c r="BC139"/>
  <c r="BF139"/>
  <c r="BA172"/>
  <c r="BB172"/>
  <c r="BB156"/>
  <c r="BE183"/>
  <c r="BD183"/>
  <c r="BF160"/>
  <c r="BG112"/>
  <c r="BD118"/>
  <c r="BC121"/>
  <c r="BF152"/>
  <c r="BG117"/>
  <c r="BG116"/>
  <c r="BB116"/>
  <c r="BF159"/>
  <c r="BA159"/>
  <c r="BB98"/>
  <c r="BE98"/>
  <c r="BD144"/>
  <c r="BE104"/>
  <c r="AZ104"/>
  <c r="BB179"/>
  <c r="BD179"/>
  <c r="BD132"/>
  <c r="BC148"/>
  <c r="BF148"/>
  <c r="BC100"/>
  <c r="BE100"/>
  <c r="BA180"/>
  <c r="BD154"/>
  <c r="BD133"/>
  <c r="BB133"/>
  <c r="BE158"/>
  <c r="AZ129"/>
  <c r="BG129"/>
  <c r="AZ145"/>
  <c r="BA182"/>
  <c r="BD182"/>
  <c r="BA153"/>
  <c r="BE165"/>
  <c r="BD165"/>
  <c r="BB157"/>
  <c r="AZ128"/>
  <c r="BC128"/>
  <c r="BB130"/>
  <c r="BE134"/>
  <c r="BF125"/>
  <c r="AZ166"/>
  <c r="BG109"/>
  <c r="BB140"/>
  <c r="BC140"/>
  <c r="BE122"/>
  <c r="AZ122"/>
  <c r="BD136"/>
  <c r="BF136"/>
  <c r="BB108"/>
  <c r="AZ108"/>
  <c r="BF120"/>
  <c r="BB120"/>
  <c r="BB99"/>
  <c r="AZ99"/>
  <c r="BB102"/>
  <c r="BF169"/>
  <c r="BD170"/>
  <c r="BF101"/>
  <c r="BA114"/>
  <c r="AZ181"/>
  <c r="BA176"/>
  <c r="AZ176"/>
  <c r="BF119"/>
  <c r="BB119"/>
  <c r="BF150"/>
  <c r="BB150"/>
  <c r="BE135"/>
  <c r="BB135"/>
  <c r="BC131"/>
  <c r="BF174"/>
  <c r="BD174"/>
  <c r="BA105"/>
  <c r="BD124"/>
  <c r="BA124"/>
  <c r="BC137"/>
  <c r="BF186"/>
  <c r="BB186"/>
  <c r="BD111"/>
  <c r="AZ143"/>
  <c r="BA103"/>
  <c r="BB138"/>
  <c r="BB106"/>
  <c r="BG113"/>
  <c r="AZ113"/>
  <c r="BC146"/>
  <c r="BD149"/>
  <c r="AZ127"/>
  <c r="BE175"/>
  <c r="BB185"/>
  <c r="BC185"/>
  <c r="BE187"/>
  <c r="BB115"/>
  <c r="BE123"/>
  <c r="BF123"/>
  <c r="BG161"/>
  <c r="BG139"/>
  <c r="BC172"/>
  <c r="BC156"/>
  <c r="BD177"/>
  <c r="BE168"/>
  <c r="BA168"/>
  <c r="BF183"/>
  <c r="BG183"/>
  <c r="BG160"/>
  <c r="AZ112"/>
  <c r="BC118"/>
  <c r="BE118"/>
  <c r="AZ121"/>
  <c r="BG152"/>
  <c r="BE117"/>
  <c r="AZ117"/>
  <c r="BF110"/>
  <c r="BA116"/>
  <c r="BC116"/>
  <c r="AZ159"/>
  <c r="BB159"/>
  <c r="BC98"/>
  <c r="BF98"/>
  <c r="BG144"/>
  <c r="BB104"/>
  <c r="BE179"/>
  <c r="BG132"/>
  <c r="BG148"/>
  <c r="BF100"/>
  <c r="BE180"/>
  <c r="BF154"/>
  <c r="BE133"/>
  <c r="BG158"/>
  <c r="BA129"/>
  <c r="BA145"/>
  <c r="BE182"/>
  <c r="BF165"/>
  <c r="BG165"/>
  <c r="BE157"/>
  <c r="BD128"/>
  <c r="BE130"/>
  <c r="AZ125"/>
  <c r="BA162"/>
  <c r="BA166"/>
  <c r="BC109"/>
  <c r="AZ109"/>
  <c r="BD140"/>
  <c r="BG122"/>
  <c r="BB122"/>
  <c r="BG136"/>
  <c r="BC108"/>
  <c r="BG120"/>
  <c r="BC120"/>
  <c r="BC99"/>
  <c r="BB184"/>
  <c r="BE102"/>
  <c r="BC102"/>
  <c r="BG169"/>
  <c r="BB170"/>
  <c r="BE170"/>
  <c r="AZ101"/>
  <c r="BB114"/>
  <c r="BA181"/>
  <c r="BB176"/>
  <c r="BC176"/>
  <c r="AZ119"/>
  <c r="BC119"/>
  <c r="AZ150"/>
  <c r="BC150"/>
  <c r="BF135"/>
  <c r="BC135"/>
  <c r="BD131"/>
  <c r="AZ174"/>
  <c r="BG174"/>
  <c r="BC105"/>
  <c r="BE124"/>
  <c r="BG137"/>
  <c r="AZ186"/>
  <c r="BC186"/>
  <c r="BG143"/>
  <c r="BC143"/>
  <c r="BC103"/>
  <c r="BB103"/>
  <c r="BC138"/>
  <c r="BD106"/>
  <c r="BF106"/>
  <c r="BA113"/>
  <c r="BB113"/>
  <c r="BG146"/>
  <c r="BD146"/>
  <c r="BE149"/>
  <c r="BB127"/>
  <c r="BC155"/>
  <c r="BD155"/>
  <c r="BF175"/>
  <c r="BD185"/>
  <c r="BF187"/>
  <c r="BD115"/>
  <c r="AZ115"/>
  <c r="BG123"/>
  <c r="BA161"/>
  <c r="AZ161"/>
  <c r="BD139"/>
  <c r="AZ139"/>
  <c r="BD172"/>
  <c r="BE172"/>
  <c r="BD156"/>
  <c r="BG177"/>
  <c r="BA177"/>
  <c r="BF168"/>
  <c r="BB168"/>
  <c r="AZ183"/>
  <c r="BA183"/>
  <c r="BC160"/>
  <c r="AZ160"/>
  <c r="BE112"/>
  <c r="BA112"/>
  <c r="BG118"/>
  <c r="BA121"/>
  <c r="BA152"/>
  <c r="AZ152"/>
  <c r="BC117"/>
  <c r="AZ110"/>
  <c r="BE110"/>
  <c r="AZ116"/>
  <c r="BC159"/>
  <c r="BA144"/>
  <c r="BC104"/>
  <c r="BF179"/>
  <c r="BA132"/>
  <c r="BD148"/>
  <c r="AZ148"/>
  <c r="BF180"/>
  <c r="BB180"/>
  <c r="BG154"/>
  <c r="BF133"/>
  <c r="BA158"/>
  <c r="BF158"/>
  <c r="BB129"/>
  <c r="BC145"/>
  <c r="BB145"/>
  <c r="BB182"/>
  <c r="BF182"/>
  <c r="BE153"/>
  <c r="BB153"/>
  <c r="AZ165"/>
  <c r="BA165"/>
  <c r="BC157"/>
  <c r="BF157"/>
  <c r="BE128"/>
  <c r="BC130"/>
  <c r="BF130"/>
  <c r="BF134"/>
  <c r="AZ134"/>
  <c r="BD125"/>
  <c r="BB162"/>
  <c r="BB166"/>
  <c r="BA109"/>
  <c r="BD109"/>
  <c r="BE140"/>
  <c r="BA122"/>
  <c r="BC122"/>
  <c r="AZ136"/>
  <c r="BD108"/>
  <c r="AZ120"/>
  <c r="BD120"/>
  <c r="BD99"/>
  <c r="BE184"/>
  <c r="BF184"/>
  <c r="BF102"/>
  <c r="BC169"/>
  <c r="AZ169"/>
  <c r="BF170"/>
  <c r="BC101"/>
  <c r="BE114"/>
  <c r="BF114"/>
  <c r="BC181"/>
  <c r="BB181"/>
  <c r="BD176"/>
  <c r="BD119"/>
  <c r="BD150"/>
  <c r="AZ135"/>
  <c r="BD135"/>
  <c r="BE131"/>
  <c r="BA174"/>
  <c r="BB105"/>
  <c r="BC124"/>
  <c r="BF124"/>
  <c r="BA137"/>
  <c r="BD137"/>
  <c r="BD186"/>
  <c r="BF111"/>
  <c r="BA111"/>
  <c r="BA143"/>
  <c r="BD103"/>
  <c r="BE138"/>
  <c r="BG106"/>
  <c r="BA146"/>
  <c r="BG149"/>
  <c r="BA127"/>
  <c r="BD127"/>
  <c r="BG155"/>
  <c r="BE155"/>
  <c r="BC175"/>
  <c r="BG175"/>
  <c r="BG187"/>
  <c r="BA115"/>
  <c r="BC123"/>
  <c r="BC161"/>
  <c r="BA139"/>
  <c r="BF172"/>
  <c r="BE156"/>
  <c r="BG156"/>
  <c r="BE177"/>
  <c r="BB177"/>
  <c r="AZ168"/>
  <c r="BC168"/>
  <c r="BB183"/>
  <c r="BD160"/>
  <c r="BA160"/>
  <c r="BF112"/>
  <c r="BB112"/>
  <c r="AZ118"/>
  <c r="BB121"/>
  <c r="BB152"/>
  <c r="BC152"/>
  <c r="BA117"/>
  <c r="BB110"/>
  <c r="BD116"/>
  <c r="BD159"/>
  <c r="BG98"/>
  <c r="BE144"/>
  <c r="BG104"/>
  <c r="BF104"/>
  <c r="BG179"/>
  <c r="BE132"/>
  <c r="BA148"/>
  <c r="BG100"/>
  <c r="AZ180"/>
  <c r="BC180"/>
  <c r="AZ154"/>
  <c r="AZ158"/>
  <c r="BC129"/>
  <c r="BD145"/>
  <c r="BE145"/>
  <c r="AZ182"/>
  <c r="BF153"/>
  <c r="BC153"/>
  <c r="BB165"/>
  <c r="BD157"/>
  <c r="BG157"/>
  <c r="BG128"/>
  <c r="BB128"/>
  <c r="BD130"/>
  <c r="BG130"/>
  <c r="BG134"/>
  <c r="BC134"/>
  <c r="BG125"/>
  <c r="BE162"/>
  <c r="BC162"/>
  <c r="BE166"/>
  <c r="BE109"/>
  <c r="BF122"/>
  <c r="BA136"/>
  <c r="BF108"/>
  <c r="BE99"/>
  <c r="BC184"/>
  <c r="BG184"/>
  <c r="BG102"/>
  <c r="BD169"/>
  <c r="BA169"/>
  <c r="BG170"/>
  <c r="BD101"/>
  <c r="BC114"/>
  <c r="BD181"/>
  <c r="BE181"/>
  <c r="BG150"/>
  <c r="BG135"/>
  <c r="BG131"/>
  <c r="BB174"/>
  <c r="BF105"/>
  <c r="BG124"/>
  <c r="BB137"/>
  <c r="BE137"/>
  <c r="BG186"/>
  <c r="BG111"/>
  <c r="BB143"/>
  <c r="BD143"/>
  <c r="BG103"/>
  <c r="BF138"/>
  <c r="BD138"/>
  <c r="AZ106"/>
  <c r="BD113"/>
  <c r="BC113"/>
  <c r="BB146"/>
  <c r="BE146"/>
  <c r="BA149"/>
  <c r="BF149"/>
  <c r="BE127"/>
  <c r="BA155"/>
  <c r="BF155"/>
  <c r="BD175"/>
  <c r="AZ175"/>
  <c r="BE185"/>
  <c r="BF185"/>
  <c r="BC187"/>
  <c r="AZ187"/>
  <c r="BE115"/>
  <c r="BD123"/>
  <c r="AZ123"/>
  <c r="BB161"/>
  <c r="BD161"/>
  <c r="BB139"/>
  <c r="BG172"/>
  <c r="BF156"/>
  <c r="BA156"/>
  <c r="BF177"/>
  <c r="BD168"/>
  <c r="BC183"/>
  <c r="BB160"/>
  <c r="BC112"/>
  <c r="BD112"/>
  <c r="BA118"/>
  <c r="BF118"/>
  <c r="BE121"/>
  <c r="BD121"/>
  <c r="BD152"/>
  <c r="BD117"/>
  <c r="BG110"/>
  <c r="BC110"/>
  <c r="BE116"/>
  <c r="BG159"/>
  <c r="BA98"/>
  <c r="AZ98"/>
  <c r="BF144"/>
  <c r="BB144"/>
  <c r="BA104"/>
  <c r="BA179"/>
  <c r="AZ179"/>
  <c r="BF132"/>
  <c r="BB132"/>
  <c r="BB148"/>
  <c r="AZ100"/>
  <c r="BB100"/>
  <c r="BD180"/>
  <c r="BA154"/>
  <c r="BB154"/>
  <c r="BG133"/>
  <c r="AZ133"/>
  <c r="BB158"/>
  <c r="BC158"/>
  <c r="BE129"/>
  <c r="BD129"/>
  <c r="BF145"/>
  <c r="BC182"/>
  <c r="AZ153"/>
  <c r="BD153"/>
  <c r="BC165"/>
  <c r="AZ157"/>
  <c r="BA128"/>
  <c r="AZ130"/>
  <c r="BA134"/>
  <c r="BD134"/>
  <c r="BA125"/>
  <c r="BB125"/>
  <c r="BE125"/>
  <c r="BF162"/>
  <c r="BD162"/>
  <c r="BC166"/>
  <c r="BF166"/>
  <c r="BF109"/>
  <c r="BG140"/>
  <c r="BF140"/>
  <c r="BC136"/>
  <c r="BB136"/>
  <c r="BE108"/>
  <c r="BG108"/>
  <c r="BE120"/>
  <c r="BF99"/>
  <c r="BG99"/>
  <c r="BD184"/>
  <c r="AZ184"/>
  <c r="AZ102"/>
  <c r="BD102"/>
  <c r="BB169"/>
  <c r="BA170"/>
  <c r="AZ170"/>
  <c r="BG101"/>
  <c r="BE101"/>
  <c r="BG114"/>
  <c r="BF181"/>
  <c r="BE176"/>
  <c r="BF176"/>
  <c r="BG119"/>
  <c r="BE119"/>
  <c r="BA135"/>
  <c r="BA131"/>
  <c r="BF131"/>
  <c r="BC174"/>
  <c r="BD105"/>
  <c r="BG105"/>
  <c r="AZ124"/>
  <c r="BF137"/>
  <c r="BA186"/>
  <c r="AZ111"/>
  <c r="BB111"/>
  <c r="BE143"/>
  <c r="BE103"/>
  <c r="AZ138"/>
  <c r="BG138"/>
  <c r="BC106"/>
  <c r="BA106"/>
  <c r="BE113"/>
  <c r="BF113"/>
  <c r="BF146"/>
  <c r="AZ149"/>
  <c r="BF127"/>
  <c r="BB155"/>
  <c r="BA175"/>
  <c r="BG185"/>
  <c r="AZ185"/>
  <c r="BD187"/>
  <c r="BA187"/>
  <c r="BC115"/>
  <c r="BF115"/>
  <c r="BA123"/>
  <c r="BE161"/>
  <c r="BE139"/>
  <c r="AZ172"/>
  <c r="AZ156"/>
  <c r="AZ177"/>
  <c r="BC177"/>
  <c r="BG168"/>
  <c r="BE160"/>
  <c r="BB118"/>
  <c r="BF121"/>
  <c r="BG121"/>
  <c r="BE152"/>
  <c r="BB117"/>
  <c r="BF117"/>
  <c r="BA110"/>
  <c r="BD110"/>
  <c r="BF116"/>
  <c r="BE159"/>
  <c r="BD98"/>
  <c r="AZ144"/>
  <c r="BC144"/>
  <c r="BD104"/>
  <c r="BC179"/>
  <c r="AZ132"/>
  <c r="BC132"/>
  <c r="BE148"/>
  <c r="BA100"/>
  <c r="BD100"/>
  <c r="BG180"/>
  <c r="BC154"/>
  <c r="BE154"/>
  <c r="BC133"/>
  <c r="BA133"/>
  <c r="BD158"/>
  <c r="BF129"/>
  <c r="BG145"/>
  <c r="BG182"/>
  <c r="BG153"/>
  <c r="BA157"/>
  <c r="BF128"/>
  <c r="BA130"/>
  <c r="BB134"/>
  <c r="BC125"/>
  <c r="AZ162"/>
  <c r="BG162"/>
  <c r="BD166"/>
  <c r="BG166"/>
  <c r="BB109"/>
  <c r="BA140"/>
  <c r="AZ140"/>
  <c r="BD122"/>
  <c r="BE136"/>
  <c r="BA108"/>
  <c r="BA120"/>
  <c r="BA99"/>
  <c r="BA184"/>
  <c r="BA102"/>
  <c r="BE169"/>
  <c r="BC170"/>
  <c r="BA101"/>
  <c r="BB101"/>
  <c r="BD114"/>
  <c r="AZ114"/>
  <c r="BG181"/>
  <c r="BG176"/>
  <c r="BA119"/>
  <c r="BE150"/>
  <c r="BA150"/>
  <c r="BB131"/>
  <c r="AZ131"/>
  <c r="BE174"/>
  <c r="BE105"/>
  <c r="AZ105"/>
  <c r="BB124"/>
  <c r="AZ137"/>
  <c r="BE186"/>
  <c r="BE111"/>
  <c r="BC111"/>
  <c r="BF143"/>
  <c r="BF103"/>
  <c r="AZ103"/>
  <c r="BD178"/>
  <c r="BB178"/>
  <c r="BD107"/>
  <c r="BF126"/>
  <c r="AZ171"/>
  <c r="BD171"/>
  <c r="BC167"/>
  <c r="BF151"/>
  <c r="BF141"/>
  <c r="AZ164"/>
  <c r="BD142"/>
  <c r="BB142"/>
  <c r="BA173"/>
  <c r="BD173"/>
  <c r="BD163"/>
  <c r="BF163"/>
  <c r="BE147"/>
  <c r="BD147"/>
  <c r="BE178"/>
  <c r="BE107"/>
  <c r="BE126"/>
  <c r="BA126"/>
  <c r="BG171"/>
  <c r="BD167"/>
  <c r="BG151"/>
  <c r="AZ141"/>
  <c r="BC141"/>
  <c r="BE142"/>
  <c r="BB173"/>
  <c r="BE173"/>
  <c r="BF147"/>
  <c r="BG147"/>
  <c r="BF178"/>
  <c r="BG107"/>
  <c r="BF107"/>
  <c r="BG126"/>
  <c r="BA171"/>
  <c r="BE167"/>
  <c r="BC151"/>
  <c r="AZ151"/>
  <c r="BC164"/>
  <c r="BD164"/>
  <c r="BF142"/>
  <c r="BF173"/>
  <c r="BG163"/>
  <c r="AZ147"/>
  <c r="BA147"/>
  <c r="BG178"/>
  <c r="BA107"/>
  <c r="BB126"/>
  <c r="AZ126"/>
  <c r="BG167"/>
  <c r="BD151"/>
  <c r="BA151"/>
  <c r="BD141"/>
  <c r="BG164"/>
  <c r="BE164"/>
  <c r="AZ173"/>
  <c r="AZ163"/>
  <c r="BB147"/>
  <c r="AZ178"/>
  <c r="BB107"/>
  <c r="BC126"/>
  <c r="BE171"/>
  <c r="BB171"/>
  <c r="BA167"/>
  <c r="BF167"/>
  <c r="BB151"/>
  <c r="BG141"/>
  <c r="BA141"/>
  <c r="BA164"/>
  <c r="BG142"/>
  <c r="AZ142"/>
  <c r="BC173"/>
  <c r="BA163"/>
  <c r="BB163"/>
  <c r="BC147"/>
  <c r="BC178"/>
  <c r="BA178"/>
  <c r="BC107"/>
  <c r="AZ107"/>
  <c r="BD126"/>
  <c r="BF171"/>
  <c r="BC171"/>
  <c r="BB167"/>
  <c r="AZ167"/>
  <c r="BE151"/>
  <c r="BE141"/>
  <c r="BB141"/>
  <c r="BB164"/>
  <c r="BF164"/>
  <c r="BC142"/>
  <c r="BA142"/>
  <c r="BG173"/>
  <c r="BC163"/>
  <c r="BE163"/>
  <c r="X187"/>
  <c r="Y187"/>
  <c r="S187"/>
  <c r="R187"/>
  <c r="T187"/>
  <c r="U187"/>
  <c r="W187"/>
  <c r="V187"/>
  <c r="V119"/>
  <c r="W119"/>
  <c r="X102"/>
  <c r="U129"/>
  <c r="W98"/>
  <c r="S98"/>
  <c r="S132"/>
  <c r="U132"/>
  <c r="S104"/>
  <c r="V104"/>
  <c r="X171"/>
  <c r="R130"/>
  <c r="T115"/>
  <c r="U182"/>
  <c r="S182"/>
  <c r="Y142"/>
  <c r="U142"/>
  <c r="V172"/>
  <c r="T172"/>
  <c r="R183"/>
  <c r="T167"/>
  <c r="S184"/>
  <c r="Y117"/>
  <c r="T117"/>
  <c r="S126"/>
  <c r="R126"/>
  <c r="V146"/>
  <c r="W146"/>
  <c r="X150"/>
  <c r="W133"/>
  <c r="U133"/>
  <c r="W137"/>
  <c r="Y178"/>
  <c r="U178"/>
  <c r="V175"/>
  <c r="U120"/>
  <c r="S140"/>
  <c r="V140"/>
  <c r="S168"/>
  <c r="T168"/>
  <c r="W174"/>
  <c r="S153"/>
  <c r="R153"/>
  <c r="R151"/>
  <c r="X166"/>
  <c r="W107"/>
  <c r="V107"/>
  <c r="U124"/>
  <c r="Y169"/>
  <c r="S169"/>
  <c r="X109"/>
  <c r="T176"/>
  <c r="V144"/>
  <c r="S180"/>
  <c r="R180"/>
  <c r="U122"/>
  <c r="X122"/>
  <c r="V173"/>
  <c r="T173"/>
  <c r="V152"/>
  <c r="U179"/>
  <c r="V123"/>
  <c r="X170"/>
  <c r="Y170"/>
  <c r="W106"/>
  <c r="U106"/>
  <c r="U136"/>
  <c r="R136"/>
  <c r="Y118"/>
  <c r="Y145"/>
  <c r="V105"/>
  <c r="W155"/>
  <c r="X158"/>
  <c r="Y162"/>
  <c r="X162"/>
  <c r="V100"/>
  <c r="Y100"/>
  <c r="W157"/>
  <c r="X157"/>
  <c r="T108"/>
  <c r="R159"/>
  <c r="T165"/>
  <c r="R134"/>
  <c r="T134"/>
  <c r="U131"/>
  <c r="T131"/>
  <c r="R148"/>
  <c r="V181"/>
  <c r="X181"/>
  <c r="T99"/>
  <c r="X143"/>
  <c r="T141"/>
  <c r="Y138"/>
  <c r="V138"/>
  <c r="S116"/>
  <c r="Y111"/>
  <c r="V111"/>
  <c r="S185"/>
  <c r="Y185"/>
  <c r="W127"/>
  <c r="R127"/>
  <c r="T156"/>
  <c r="T128"/>
  <c r="Y128"/>
  <c r="W103"/>
  <c r="X103"/>
  <c r="R114"/>
  <c r="W135"/>
  <c r="R161"/>
  <c r="T161"/>
  <c r="X110"/>
  <c r="X119"/>
  <c r="T102"/>
  <c r="R129"/>
  <c r="X98"/>
  <c r="V132"/>
  <c r="U104"/>
  <c r="T104"/>
  <c r="W171"/>
  <c r="S130"/>
  <c r="U130"/>
  <c r="W115"/>
  <c r="R142"/>
  <c r="V142"/>
  <c r="W172"/>
  <c r="U172"/>
  <c r="Y183"/>
  <c r="X183"/>
  <c r="V167"/>
  <c r="T184"/>
  <c r="Y184"/>
  <c r="S117"/>
  <c r="U117"/>
  <c r="X126"/>
  <c r="X146"/>
  <c r="R150"/>
  <c r="V133"/>
  <c r="U137"/>
  <c r="R178"/>
  <c r="V178"/>
  <c r="T175"/>
  <c r="S175"/>
  <c r="X120"/>
  <c r="U140"/>
  <c r="W140"/>
  <c r="W160"/>
  <c r="U160"/>
  <c r="U168"/>
  <c r="X174"/>
  <c r="X153"/>
  <c r="S151"/>
  <c r="S166"/>
  <c r="Y166"/>
  <c r="X107"/>
  <c r="S107"/>
  <c r="X124"/>
  <c r="R169"/>
  <c r="X169"/>
  <c r="Y149"/>
  <c r="V176"/>
  <c r="W144"/>
  <c r="T180"/>
  <c r="R173"/>
  <c r="Y152"/>
  <c r="R152"/>
  <c r="Y123"/>
  <c r="W123"/>
  <c r="U170"/>
  <c r="V106"/>
  <c r="U139"/>
  <c r="Y136"/>
  <c r="X105"/>
  <c r="T155"/>
  <c r="Y155"/>
  <c r="Y113"/>
  <c r="S158"/>
  <c r="V158"/>
  <c r="S162"/>
  <c r="R162"/>
  <c r="W100"/>
  <c r="R100"/>
  <c r="Y157"/>
  <c r="V108"/>
  <c r="W159"/>
  <c r="U165"/>
  <c r="W134"/>
  <c r="V134"/>
  <c r="S148"/>
  <c r="Y148"/>
  <c r="W181"/>
  <c r="S181"/>
  <c r="Y99"/>
  <c r="U99"/>
  <c r="U143"/>
  <c r="Y141"/>
  <c r="U141"/>
  <c r="S138"/>
  <c r="W138"/>
  <c r="T116"/>
  <c r="V116"/>
  <c r="S111"/>
  <c r="W111"/>
  <c r="U185"/>
  <c r="V185"/>
  <c r="S127"/>
  <c r="U156"/>
  <c r="V128"/>
  <c r="X128"/>
  <c r="Y103"/>
  <c r="T114"/>
  <c r="U135"/>
  <c r="W161"/>
  <c r="V161"/>
  <c r="Y110"/>
  <c r="U119"/>
  <c r="Y119"/>
  <c r="U102"/>
  <c r="Y129"/>
  <c r="V129"/>
  <c r="U98"/>
  <c r="X132"/>
  <c r="R171"/>
  <c r="T130"/>
  <c r="V130"/>
  <c r="S115"/>
  <c r="T182"/>
  <c r="T142"/>
  <c r="X172"/>
  <c r="S183"/>
  <c r="T183"/>
  <c r="W167"/>
  <c r="W184"/>
  <c r="U184"/>
  <c r="X117"/>
  <c r="V126"/>
  <c r="U146"/>
  <c r="Y146"/>
  <c r="V150"/>
  <c r="X133"/>
  <c r="X137"/>
  <c r="X178"/>
  <c r="W175"/>
  <c r="X175"/>
  <c r="Y120"/>
  <c r="W120"/>
  <c r="V160"/>
  <c r="V168"/>
  <c r="U174"/>
  <c r="V153"/>
  <c r="W151"/>
  <c r="T151"/>
  <c r="T166"/>
  <c r="V166"/>
  <c r="U107"/>
  <c r="Y124"/>
  <c r="V124"/>
  <c r="R149"/>
  <c r="T149"/>
  <c r="U109"/>
  <c r="R109"/>
  <c r="S176"/>
  <c r="W176"/>
  <c r="R144"/>
  <c r="U180"/>
  <c r="Y122"/>
  <c r="U173"/>
  <c r="W173"/>
  <c r="W152"/>
  <c r="S152"/>
  <c r="R179"/>
  <c r="S123"/>
  <c r="U123"/>
  <c r="X106"/>
  <c r="X139"/>
  <c r="V136"/>
  <c r="S136"/>
  <c r="U118"/>
  <c r="S118"/>
  <c r="U145"/>
  <c r="S145"/>
  <c r="R105"/>
  <c r="V155"/>
  <c r="X155"/>
  <c r="R113"/>
  <c r="X113"/>
  <c r="U158"/>
  <c r="T158"/>
  <c r="T162"/>
  <c r="S100"/>
  <c r="W108"/>
  <c r="Y159"/>
  <c r="T159"/>
  <c r="R165"/>
  <c r="X134"/>
  <c r="S134"/>
  <c r="Y131"/>
  <c r="T148"/>
  <c r="U148"/>
  <c r="T181"/>
  <c r="S99"/>
  <c r="R99"/>
  <c r="R143"/>
  <c r="S141"/>
  <c r="V141"/>
  <c r="X138"/>
  <c r="W116"/>
  <c r="Y116"/>
  <c r="X111"/>
  <c r="W185"/>
  <c r="R156"/>
  <c r="R128"/>
  <c r="Y114"/>
  <c r="U114"/>
  <c r="Y135"/>
  <c r="X135"/>
  <c r="X161"/>
  <c r="S161"/>
  <c r="T110"/>
  <c r="R110"/>
  <c r="R102"/>
  <c r="S129"/>
  <c r="W129"/>
  <c r="T98"/>
  <c r="R132"/>
  <c r="Y104"/>
  <c r="Y171"/>
  <c r="T171"/>
  <c r="W130"/>
  <c r="X130"/>
  <c r="X115"/>
  <c r="W182"/>
  <c r="R182"/>
  <c r="W142"/>
  <c r="Y172"/>
  <c r="V183"/>
  <c r="X167"/>
  <c r="V184"/>
  <c r="V117"/>
  <c r="W126"/>
  <c r="Y150"/>
  <c r="W150"/>
  <c r="Y133"/>
  <c r="S133"/>
  <c r="Y137"/>
  <c r="W178"/>
  <c r="Y175"/>
  <c r="S120"/>
  <c r="R120"/>
  <c r="Y140"/>
  <c r="X160"/>
  <c r="R168"/>
  <c r="R174"/>
  <c r="W153"/>
  <c r="U151"/>
  <c r="W166"/>
  <c r="R166"/>
  <c r="R124"/>
  <c r="W169"/>
  <c r="T169"/>
  <c r="V149"/>
  <c r="Y109"/>
  <c r="U176"/>
  <c r="X176"/>
  <c r="Y144"/>
  <c r="T144"/>
  <c r="W180"/>
  <c r="R122"/>
  <c r="T122"/>
  <c r="X152"/>
  <c r="S179"/>
  <c r="W179"/>
  <c r="T123"/>
  <c r="T170"/>
  <c r="Y106"/>
  <c r="S106"/>
  <c r="S139"/>
  <c r="Y139"/>
  <c r="W136"/>
  <c r="T136"/>
  <c r="T118"/>
  <c r="T145"/>
  <c r="W105"/>
  <c r="R155"/>
  <c r="T113"/>
  <c r="V162"/>
  <c r="R157"/>
  <c r="U108"/>
  <c r="S159"/>
  <c r="U159"/>
  <c r="Y165"/>
  <c r="V165"/>
  <c r="U134"/>
  <c r="R131"/>
  <c r="W131"/>
  <c r="W148"/>
  <c r="V148"/>
  <c r="U181"/>
  <c r="X99"/>
  <c r="S143"/>
  <c r="W141"/>
  <c r="T138"/>
  <c r="X116"/>
  <c r="T111"/>
  <c r="X185"/>
  <c r="U127"/>
  <c r="T127"/>
  <c r="Y156"/>
  <c r="V156"/>
  <c r="U128"/>
  <c r="R103"/>
  <c r="S114"/>
  <c r="V114"/>
  <c r="S135"/>
  <c r="R135"/>
  <c r="U161"/>
  <c r="V110"/>
  <c r="S110"/>
  <c r="S177"/>
  <c r="R119"/>
  <c r="Y102"/>
  <c r="V102"/>
  <c r="X129"/>
  <c r="V98"/>
  <c r="W132"/>
  <c r="R104"/>
  <c r="W104"/>
  <c r="S171"/>
  <c r="U171"/>
  <c r="Y130"/>
  <c r="Y115"/>
  <c r="U115"/>
  <c r="V182"/>
  <c r="X182"/>
  <c r="S142"/>
  <c r="R172"/>
  <c r="W183"/>
  <c r="S167"/>
  <c r="Y167"/>
  <c r="W117"/>
  <c r="T126"/>
  <c r="R146"/>
  <c r="S150"/>
  <c r="U150"/>
  <c r="R133"/>
  <c r="T133"/>
  <c r="T137"/>
  <c r="R137"/>
  <c r="S178"/>
  <c r="V120"/>
  <c r="R140"/>
  <c r="X140"/>
  <c r="Y160"/>
  <c r="S160"/>
  <c r="X168"/>
  <c r="Y174"/>
  <c r="T174"/>
  <c r="T153"/>
  <c r="X151"/>
  <c r="Y107"/>
  <c r="S124"/>
  <c r="U169"/>
  <c r="S149"/>
  <c r="W149"/>
  <c r="V109"/>
  <c r="S109"/>
  <c r="Y176"/>
  <c r="S144"/>
  <c r="U144"/>
  <c r="V180"/>
  <c r="V122"/>
  <c r="X173"/>
  <c r="U152"/>
  <c r="T179"/>
  <c r="Y179"/>
  <c r="X123"/>
  <c r="V170"/>
  <c r="R170"/>
  <c r="R106"/>
  <c r="T106"/>
  <c r="T139"/>
  <c r="V139"/>
  <c r="X136"/>
  <c r="V118"/>
  <c r="R118"/>
  <c r="V145"/>
  <c r="R145"/>
  <c r="Y105"/>
  <c r="T105"/>
  <c r="U155"/>
  <c r="S113"/>
  <c r="V113"/>
  <c r="Y158"/>
  <c r="W162"/>
  <c r="U100"/>
  <c r="T100"/>
  <c r="S157"/>
  <c r="U157"/>
  <c r="Y108"/>
  <c r="X108"/>
  <c r="V159"/>
  <c r="S165"/>
  <c r="W165"/>
  <c r="X131"/>
  <c r="Y181"/>
  <c r="V99"/>
  <c r="T143"/>
  <c r="V143"/>
  <c r="X141"/>
  <c r="U138"/>
  <c r="U116"/>
  <c r="U111"/>
  <c r="R185"/>
  <c r="X127"/>
  <c r="S156"/>
  <c r="W156"/>
  <c r="S128"/>
  <c r="S103"/>
  <c r="U103"/>
  <c r="W114"/>
  <c r="T135"/>
  <c r="W110"/>
  <c r="T119"/>
  <c r="S119"/>
  <c r="S102"/>
  <c r="W102"/>
  <c r="T129"/>
  <c r="Y98"/>
  <c r="R98"/>
  <c r="Y132"/>
  <c r="T132"/>
  <c r="X104"/>
  <c r="V171"/>
  <c r="R115"/>
  <c r="V115"/>
  <c r="Y182"/>
  <c r="X142"/>
  <c r="S172"/>
  <c r="U183"/>
  <c r="U167"/>
  <c r="R167"/>
  <c r="X184"/>
  <c r="R184"/>
  <c r="R117"/>
  <c r="Y126"/>
  <c r="U126"/>
  <c r="T146"/>
  <c r="S146"/>
  <c r="T150"/>
  <c r="V137"/>
  <c r="S137"/>
  <c r="T178"/>
  <c r="R175"/>
  <c r="U175"/>
  <c r="T120"/>
  <c r="T140"/>
  <c r="R160"/>
  <c r="T160"/>
  <c r="Y168"/>
  <c r="W168"/>
  <c r="S174"/>
  <c r="V174"/>
  <c r="Y153"/>
  <c r="U153"/>
  <c r="Y151"/>
  <c r="V151"/>
  <c r="U166"/>
  <c r="R107"/>
  <c r="T107"/>
  <c r="W124"/>
  <c r="T124"/>
  <c r="V169"/>
  <c r="U149"/>
  <c r="X149"/>
  <c r="W109"/>
  <c r="T109"/>
  <c r="R176"/>
  <c r="X144"/>
  <c r="Y180"/>
  <c r="X180"/>
  <c r="S122"/>
  <c r="W122"/>
  <c r="Y173"/>
  <c r="S173"/>
  <c r="T152"/>
  <c r="X179"/>
  <c r="V179"/>
  <c r="R123"/>
  <c r="W170"/>
  <c r="S170"/>
  <c r="W139"/>
  <c r="R139"/>
  <c r="W118"/>
  <c r="X118"/>
  <c r="W145"/>
  <c r="X145"/>
  <c r="S105"/>
  <c r="U105"/>
  <c r="S155"/>
  <c r="U113"/>
  <c r="W113"/>
  <c r="R158"/>
  <c r="W158"/>
  <c r="U162"/>
  <c r="X100"/>
  <c r="T157"/>
  <c r="V157"/>
  <c r="S108"/>
  <c r="R108"/>
  <c r="X159"/>
  <c r="X165"/>
  <c r="Y134"/>
  <c r="S131"/>
  <c r="V131"/>
  <c r="X148"/>
  <c r="R181"/>
  <c r="W99"/>
  <c r="W143"/>
  <c r="Y143"/>
  <c r="R141"/>
  <c r="R138"/>
  <c r="R116"/>
  <c r="R111"/>
  <c r="T185"/>
  <c r="V127"/>
  <c r="Y127"/>
  <c r="X156"/>
  <c r="W128"/>
  <c r="T103"/>
  <c r="V103"/>
  <c r="X114"/>
  <c r="V135"/>
  <c r="Y161"/>
  <c r="U110"/>
  <c r="U177"/>
  <c r="U101"/>
  <c r="S121"/>
  <c r="Y121"/>
  <c r="T147"/>
  <c r="X154"/>
  <c r="U112"/>
  <c r="Y163"/>
  <c r="W125"/>
  <c r="S125"/>
  <c r="X186"/>
  <c r="X164"/>
  <c r="X177"/>
  <c r="S101"/>
  <c r="T121"/>
  <c r="U121"/>
  <c r="U147"/>
  <c r="V154"/>
  <c r="Y154"/>
  <c r="X112"/>
  <c r="V163"/>
  <c r="S163"/>
  <c r="X125"/>
  <c r="R186"/>
  <c r="Y164"/>
  <c r="T177"/>
  <c r="W101"/>
  <c r="W121"/>
  <c r="V121"/>
  <c r="X147"/>
  <c r="W154"/>
  <c r="R154"/>
  <c r="S112"/>
  <c r="Y112"/>
  <c r="W163"/>
  <c r="T163"/>
  <c r="U125"/>
  <c r="T186"/>
  <c r="T164"/>
  <c r="R164"/>
  <c r="R177"/>
  <c r="T101"/>
  <c r="Y101"/>
  <c r="Y147"/>
  <c r="W147"/>
  <c r="S154"/>
  <c r="T112"/>
  <c r="V112"/>
  <c r="X163"/>
  <c r="T125"/>
  <c r="Y186"/>
  <c r="U186"/>
  <c r="V164"/>
  <c r="S164"/>
  <c r="V177"/>
  <c r="V101"/>
  <c r="X101"/>
  <c r="X121"/>
  <c r="S147"/>
  <c r="R147"/>
  <c r="W112"/>
  <c r="R112"/>
  <c r="V125"/>
  <c r="S186"/>
  <c r="V186"/>
  <c r="W164"/>
  <c r="Y177"/>
  <c r="W177"/>
  <c r="R101"/>
  <c r="R121"/>
  <c r="V147"/>
  <c r="U154"/>
  <c r="T154"/>
  <c r="U163"/>
  <c r="R163"/>
  <c r="Y125"/>
  <c r="R125"/>
  <c r="W186"/>
  <c r="U164"/>
  <c r="Y30"/>
  <c r="BE64"/>
  <c r="BE56"/>
  <c r="BD63"/>
  <c r="BF72"/>
  <c r="BE61"/>
  <c r="BD58"/>
  <c r="BF79"/>
  <c r="BF66"/>
  <c r="BF73"/>
  <c r="BF62"/>
  <c r="AZ56"/>
  <c r="BD97"/>
  <c r="BC60"/>
  <c r="BF61"/>
  <c r="BA54"/>
  <c r="BD74"/>
  <c r="BG77"/>
  <c r="BF82"/>
  <c r="BG63"/>
  <c r="AZ60"/>
  <c r="BB72"/>
  <c r="BB67"/>
  <c r="AZ58"/>
  <c r="AZ79"/>
  <c r="BF81"/>
  <c r="AZ94"/>
  <c r="BB82"/>
  <c r="BG55"/>
  <c r="BA76"/>
  <c r="BE58"/>
  <c r="BE92"/>
  <c r="BA73"/>
  <c r="BA80"/>
  <c r="BG68"/>
  <c r="BC59"/>
  <c r="BF65"/>
  <c r="BE60"/>
  <c r="BC72"/>
  <c r="BC95"/>
  <c r="BE69"/>
  <c r="BC88"/>
  <c r="BA81"/>
  <c r="BF70"/>
  <c r="BD64"/>
  <c r="BD86"/>
  <c r="AZ57"/>
  <c r="AZ65"/>
  <c r="BF60"/>
  <c r="BF67"/>
  <c r="BG85"/>
  <c r="BC70"/>
  <c r="BD90"/>
  <c r="AZ96"/>
  <c r="BB83"/>
  <c r="BB87"/>
  <c r="BD96"/>
  <c r="BE78"/>
  <c r="BB89"/>
  <c r="BF84"/>
  <c r="BD83"/>
  <c r="BC89"/>
  <c r="BD87"/>
  <c r="BG96"/>
  <c r="BG83"/>
  <c r="AZ87"/>
  <c r="U73"/>
  <c r="U89"/>
  <c r="V80"/>
  <c r="T84"/>
  <c r="U64"/>
  <c r="V66"/>
  <c r="T73"/>
  <c r="S58"/>
  <c r="T93"/>
  <c r="X72"/>
  <c r="U90"/>
  <c r="X63"/>
  <c r="S91"/>
  <c r="Y68"/>
  <c r="T66"/>
  <c r="R69"/>
  <c r="T56"/>
  <c r="V57"/>
  <c r="U82"/>
  <c r="U61"/>
  <c r="R68"/>
  <c r="R78"/>
  <c r="U79"/>
  <c r="R73"/>
  <c r="U86"/>
  <c r="W88"/>
  <c r="U62"/>
  <c r="T55"/>
  <c r="W63"/>
  <c r="R91"/>
  <c r="R60"/>
  <c r="W66"/>
  <c r="S77"/>
  <c r="W89"/>
  <c r="W80"/>
  <c r="V87"/>
  <c r="S69"/>
  <c r="W59"/>
  <c r="X91"/>
  <c r="S57"/>
  <c r="T60"/>
  <c r="T67"/>
  <c r="Y78"/>
  <c r="S66"/>
  <c r="R58"/>
  <c r="S93"/>
  <c r="Y72"/>
  <c r="Y59"/>
  <c r="S71"/>
  <c r="Y54"/>
  <c r="S95"/>
  <c r="Y74"/>
  <c r="X95"/>
  <c r="V74"/>
  <c r="W97"/>
  <c r="V70"/>
  <c r="R81"/>
  <c r="U97"/>
  <c r="R70"/>
  <c r="V81"/>
  <c r="Y97"/>
  <c r="W70"/>
  <c r="U75"/>
  <c r="BA38"/>
  <c r="BA41"/>
  <c r="BF37"/>
  <c r="BA42"/>
  <c r="BC40"/>
  <c r="BF44"/>
  <c r="BB43"/>
  <c r="BA50"/>
  <c r="AZ51"/>
  <c r="BD46"/>
  <c r="BB37"/>
  <c r="BF42"/>
  <c r="AZ49"/>
  <c r="BB41"/>
  <c r="BE48"/>
  <c r="BG40"/>
  <c r="BG44"/>
  <c r="BG45"/>
  <c r="AZ42"/>
  <c r="BB49"/>
  <c r="BA44"/>
  <c r="AZ36"/>
  <c r="BG43"/>
  <c r="AZ47"/>
  <c r="BD31"/>
  <c r="BF35"/>
  <c r="BB33"/>
  <c r="BC30"/>
  <c r="AZ32"/>
  <c r="BF34"/>
  <c r="BE30"/>
  <c r="BG30"/>
  <c r="U37"/>
  <c r="X51"/>
  <c r="T40"/>
  <c r="V53"/>
  <c r="T32"/>
  <c r="Y43"/>
  <c r="W50"/>
  <c r="T41"/>
  <c r="S34"/>
  <c r="T35"/>
  <c r="R43"/>
  <c r="X48"/>
  <c r="U36"/>
  <c r="U42"/>
  <c r="Y39"/>
  <c r="X45"/>
  <c r="T48"/>
  <c r="X36"/>
  <c r="Y34"/>
  <c r="X35"/>
  <c r="R49"/>
  <c r="X37"/>
  <c r="X41"/>
  <c r="R46"/>
  <c r="Y35"/>
  <c r="W45"/>
  <c r="R48"/>
  <c r="Y41"/>
  <c r="S46"/>
  <c r="S32"/>
  <c r="W52"/>
  <c r="U30"/>
  <c r="R30"/>
  <c r="BD82"/>
  <c r="BF56"/>
  <c r="BA63"/>
  <c r="BA97"/>
  <c r="BG60"/>
  <c r="BE72"/>
  <c r="BD75"/>
  <c r="BC58"/>
  <c r="BD79"/>
  <c r="BF91"/>
  <c r="BE66"/>
  <c r="BG64"/>
  <c r="BG62"/>
  <c r="BF68"/>
  <c r="BB59"/>
  <c r="BC65"/>
  <c r="BA72"/>
  <c r="BA75"/>
  <c r="BG58"/>
  <c r="BD81"/>
  <c r="BG94"/>
  <c r="BB56"/>
  <c r="BD60"/>
  <c r="AZ95"/>
  <c r="BB69"/>
  <c r="BC79"/>
  <c r="BA70"/>
  <c r="BF80"/>
  <c r="BC82"/>
  <c r="BC56"/>
  <c r="AZ63"/>
  <c r="BE65"/>
  <c r="BF76"/>
  <c r="BB95"/>
  <c r="BG92"/>
  <c r="BD91"/>
  <c r="BC66"/>
  <c r="BB64"/>
  <c r="BB93"/>
  <c r="BD55"/>
  <c r="BA65"/>
  <c r="BG95"/>
  <c r="AZ61"/>
  <c r="BE79"/>
  <c r="BC64"/>
  <c r="BC80"/>
  <c r="BC97"/>
  <c r="BF88"/>
  <c r="BG91"/>
  <c r="BA66"/>
  <c r="BD78"/>
  <c r="BC90"/>
  <c r="BE87"/>
  <c r="BD84"/>
  <c r="BC83"/>
  <c r="BF87"/>
  <c r="BC87"/>
  <c r="BE96"/>
  <c r="BC96"/>
  <c r="V67"/>
  <c r="S79"/>
  <c r="U80"/>
  <c r="V55"/>
  <c r="U63"/>
  <c r="Y92"/>
  <c r="Y77"/>
  <c r="R89"/>
  <c r="R87"/>
  <c r="R55"/>
  <c r="S90"/>
  <c r="X76"/>
  <c r="U91"/>
  <c r="W60"/>
  <c r="Y94"/>
  <c r="V86"/>
  <c r="Y76"/>
  <c r="U57"/>
  <c r="Y61"/>
  <c r="X60"/>
  <c r="Y67"/>
  <c r="W79"/>
  <c r="W73"/>
  <c r="T96"/>
  <c r="V58"/>
  <c r="X93"/>
  <c r="Y85"/>
  <c r="S56"/>
  <c r="V91"/>
  <c r="S92"/>
  <c r="R71"/>
  <c r="T61"/>
  <c r="Y66"/>
  <c r="V94"/>
  <c r="S87"/>
  <c r="T72"/>
  <c r="T63"/>
  <c r="W91"/>
  <c r="W71"/>
  <c r="V61"/>
  <c r="Y60"/>
  <c r="T77"/>
  <c r="X89"/>
  <c r="W87"/>
  <c r="W69"/>
  <c r="R85"/>
  <c r="S63"/>
  <c r="Y91"/>
  <c r="X71"/>
  <c r="W68"/>
  <c r="U70"/>
  <c r="T74"/>
  <c r="S97"/>
  <c r="X54"/>
  <c r="U95"/>
  <c r="U81"/>
  <c r="Y70"/>
  <c r="S81"/>
  <c r="Y95"/>
  <c r="X75"/>
  <c r="W74"/>
  <c r="BB46"/>
  <c r="AZ37"/>
  <c r="BD42"/>
  <c r="BE47"/>
  <c r="BB52"/>
  <c r="BA53"/>
  <c r="BC39"/>
  <c r="BE51"/>
  <c r="BC46"/>
  <c r="BF45"/>
  <c r="BC48"/>
  <c r="BF49"/>
  <c r="BE46"/>
  <c r="BE43"/>
  <c r="BF40"/>
  <c r="AZ52"/>
  <c r="BA45"/>
  <c r="BD48"/>
  <c r="AZ40"/>
  <c r="BA52"/>
  <c r="BE36"/>
  <c r="BC43"/>
  <c r="BB50"/>
  <c r="BF51"/>
  <c r="BG35"/>
  <c r="BB30"/>
  <c r="AZ31"/>
  <c r="AZ35"/>
  <c r="BC34"/>
  <c r="BA31"/>
  <c r="BB31"/>
  <c r="BD32"/>
  <c r="S47"/>
  <c r="V31"/>
  <c r="U53"/>
  <c r="U32"/>
  <c r="V52"/>
  <c r="W48"/>
  <c r="S41"/>
  <c r="R42"/>
  <c r="U39"/>
  <c r="X52"/>
  <c r="S37"/>
  <c r="W51"/>
  <c r="Y42"/>
  <c r="V44"/>
  <c r="S49"/>
  <c r="T37"/>
  <c r="T51"/>
  <c r="V42"/>
  <c r="X39"/>
  <c r="T49"/>
  <c r="W33"/>
  <c r="V36"/>
  <c r="T34"/>
  <c r="U35"/>
  <c r="U49"/>
  <c r="Y48"/>
  <c r="W36"/>
  <c r="U34"/>
  <c r="R35"/>
  <c r="R45"/>
  <c r="AZ80"/>
  <c r="AZ82"/>
  <c r="BF55"/>
  <c r="BB97"/>
  <c r="AZ67"/>
  <c r="BG75"/>
  <c r="AZ54"/>
  <c r="BB92"/>
  <c r="AZ91"/>
  <c r="BC74"/>
  <c r="BC77"/>
  <c r="BD80"/>
  <c r="BE82"/>
  <c r="BA67"/>
  <c r="AZ75"/>
  <c r="BB88"/>
  <c r="BC92"/>
  <c r="BB91"/>
  <c r="BG73"/>
  <c r="BF86"/>
  <c r="BF97"/>
  <c r="BD65"/>
  <c r="BD69"/>
  <c r="BD54"/>
  <c r="BD92"/>
  <c r="BB70"/>
  <c r="BB66"/>
  <c r="BG80"/>
  <c r="AZ86"/>
  <c r="BG56"/>
  <c r="BG65"/>
  <c r="BB61"/>
  <c r="BA88"/>
  <c r="BB85"/>
  <c r="BA94"/>
  <c r="BG93"/>
  <c r="AZ55"/>
  <c r="BA56"/>
  <c r="BC63"/>
  <c r="BB76"/>
  <c r="BD61"/>
  <c r="AZ71"/>
  <c r="BA92"/>
  <c r="BD66"/>
  <c r="BC93"/>
  <c r="BE55"/>
  <c r="BF59"/>
  <c r="BD72"/>
  <c r="BG54"/>
  <c r="BB77"/>
  <c r="BE83"/>
  <c r="BF89"/>
  <c r="BC84"/>
  <c r="BF96"/>
  <c r="W67"/>
  <c r="Y79"/>
  <c r="X94"/>
  <c r="S65"/>
  <c r="X56"/>
  <c r="U92"/>
  <c r="U71"/>
  <c r="X68"/>
  <c r="R79"/>
  <c r="X65"/>
  <c r="W55"/>
  <c r="W76"/>
  <c r="T57"/>
  <c r="U84"/>
  <c r="S94"/>
  <c r="Y73"/>
  <c r="S86"/>
  <c r="T88"/>
  <c r="Y65"/>
  <c r="V72"/>
  <c r="X90"/>
  <c r="T59"/>
  <c r="V84"/>
  <c r="S83"/>
  <c r="V77"/>
  <c r="V89"/>
  <c r="U87"/>
  <c r="V69"/>
  <c r="S85"/>
  <c r="V56"/>
  <c r="V59"/>
  <c r="T92"/>
  <c r="Y71"/>
  <c r="R61"/>
  <c r="W78"/>
  <c r="W94"/>
  <c r="X96"/>
  <c r="S88"/>
  <c r="T65"/>
  <c r="W90"/>
  <c r="Y63"/>
  <c r="W92"/>
  <c r="W61"/>
  <c r="U77"/>
  <c r="X80"/>
  <c r="W65"/>
  <c r="W85"/>
  <c r="W56"/>
  <c r="X57"/>
  <c r="U60"/>
  <c r="X81"/>
  <c r="S54"/>
  <c r="Y81"/>
  <c r="U74"/>
  <c r="V54"/>
  <c r="W81"/>
  <c r="R97"/>
  <c r="AZ46"/>
  <c r="BC45"/>
  <c r="AZ48"/>
  <c r="BC50"/>
  <c r="BF38"/>
  <c r="BA37"/>
  <c r="AZ39"/>
  <c r="BE49"/>
  <c r="AZ44"/>
  <c r="BD36"/>
  <c r="BA43"/>
  <c r="BD40"/>
  <c r="BD44"/>
  <c r="BD53"/>
  <c r="BB47"/>
  <c r="BC52"/>
  <c r="BG36"/>
  <c r="BF48"/>
  <c r="BC47"/>
  <c r="BD38"/>
  <c r="BF41"/>
  <c r="BF53"/>
  <c r="BF39"/>
  <c r="BD49"/>
  <c r="AZ34"/>
  <c r="BG31"/>
  <c r="BF32"/>
  <c r="BB35"/>
  <c r="AZ33"/>
  <c r="BB32"/>
  <c r="BF31"/>
  <c r="BE35"/>
  <c r="V50"/>
  <c r="T31"/>
  <c r="U46"/>
  <c r="S35"/>
  <c r="T45"/>
  <c r="R37"/>
  <c r="T36"/>
  <c r="R40"/>
  <c r="T44"/>
  <c r="U45"/>
  <c r="W37"/>
  <c r="Y51"/>
  <c r="U40"/>
  <c r="R53"/>
  <c r="T38"/>
  <c r="V33"/>
  <c r="S51"/>
  <c r="S42"/>
  <c r="S39"/>
  <c r="S38"/>
  <c r="T43"/>
  <c r="U51"/>
  <c r="R34"/>
  <c r="R39"/>
  <c r="W49"/>
  <c r="Y37"/>
  <c r="V51"/>
  <c r="W34"/>
  <c r="V39"/>
  <c r="Y45"/>
  <c r="S30"/>
  <c r="T30"/>
  <c r="W30"/>
  <c r="V30"/>
  <c r="BD93"/>
  <c r="BC86"/>
  <c r="AZ59"/>
  <c r="BB65"/>
  <c r="BD95"/>
  <c r="BC67"/>
  <c r="BE54"/>
  <c r="AZ92"/>
  <c r="AZ74"/>
  <c r="BD94"/>
  <c r="BA93"/>
  <c r="BA82"/>
  <c r="BD57"/>
  <c r="BF63"/>
  <c r="BA69"/>
  <c r="BA91"/>
  <c r="BC73"/>
  <c r="BG86"/>
  <c r="BD59"/>
  <c r="AZ76"/>
  <c r="BG61"/>
  <c r="BB54"/>
  <c r="BA85"/>
  <c r="AZ66"/>
  <c r="BA86"/>
  <c r="BG97"/>
  <c r="BA60"/>
  <c r="BC75"/>
  <c r="BF85"/>
  <c r="BB74"/>
  <c r="BC94"/>
  <c r="BE63"/>
  <c r="BD67"/>
  <c r="BA58"/>
  <c r="BD85"/>
  <c r="BE91"/>
  <c r="BF74"/>
  <c r="AZ77"/>
  <c r="AZ93"/>
  <c r="BD62"/>
  <c r="BC68"/>
  <c r="BA55"/>
  <c r="BD56"/>
  <c r="BG59"/>
  <c r="BA61"/>
  <c r="BD71"/>
  <c r="BB79"/>
  <c r="BE77"/>
  <c r="AZ83"/>
  <c r="BA89"/>
  <c r="BG90"/>
  <c r="BE84"/>
  <c r="BB78"/>
  <c r="AZ90"/>
  <c r="BA84"/>
  <c r="U78"/>
  <c r="X86"/>
  <c r="U88"/>
  <c r="W62"/>
  <c r="U72"/>
  <c r="V76"/>
  <c r="U68"/>
  <c r="V78"/>
  <c r="R94"/>
  <c r="T86"/>
  <c r="U65"/>
  <c r="X59"/>
  <c r="S64"/>
  <c r="X78"/>
  <c r="T79"/>
  <c r="V73"/>
  <c r="U96"/>
  <c r="X58"/>
  <c r="V62"/>
  <c r="V83"/>
  <c r="T89"/>
  <c r="T80"/>
  <c r="Y87"/>
  <c r="Y69"/>
  <c r="W72"/>
  <c r="U59"/>
  <c r="R57"/>
  <c r="W84"/>
  <c r="T64"/>
  <c r="V79"/>
  <c r="Y58"/>
  <c r="S62"/>
  <c r="X55"/>
  <c r="V92"/>
  <c r="S82"/>
  <c r="R84"/>
  <c r="X64"/>
  <c r="X79"/>
  <c r="V65"/>
  <c r="Y55"/>
  <c r="S61"/>
  <c r="S60"/>
  <c r="X70"/>
  <c r="V75"/>
  <c r="W75"/>
  <c r="T81"/>
  <c r="X97"/>
  <c r="S70"/>
  <c r="T95"/>
  <c r="BE44"/>
  <c r="BE45"/>
  <c r="AZ43"/>
  <c r="BG50"/>
  <c r="BG51"/>
  <c r="BD45"/>
  <c r="BB42"/>
  <c r="BE40"/>
  <c r="BF52"/>
  <c r="BB36"/>
  <c r="BD43"/>
  <c r="BA47"/>
  <c r="BG52"/>
  <c r="BD37"/>
  <c r="BA39"/>
  <c r="BC38"/>
  <c r="BC41"/>
  <c r="BF43"/>
  <c r="BF47"/>
  <c r="BG38"/>
  <c r="BG41"/>
  <c r="BG37"/>
  <c r="BC42"/>
  <c r="BC49"/>
  <c r="BB34"/>
  <c r="BC31"/>
  <c r="BA35"/>
  <c r="BE34"/>
  <c r="BC33"/>
  <c r="BG32"/>
  <c r="BA32"/>
  <c r="BG34"/>
  <c r="S50"/>
  <c r="R41"/>
  <c r="V34"/>
  <c r="T39"/>
  <c r="S45"/>
  <c r="V37"/>
  <c r="S36"/>
  <c r="W40"/>
  <c r="Y53"/>
  <c r="Y49"/>
  <c r="U33"/>
  <c r="T47"/>
  <c r="Y31"/>
  <c r="X46"/>
  <c r="W32"/>
  <c r="S43"/>
  <c r="X47"/>
  <c r="V40"/>
  <c r="Y44"/>
  <c r="V38"/>
  <c r="S52"/>
  <c r="Y47"/>
  <c r="W42"/>
  <c r="W44"/>
  <c r="W38"/>
  <c r="X33"/>
  <c r="R47"/>
  <c r="T42"/>
  <c r="R44"/>
  <c r="V49"/>
  <c r="R33"/>
  <c r="AN30"/>
  <c r="BE62"/>
  <c r="BE86"/>
  <c r="BC57"/>
  <c r="BA59"/>
  <c r="BD76"/>
  <c r="AZ69"/>
  <c r="BB71"/>
  <c r="AZ85"/>
  <c r="BC81"/>
  <c r="BF94"/>
  <c r="BE93"/>
  <c r="BB63"/>
  <c r="BG76"/>
  <c r="BE95"/>
  <c r="BC69"/>
  <c r="BG79"/>
  <c r="BF64"/>
  <c r="BE80"/>
  <c r="BB62"/>
  <c r="BB55"/>
  <c r="BE76"/>
  <c r="BC61"/>
  <c r="BE71"/>
  <c r="AZ88"/>
  <c r="BE85"/>
  <c r="BF77"/>
  <c r="AZ73"/>
  <c r="AZ68"/>
  <c r="BF57"/>
  <c r="BE59"/>
  <c r="BE75"/>
  <c r="BF54"/>
  <c r="BG74"/>
  <c r="BE70"/>
  <c r="AZ62"/>
  <c r="BA57"/>
  <c r="BE67"/>
  <c r="BF58"/>
  <c r="BC85"/>
  <c r="BC91"/>
  <c r="BA74"/>
  <c r="BD77"/>
  <c r="BC62"/>
  <c r="BA68"/>
  <c r="BC76"/>
  <c r="BF95"/>
  <c r="BF75"/>
  <c r="BG71"/>
  <c r="BB81"/>
  <c r="BE94"/>
  <c r="BA83"/>
  <c r="BA87"/>
  <c r="BF90"/>
  <c r="BB90"/>
  <c r="BF83"/>
  <c r="BE90"/>
  <c r="BG84"/>
  <c r="BF78"/>
  <c r="BE89"/>
  <c r="BB84"/>
  <c r="S78"/>
  <c r="X83"/>
  <c r="R86"/>
  <c r="Y88"/>
  <c r="V93"/>
  <c r="T69"/>
  <c r="S72"/>
  <c r="T90"/>
  <c r="T76"/>
  <c r="V60"/>
  <c r="W96"/>
  <c r="V88"/>
  <c r="Y62"/>
  <c r="X69"/>
  <c r="U85"/>
  <c r="S59"/>
  <c r="T71"/>
  <c r="V64"/>
  <c r="R83"/>
  <c r="W77"/>
  <c r="S96"/>
  <c r="T58"/>
  <c r="U93"/>
  <c r="S55"/>
  <c r="V63"/>
  <c r="T91"/>
  <c r="R92"/>
  <c r="V71"/>
  <c r="R64"/>
  <c r="X66"/>
  <c r="U94"/>
  <c r="R80"/>
  <c r="R65"/>
  <c r="Y57"/>
  <c r="Y84"/>
  <c r="W64"/>
  <c r="R67"/>
  <c r="S73"/>
  <c r="W58"/>
  <c r="W93"/>
  <c r="V85"/>
  <c r="V82"/>
  <c r="S84"/>
  <c r="V68"/>
  <c r="U83"/>
  <c r="Y86"/>
  <c r="T62"/>
  <c r="U55"/>
  <c r="R76"/>
  <c r="X92"/>
  <c r="T82"/>
  <c r="X84"/>
  <c r="Y75"/>
  <c r="S75"/>
  <c r="R95"/>
  <c r="T75"/>
  <c r="W54"/>
  <c r="BE52"/>
  <c r="BC36"/>
  <c r="BB53"/>
  <c r="BB39"/>
  <c r="BG49"/>
  <c r="BA36"/>
  <c r="BE42"/>
  <c r="BG47"/>
  <c r="BD52"/>
  <c r="AZ41"/>
  <c r="AZ53"/>
  <c r="BD50"/>
  <c r="BB38"/>
  <c r="BC37"/>
  <c r="BE39"/>
  <c r="BC51"/>
  <c r="BF46"/>
  <c r="BE53"/>
  <c r="AZ50"/>
  <c r="BB51"/>
  <c r="BG46"/>
  <c r="AZ45"/>
  <c r="BA48"/>
  <c r="BA40"/>
  <c r="BA30"/>
  <c r="BC32"/>
  <c r="BA34"/>
  <c r="BG33"/>
  <c r="BD30"/>
  <c r="BD35"/>
  <c r="BD33"/>
  <c r="BA33"/>
  <c r="V48"/>
  <c r="R36"/>
  <c r="X42"/>
  <c r="S44"/>
  <c r="X49"/>
  <c r="T33"/>
  <c r="R51"/>
  <c r="X31"/>
  <c r="T46"/>
  <c r="R38"/>
  <c r="S33"/>
  <c r="X50"/>
  <c r="V41"/>
  <c r="W46"/>
  <c r="W35"/>
  <c r="W43"/>
  <c r="V47"/>
  <c r="R31"/>
  <c r="W53"/>
  <c r="Y32"/>
  <c r="R52"/>
  <c r="Y50"/>
  <c r="X40"/>
  <c r="S53"/>
  <c r="U38"/>
  <c r="U43"/>
  <c r="U47"/>
  <c r="S40"/>
  <c r="X44"/>
  <c r="X38"/>
  <c r="X43"/>
  <c r="BE73"/>
  <c r="BE57"/>
  <c r="BG69"/>
  <c r="BA71"/>
  <c r="BG88"/>
  <c r="BE81"/>
  <c r="AZ70"/>
  <c r="BE97"/>
  <c r="BC54"/>
  <c r="BG66"/>
  <c r="AZ64"/>
  <c r="BF93"/>
  <c r="BA62"/>
  <c r="BD68"/>
  <c r="BC55"/>
  <c r="BG72"/>
  <c r="BB75"/>
  <c r="BC71"/>
  <c r="BD88"/>
  <c r="BE74"/>
  <c r="BA77"/>
  <c r="BA64"/>
  <c r="BE68"/>
  <c r="AZ72"/>
  <c r="BF71"/>
  <c r="BA79"/>
  <c r="BG81"/>
  <c r="BD70"/>
  <c r="BB73"/>
  <c r="BB80"/>
  <c r="BB68"/>
  <c r="BB86"/>
  <c r="BG57"/>
  <c r="AZ97"/>
  <c r="BB60"/>
  <c r="BF69"/>
  <c r="BE88"/>
  <c r="AZ81"/>
  <c r="BB94"/>
  <c r="BD73"/>
  <c r="BG82"/>
  <c r="BB57"/>
  <c r="BA95"/>
  <c r="BG67"/>
  <c r="BB58"/>
  <c r="BF92"/>
  <c r="BG70"/>
  <c r="BG78"/>
  <c r="BA90"/>
  <c r="BA96"/>
  <c r="AZ78"/>
  <c r="AZ89"/>
  <c r="BB96"/>
  <c r="BA78"/>
  <c r="BD89"/>
  <c r="BG87"/>
  <c r="BC78"/>
  <c r="BG89"/>
  <c r="AZ84"/>
  <c r="X73"/>
  <c r="V96"/>
  <c r="U58"/>
  <c r="X87"/>
  <c r="Y90"/>
  <c r="R59"/>
  <c r="X82"/>
  <c r="X61"/>
  <c r="X67"/>
  <c r="Y83"/>
  <c r="Y96"/>
  <c r="R88"/>
  <c r="X62"/>
  <c r="Y56"/>
  <c r="T83"/>
  <c r="R77"/>
  <c r="S89"/>
  <c r="Y80"/>
  <c r="T87"/>
  <c r="X85"/>
  <c r="R56"/>
  <c r="R82"/>
  <c r="U66"/>
  <c r="T94"/>
  <c r="W86"/>
  <c r="R62"/>
  <c r="V90"/>
  <c r="R63"/>
  <c r="Y82"/>
  <c r="T68"/>
  <c r="S67"/>
  <c r="W83"/>
  <c r="X77"/>
  <c r="Y89"/>
  <c r="S80"/>
  <c r="Y93"/>
  <c r="U69"/>
  <c r="T85"/>
  <c r="U56"/>
  <c r="U76"/>
  <c r="W57"/>
  <c r="S68"/>
  <c r="U67"/>
  <c r="T78"/>
  <c r="R66"/>
  <c r="R96"/>
  <c r="X88"/>
  <c r="R93"/>
  <c r="R72"/>
  <c r="R90"/>
  <c r="S76"/>
  <c r="W82"/>
  <c r="Y64"/>
  <c r="U54"/>
  <c r="W95"/>
  <c r="R75"/>
  <c r="X74"/>
  <c r="T97"/>
  <c r="R54"/>
  <c r="R74"/>
  <c r="T54"/>
  <c r="S74"/>
  <c r="V97"/>
  <c r="T70"/>
  <c r="V95"/>
  <c r="BE38"/>
  <c r="BD41"/>
  <c r="BG53"/>
  <c r="BG39"/>
  <c r="BB40"/>
  <c r="BA46"/>
  <c r="BB48"/>
  <c r="BF50"/>
  <c r="AZ38"/>
  <c r="BE41"/>
  <c r="BC53"/>
  <c r="BD39"/>
  <c r="BA51"/>
  <c r="BF36"/>
  <c r="BG42"/>
  <c r="BA49"/>
  <c r="BB44"/>
  <c r="BE37"/>
  <c r="BE50"/>
  <c r="BD51"/>
  <c r="BC44"/>
  <c r="BB45"/>
  <c r="BG48"/>
  <c r="BD47"/>
  <c r="AZ30"/>
  <c r="BE32"/>
  <c r="BD34"/>
  <c r="BF33"/>
  <c r="BE31"/>
  <c r="BC35"/>
  <c r="BF30"/>
  <c r="BE33"/>
  <c r="S48"/>
  <c r="Y36"/>
  <c r="Y40"/>
  <c r="U44"/>
  <c r="Y38"/>
  <c r="Y33"/>
  <c r="W47"/>
  <c r="W31"/>
  <c r="V46"/>
  <c r="V32"/>
  <c r="V43"/>
  <c r="U50"/>
  <c r="U41"/>
  <c r="X34"/>
  <c r="W39"/>
  <c r="Y52"/>
  <c r="T50"/>
  <c r="W41"/>
  <c r="Y46"/>
  <c r="V35"/>
  <c r="V45"/>
  <c r="U48"/>
  <c r="U31"/>
  <c r="X53"/>
  <c r="R32"/>
  <c r="T52"/>
  <c r="R50"/>
  <c r="S31"/>
  <c r="T53"/>
  <c r="X32"/>
  <c r="U52"/>
  <c r="W27"/>
  <c r="BB18"/>
  <c r="BE19"/>
  <c r="S21"/>
  <c r="BF25"/>
  <c r="BF27"/>
  <c r="BG19"/>
  <c r="BG28"/>
  <c r="BD19"/>
  <c r="AZ27"/>
  <c r="AM29"/>
  <c r="W21"/>
  <c r="BF29"/>
  <c r="BC25"/>
  <c r="BB28"/>
  <c r="AZ28"/>
  <c r="BD18"/>
  <c r="AM19"/>
  <c r="BC23"/>
  <c r="BB25"/>
  <c r="AM24"/>
  <c r="BC24"/>
  <c r="BD25"/>
  <c r="V21"/>
  <c r="BE21"/>
  <c r="BC18"/>
  <c r="BD28"/>
  <c r="X27"/>
  <c r="BB19"/>
  <c r="BE27"/>
  <c r="AM25"/>
  <c r="AN27"/>
  <c r="BD27"/>
  <c r="AZ29"/>
  <c r="S29"/>
  <c r="AM18"/>
  <c r="AN20"/>
  <c r="BB27"/>
  <c r="T27"/>
  <c r="BG29"/>
  <c r="BC27"/>
  <c r="AM23"/>
  <c r="AZ20"/>
  <c r="BE25"/>
  <c r="BC19"/>
  <c r="BG27"/>
  <c r="BE28"/>
  <c r="Y21"/>
  <c r="AN23"/>
  <c r="BA25"/>
  <c r="T21"/>
  <c r="S27"/>
  <c r="AZ21"/>
  <c r="BC28"/>
  <c r="AZ19"/>
  <c r="R27"/>
  <c r="U27"/>
  <c r="AN22"/>
  <c r="U21"/>
  <c r="AZ25"/>
  <c r="AD356" l="1"/>
  <c r="AE356" s="1"/>
  <c r="AD272"/>
  <c r="AE272" s="1"/>
  <c r="AD221"/>
  <c r="AE221" s="1"/>
  <c r="AD423"/>
  <c r="AE423" s="1"/>
  <c r="AD429"/>
  <c r="AE429" s="1"/>
  <c r="AD430"/>
  <c r="AE430" s="1"/>
  <c r="AD422"/>
  <c r="AE422" s="1"/>
  <c r="AD445"/>
  <c r="AE445" s="1"/>
  <c r="AD408"/>
  <c r="AE408" s="1"/>
  <c r="AD345"/>
  <c r="AE345" s="1"/>
  <c r="AD482"/>
  <c r="AE482" s="1"/>
  <c r="AD308"/>
  <c r="AE308" s="1"/>
  <c r="AD479"/>
  <c r="AE479" s="1"/>
  <c r="AD248"/>
  <c r="AE248" s="1"/>
  <c r="AD208"/>
  <c r="AE208" s="1"/>
  <c r="AD440"/>
  <c r="AE440" s="1"/>
  <c r="AD383"/>
  <c r="AE383" s="1"/>
  <c r="AD291"/>
  <c r="AE291" s="1"/>
  <c r="AD490"/>
  <c r="AE490" s="1"/>
  <c r="AD303"/>
  <c r="AE303" s="1"/>
  <c r="AD235"/>
  <c r="AE235" s="1"/>
  <c r="AD389"/>
  <c r="AE389" s="1"/>
  <c r="AD311"/>
  <c r="AE311" s="1"/>
  <c r="AD283"/>
  <c r="AE283" s="1"/>
  <c r="AD306"/>
  <c r="AE306" s="1"/>
  <c r="AD193"/>
  <c r="AE193" s="1"/>
  <c r="AD387"/>
  <c r="AE387" s="1"/>
  <c r="AD334"/>
  <c r="AE334" s="1"/>
  <c r="AD338"/>
  <c r="AE338" s="1"/>
  <c r="AD416"/>
  <c r="AE416" s="1"/>
  <c r="AD465"/>
  <c r="AE465" s="1"/>
  <c r="AD462"/>
  <c r="AE462" s="1"/>
  <c r="AD499"/>
  <c r="AE499" s="1"/>
  <c r="AD240"/>
  <c r="AE240" s="1"/>
  <c r="AD298"/>
  <c r="AE298" s="1"/>
  <c r="AD316"/>
  <c r="AE316" s="1"/>
  <c r="AD443"/>
  <c r="AE443" s="1"/>
  <c r="AD509"/>
  <c r="AE509" s="1"/>
  <c r="AD480"/>
  <c r="AE480" s="1"/>
  <c r="AD353"/>
  <c r="AE353" s="1"/>
  <c r="AD258"/>
  <c r="AE258" s="1"/>
  <c r="AD435"/>
  <c r="AE435" s="1"/>
  <c r="AD335"/>
  <c r="AE335" s="1"/>
  <c r="AD278"/>
  <c r="AE278" s="1"/>
  <c r="AD488"/>
  <c r="AE488" s="1"/>
  <c r="AD263"/>
  <c r="AE263" s="1"/>
  <c r="AD285"/>
  <c r="AE285" s="1"/>
  <c r="AD451"/>
  <c r="AE451" s="1"/>
  <c r="AD401"/>
  <c r="AE401" s="1"/>
  <c r="AD207"/>
  <c r="AE207" s="1"/>
  <c r="AD458"/>
  <c r="AE458" s="1"/>
  <c r="AD236"/>
  <c r="AE236" s="1"/>
  <c r="AD199"/>
  <c r="AE199" s="1"/>
  <c r="AD219"/>
  <c r="AE219" s="1"/>
  <c r="AD420"/>
  <c r="AE420" s="1"/>
  <c r="AD307"/>
  <c r="AE307" s="1"/>
  <c r="AD441"/>
  <c r="AE441" s="1"/>
  <c r="AD336"/>
  <c r="AE336" s="1"/>
  <c r="AD325"/>
  <c r="AE325" s="1"/>
  <c r="AD322"/>
  <c r="AE322" s="1"/>
  <c r="AD468"/>
  <c r="AE468" s="1"/>
  <c r="AD251"/>
  <c r="AE251" s="1"/>
  <c r="AD476"/>
  <c r="AE476" s="1"/>
  <c r="AD309"/>
  <c r="AE309" s="1"/>
  <c r="AD359"/>
  <c r="AE359" s="1"/>
  <c r="AD255"/>
  <c r="AE255" s="1"/>
  <c r="AD452"/>
  <c r="AE452" s="1"/>
  <c r="AD512"/>
  <c r="AE512" s="1"/>
  <c r="AD218"/>
  <c r="AE218" s="1"/>
  <c r="AD256"/>
  <c r="AE256" s="1"/>
  <c r="AD252"/>
  <c r="AE252" s="1"/>
  <c r="AD414"/>
  <c r="AE414" s="1"/>
  <c r="AD260"/>
  <c r="AE260" s="1"/>
  <c r="AD405"/>
  <c r="AE405" s="1"/>
  <c r="AD444"/>
  <c r="AE444" s="1"/>
  <c r="AD467"/>
  <c r="AE467" s="1"/>
  <c r="AD279"/>
  <c r="AE279" s="1"/>
  <c r="AD209"/>
  <c r="AE209" s="1"/>
  <c r="AD224"/>
  <c r="AE224" s="1"/>
  <c r="AD296"/>
  <c r="AE296" s="1"/>
  <c r="AD501"/>
  <c r="AE501" s="1"/>
  <c r="AD238"/>
  <c r="AE238" s="1"/>
  <c r="AD241"/>
  <c r="AE241" s="1"/>
  <c r="AD398"/>
  <c r="AE398" s="1"/>
  <c r="AD503"/>
  <c r="AE503" s="1"/>
  <c r="AD352"/>
  <c r="AE352" s="1"/>
  <c r="AD205"/>
  <c r="AE205" s="1"/>
  <c r="AD459"/>
  <c r="AE459" s="1"/>
  <c r="AD261"/>
  <c r="AE261" s="1"/>
  <c r="AD341"/>
  <c r="AE341" s="1"/>
  <c r="AD233"/>
  <c r="AE233" s="1"/>
  <c r="AD190"/>
  <c r="AE190" s="1"/>
  <c r="AD382"/>
  <c r="AE382" s="1"/>
  <c r="AD358"/>
  <c r="AE358" s="1"/>
  <c r="AD493"/>
  <c r="AE493" s="1"/>
  <c r="AD343"/>
  <c r="AE343" s="1"/>
  <c r="AD355"/>
  <c r="AE355" s="1"/>
  <c r="AD189"/>
  <c r="AE189" s="1"/>
  <c r="AD431"/>
  <c r="AE431" s="1"/>
  <c r="AD367"/>
  <c r="AE367" s="1"/>
  <c r="AD470"/>
  <c r="AE470" s="1"/>
  <c r="AD293"/>
  <c r="AE293" s="1"/>
  <c r="AD274"/>
  <c r="AE274" s="1"/>
  <c r="AD484"/>
  <c r="AE484" s="1"/>
  <c r="AD473"/>
  <c r="AE473" s="1"/>
  <c r="AD204"/>
  <c r="AE204" s="1"/>
  <c r="AD294"/>
  <c r="AE294" s="1"/>
  <c r="AB413"/>
  <c r="AD463"/>
  <c r="AE463" s="1"/>
  <c r="AD217"/>
  <c r="AE217" s="1"/>
  <c r="AD425"/>
  <c r="AE425" s="1"/>
  <c r="AD344"/>
  <c r="AE344" s="1"/>
  <c r="AD340"/>
  <c r="AE340" s="1"/>
  <c r="AD229"/>
  <c r="AE229" s="1"/>
  <c r="AD434"/>
  <c r="AE434" s="1"/>
  <c r="AD194"/>
  <c r="AE194" s="1"/>
  <c r="AD472"/>
  <c r="AE472" s="1"/>
  <c r="AD276"/>
  <c r="AE276" s="1"/>
  <c r="AD270"/>
  <c r="AE270" s="1"/>
  <c r="AD198"/>
  <c r="AE198" s="1"/>
  <c r="AD413"/>
  <c r="AE413" s="1"/>
  <c r="AD317"/>
  <c r="AE317" s="1"/>
  <c r="AD376"/>
  <c r="AE376" s="1"/>
  <c r="AD300"/>
  <c r="AE300" s="1"/>
  <c r="AD450"/>
  <c r="AE450" s="1"/>
  <c r="AD212"/>
  <c r="AE212" s="1"/>
  <c r="AD428"/>
  <c r="AE428" s="1"/>
  <c r="AD508"/>
  <c r="AE508" s="1"/>
  <c r="AD497"/>
  <c r="AE497" s="1"/>
  <c r="AD339"/>
  <c r="AE339" s="1"/>
  <c r="AD421"/>
  <c r="AE421" s="1"/>
  <c r="AD196"/>
  <c r="AE196" s="1"/>
  <c r="AD202"/>
  <c r="AE202" s="1"/>
  <c r="AD271"/>
  <c r="AE271" s="1"/>
  <c r="AD426"/>
  <c r="AE426" s="1"/>
  <c r="AD259"/>
  <c r="AE259" s="1"/>
  <c r="AD392"/>
  <c r="AE392" s="1"/>
  <c r="AD330"/>
  <c r="AE330" s="1"/>
  <c r="AD478"/>
  <c r="AE478" s="1"/>
  <c r="AD453"/>
  <c r="AE453" s="1"/>
  <c r="AD385"/>
  <c r="AE385" s="1"/>
  <c r="AD396"/>
  <c r="AE396" s="1"/>
  <c r="AD302"/>
  <c r="AE302" s="1"/>
  <c r="AD239"/>
  <c r="AE239" s="1"/>
  <c r="AD471"/>
  <c r="AE471" s="1"/>
  <c r="AD449"/>
  <c r="AE449" s="1"/>
  <c r="AD314"/>
  <c r="AE314" s="1"/>
  <c r="AD206"/>
  <c r="AE206" s="1"/>
  <c r="AD483"/>
  <c r="AE483" s="1"/>
  <c r="AD200"/>
  <c r="AE200" s="1"/>
  <c r="AD511"/>
  <c r="AE511" s="1"/>
  <c r="AD333"/>
  <c r="AE333" s="1"/>
  <c r="AD266"/>
  <c r="AE266" s="1"/>
  <c r="AD324"/>
  <c r="AE324" s="1"/>
  <c r="AD510"/>
  <c r="AE510" s="1"/>
  <c r="AD245"/>
  <c r="AE245" s="1"/>
  <c r="AD253"/>
  <c r="AE253" s="1"/>
  <c r="AD432"/>
  <c r="AE432" s="1"/>
  <c r="AD489"/>
  <c r="AE489" s="1"/>
  <c r="AD496"/>
  <c r="AE496" s="1"/>
  <c r="AD329"/>
  <c r="AE329" s="1"/>
  <c r="AB434"/>
  <c r="AD433"/>
  <c r="AE433" s="1"/>
  <c r="AD284"/>
  <c r="AE284" s="1"/>
  <c r="AD500"/>
  <c r="AE500" s="1"/>
  <c r="AD257"/>
  <c r="AE257" s="1"/>
  <c r="AD368"/>
  <c r="AE368" s="1"/>
  <c r="AD506"/>
  <c r="AE506" s="1"/>
  <c r="AD379"/>
  <c r="AE379" s="1"/>
  <c r="AD438"/>
  <c r="AE438" s="1"/>
  <c r="AD250"/>
  <c r="AE250" s="1"/>
  <c r="AD412"/>
  <c r="AE412" s="1"/>
  <c r="AD230"/>
  <c r="AE230" s="1"/>
  <c r="AD380"/>
  <c r="AE380" s="1"/>
  <c r="AD231"/>
  <c r="AE231" s="1"/>
  <c r="AD395"/>
  <c r="AE395" s="1"/>
  <c r="AD188"/>
  <c r="AE188" s="1"/>
  <c r="AB262"/>
  <c r="AD211"/>
  <c r="AE211" s="1"/>
  <c r="AB344"/>
  <c r="AB492"/>
  <c r="AD192"/>
  <c r="AE192" s="1"/>
  <c r="AB468"/>
  <c r="AD299"/>
  <c r="AE299" s="1"/>
  <c r="AD315"/>
  <c r="AE315" s="1"/>
  <c r="AB276"/>
  <c r="AD342"/>
  <c r="AE342" s="1"/>
  <c r="AD365"/>
  <c r="AE365" s="1"/>
  <c r="AD363"/>
  <c r="AE363" s="1"/>
  <c r="AD381"/>
  <c r="AE381" s="1"/>
  <c r="AD277"/>
  <c r="AE277" s="1"/>
  <c r="AD347"/>
  <c r="AE347" s="1"/>
  <c r="AB274"/>
  <c r="AD377"/>
  <c r="AE377" s="1"/>
  <c r="AD442"/>
  <c r="AE442" s="1"/>
  <c r="AB331"/>
  <c r="AB282"/>
  <c r="AB272"/>
  <c r="AB359"/>
  <c r="AB338"/>
  <c r="AB487"/>
  <c r="AB330"/>
  <c r="AD220"/>
  <c r="AE220" s="1"/>
  <c r="AD454"/>
  <c r="AE454" s="1"/>
  <c r="AB368"/>
  <c r="AB224"/>
  <c r="AD331"/>
  <c r="AE331" s="1"/>
  <c r="AB496"/>
  <c r="AB238"/>
  <c r="AD447"/>
  <c r="AE447" s="1"/>
  <c r="AB380"/>
  <c r="AD313"/>
  <c r="AE313" s="1"/>
  <c r="AD498"/>
  <c r="AE498" s="1"/>
  <c r="AD384"/>
  <c r="AE384" s="1"/>
  <c r="AD439"/>
  <c r="AE439" s="1"/>
  <c r="AD372"/>
  <c r="AE372" s="1"/>
  <c r="AB379"/>
  <c r="AD222"/>
  <c r="AE222" s="1"/>
  <c r="AD456"/>
  <c r="AE456" s="1"/>
  <c r="AD287"/>
  <c r="AE287" s="1"/>
  <c r="AD351"/>
  <c r="AE351" s="1"/>
  <c r="AD216"/>
  <c r="AE216" s="1"/>
  <c r="AB381"/>
  <c r="AD242"/>
  <c r="AE242" s="1"/>
  <c r="AD273"/>
  <c r="AE273" s="1"/>
  <c r="AD195"/>
  <c r="AE195" s="1"/>
  <c r="AD485"/>
  <c r="AE485" s="1"/>
  <c r="AB358"/>
  <c r="AD418"/>
  <c r="AE418" s="1"/>
  <c r="AD477"/>
  <c r="AE477" s="1"/>
  <c r="AD410"/>
  <c r="AE410" s="1"/>
  <c r="AD327"/>
  <c r="AE327" s="1"/>
  <c r="AD481"/>
  <c r="AE481" s="1"/>
  <c r="AB464"/>
  <c r="AD397"/>
  <c r="AE397" s="1"/>
  <c r="AD210"/>
  <c r="AE210" s="1"/>
  <c r="AD234"/>
  <c r="AE234" s="1"/>
  <c r="AD375"/>
  <c r="AE375" s="1"/>
  <c r="AB308"/>
  <c r="AD457"/>
  <c r="AE457" s="1"/>
  <c r="AB251"/>
  <c r="AD310"/>
  <c r="AE310" s="1"/>
  <c r="AD214"/>
  <c r="AE214" s="1"/>
  <c r="AD362"/>
  <c r="AE362" s="1"/>
  <c r="AD371"/>
  <c r="AE371" s="1"/>
  <c r="AD378"/>
  <c r="AE378" s="1"/>
  <c r="AD366"/>
  <c r="AE366" s="1"/>
  <c r="AD464"/>
  <c r="AE464" s="1"/>
  <c r="AD354"/>
  <c r="AE354" s="1"/>
  <c r="AB372"/>
  <c r="AD215"/>
  <c r="AE215" s="1"/>
  <c r="AB297"/>
  <c r="AB280"/>
  <c r="AD191"/>
  <c r="AE191" s="1"/>
  <c r="AB225"/>
  <c r="AB516"/>
  <c r="AB328"/>
  <c r="AB430"/>
  <c r="AB499"/>
  <c r="AB314"/>
  <c r="AB208"/>
  <c r="AB511"/>
  <c r="AD502"/>
  <c r="AE502" s="1"/>
  <c r="AD446"/>
  <c r="AE446" s="1"/>
  <c r="AB363"/>
  <c r="AB365"/>
  <c r="AD318"/>
  <c r="AE318" s="1"/>
  <c r="AD461"/>
  <c r="AE461" s="1"/>
  <c r="AD514"/>
  <c r="AE514" s="1"/>
  <c r="AD403"/>
  <c r="AE403" s="1"/>
  <c r="AD225"/>
  <c r="AE225" s="1"/>
  <c r="AD516"/>
  <c r="AE516" s="1"/>
  <c r="AB384"/>
  <c r="AB215"/>
  <c r="AB222"/>
  <c r="AD280"/>
  <c r="AE280" s="1"/>
  <c r="AB318"/>
  <c r="AB376"/>
  <c r="AD409"/>
  <c r="AE409" s="1"/>
  <c r="AB390"/>
  <c r="AB298"/>
  <c r="AB200"/>
  <c r="AB484"/>
  <c r="AD360"/>
  <c r="AE360" s="1"/>
  <c r="AB277"/>
  <c r="AD474"/>
  <c r="AE474" s="1"/>
  <c r="AD232"/>
  <c r="AE232" s="1"/>
  <c r="AB473"/>
  <c r="AB459"/>
  <c r="AB451"/>
  <c r="AB332"/>
  <c r="AB509"/>
  <c r="AD411"/>
  <c r="AE411" s="1"/>
  <c r="AD288"/>
  <c r="AE288" s="1"/>
  <c r="AD504"/>
  <c r="AE504" s="1"/>
  <c r="AD264"/>
  <c r="AE264" s="1"/>
  <c r="AB242"/>
  <c r="AD244"/>
  <c r="AE244" s="1"/>
  <c r="AB343"/>
  <c r="AD295"/>
  <c r="AE295" s="1"/>
  <c r="AB307"/>
  <c r="AB398"/>
  <c r="AD374"/>
  <c r="AE374" s="1"/>
  <c r="AD400"/>
  <c r="AE400" s="1"/>
  <c r="AD495"/>
  <c r="AE495" s="1"/>
  <c r="AB508"/>
  <c r="AD417"/>
  <c r="AE417" s="1"/>
  <c r="AB497"/>
  <c r="AD247"/>
  <c r="AE247" s="1"/>
  <c r="AD281"/>
  <c r="AE281" s="1"/>
  <c r="AD407"/>
  <c r="AE407" s="1"/>
  <c r="AB341"/>
  <c r="AD357"/>
  <c r="AE357" s="1"/>
  <c r="AD290"/>
  <c r="AE290" s="1"/>
  <c r="AD223"/>
  <c r="AE223" s="1"/>
  <c r="AD487"/>
  <c r="AE487" s="1"/>
  <c r="AD328"/>
  <c r="AE328" s="1"/>
  <c r="AD323"/>
  <c r="AE323" s="1"/>
  <c r="AD370"/>
  <c r="AE370" s="1"/>
  <c r="AD507"/>
  <c r="AE507" s="1"/>
  <c r="AB337"/>
  <c r="AD460"/>
  <c r="AE460" s="1"/>
  <c r="AD393"/>
  <c r="AE393" s="1"/>
  <c r="AB326"/>
  <c r="AB259"/>
  <c r="AD304"/>
  <c r="AE304" s="1"/>
  <c r="AD243"/>
  <c r="AE243" s="1"/>
  <c r="AD436"/>
  <c r="AE436" s="1"/>
  <c r="AD419"/>
  <c r="AE419" s="1"/>
  <c r="AB191"/>
  <c r="AB270"/>
  <c r="AB457"/>
  <c r="AB300"/>
  <c r="AB336"/>
  <c r="AB479"/>
  <c r="AD348"/>
  <c r="AE348" s="1"/>
  <c r="AD391"/>
  <c r="AE391" s="1"/>
  <c r="AD424"/>
  <c r="AE424" s="1"/>
  <c r="AD486"/>
  <c r="AE486" s="1"/>
  <c r="AD269"/>
  <c r="AE269" s="1"/>
  <c r="AD390"/>
  <c r="AE390" s="1"/>
  <c r="AD515"/>
  <c r="AE515" s="1"/>
  <c r="AD369"/>
  <c r="AE369" s="1"/>
  <c r="AB408"/>
  <c r="AD332"/>
  <c r="AE332" s="1"/>
  <c r="AD265"/>
  <c r="AE265" s="1"/>
  <c r="AD286"/>
  <c r="AE286" s="1"/>
  <c r="AB389"/>
  <c r="AD321"/>
  <c r="AE321" s="1"/>
  <c r="AD254"/>
  <c r="AE254" s="1"/>
  <c r="AB414"/>
  <c r="AD346"/>
  <c r="AE346" s="1"/>
  <c r="AB449"/>
  <c r="AD289"/>
  <c r="AE289" s="1"/>
  <c r="AD505"/>
  <c r="AE505" s="1"/>
  <c r="AD364"/>
  <c r="AE364" s="1"/>
  <c r="AD406"/>
  <c r="AE406" s="1"/>
  <c r="AD394"/>
  <c r="AE394" s="1"/>
  <c r="AB345"/>
  <c r="AD491"/>
  <c r="AE491" s="1"/>
  <c r="AD237"/>
  <c r="AE237" s="1"/>
  <c r="AD197"/>
  <c r="AE197" s="1"/>
  <c r="AD373"/>
  <c r="AE373" s="1"/>
  <c r="AD213"/>
  <c r="AE213" s="1"/>
  <c r="AD415"/>
  <c r="AE415" s="1"/>
  <c r="AD305"/>
  <c r="AE305" s="1"/>
  <c r="AB334"/>
  <c r="AD246"/>
  <c r="AE246" s="1"/>
  <c r="AD427"/>
  <c r="AE427" s="1"/>
  <c r="AB258"/>
  <c r="AB256"/>
  <c r="AB401"/>
  <c r="AD399"/>
  <c r="AE399" s="1"/>
  <c r="AD249"/>
  <c r="AE249" s="1"/>
  <c r="AB469"/>
  <c r="AD292"/>
  <c r="AE292" s="1"/>
  <c r="AD437"/>
  <c r="AE437" s="1"/>
  <c r="AD319"/>
  <c r="AE319" s="1"/>
  <c r="AD466"/>
  <c r="AE466" s="1"/>
  <c r="AB513"/>
  <c r="AB195"/>
  <c r="AB288"/>
  <c r="AB354"/>
  <c r="AB504"/>
  <c r="AB198"/>
  <c r="AB441"/>
  <c r="AB361"/>
  <c r="AB309"/>
  <c r="AB357"/>
  <c r="AB311"/>
  <c r="AB206"/>
  <c r="AB204"/>
  <c r="AB284"/>
  <c r="AB472"/>
  <c r="AB291"/>
  <c r="AB221"/>
  <c r="AB421"/>
  <c r="AB452"/>
  <c r="AB231"/>
  <c r="AD513"/>
  <c r="AE513" s="1"/>
  <c r="AB446"/>
  <c r="AB287"/>
  <c r="AB360"/>
  <c r="AB273"/>
  <c r="AB340"/>
  <c r="AD492"/>
  <c r="AE492" s="1"/>
  <c r="AB418"/>
  <c r="AB470"/>
  <c r="AB403"/>
  <c r="AB210"/>
  <c r="AB310"/>
  <c r="AB374"/>
  <c r="AB366"/>
  <c r="AB279"/>
  <c r="AB247"/>
  <c r="AB407"/>
  <c r="AB290"/>
  <c r="AB223"/>
  <c r="AB460"/>
  <c r="AB392"/>
  <c r="AB436"/>
  <c r="AB348"/>
  <c r="AB269"/>
  <c r="AB396"/>
  <c r="AB265"/>
  <c r="AB443"/>
  <c r="AB406"/>
  <c r="AB491"/>
  <c r="AB237"/>
  <c r="AB373"/>
  <c r="AB306"/>
  <c r="AB292"/>
  <c r="AB427"/>
  <c r="AB319"/>
  <c r="AB447"/>
  <c r="AB351"/>
  <c r="AB477"/>
  <c r="AB375"/>
  <c r="AB214"/>
  <c r="AB429"/>
  <c r="AB495"/>
  <c r="AB322"/>
  <c r="AB304"/>
  <c r="AB369"/>
  <c r="AB350"/>
  <c r="AB327"/>
  <c r="AB293"/>
  <c r="AB494"/>
  <c r="AB232"/>
  <c r="AB404"/>
  <c r="AB393"/>
  <c r="AB490"/>
  <c r="AB243"/>
  <c r="AB236"/>
  <c r="AB240"/>
  <c r="AB512"/>
  <c r="AB218"/>
  <c r="AB235"/>
  <c r="AB356"/>
  <c r="AB364"/>
  <c r="AB416"/>
  <c r="AB266"/>
  <c r="AB260"/>
  <c r="AB431"/>
  <c r="AB301"/>
  <c r="AB502"/>
  <c r="AB433"/>
  <c r="AB425"/>
  <c r="AB317"/>
  <c r="AB442"/>
  <c r="AB321"/>
  <c r="AB346"/>
  <c r="AB267"/>
  <c r="AB349"/>
  <c r="AB466"/>
  <c r="AB439"/>
  <c r="AD228"/>
  <c r="AE228" s="1"/>
  <c r="AB438"/>
  <c r="AB455"/>
  <c r="AB209"/>
  <c r="AB192"/>
  <c r="AB410"/>
  <c r="AB299"/>
  <c r="AB463"/>
  <c r="AB264"/>
  <c r="AB420"/>
  <c r="AB362"/>
  <c r="AB295"/>
  <c r="AB400"/>
  <c r="AB312"/>
  <c r="AB448"/>
  <c r="AB428"/>
  <c r="AB339"/>
  <c r="AB488"/>
  <c r="AB402"/>
  <c r="AB202"/>
  <c r="AB480"/>
  <c r="AB325"/>
  <c r="AB201"/>
  <c r="AB385"/>
  <c r="AB252"/>
  <c r="AB483"/>
  <c r="AB197"/>
  <c r="AB435"/>
  <c r="AB440"/>
  <c r="AB510"/>
  <c r="AB245"/>
  <c r="AB305"/>
  <c r="AB387"/>
  <c r="AB275"/>
  <c r="AB458"/>
  <c r="AB395"/>
  <c r="AB388"/>
  <c r="AB506"/>
  <c r="AB228"/>
  <c r="AB257"/>
  <c r="AB188"/>
  <c r="AB211"/>
  <c r="AB493"/>
  <c r="AB347"/>
  <c r="AB296"/>
  <c r="AB229"/>
  <c r="AB501"/>
  <c r="AB474"/>
  <c r="AB481"/>
  <c r="AB294"/>
  <c r="AB248"/>
  <c r="AB397"/>
  <c r="AB190"/>
  <c r="AB234"/>
  <c r="AB377"/>
  <c r="AB378"/>
  <c r="AB465"/>
  <c r="AB503"/>
  <c r="AB352"/>
  <c r="AB405"/>
  <c r="AB271"/>
  <c r="AB370"/>
  <c r="AB255"/>
  <c r="AB478"/>
  <c r="AB303"/>
  <c r="AB486"/>
  <c r="AB227"/>
  <c r="AB285"/>
  <c r="AB515"/>
  <c r="AB286"/>
  <c r="AB423"/>
  <c r="AB289"/>
  <c r="AB283"/>
  <c r="AB394"/>
  <c r="AB333"/>
  <c r="AB482"/>
  <c r="AB199"/>
  <c r="AB320"/>
  <c r="AB253"/>
  <c r="AB432"/>
  <c r="AB313"/>
  <c r="AB412"/>
  <c r="AB220"/>
  <c r="AB411"/>
  <c r="AB244"/>
  <c r="AB467"/>
  <c r="AB315"/>
  <c r="AB386"/>
  <c r="AB371"/>
  <c r="AB409"/>
  <c r="AB189"/>
  <c r="AB391"/>
  <c r="AB207"/>
  <c r="AB454"/>
  <c r="AB230"/>
  <c r="AB217"/>
  <c r="AB241"/>
  <c r="AB268"/>
  <c r="AB476"/>
  <c r="AB263"/>
  <c r="AB213"/>
  <c r="AB324"/>
  <c r="AB383"/>
  <c r="AB485"/>
  <c r="AB196"/>
  <c r="AB426"/>
  <c r="AB302"/>
  <c r="AB316"/>
  <c r="AB254"/>
  <c r="AB335"/>
  <c r="AB329"/>
  <c r="AB462"/>
  <c r="AB249"/>
  <c r="AB475"/>
  <c r="AB203"/>
  <c r="AB461"/>
  <c r="AB194"/>
  <c r="AB450"/>
  <c r="AB212"/>
  <c r="AB205"/>
  <c r="AB233"/>
  <c r="AB419"/>
  <c r="AB453"/>
  <c r="AB239"/>
  <c r="AB471"/>
  <c r="AB505"/>
  <c r="AB353"/>
  <c r="AB193"/>
  <c r="AB444"/>
  <c r="AB489"/>
  <c r="AB498"/>
  <c r="AB342"/>
  <c r="AB456"/>
  <c r="AB500"/>
  <c r="AB216"/>
  <c r="AB250"/>
  <c r="AB382"/>
  <c r="AB367"/>
  <c r="AB261"/>
  <c r="AB514"/>
  <c r="AB355"/>
  <c r="AB417"/>
  <c r="AB278"/>
  <c r="AB281"/>
  <c r="AB323"/>
  <c r="AB507"/>
  <c r="AB422"/>
  <c r="AB424"/>
  <c r="AB445"/>
  <c r="AB219"/>
  <c r="AB415"/>
  <c r="AB226"/>
  <c r="AB399"/>
  <c r="AB246"/>
  <c r="AB437"/>
  <c r="AD337"/>
  <c r="AE337" s="1"/>
  <c r="AD312"/>
  <c r="AE312" s="1"/>
  <c r="AD404"/>
  <c r="AE404" s="1"/>
  <c r="AD268"/>
  <c r="AE268" s="1"/>
  <c r="AD275"/>
  <c r="AE275" s="1"/>
  <c r="AD386"/>
  <c r="AE386" s="1"/>
  <c r="AD282"/>
  <c r="AE282" s="1"/>
  <c r="AD448"/>
  <c r="AE448" s="1"/>
  <c r="AD320"/>
  <c r="AE320" s="1"/>
  <c r="AD475"/>
  <c r="AE475" s="1"/>
  <c r="AD455"/>
  <c r="AE455" s="1"/>
  <c r="AD469"/>
  <c r="AE469" s="1"/>
  <c r="AD349"/>
  <c r="AE349" s="1"/>
  <c r="AD227"/>
  <c r="AE227" s="1"/>
  <c r="AD326"/>
  <c r="AE326" s="1"/>
  <c r="AD267"/>
  <c r="AE267" s="1"/>
  <c r="AD297"/>
  <c r="AE297" s="1"/>
  <c r="AD226"/>
  <c r="AE226" s="1"/>
  <c r="AD301"/>
  <c r="AE301" s="1"/>
  <c r="AD402"/>
  <c r="AE402" s="1"/>
  <c r="AD203"/>
  <c r="AE203" s="1"/>
  <c r="AD350"/>
  <c r="AE350" s="1"/>
  <c r="AD494"/>
  <c r="AE494" s="1"/>
  <c r="AD388"/>
  <c r="AE388" s="1"/>
  <c r="AD201"/>
  <c r="AE201" s="1"/>
  <c r="AD262"/>
  <c r="AE262" s="1"/>
  <c r="AD361"/>
  <c r="AE361" s="1"/>
  <c r="AP445"/>
  <c r="AP160"/>
  <c r="AP155"/>
  <c r="AP159"/>
  <c r="AP444"/>
  <c r="AP437"/>
  <c r="AP158"/>
  <c r="AP489"/>
  <c r="BT502"/>
  <c r="BT500"/>
  <c r="AX345"/>
  <c r="AX99"/>
  <c r="AX97"/>
  <c r="AX160"/>
  <c r="AX451"/>
  <c r="BT435"/>
  <c r="BT463"/>
  <c r="AX208"/>
  <c r="BT396"/>
  <c r="BT362"/>
  <c r="BT466"/>
  <c r="BT464"/>
  <c r="BT431"/>
  <c r="AX63"/>
  <c r="AX61"/>
  <c r="AX379"/>
  <c r="BT363"/>
  <c r="BV300"/>
  <c r="AX111"/>
  <c r="AX136"/>
  <c r="BT324"/>
  <c r="AX174"/>
  <c r="BV289"/>
  <c r="BT189"/>
  <c r="BT244"/>
  <c r="BT242"/>
  <c r="BT305"/>
  <c r="AX41"/>
  <c r="AX49"/>
  <c r="BT285"/>
  <c r="AX471"/>
  <c r="AX87"/>
  <c r="AX112"/>
  <c r="BT318"/>
  <c r="BT201"/>
  <c r="BT217"/>
  <c r="BT424"/>
  <c r="BT422"/>
  <c r="AX57"/>
  <c r="BT402"/>
  <c r="BT410"/>
  <c r="BT421"/>
  <c r="BT207"/>
  <c r="BT448"/>
  <c r="AX81"/>
  <c r="AX106"/>
  <c r="BT312"/>
  <c r="BT381"/>
  <c r="BT306"/>
  <c r="BT272"/>
  <c r="BT427"/>
  <c r="AX102"/>
  <c r="BT274"/>
  <c r="BT227"/>
  <c r="AX71"/>
  <c r="BT332"/>
  <c r="BV246"/>
  <c r="AX441"/>
  <c r="AX75"/>
  <c r="AX100"/>
  <c r="AX240"/>
  <c r="BT486"/>
  <c r="BT490"/>
  <c r="AX80"/>
  <c r="BT432"/>
  <c r="BT307"/>
  <c r="BT254"/>
  <c r="BT205"/>
  <c r="BT436"/>
  <c r="BV285"/>
  <c r="BT284"/>
  <c r="BT311"/>
  <c r="BT191"/>
  <c r="BT223"/>
  <c r="AX515"/>
  <c r="AX444"/>
  <c r="BT481"/>
  <c r="BT190"/>
  <c r="BT215"/>
  <c r="AX347"/>
  <c r="BT296"/>
  <c r="BT325"/>
  <c r="BT250"/>
  <c r="BT248"/>
  <c r="BT275"/>
  <c r="AX82"/>
  <c r="AX108"/>
  <c r="BT480"/>
  <c r="AX282"/>
  <c r="AX318"/>
  <c r="AX117"/>
  <c r="BT276"/>
  <c r="AX90"/>
  <c r="AX223"/>
  <c r="BT430"/>
  <c r="BT428"/>
  <c r="BT211"/>
  <c r="AX88"/>
  <c r="BT308"/>
  <c r="BT291"/>
  <c r="BT478"/>
  <c r="AX39"/>
  <c r="AX64"/>
  <c r="BT252"/>
  <c r="AX84"/>
  <c r="BT218"/>
  <c r="BT439"/>
  <c r="AX114"/>
  <c r="AX116"/>
  <c r="BT208"/>
  <c r="BT206"/>
  <c r="BT269"/>
  <c r="BT193"/>
  <c r="BT433"/>
  <c r="BT213"/>
  <c r="BT400"/>
  <c r="BT461"/>
  <c r="BT246"/>
  <c r="AX78"/>
  <c r="AX89"/>
  <c r="BT477"/>
  <c r="AX387"/>
  <c r="BV385"/>
  <c r="BT330"/>
  <c r="BT338"/>
  <c r="BT253"/>
  <c r="AX375"/>
  <c r="BT407"/>
  <c r="AX239"/>
  <c r="BT345"/>
  <c r="BT270"/>
  <c r="BT343"/>
  <c r="AX66"/>
  <c r="BT238"/>
  <c r="BT361"/>
  <c r="BT260"/>
  <c r="BT495"/>
  <c r="AX110"/>
  <c r="BT370"/>
  <c r="BT401"/>
  <c r="AX69"/>
  <c r="AX67"/>
  <c r="AX94"/>
  <c r="BT294"/>
  <c r="AX338"/>
  <c r="BT300"/>
  <c r="BT225"/>
  <c r="BT196"/>
  <c r="BT221"/>
  <c r="BT354"/>
  <c r="BT230"/>
  <c r="BT199"/>
  <c r="AX33"/>
  <c r="AX58"/>
  <c r="AX221"/>
  <c r="AX302"/>
  <c r="AX263"/>
  <c r="BV281"/>
  <c r="AX42"/>
  <c r="BT465"/>
  <c r="AX98"/>
  <c r="AX213"/>
  <c r="BT212"/>
  <c r="BT239"/>
  <c r="BT509"/>
  <c r="AX482"/>
  <c r="BT444"/>
  <c r="BT513"/>
  <c r="BT484"/>
  <c r="AX45"/>
  <c r="AX70"/>
  <c r="BT204"/>
  <c r="BT459"/>
  <c r="BT394"/>
  <c r="BT392"/>
  <c r="BT443"/>
  <c r="BT419"/>
  <c r="BU456"/>
  <c r="AX52"/>
  <c r="BU199"/>
  <c r="AX218"/>
  <c r="BT406"/>
  <c r="BT479"/>
  <c r="BV472"/>
  <c r="AX511"/>
  <c r="AX145"/>
  <c r="AX354"/>
  <c r="AX72"/>
  <c r="AX492"/>
  <c r="BT233"/>
  <c r="AX96"/>
  <c r="BT271"/>
  <c r="AX140"/>
  <c r="BT328"/>
  <c r="BU352"/>
  <c r="BT437"/>
  <c r="AX173"/>
  <c r="BT506"/>
  <c r="AX53"/>
  <c r="BT405"/>
  <c r="BT352"/>
  <c r="BT350"/>
  <c r="BT515"/>
  <c r="BT258"/>
  <c r="BU265"/>
  <c r="BT501"/>
  <c r="AX62"/>
  <c r="BT304"/>
  <c r="AX328"/>
  <c r="BT425"/>
  <c r="AX168"/>
  <c r="BT450"/>
  <c r="AX60"/>
  <c r="AX122"/>
  <c r="AX83"/>
  <c r="BT454"/>
  <c r="AX201"/>
  <c r="BT360"/>
  <c r="BT471"/>
  <c r="AX104"/>
  <c r="BV363"/>
  <c r="BT395"/>
  <c r="AX488"/>
  <c r="BT414"/>
  <c r="AX487"/>
  <c r="AX86"/>
  <c r="AX47"/>
  <c r="BT418"/>
  <c r="AX502"/>
  <c r="BT288"/>
  <c r="AX48"/>
  <c r="AX109"/>
  <c r="AX398"/>
  <c r="AX291"/>
  <c r="AX316"/>
  <c r="BT469"/>
  <c r="AX266"/>
  <c r="BT228"/>
  <c r="AX44"/>
  <c r="AX51"/>
  <c r="AX76"/>
  <c r="AX209"/>
  <c r="BT470"/>
  <c r="AX85"/>
  <c r="AX392"/>
  <c r="AX177"/>
  <c r="AX202"/>
  <c r="AX509"/>
  <c r="BT447"/>
  <c r="BU407"/>
  <c r="AX440"/>
  <c r="AX411"/>
  <c r="BT491"/>
  <c r="AX484"/>
  <c r="BV445"/>
  <c r="AX386"/>
  <c r="BT358"/>
  <c r="BT356"/>
  <c r="BT383"/>
  <c r="BU334"/>
  <c r="BV378"/>
  <c r="AX516"/>
  <c r="BT334"/>
  <c r="BT359"/>
  <c r="BT492"/>
  <c r="AX107"/>
  <c r="AX439"/>
  <c r="AX73"/>
  <c r="BT277"/>
  <c r="AX36"/>
  <c r="AX228"/>
  <c r="BT197"/>
  <c r="BT507"/>
  <c r="AX68"/>
  <c r="BT256"/>
  <c r="AX280"/>
  <c r="BT468"/>
  <c r="AX101"/>
  <c r="BT434"/>
  <c r="BU308"/>
  <c r="BV233"/>
  <c r="AX91"/>
  <c r="AX258"/>
  <c r="AX30"/>
  <c r="AX46"/>
  <c r="AX187"/>
  <c r="BT423"/>
  <c r="AX38"/>
  <c r="BT298"/>
  <c r="AX322"/>
  <c r="BT413"/>
  <c r="BT273"/>
  <c r="AX197"/>
  <c r="AX19"/>
  <c r="BT496"/>
  <c r="BT494"/>
  <c r="BT449"/>
  <c r="AX54"/>
  <c r="AX115"/>
  <c r="AX350"/>
  <c r="BT397"/>
  <c r="BT226"/>
  <c r="BT251"/>
  <c r="BU455"/>
  <c r="BT453"/>
  <c r="BT378"/>
  <c r="AX415"/>
  <c r="AX50"/>
  <c r="BT475"/>
  <c r="BT382"/>
  <c r="BT371"/>
  <c r="BT216"/>
  <c r="BT476"/>
  <c r="AX37"/>
  <c r="BT327"/>
  <c r="BT385"/>
  <c r="BT220"/>
  <c r="AX244"/>
  <c r="AX390"/>
  <c r="BU466"/>
  <c r="AX77"/>
  <c r="AX230"/>
  <c r="AX191"/>
  <c r="BT409"/>
  <c r="BT497"/>
  <c r="BT398"/>
  <c r="AX504"/>
  <c r="BT321"/>
  <c r="BU372"/>
  <c r="AX166"/>
  <c r="AX437"/>
  <c r="BT411"/>
  <c r="AX371"/>
  <c r="BT369"/>
  <c r="BT340"/>
  <c r="BT365"/>
  <c r="AX497"/>
  <c r="AX59"/>
  <c r="BU373"/>
  <c r="BT499"/>
  <c r="BT315"/>
  <c r="AX321"/>
  <c r="AX319"/>
  <c r="BT347"/>
  <c r="AX262"/>
  <c r="BT295"/>
  <c r="BT455"/>
  <c r="AX55"/>
  <c r="AX74"/>
  <c r="AX261"/>
  <c r="BT287"/>
  <c r="BU419"/>
  <c r="AX35"/>
  <c r="BT368"/>
  <c r="AX486"/>
  <c r="AX92"/>
  <c r="BT333"/>
  <c r="BT316"/>
  <c r="BT314"/>
  <c r="BT377"/>
  <c r="BT194"/>
  <c r="BV428"/>
  <c r="BT451"/>
  <c r="BT232"/>
  <c r="BT257"/>
  <c r="AX461"/>
  <c r="AX95"/>
  <c r="AX56"/>
  <c r="BT235"/>
  <c r="BT261"/>
  <c r="BT280"/>
  <c r="BT278"/>
  <c r="BT341"/>
  <c r="AX113"/>
  <c r="BT357"/>
  <c r="BT289"/>
  <c r="BV389"/>
  <c r="AX236"/>
  <c r="BT367"/>
  <c r="BU459"/>
  <c r="BT458"/>
  <c r="AX93"/>
  <c r="BT474"/>
  <c r="AX481"/>
  <c r="AX43"/>
  <c r="BT279"/>
  <c r="AX144"/>
  <c r="AX383"/>
  <c r="BT417"/>
  <c r="AX341"/>
  <c r="BT344"/>
  <c r="BT511"/>
  <c r="AX309"/>
  <c r="AX298"/>
  <c r="AX143"/>
  <c r="BT404"/>
  <c r="AX402"/>
  <c r="BT255"/>
  <c r="BT514"/>
  <c r="AX172"/>
  <c r="AX312"/>
  <c r="AX388"/>
  <c r="BT415"/>
  <c r="AX194"/>
  <c r="BT331"/>
  <c r="BT236"/>
  <c r="BT504"/>
  <c r="AX65"/>
  <c r="BT326"/>
  <c r="BT349"/>
  <c r="BT249"/>
  <c r="BU507"/>
  <c r="AX105"/>
  <c r="AX103"/>
  <c r="AX130"/>
  <c r="BT366"/>
  <c r="AX374"/>
  <c r="AX335"/>
  <c r="BT297"/>
  <c r="BT268"/>
  <c r="BT293"/>
  <c r="BU425"/>
  <c r="BT265"/>
  <c r="AX301"/>
  <c r="BT337"/>
  <c r="BX338" s="1"/>
  <c r="BT243"/>
  <c r="AX186"/>
  <c r="P65"/>
  <c r="P67"/>
  <c r="P86"/>
  <c r="P103"/>
  <c r="P113"/>
  <c r="P73"/>
  <c r="P85"/>
  <c r="P91"/>
  <c r="P83"/>
  <c r="P115"/>
  <c r="P93"/>
  <c r="P99"/>
  <c r="P58"/>
  <c r="P117"/>
  <c r="P44"/>
  <c r="P45"/>
  <c r="AX294"/>
  <c r="AX79"/>
  <c r="BT210"/>
  <c r="AX500"/>
  <c r="AX265"/>
  <c r="AX142"/>
  <c r="BT445"/>
  <c r="AX285"/>
  <c r="AX300"/>
  <c r="BT301"/>
  <c r="BT390"/>
  <c r="BT429"/>
  <c r="P50"/>
  <c r="P37"/>
  <c r="P39"/>
  <c r="P42"/>
  <c r="P56"/>
  <c r="AL117"/>
  <c r="AP118" s="1"/>
  <c r="AL278"/>
  <c r="AP278" s="1"/>
  <c r="AL369"/>
  <c r="P423"/>
  <c r="P515"/>
  <c r="P57"/>
  <c r="P19"/>
  <c r="P109"/>
  <c r="P318"/>
  <c r="P124"/>
  <c r="AL26"/>
  <c r="AP27" s="1"/>
  <c r="P196"/>
  <c r="P342"/>
  <c r="P397"/>
  <c r="P35"/>
  <c r="P29"/>
  <c r="BV404"/>
  <c r="BV352"/>
  <c r="BV211"/>
  <c r="BU259"/>
  <c r="BV387"/>
  <c r="BU515"/>
  <c r="BU285"/>
  <c r="BV331"/>
  <c r="BU426"/>
  <c r="BU317"/>
  <c r="BU430"/>
  <c r="BV430"/>
  <c r="BV395"/>
  <c r="BU395"/>
  <c r="BV208"/>
  <c r="BV419"/>
  <c r="BV294"/>
  <c r="BV368"/>
  <c r="AX438"/>
  <c r="BU378"/>
  <c r="P285"/>
  <c r="AX162"/>
  <c r="P453"/>
  <c r="AX421"/>
  <c r="P170"/>
  <c r="P135"/>
  <c r="P475"/>
  <c r="AX458"/>
  <c r="AL216"/>
  <c r="AP217" s="1"/>
  <c r="AX40"/>
  <c r="AX271"/>
  <c r="AX332"/>
  <c r="AX340"/>
  <c r="P18"/>
  <c r="P24"/>
  <c r="AL74"/>
  <c r="P272"/>
  <c r="AL127"/>
  <c r="AP127" s="1"/>
  <c r="P155"/>
  <c r="AL507"/>
  <c r="AP508" s="1"/>
  <c r="AL206"/>
  <c r="P488"/>
  <c r="P250"/>
  <c r="P162"/>
  <c r="AL473"/>
  <c r="P409"/>
  <c r="AL86"/>
  <c r="AL360"/>
  <c r="P40"/>
  <c r="AL119"/>
  <c r="AP119" s="1"/>
  <c r="AL79"/>
  <c r="AL419"/>
  <c r="AL379"/>
  <c r="P321"/>
  <c r="AL353"/>
  <c r="AL313"/>
  <c r="AL255"/>
  <c r="AL31"/>
  <c r="P269"/>
  <c r="AL478"/>
  <c r="AL328"/>
  <c r="AL462"/>
  <c r="AL498"/>
  <c r="AM498"/>
  <c r="AL141"/>
  <c r="AP141" s="1"/>
  <c r="AL75"/>
  <c r="P450"/>
  <c r="AL480"/>
  <c r="P367"/>
  <c r="P177"/>
  <c r="AL209"/>
  <c r="AL169"/>
  <c r="AP170" s="1"/>
  <c r="AL111"/>
  <c r="P70"/>
  <c r="AL246"/>
  <c r="AL486"/>
  <c r="AL464"/>
  <c r="AL371"/>
  <c r="AL455"/>
  <c r="AL389"/>
  <c r="AL67"/>
  <c r="AL433"/>
  <c r="AL161"/>
  <c r="AP162" s="1"/>
  <c r="AL502"/>
  <c r="AM502"/>
  <c r="P346"/>
  <c r="P311"/>
  <c r="AL271"/>
  <c r="AP272" s="1"/>
  <c r="AL213"/>
  <c r="P245"/>
  <c r="AL205"/>
  <c r="AL147"/>
  <c r="AL172"/>
  <c r="AL426"/>
  <c r="P23"/>
  <c r="AM500"/>
  <c r="AL279"/>
  <c r="P484"/>
  <c r="P283"/>
  <c r="P340"/>
  <c r="P479"/>
  <c r="AL439"/>
  <c r="AL381"/>
  <c r="AL387"/>
  <c r="AL108"/>
  <c r="AP109" s="1"/>
  <c r="AL260"/>
  <c r="AL42"/>
  <c r="AL391"/>
  <c r="AL333"/>
  <c r="AL365"/>
  <c r="AL325"/>
  <c r="AP326" s="1"/>
  <c r="AL267"/>
  <c r="AL107"/>
  <c r="P38"/>
  <c r="AL224"/>
  <c r="P338"/>
  <c r="AL265"/>
  <c r="P294"/>
  <c r="P496"/>
  <c r="AL406"/>
  <c r="P516"/>
  <c r="AM516"/>
  <c r="AL244"/>
  <c r="AL335"/>
  <c r="AL295"/>
  <c r="AL237"/>
  <c r="AP237" s="1"/>
  <c r="P243"/>
  <c r="AL316"/>
  <c r="AL208"/>
  <c r="P459"/>
  <c r="AL76"/>
  <c r="P471"/>
  <c r="AL247"/>
  <c r="AL189"/>
  <c r="AL221"/>
  <c r="AL181"/>
  <c r="AL123"/>
  <c r="AP124" s="1"/>
  <c r="P489"/>
  <c r="AL194"/>
  <c r="AL128"/>
  <c r="AL359"/>
  <c r="AL268"/>
  <c r="AL130"/>
  <c r="AL315"/>
  <c r="AL451"/>
  <c r="AL393"/>
  <c r="AL425"/>
  <c r="AL385"/>
  <c r="AL327"/>
  <c r="AL45"/>
  <c r="AL77"/>
  <c r="AL121"/>
  <c r="P404"/>
  <c r="AL148"/>
  <c r="P84"/>
  <c r="AL234"/>
  <c r="AL227"/>
  <c r="AL187"/>
  <c r="AL487"/>
  <c r="AP488" s="1"/>
  <c r="AL429"/>
  <c r="AL461"/>
  <c r="AL421"/>
  <c r="AL363"/>
  <c r="AL139"/>
  <c r="AP140" s="1"/>
  <c r="AL81"/>
  <c r="AL113"/>
  <c r="AP114" s="1"/>
  <c r="AL73"/>
  <c r="AL287"/>
  <c r="AL233"/>
  <c r="P444"/>
  <c r="P217"/>
  <c r="P25"/>
  <c r="AL460"/>
  <c r="AP461" s="1"/>
  <c r="AL116"/>
  <c r="AL324"/>
  <c r="AL302"/>
  <c r="P193"/>
  <c r="AL258"/>
  <c r="P236"/>
  <c r="AL358"/>
  <c r="AL408"/>
  <c r="AP409" s="1"/>
  <c r="AL106"/>
  <c r="AL483"/>
  <c r="AP484" s="1"/>
  <c r="AL207"/>
  <c r="AL276"/>
  <c r="AP277" s="1"/>
  <c r="AL254"/>
  <c r="P157"/>
  <c r="AL226"/>
  <c r="AL136"/>
  <c r="AP137" s="1"/>
  <c r="AL64"/>
  <c r="AL510"/>
  <c r="AM510"/>
  <c r="AL300"/>
  <c r="AL395"/>
  <c r="P140"/>
  <c r="AL511"/>
  <c r="AM511"/>
  <c r="P495"/>
  <c r="AL180"/>
  <c r="P158"/>
  <c r="AL476"/>
  <c r="AP476" s="1"/>
  <c r="P114"/>
  <c r="AL92"/>
  <c r="AL463"/>
  <c r="AL405"/>
  <c r="P437"/>
  <c r="AL339"/>
  <c r="AP339" s="1"/>
  <c r="P100"/>
  <c r="AL199"/>
  <c r="AL133"/>
  <c r="AL102"/>
  <c r="AL168"/>
  <c r="AL146"/>
  <c r="AL322"/>
  <c r="P36"/>
  <c r="AM514"/>
  <c r="AL80"/>
  <c r="AL334"/>
  <c r="AL232"/>
  <c r="AL319"/>
  <c r="P261"/>
  <c r="AL293"/>
  <c r="AL253"/>
  <c r="AL195"/>
  <c r="AP196" s="1"/>
  <c r="P357"/>
  <c r="AL291"/>
  <c r="P257"/>
  <c r="P443"/>
  <c r="P403"/>
  <c r="AL345"/>
  <c r="AL351"/>
  <c r="AP352" s="1"/>
  <c r="P72"/>
  <c r="AL50"/>
  <c r="P472"/>
  <c r="P376"/>
  <c r="AL289"/>
  <c r="AL231"/>
  <c r="AL273"/>
  <c r="P352"/>
  <c r="AM507"/>
  <c r="AL41"/>
  <c r="P503"/>
  <c r="AM503"/>
  <c r="AL240"/>
  <c r="P508"/>
  <c r="AM508"/>
  <c r="AL82"/>
  <c r="P452"/>
  <c r="AL192"/>
  <c r="AP193" s="1"/>
  <c r="AL323"/>
  <c r="P126"/>
  <c r="P104"/>
  <c r="AL138"/>
  <c r="P470"/>
  <c r="AL282"/>
  <c r="P167"/>
  <c r="AL69"/>
  <c r="AL101"/>
  <c r="P61"/>
  <c r="AL370"/>
  <c r="P422"/>
  <c r="P445"/>
  <c r="P378"/>
  <c r="AL356"/>
  <c r="AP357" s="1"/>
  <c r="P215"/>
  <c r="AL96"/>
  <c r="P296"/>
  <c r="P396"/>
  <c r="P374"/>
  <c r="AL373"/>
  <c r="P330"/>
  <c r="AL48"/>
  <c r="P454"/>
  <c r="P274"/>
  <c r="AL150"/>
  <c r="AL441"/>
  <c r="AL384"/>
  <c r="AL362"/>
  <c r="AL512"/>
  <c r="AM512"/>
  <c r="AL252"/>
  <c r="AL230"/>
  <c r="P364"/>
  <c r="AL164"/>
  <c r="AL94"/>
  <c r="AL477"/>
  <c r="P509"/>
  <c r="AM509"/>
  <c r="AL469"/>
  <c r="AL411"/>
  <c r="AL410"/>
  <c r="P159"/>
  <c r="P280"/>
  <c r="P400"/>
  <c r="P298"/>
  <c r="P288"/>
  <c r="P266"/>
  <c r="P222"/>
  <c r="P513"/>
  <c r="AM513"/>
  <c r="AL264"/>
  <c r="AL505"/>
  <c r="AM505"/>
  <c r="AL447"/>
  <c r="P110"/>
  <c r="AL388"/>
  <c r="P154"/>
  <c r="AL456"/>
  <c r="P434"/>
  <c r="AL174"/>
  <c r="AP175" s="1"/>
  <c r="AL131"/>
  <c r="AL91"/>
  <c r="AL33"/>
  <c r="AL152"/>
  <c r="AL386"/>
  <c r="AL301"/>
  <c r="AL320"/>
  <c r="AP321" s="1"/>
  <c r="AL413"/>
  <c r="P43"/>
  <c r="P449"/>
  <c r="AL383"/>
  <c r="AL343"/>
  <c r="AP344" s="1"/>
  <c r="P317"/>
  <c r="P277"/>
  <c r="AL219"/>
  <c r="P436"/>
  <c r="AL125"/>
  <c r="AP126" s="1"/>
  <c r="AL304"/>
  <c r="P440"/>
  <c r="P312"/>
  <c r="P290"/>
  <c r="P229"/>
  <c r="P394"/>
  <c r="P262"/>
  <c r="P89"/>
  <c r="AL112"/>
  <c r="P52"/>
  <c r="P336"/>
  <c r="P242"/>
  <c r="AL467"/>
  <c r="AL198"/>
  <c r="AL176"/>
  <c r="AL184"/>
  <c r="AL239"/>
  <c r="AL173"/>
  <c r="AL494"/>
  <c r="AL466"/>
  <c r="AL191"/>
  <c r="AL220"/>
  <c r="P34"/>
  <c r="AL468"/>
  <c r="AL446"/>
  <c r="AP447" s="1"/>
  <c r="P66"/>
  <c r="P402"/>
  <c r="AL380"/>
  <c r="AL120"/>
  <c r="AL98"/>
  <c r="AL179"/>
  <c r="AL54"/>
  <c r="P331"/>
  <c r="P415"/>
  <c r="P349"/>
  <c r="P448"/>
  <c r="AL430"/>
  <c r="P431"/>
  <c r="P204"/>
  <c r="AL182"/>
  <c r="AL238"/>
  <c r="AL504"/>
  <c r="AM504"/>
  <c r="P482"/>
  <c r="AL438"/>
  <c r="AL416"/>
  <c r="P156"/>
  <c r="AL134"/>
  <c r="AP135" s="1"/>
  <c r="AL251"/>
  <c r="AL90"/>
  <c r="AL68"/>
  <c r="AL115"/>
  <c r="AL442"/>
  <c r="AP443" s="1"/>
  <c r="AL190"/>
  <c r="P225"/>
  <c r="P305"/>
  <c r="P341"/>
  <c r="P347"/>
  <c r="P307"/>
  <c r="P249"/>
  <c r="AL281"/>
  <c r="P241"/>
  <c r="P183"/>
  <c r="P310"/>
  <c r="P202"/>
  <c r="P160"/>
  <c r="P88"/>
  <c r="P212"/>
  <c r="AL299"/>
  <c r="P259"/>
  <c r="AL201"/>
  <c r="AP202" s="1"/>
  <c r="AL171"/>
  <c r="AL166"/>
  <c r="AL501"/>
  <c r="AM501"/>
  <c r="AL63"/>
  <c r="AL493"/>
  <c r="AL435"/>
  <c r="AP436" s="1"/>
  <c r="AL211"/>
  <c r="AL153"/>
  <c r="AP154" s="1"/>
  <c r="AL185"/>
  <c r="AL145"/>
  <c r="AL87"/>
  <c r="AL46"/>
  <c r="P506"/>
  <c r="AM506"/>
  <c r="AL390"/>
  <c r="AL203"/>
  <c r="AL163"/>
  <c r="AL105"/>
  <c r="P137"/>
  <c r="AL97"/>
  <c r="AL458"/>
  <c r="P292"/>
  <c r="P414"/>
  <c r="AL392"/>
  <c r="AL178"/>
  <c r="P118"/>
  <c r="P499"/>
  <c r="AM499"/>
  <c r="AL18"/>
  <c r="P314"/>
  <c r="AL248"/>
  <c r="AL348"/>
  <c r="AL432"/>
  <c r="AL366"/>
  <c r="P428"/>
  <c r="AL420"/>
  <c r="AL398"/>
  <c r="P30"/>
  <c r="P95"/>
  <c r="AL485"/>
  <c r="AL29"/>
  <c r="AP30" s="1"/>
  <c r="P412"/>
  <c r="AL143"/>
  <c r="AL350"/>
  <c r="AL49"/>
  <c r="AL306"/>
  <c r="AL132"/>
  <c r="P256"/>
  <c r="AL263"/>
  <c r="P223"/>
  <c r="AL165"/>
  <c r="AL99"/>
  <c r="AP100" s="1"/>
  <c r="AL58"/>
  <c r="AP58" s="1"/>
  <c r="AL465"/>
  <c r="AL497"/>
  <c r="AL457"/>
  <c r="AL399"/>
  <c r="P175"/>
  <c r="P149"/>
  <c r="AL51"/>
  <c r="AM515"/>
  <c r="AL417"/>
  <c r="P144"/>
  <c r="AL122"/>
  <c r="AL368"/>
  <c r="AL78"/>
  <c r="AL56"/>
  <c r="AP57" s="1"/>
  <c r="AL427"/>
  <c r="P401"/>
  <c r="P361"/>
  <c r="AL303"/>
  <c r="AL346"/>
  <c r="P139"/>
  <c r="P421"/>
  <c r="P106"/>
  <c r="P302"/>
  <c r="P232"/>
  <c r="P425"/>
  <c r="P252"/>
  <c r="P512"/>
  <c r="P300"/>
  <c r="P276"/>
  <c r="P358"/>
  <c r="P116"/>
  <c r="P41"/>
  <c r="P273"/>
  <c r="P462"/>
  <c r="P260"/>
  <c r="P189"/>
  <c r="P313"/>
  <c r="P46"/>
  <c r="P244"/>
  <c r="P370"/>
  <c r="AL257"/>
  <c r="AL499"/>
  <c r="AL256"/>
  <c r="AL110"/>
  <c r="P31"/>
  <c r="AL471"/>
  <c r="AL361"/>
  <c r="AL61"/>
  <c r="AP62" s="1"/>
  <c r="AL479"/>
  <c r="AL400"/>
  <c r="AL72"/>
  <c r="P22"/>
  <c r="AL459"/>
  <c r="P27"/>
  <c r="AL243"/>
  <c r="P81"/>
  <c r="P77"/>
  <c r="P268"/>
  <c r="P69"/>
  <c r="P483"/>
  <c r="P102"/>
  <c r="P75"/>
  <c r="P389"/>
  <c r="P121"/>
  <c r="P221"/>
  <c r="P356"/>
  <c r="P64"/>
  <c r="P254"/>
  <c r="P408"/>
  <c r="P324"/>
  <c r="AL167"/>
  <c r="AL104"/>
  <c r="P231"/>
  <c r="P147"/>
  <c r="P429"/>
  <c r="P351"/>
  <c r="P111"/>
  <c r="P385"/>
  <c r="P395"/>
  <c r="P289"/>
  <c r="P426"/>
  <c r="P213"/>
  <c r="P107"/>
  <c r="P391"/>
  <c r="P486"/>
  <c r="P169"/>
  <c r="P207"/>
  <c r="P333"/>
  <c r="P240"/>
  <c r="P287"/>
  <c r="P478"/>
  <c r="P255"/>
  <c r="P353"/>
  <c r="P295"/>
  <c r="P325"/>
  <c r="AL330"/>
  <c r="AL374"/>
  <c r="AP375" s="1"/>
  <c r="P28"/>
  <c r="AL513"/>
  <c r="AL509"/>
  <c r="P373"/>
  <c r="P334"/>
  <c r="P146"/>
  <c r="P388"/>
  <c r="AL215"/>
  <c r="AL422"/>
  <c r="AP423" s="1"/>
  <c r="AL317"/>
  <c r="AP318" s="1"/>
  <c r="AL434"/>
  <c r="AL412"/>
  <c r="P345"/>
  <c r="P469"/>
  <c r="P384"/>
  <c r="P511"/>
  <c r="P253"/>
  <c r="P80"/>
  <c r="P230"/>
  <c r="P168"/>
  <c r="P101"/>
  <c r="P152"/>
  <c r="P82"/>
  <c r="P138"/>
  <c r="P465"/>
  <c r="P263"/>
  <c r="AL292"/>
  <c r="AP293" s="1"/>
  <c r="AL88"/>
  <c r="AL310"/>
  <c r="AL440"/>
  <c r="AL269"/>
  <c r="AL149"/>
  <c r="P55"/>
  <c r="P60"/>
  <c r="P119"/>
  <c r="AL372"/>
  <c r="AL144"/>
  <c r="AL60"/>
  <c r="AL183"/>
  <c r="AL414"/>
  <c r="AL89"/>
  <c r="AL401"/>
  <c r="P48"/>
  <c r="BS135"/>
  <c r="BT135" s="1"/>
  <c r="P32"/>
  <c r="P68"/>
  <c r="P90"/>
  <c r="P87"/>
  <c r="P53"/>
  <c r="P220"/>
  <c r="P466"/>
  <c r="P173"/>
  <c r="P153"/>
  <c r="AL262"/>
  <c r="P33"/>
  <c r="P63"/>
  <c r="P49"/>
  <c r="P51"/>
  <c r="P504"/>
  <c r="P430"/>
  <c r="P494"/>
  <c r="AL259"/>
  <c r="P20"/>
  <c r="P171"/>
  <c r="P190"/>
  <c r="P184"/>
  <c r="AL312"/>
  <c r="AL241"/>
  <c r="P238"/>
  <c r="P239"/>
  <c r="P281"/>
  <c r="AL212"/>
  <c r="AL394"/>
  <c r="AL156"/>
  <c r="AP157" s="1"/>
  <c r="P182"/>
  <c r="P501"/>
  <c r="P54"/>
  <c r="P179"/>
  <c r="P98"/>
  <c r="P120"/>
  <c r="P380"/>
  <c r="P446"/>
  <c r="P166"/>
  <c r="P299"/>
  <c r="P47"/>
  <c r="AL225"/>
  <c r="AL336"/>
  <c r="AL223"/>
  <c r="P468"/>
  <c r="P279"/>
  <c r="P97"/>
  <c r="P379"/>
  <c r="P419"/>
  <c r="P201"/>
  <c r="AL450"/>
  <c r="AL283"/>
  <c r="AL294"/>
  <c r="P350"/>
  <c r="P143"/>
  <c r="P251"/>
  <c r="P134"/>
  <c r="P416"/>
  <c r="P438"/>
  <c r="P485"/>
  <c r="P480"/>
  <c r="P457"/>
  <c r="P464"/>
  <c r="P78"/>
  <c r="P455"/>
  <c r="P372"/>
  <c r="P493"/>
  <c r="P112"/>
  <c r="P105"/>
  <c r="P163"/>
  <c r="P203"/>
  <c r="P390"/>
  <c r="P145"/>
  <c r="P185"/>
  <c r="AL290"/>
  <c r="AL245"/>
  <c r="AL55"/>
  <c r="AL93"/>
  <c r="AL311"/>
  <c r="AL103"/>
  <c r="AL177"/>
  <c r="AL340"/>
  <c r="AL214"/>
  <c r="AL200"/>
  <c r="AL222"/>
  <c r="AL204"/>
  <c r="AL364"/>
  <c r="AL337"/>
  <c r="AP338" s="1"/>
  <c r="AL229"/>
  <c r="AL228"/>
  <c r="AL43"/>
  <c r="AL83"/>
  <c r="AP84" s="1"/>
  <c r="AL418"/>
  <c r="AL452"/>
  <c r="AP453" s="1"/>
  <c r="AL65"/>
  <c r="AL249"/>
  <c r="AP250" s="1"/>
  <c r="AL218"/>
  <c r="AL503"/>
  <c r="AL329"/>
  <c r="AP330" s="1"/>
  <c r="AL297"/>
  <c r="AP298" s="1"/>
  <c r="AL355"/>
  <c r="AL376"/>
  <c r="AL472"/>
  <c r="AL210"/>
  <c r="AL403"/>
  <c r="AP404" s="1"/>
  <c r="AL52"/>
  <c r="AL495"/>
  <c r="AP496" s="1"/>
  <c r="AL470"/>
  <c r="AL492"/>
  <c r="AL474"/>
  <c r="AP475" s="1"/>
  <c r="AL354"/>
  <c r="AL47"/>
  <c r="AL431"/>
  <c r="AL284"/>
  <c r="AP285" s="1"/>
  <c r="AL188"/>
  <c r="AL482"/>
  <c r="AL95"/>
  <c r="AL59"/>
  <c r="AL85"/>
  <c r="AL266"/>
  <c r="AL288"/>
  <c r="AL197"/>
  <c r="AL280"/>
  <c r="AL70"/>
  <c r="AP71" s="1"/>
  <c r="AL129"/>
  <c r="AL402"/>
  <c r="AL151"/>
  <c r="AL481"/>
  <c r="P375"/>
  <c r="P71"/>
  <c r="P62"/>
  <c r="P344"/>
  <c r="P366"/>
  <c r="P410"/>
  <c r="P432"/>
  <c r="P326"/>
  <c r="P348"/>
  <c r="P176"/>
  <c r="P198"/>
  <c r="P467"/>
  <c r="P458"/>
  <c r="P165"/>
  <c r="AL428"/>
  <c r="AL448"/>
  <c r="AP449" s="1"/>
  <c r="AL349"/>
  <c r="AL415"/>
  <c r="AL331"/>
  <c r="AL396"/>
  <c r="AP397" s="1"/>
  <c r="AL296"/>
  <c r="AL506"/>
  <c r="AL274"/>
  <c r="AL382"/>
  <c r="AL454"/>
  <c r="AL242"/>
  <c r="AP243" s="1"/>
  <c r="AL308"/>
  <c r="AL307"/>
  <c r="AL347"/>
  <c r="AL341"/>
  <c r="AP342" s="1"/>
  <c r="AL490"/>
  <c r="AL305"/>
  <c r="AL500"/>
  <c r="AL44"/>
  <c r="AL186"/>
  <c r="AL275"/>
  <c r="AL261"/>
  <c r="AL66"/>
  <c r="AL53"/>
  <c r="AL514"/>
  <c r="AP515" s="1"/>
  <c r="AL34"/>
  <c r="AP35" s="1"/>
  <c r="AL32"/>
  <c r="AL39"/>
  <c r="AP40" s="1"/>
  <c r="AL19"/>
  <c r="AL23"/>
  <c r="AL21"/>
  <c r="AL22"/>
  <c r="AL20"/>
  <c r="AL37"/>
  <c r="AP38" s="1"/>
  <c r="AL24"/>
  <c r="AL36"/>
  <c r="AL28"/>
  <c r="AL270"/>
  <c r="AL332"/>
  <c r="AL314"/>
  <c r="AL142"/>
  <c r="AL286"/>
  <c r="AL424"/>
  <c r="AL377"/>
  <c r="AP378" s="1"/>
  <c r="AL235"/>
  <c r="AP236" s="1"/>
  <c r="AL491"/>
  <c r="AL309"/>
  <c r="AL367"/>
  <c r="AL407"/>
  <c r="AL25"/>
  <c r="BS312"/>
  <c r="BS382"/>
  <c r="BS476"/>
  <c r="BS387"/>
  <c r="BS194"/>
  <c r="BS378"/>
  <c r="BS385"/>
  <c r="BS270"/>
  <c r="BS331"/>
  <c r="BS352"/>
  <c r="BS373"/>
  <c r="BS498"/>
  <c r="BS239"/>
  <c r="BS240"/>
  <c r="BS365"/>
  <c r="BS374"/>
  <c r="BS237"/>
  <c r="BS257"/>
  <c r="BS433"/>
  <c r="BS290"/>
  <c r="BS477"/>
  <c r="BS209"/>
  <c r="BS317"/>
  <c r="BS217"/>
  <c r="BS383"/>
  <c r="BS386"/>
  <c r="BS192"/>
  <c r="BS411"/>
  <c r="BS432"/>
  <c r="BS403"/>
  <c r="BS460"/>
  <c r="BS445"/>
  <c r="BS513"/>
  <c r="BS245"/>
  <c r="BS516"/>
  <c r="BS368"/>
  <c r="BS226"/>
  <c r="BS327"/>
  <c r="BS246"/>
  <c r="BS507"/>
  <c r="BS308"/>
  <c r="BS222"/>
  <c r="BS462"/>
  <c r="BS353"/>
  <c r="BS208"/>
  <c r="BS470"/>
  <c r="BS256"/>
  <c r="BS295"/>
  <c r="BS322"/>
  <c r="BS318"/>
  <c r="BS287"/>
  <c r="BS275"/>
  <c r="BS398"/>
  <c r="BS316"/>
  <c r="BS211"/>
  <c r="BS210"/>
  <c r="BS407"/>
  <c r="BS268"/>
  <c r="BS309"/>
  <c r="BS380"/>
  <c r="BS371"/>
  <c r="BS344"/>
  <c r="BS294"/>
  <c r="BS506"/>
  <c r="BS360"/>
  <c r="BS292"/>
  <c r="BS259"/>
  <c r="BS264"/>
  <c r="BS301"/>
  <c r="BS328"/>
  <c r="BS367"/>
  <c r="BS486"/>
  <c r="BS332"/>
  <c r="BS190"/>
  <c r="BS224"/>
  <c r="BS412"/>
  <c r="BS463"/>
  <c r="BS430"/>
  <c r="BS487"/>
  <c r="BS279"/>
  <c r="BS277"/>
  <c r="BS479"/>
  <c r="BS340"/>
  <c r="BS282"/>
  <c r="BS288"/>
  <c r="BS289"/>
  <c r="BS429"/>
  <c r="BS457"/>
  <c r="BS466"/>
  <c r="BS207"/>
  <c r="BS440"/>
  <c r="BS305"/>
  <c r="BS492"/>
  <c r="BS271"/>
  <c r="BS426"/>
  <c r="BS410"/>
  <c r="BS330"/>
  <c r="BS337"/>
  <c r="BS333"/>
  <c r="BS358"/>
  <c r="BS375"/>
  <c r="BS248"/>
  <c r="BS276"/>
  <c r="BS485"/>
  <c r="BS346"/>
  <c r="BS404"/>
  <c r="BS262"/>
  <c r="BS349"/>
  <c r="BS514"/>
  <c r="BS489"/>
  <c r="BS255"/>
  <c r="BS435"/>
  <c r="BS377"/>
  <c r="BS219"/>
  <c r="BS393"/>
  <c r="BS446"/>
  <c r="BS298"/>
  <c r="BS427"/>
  <c r="BS415"/>
  <c r="BS483"/>
  <c r="BS438"/>
  <c r="BS191"/>
  <c r="BS408"/>
  <c r="BS496"/>
  <c r="BS420"/>
  <c r="BS206"/>
  <c r="BS447"/>
  <c r="BS504"/>
  <c r="BS179"/>
  <c r="BT179" s="1"/>
  <c r="BS320"/>
  <c r="BS511"/>
  <c r="BS372"/>
  <c r="BS235"/>
  <c r="BS252"/>
  <c r="BS325"/>
  <c r="BS491"/>
  <c r="BS233"/>
  <c r="BS515"/>
  <c r="BS444"/>
  <c r="BS193"/>
  <c r="BS428"/>
  <c r="BS214"/>
  <c r="BS347"/>
  <c r="BS231"/>
  <c r="BS229"/>
  <c r="BS395"/>
  <c r="BS297"/>
  <c r="BS198"/>
  <c r="BS394"/>
  <c r="BS379"/>
  <c r="BS362"/>
  <c r="BS300"/>
  <c r="BS281"/>
  <c r="BS350"/>
  <c r="BS396"/>
  <c r="BS225"/>
  <c r="BS389"/>
  <c r="BS366"/>
  <c r="BS307"/>
  <c r="BS391"/>
  <c r="BS216"/>
  <c r="BS205"/>
  <c r="BS215"/>
  <c r="BS475"/>
  <c r="BS278"/>
  <c r="BS251"/>
  <c r="BS458"/>
  <c r="BS244"/>
  <c r="BS416"/>
  <c r="BS341"/>
  <c r="BS213"/>
  <c r="BS468"/>
  <c r="BS238"/>
  <c r="BS459"/>
  <c r="BS266"/>
  <c r="BS241"/>
  <c r="BS304"/>
  <c r="BS512"/>
  <c r="BS370"/>
  <c r="BS418"/>
  <c r="BS343"/>
  <c r="BS423"/>
  <c r="BS456"/>
  <c r="BS421"/>
  <c r="BS199"/>
  <c r="BS478"/>
  <c r="BS472"/>
  <c r="BS89"/>
  <c r="BT89" s="1"/>
  <c r="BS388"/>
  <c r="BS269"/>
  <c r="BS335"/>
  <c r="BS265"/>
  <c r="BS431"/>
  <c r="BS261"/>
  <c r="BS500"/>
  <c r="BS286"/>
  <c r="BS419"/>
  <c r="BS204"/>
  <c r="BS369"/>
  <c r="BS400"/>
  <c r="BS285"/>
  <c r="BS345"/>
  <c r="BS293"/>
  <c r="BS338"/>
  <c r="BS376"/>
  <c r="BS453"/>
  <c r="BS201"/>
  <c r="BS181"/>
  <c r="BT181" s="1"/>
  <c r="BS363"/>
  <c r="BS465"/>
  <c r="BS247"/>
  <c r="BS274"/>
  <c r="BS221"/>
  <c r="BS495"/>
  <c r="BS302"/>
  <c r="AM419"/>
  <c r="AM321"/>
  <c r="AM313"/>
  <c r="AM491"/>
  <c r="AM279"/>
  <c r="AM283"/>
  <c r="AM479"/>
  <c r="AM381"/>
  <c r="AM360"/>
  <c r="AM265"/>
  <c r="AM406"/>
  <c r="AM244"/>
  <c r="AM208"/>
  <c r="AM471"/>
  <c r="AM189"/>
  <c r="AM489"/>
  <c r="AM409"/>
  <c r="AM444"/>
  <c r="AM463"/>
  <c r="AM437"/>
  <c r="AM334"/>
  <c r="AM472"/>
  <c r="AM297"/>
  <c r="AM452"/>
  <c r="AM454"/>
  <c r="AM326"/>
  <c r="AM280"/>
  <c r="AM298"/>
  <c r="AM264"/>
  <c r="AM447"/>
  <c r="AM418"/>
  <c r="AM342"/>
  <c r="AM413"/>
  <c r="AM285"/>
  <c r="AM277"/>
  <c r="AM394"/>
  <c r="AM466"/>
  <c r="AM220"/>
  <c r="AM446"/>
  <c r="AM331"/>
  <c r="AM349"/>
  <c r="AM204"/>
  <c r="AM482"/>
  <c r="AM442"/>
  <c r="AM493"/>
  <c r="AM211"/>
  <c r="AM318"/>
  <c r="AM392"/>
  <c r="AM275"/>
  <c r="AM248"/>
  <c r="AM432"/>
  <c r="AM428"/>
  <c r="AM412"/>
  <c r="AM256"/>
  <c r="AM497"/>
  <c r="AM399"/>
  <c r="AM427"/>
  <c r="AM478"/>
  <c r="AM480"/>
  <c r="AM433"/>
  <c r="AM391"/>
  <c r="AM365"/>
  <c r="AM267"/>
  <c r="AM272"/>
  <c r="AM295"/>
  <c r="AM243"/>
  <c r="AM359"/>
  <c r="AM451"/>
  <c r="AM425"/>
  <c r="AM327"/>
  <c r="AM227"/>
  <c r="AM324"/>
  <c r="AM193"/>
  <c r="AM236"/>
  <c r="AM250"/>
  <c r="AM483"/>
  <c r="AM276"/>
  <c r="AM488"/>
  <c r="AM339"/>
  <c r="AM322"/>
  <c r="AM319"/>
  <c r="AM293"/>
  <c r="AM195"/>
  <c r="AM291"/>
  <c r="AM289"/>
  <c r="AM273"/>
  <c r="AM240"/>
  <c r="AM492"/>
  <c r="AM282"/>
  <c r="AM370"/>
  <c r="AM296"/>
  <c r="AM374"/>
  <c r="AM330"/>
  <c r="AM274"/>
  <c r="AM364"/>
  <c r="AM344"/>
  <c r="AM266"/>
  <c r="AM388"/>
  <c r="AM434"/>
  <c r="AM440"/>
  <c r="AM290"/>
  <c r="AM242"/>
  <c r="AM198"/>
  <c r="AM438"/>
  <c r="AM251"/>
  <c r="AM225"/>
  <c r="AM490"/>
  <c r="AM310"/>
  <c r="AM299"/>
  <c r="AM201"/>
  <c r="AM424"/>
  <c r="AM314"/>
  <c r="AM420"/>
  <c r="AM350"/>
  <c r="AM284"/>
  <c r="AM475"/>
  <c r="AM401"/>
  <c r="AM303"/>
  <c r="AM462"/>
  <c r="AM309"/>
  <c r="AM246"/>
  <c r="AM464"/>
  <c r="AM455"/>
  <c r="AM197"/>
  <c r="AM271"/>
  <c r="AM245"/>
  <c r="AM426"/>
  <c r="AM484"/>
  <c r="AM340"/>
  <c r="AM224"/>
  <c r="AM429"/>
  <c r="AM421"/>
  <c r="AM287"/>
  <c r="AM206"/>
  <c r="AM495"/>
  <c r="AM337"/>
  <c r="AM403"/>
  <c r="AM351"/>
  <c r="AM355"/>
  <c r="AM445"/>
  <c r="AM356"/>
  <c r="AM375"/>
  <c r="AM362"/>
  <c r="AM252"/>
  <c r="AM411"/>
  <c r="AM200"/>
  <c r="AM301"/>
  <c r="AM449"/>
  <c r="AM343"/>
  <c r="AM402"/>
  <c r="AM448"/>
  <c r="AM347"/>
  <c r="AM249"/>
  <c r="AM241"/>
  <c r="AM203"/>
  <c r="AM263"/>
  <c r="AM423"/>
  <c r="AM379"/>
  <c r="AM353"/>
  <c r="AM255"/>
  <c r="AM346"/>
  <c r="AM439"/>
  <c r="AM387"/>
  <c r="AM338"/>
  <c r="AM294"/>
  <c r="AM496"/>
  <c r="AM316"/>
  <c r="AM247"/>
  <c r="AM221"/>
  <c r="AM194"/>
  <c r="AM268"/>
  <c r="AM233"/>
  <c r="AM217"/>
  <c r="AM358"/>
  <c r="AM226"/>
  <c r="AM405"/>
  <c r="AM199"/>
  <c r="AM232"/>
  <c r="AM376"/>
  <c r="AM352"/>
  <c r="AM474"/>
  <c r="AM192"/>
  <c r="AM410"/>
  <c r="AM400"/>
  <c r="AM320"/>
  <c r="AM317"/>
  <c r="AM219"/>
  <c r="AM196"/>
  <c r="AM262"/>
  <c r="AM468"/>
  <c r="AM415"/>
  <c r="AM431"/>
  <c r="AM190"/>
  <c r="AM435"/>
  <c r="AM458"/>
  <c r="AM414"/>
  <c r="AM270"/>
  <c r="AM348"/>
  <c r="AM366"/>
  <c r="AM306"/>
  <c r="AM465"/>
  <c r="AM457"/>
  <c r="AM328"/>
  <c r="AM450"/>
  <c r="AM367"/>
  <c r="AM235"/>
  <c r="AM209"/>
  <c r="AM333"/>
  <c r="AM325"/>
  <c r="AM335"/>
  <c r="AM237"/>
  <c r="AM459"/>
  <c r="AM473"/>
  <c r="AM315"/>
  <c r="AM393"/>
  <c r="AM385"/>
  <c r="AM234"/>
  <c r="AM460"/>
  <c r="AM302"/>
  <c r="AM258"/>
  <c r="AM207"/>
  <c r="AM254"/>
  <c r="AM300"/>
  <c r="AM228"/>
  <c r="AM397"/>
  <c r="AM261"/>
  <c r="AM253"/>
  <c r="AM357"/>
  <c r="AM257"/>
  <c r="AM188"/>
  <c r="AM329"/>
  <c r="AM231"/>
  <c r="AM323"/>
  <c r="AM470"/>
  <c r="AM396"/>
  <c r="AM373"/>
  <c r="AM382"/>
  <c r="AM216"/>
  <c r="AM441"/>
  <c r="AM288"/>
  <c r="AM222"/>
  <c r="AM456"/>
  <c r="AM312"/>
  <c r="AM229"/>
  <c r="AM336"/>
  <c r="AM467"/>
  <c r="AM239"/>
  <c r="AM494"/>
  <c r="AM191"/>
  <c r="AM210"/>
  <c r="AM416"/>
  <c r="AM305"/>
  <c r="AM202"/>
  <c r="AM212"/>
  <c r="AM259"/>
  <c r="AM372"/>
  <c r="AM407"/>
  <c r="AM377"/>
  <c r="AM481"/>
  <c r="AM398"/>
  <c r="AM417"/>
  <c r="AM369"/>
  <c r="AM361"/>
  <c r="AM269"/>
  <c r="AM486"/>
  <c r="AM371"/>
  <c r="AM389"/>
  <c r="AM311"/>
  <c r="AM213"/>
  <c r="AM205"/>
  <c r="AM260"/>
  <c r="AM404"/>
  <c r="AM487"/>
  <c r="AM461"/>
  <c r="AM363"/>
  <c r="AM408"/>
  <c r="AM395"/>
  <c r="AM453"/>
  <c r="AM476"/>
  <c r="AM443"/>
  <c r="AM345"/>
  <c r="AM218"/>
  <c r="AM354"/>
  <c r="AM422"/>
  <c r="AM378"/>
  <c r="AM215"/>
  <c r="AM308"/>
  <c r="AM384"/>
  <c r="AM230"/>
  <c r="AM477"/>
  <c r="AM469"/>
  <c r="AM214"/>
  <c r="AM386"/>
  <c r="AM383"/>
  <c r="AM436"/>
  <c r="AM304"/>
  <c r="AM380"/>
  <c r="AM430"/>
  <c r="AM238"/>
  <c r="AM341"/>
  <c r="AM307"/>
  <c r="AM281"/>
  <c r="AM390"/>
  <c r="AM292"/>
  <c r="AM286"/>
  <c r="AM332"/>
  <c r="AM485"/>
  <c r="AM278"/>
  <c r="AM223"/>
  <c r="AM368"/>
  <c r="BV109"/>
  <c r="BU115"/>
  <c r="BU129"/>
  <c r="BU101"/>
  <c r="BV108"/>
  <c r="BV107"/>
  <c r="BV171"/>
  <c r="BU112"/>
  <c r="BU147"/>
  <c r="BV104"/>
  <c r="BU98"/>
  <c r="BU149"/>
  <c r="BU179"/>
  <c r="BU171"/>
  <c r="BV112"/>
  <c r="BV100"/>
  <c r="BU142"/>
  <c r="BV117"/>
  <c r="BU99"/>
  <c r="BU124"/>
  <c r="BU163"/>
  <c r="BV111"/>
  <c r="BU104"/>
  <c r="BU109"/>
  <c r="BU111"/>
  <c r="BU100"/>
  <c r="BU135"/>
  <c r="BU155"/>
  <c r="BV113"/>
  <c r="BU107"/>
  <c r="BU117"/>
  <c r="BU123"/>
  <c r="BU116"/>
  <c r="BU118"/>
  <c r="BU108"/>
  <c r="BU113"/>
  <c r="BV99"/>
  <c r="BV110"/>
  <c r="BV106"/>
  <c r="BV98"/>
  <c r="BV177"/>
  <c r="AM187"/>
  <c r="AM133"/>
  <c r="AM186"/>
  <c r="AM184"/>
  <c r="AM185"/>
  <c r="AM149"/>
  <c r="AM113"/>
  <c r="AM150"/>
  <c r="AM131"/>
  <c r="AM160"/>
  <c r="AM103"/>
  <c r="AM147"/>
  <c r="AM129"/>
  <c r="AM122"/>
  <c r="AM115"/>
  <c r="AM125"/>
  <c r="AM182"/>
  <c r="AM174"/>
  <c r="AM134"/>
  <c r="AM132"/>
  <c r="AM114"/>
  <c r="AM116"/>
  <c r="AM124"/>
  <c r="AM163"/>
  <c r="AM101"/>
  <c r="AM130"/>
  <c r="AM117"/>
  <c r="AM173"/>
  <c r="AM121"/>
  <c r="AM164"/>
  <c r="AM176"/>
  <c r="AM171"/>
  <c r="AM143"/>
  <c r="AM108"/>
  <c r="AM112"/>
  <c r="AM99"/>
  <c r="AM128"/>
  <c r="AM106"/>
  <c r="AM157"/>
  <c r="AM126"/>
  <c r="AM109"/>
  <c r="AM141"/>
  <c r="AM165"/>
  <c r="AM155"/>
  <c r="AM138"/>
  <c r="AM145"/>
  <c r="AM154"/>
  <c r="AM183"/>
  <c r="AM98"/>
  <c r="AM140"/>
  <c r="AM166"/>
  <c r="AM178"/>
  <c r="AM170"/>
  <c r="AM137"/>
  <c r="AM105"/>
  <c r="AM139"/>
  <c r="AM152"/>
  <c r="AM102"/>
  <c r="AM153"/>
  <c r="AM175"/>
  <c r="AM110"/>
  <c r="AM179"/>
  <c r="AM146"/>
  <c r="AM181"/>
  <c r="AM136"/>
  <c r="AM169"/>
  <c r="AM148"/>
  <c r="AM111"/>
  <c r="AM168"/>
  <c r="AM120"/>
  <c r="AM151"/>
  <c r="AM104"/>
  <c r="AM162"/>
  <c r="AM135"/>
  <c r="AM142"/>
  <c r="AM172"/>
  <c r="AM107"/>
  <c r="AM177"/>
  <c r="AM156"/>
  <c r="AM158"/>
  <c r="AM127"/>
  <c r="AM123"/>
  <c r="AM118"/>
  <c r="AM119"/>
  <c r="AM161"/>
  <c r="AM167"/>
  <c r="AM159"/>
  <c r="AM180"/>
  <c r="AM144"/>
  <c r="AM100"/>
  <c r="BV84"/>
  <c r="BU95"/>
  <c r="BU79"/>
  <c r="BU86"/>
  <c r="BU87"/>
  <c r="BU97"/>
  <c r="BV58"/>
  <c r="BV80"/>
  <c r="BV72"/>
  <c r="AM54"/>
  <c r="AM65"/>
  <c r="AM93"/>
  <c r="AM70"/>
  <c r="AM57"/>
  <c r="AM88"/>
  <c r="BU53"/>
  <c r="BV42"/>
  <c r="BU45"/>
  <c r="BU47"/>
  <c r="BU44"/>
  <c r="BU40"/>
  <c r="BU34"/>
  <c r="AM32"/>
  <c r="AM46"/>
  <c r="AM50"/>
  <c r="BV30"/>
  <c r="BV81"/>
  <c r="BU76"/>
  <c r="BV71"/>
  <c r="AM86"/>
  <c r="AM84"/>
  <c r="BV47"/>
  <c r="AM51"/>
  <c r="BV60"/>
  <c r="BV34"/>
  <c r="BV57"/>
  <c r="BV69"/>
  <c r="BV88"/>
  <c r="BV83"/>
  <c r="BU90"/>
  <c r="BU92"/>
  <c r="BV75"/>
  <c r="AM96"/>
  <c r="AM79"/>
  <c r="AM69"/>
  <c r="AM94"/>
  <c r="AM82"/>
  <c r="AM92"/>
  <c r="BV48"/>
  <c r="BV36"/>
  <c r="BU41"/>
  <c r="BU48"/>
  <c r="BV37"/>
  <c r="BU38"/>
  <c r="BU33"/>
  <c r="AM38"/>
  <c r="AM53"/>
  <c r="AM41"/>
  <c r="AM52"/>
  <c r="AM35"/>
  <c r="BU82"/>
  <c r="BU72"/>
  <c r="BU73"/>
  <c r="AM66"/>
  <c r="BV46"/>
  <c r="AM90"/>
  <c r="AM81"/>
  <c r="AM40"/>
  <c r="BV59"/>
  <c r="BV87"/>
  <c r="BU69"/>
  <c r="BU63"/>
  <c r="BV86"/>
  <c r="BU58"/>
  <c r="BV97"/>
  <c r="BU71"/>
  <c r="BU75"/>
  <c r="AM59"/>
  <c r="AM73"/>
  <c r="AM85"/>
  <c r="AM61"/>
  <c r="AM55"/>
  <c r="AM71"/>
  <c r="AM77"/>
  <c r="BU52"/>
  <c r="BV51"/>
  <c r="BU36"/>
  <c r="BU43"/>
  <c r="BV38"/>
  <c r="BU37"/>
  <c r="BV33"/>
  <c r="AM42"/>
  <c r="AM34"/>
  <c r="AM36"/>
  <c r="BU84"/>
  <c r="BU88"/>
  <c r="BU89"/>
  <c r="BU80"/>
  <c r="AM58"/>
  <c r="BU46"/>
  <c r="BU59"/>
  <c r="BU50"/>
  <c r="AM47"/>
  <c r="BV74"/>
  <c r="BV89"/>
  <c r="BV41"/>
  <c r="AM48"/>
  <c r="AM95"/>
  <c r="BV50"/>
  <c r="AM30"/>
  <c r="BU74"/>
  <c r="BV92"/>
  <c r="BV56"/>
  <c r="BU57"/>
  <c r="AM60"/>
  <c r="BV43"/>
  <c r="BV63"/>
  <c r="BU65"/>
  <c r="BU68"/>
  <c r="BV76"/>
  <c r="BV95"/>
  <c r="BU83"/>
  <c r="BV79"/>
  <c r="BU81"/>
  <c r="BV68"/>
  <c r="BU56"/>
  <c r="AM83"/>
  <c r="AM74"/>
  <c r="AM72"/>
  <c r="AM76"/>
  <c r="AM63"/>
  <c r="AM75"/>
  <c r="AM68"/>
  <c r="AM78"/>
  <c r="AM89"/>
  <c r="AM97"/>
  <c r="BU42"/>
  <c r="BV40"/>
  <c r="BV53"/>
  <c r="BV52"/>
  <c r="BU51"/>
  <c r="BU31"/>
  <c r="AM44"/>
  <c r="AM31"/>
  <c r="AM43"/>
  <c r="AM45"/>
  <c r="BU30"/>
  <c r="AM67"/>
  <c r="AM87"/>
  <c r="BV49"/>
  <c r="BV45"/>
  <c r="BV31"/>
  <c r="AM37"/>
  <c r="AM39"/>
  <c r="BV82"/>
  <c r="AM80"/>
  <c r="AM62"/>
  <c r="AM56"/>
  <c r="AM64"/>
  <c r="AM91"/>
  <c r="BV44"/>
  <c r="BU49"/>
  <c r="AM49"/>
  <c r="AM33"/>
  <c r="BV21"/>
  <c r="AM21"/>
  <c r="BU28"/>
  <c r="AH18" a="1"/>
  <c r="BU22"/>
  <c r="AM26"/>
  <c r="BV27"/>
  <c r="BV22"/>
  <c r="BU24"/>
  <c r="AN18"/>
  <c r="AM27"/>
  <c r="BU26"/>
  <c r="AN19"/>
  <c r="AM28"/>
  <c r="BV28"/>
  <c r="BU21"/>
  <c r="BV26"/>
  <c r="BU27"/>
  <c r="BV24"/>
  <c r="AM20"/>
  <c r="AN21"/>
  <c r="AM22"/>
  <c r="AN24"/>
  <c r="AP482" l="1"/>
  <c r="AP232"/>
  <c r="AH32"/>
  <c r="AH68"/>
  <c r="AH104"/>
  <c r="AH140"/>
  <c r="AH176"/>
  <c r="AH212"/>
  <c r="AH248"/>
  <c r="AH284"/>
  <c r="AH320"/>
  <c r="AH356"/>
  <c r="AH392"/>
  <c r="AH428"/>
  <c r="AH464"/>
  <c r="AH500"/>
  <c r="AH41"/>
  <c r="AH77"/>
  <c r="AH113"/>
  <c r="AH149"/>
  <c r="AH185"/>
  <c r="AH221"/>
  <c r="AH257"/>
  <c r="AH293"/>
  <c r="AH329"/>
  <c r="AH365"/>
  <c r="AH401"/>
  <c r="AH437"/>
  <c r="AH473"/>
  <c r="AH509"/>
  <c r="AH46"/>
  <c r="AH82"/>
  <c r="AH118"/>
  <c r="AH154"/>
  <c r="AH190"/>
  <c r="AH226"/>
  <c r="AH262"/>
  <c r="AH298"/>
  <c r="AH334"/>
  <c r="AH370"/>
  <c r="AH406"/>
  <c r="AH442"/>
  <c r="AH478"/>
  <c r="AH514"/>
  <c r="AH51"/>
  <c r="AH43"/>
  <c r="AH79"/>
  <c r="AH115"/>
  <c r="AH151"/>
  <c r="AH187"/>
  <c r="AH223"/>
  <c r="AH259"/>
  <c r="AH295"/>
  <c r="AH331"/>
  <c r="AH367"/>
  <c r="AH403"/>
  <c r="AH439"/>
  <c r="AH475"/>
  <c r="AH511"/>
  <c r="AH48"/>
  <c r="AH84"/>
  <c r="AH120"/>
  <c r="AH156"/>
  <c r="AH192"/>
  <c r="AH228"/>
  <c r="AH264"/>
  <c r="AH300"/>
  <c r="AH336"/>
  <c r="AH372"/>
  <c r="AH408"/>
  <c r="AH444"/>
  <c r="AH480"/>
  <c r="AH516"/>
  <c r="AH273"/>
  <c r="AH489"/>
  <c r="AH267"/>
  <c r="AH483"/>
  <c r="AH261"/>
  <c r="AH477"/>
  <c r="AH219"/>
  <c r="AH435"/>
  <c r="AH177"/>
  <c r="AH393"/>
  <c r="AH135"/>
  <c r="AH351"/>
  <c r="AH134"/>
  <c r="AH112"/>
  <c r="AH292"/>
  <c r="AH364"/>
  <c r="AH400"/>
  <c r="AH472"/>
  <c r="AH508"/>
  <c r="AH45"/>
  <c r="AH73"/>
  <c r="AH109"/>
  <c r="AH145"/>
  <c r="AH181"/>
  <c r="AH217"/>
  <c r="AH289"/>
  <c r="AH325"/>
  <c r="AH361"/>
  <c r="AH397"/>
  <c r="AH433"/>
  <c r="AH469"/>
  <c r="AH505"/>
  <c r="AH42"/>
  <c r="AH114"/>
  <c r="AH150"/>
  <c r="AH186"/>
  <c r="AH222"/>
  <c r="AH258"/>
  <c r="AH294"/>
  <c r="AH330"/>
  <c r="AH366"/>
  <c r="AH402"/>
  <c r="AH438"/>
  <c r="AH510"/>
  <c r="AH237"/>
  <c r="AH453"/>
  <c r="AH231"/>
  <c r="AH447"/>
  <c r="AH225"/>
  <c r="AH441"/>
  <c r="AH399"/>
  <c r="AH141"/>
  <c r="AH357"/>
  <c r="AH99"/>
  <c r="AH315"/>
  <c r="AH358"/>
  <c r="AH288"/>
  <c r="AH201"/>
  <c r="AH411"/>
  <c r="AH405"/>
  <c r="AH363"/>
  <c r="AH105"/>
  <c r="AH321"/>
  <c r="AH279"/>
  <c r="AH266"/>
  <c r="AH410"/>
  <c r="AH482"/>
  <c r="AH23"/>
  <c r="AH59"/>
  <c r="AH131"/>
  <c r="AH167"/>
  <c r="AH203"/>
  <c r="AH239"/>
  <c r="AH275"/>
  <c r="AH347"/>
  <c r="AH383"/>
  <c r="AH419"/>
  <c r="AH455"/>
  <c r="AH491"/>
  <c r="AH28"/>
  <c r="AH136"/>
  <c r="AH172"/>
  <c r="AH208"/>
  <c r="AH244"/>
  <c r="AH280"/>
  <c r="AH316"/>
  <c r="AH352"/>
  <c r="AH388"/>
  <c r="AH460"/>
  <c r="AH496"/>
  <c r="AH25"/>
  <c r="AH61"/>
  <c r="AH97"/>
  <c r="AH133"/>
  <c r="AH169"/>
  <c r="AH205"/>
  <c r="AH277"/>
  <c r="AH313"/>
  <c r="AH349"/>
  <c r="AH385"/>
  <c r="AH26"/>
  <c r="AH62"/>
  <c r="AH98"/>
  <c r="AH170"/>
  <c r="AH206"/>
  <c r="AH242"/>
  <c r="AH278"/>
  <c r="AH314"/>
  <c r="AH350"/>
  <c r="AH386"/>
  <c r="AH422"/>
  <c r="AH458"/>
  <c r="AH494"/>
  <c r="AH35"/>
  <c r="AH71"/>
  <c r="AH107"/>
  <c r="AH143"/>
  <c r="AH179"/>
  <c r="AH215"/>
  <c r="AH251"/>
  <c r="AH287"/>
  <c r="AH323"/>
  <c r="AH359"/>
  <c r="AH395"/>
  <c r="AH431"/>
  <c r="AH467"/>
  <c r="AH503"/>
  <c r="AH40"/>
  <c r="AH76"/>
  <c r="AH148"/>
  <c r="AH184"/>
  <c r="AH220"/>
  <c r="AH256"/>
  <c r="AH328"/>
  <c r="AH436"/>
  <c r="AH37"/>
  <c r="AH253"/>
  <c r="AH78"/>
  <c r="AH474"/>
  <c r="AH183"/>
  <c r="AH389"/>
  <c r="AH286"/>
  <c r="AH466"/>
  <c r="AH67"/>
  <c r="AH139"/>
  <c r="AH211"/>
  <c r="AH283"/>
  <c r="AH355"/>
  <c r="AH391"/>
  <c r="AH463"/>
  <c r="AH499"/>
  <c r="AH72"/>
  <c r="AH144"/>
  <c r="AH180"/>
  <c r="AH252"/>
  <c r="AH324"/>
  <c r="AH396"/>
  <c r="AH468"/>
  <c r="AH504"/>
  <c r="AH195"/>
  <c r="AH147"/>
  <c r="AH495"/>
  <c r="AH194"/>
  <c r="AH64"/>
  <c r="AH20"/>
  <c r="AH56"/>
  <c r="AH92"/>
  <c r="AH128"/>
  <c r="AH164"/>
  <c r="AH200"/>
  <c r="AH236"/>
  <c r="AH272"/>
  <c r="AH308"/>
  <c r="AH344"/>
  <c r="AH380"/>
  <c r="AH416"/>
  <c r="AH452"/>
  <c r="AH488"/>
  <c r="AH29"/>
  <c r="AH65"/>
  <c r="AH101"/>
  <c r="AH137"/>
  <c r="AH173"/>
  <c r="AH209"/>
  <c r="AH245"/>
  <c r="AH281"/>
  <c r="AH317"/>
  <c r="AH353"/>
  <c r="AH425"/>
  <c r="AH461"/>
  <c r="AH497"/>
  <c r="AH34"/>
  <c r="AH70"/>
  <c r="AH106"/>
  <c r="AH142"/>
  <c r="AH178"/>
  <c r="AH214"/>
  <c r="AH250"/>
  <c r="AH322"/>
  <c r="AH394"/>
  <c r="AH430"/>
  <c r="AH502"/>
  <c r="AH39"/>
  <c r="AH31"/>
  <c r="AH103"/>
  <c r="AH175"/>
  <c r="AH247"/>
  <c r="AH319"/>
  <c r="AH427"/>
  <c r="AH36"/>
  <c r="AH108"/>
  <c r="AH216"/>
  <c r="AH360"/>
  <c r="AH432"/>
  <c r="AH417"/>
  <c r="AH189"/>
  <c r="AH63"/>
  <c r="AH374"/>
  <c r="AH50"/>
  <c r="AH86"/>
  <c r="AH122"/>
  <c r="AH158"/>
  <c r="AH230"/>
  <c r="AH302"/>
  <c r="AH338"/>
  <c r="AH446"/>
  <c r="AH95"/>
  <c r="AH311"/>
  <c r="AH100"/>
  <c r="AH424"/>
  <c r="AH44"/>
  <c r="AH80"/>
  <c r="AH116"/>
  <c r="AH152"/>
  <c r="AH188"/>
  <c r="AH224"/>
  <c r="AH260"/>
  <c r="AH296"/>
  <c r="AH332"/>
  <c r="AH368"/>
  <c r="AH404"/>
  <c r="AH440"/>
  <c r="AH476"/>
  <c r="AH512"/>
  <c r="AH53"/>
  <c r="AH89"/>
  <c r="AH38"/>
  <c r="AH74"/>
  <c r="AH110"/>
  <c r="AH146"/>
  <c r="AH182"/>
  <c r="AH218"/>
  <c r="AH254"/>
  <c r="AH290"/>
  <c r="AH326"/>
  <c r="AH362"/>
  <c r="AH398"/>
  <c r="AH434"/>
  <c r="AH470"/>
  <c r="AH506"/>
  <c r="AH47"/>
  <c r="AH83"/>
  <c r="AH119"/>
  <c r="AH155"/>
  <c r="AH191"/>
  <c r="AH227"/>
  <c r="AH263"/>
  <c r="AH299"/>
  <c r="AH335"/>
  <c r="AH371"/>
  <c r="AH407"/>
  <c r="AH443"/>
  <c r="AH479"/>
  <c r="AH515"/>
  <c r="AH52"/>
  <c r="AH88"/>
  <c r="AH124"/>
  <c r="AH160"/>
  <c r="AH196"/>
  <c r="AH232"/>
  <c r="AH268"/>
  <c r="AH304"/>
  <c r="AH340"/>
  <c r="AH376"/>
  <c r="AH412"/>
  <c r="AH448"/>
  <c r="AH484"/>
  <c r="AH21"/>
  <c r="AH57"/>
  <c r="AH49"/>
  <c r="AH85"/>
  <c r="AH121"/>
  <c r="AH157"/>
  <c r="AH193"/>
  <c r="AH229"/>
  <c r="AH265"/>
  <c r="AH449"/>
  <c r="AH93"/>
  <c r="AH165"/>
  <c r="AH197"/>
  <c r="AH413"/>
  <c r="AH130"/>
  <c r="AH346"/>
  <c r="AH199"/>
  <c r="AH337"/>
  <c r="AH493"/>
  <c r="AH138"/>
  <c r="AH282"/>
  <c r="AH426"/>
  <c r="AH375"/>
  <c r="AH285"/>
  <c r="AH501"/>
  <c r="AH161"/>
  <c r="AH377"/>
  <c r="AH94"/>
  <c r="AH310"/>
  <c r="AH27"/>
  <c r="AH163"/>
  <c r="AH307"/>
  <c r="AH415"/>
  <c r="AH487"/>
  <c r="AH60"/>
  <c r="AH132"/>
  <c r="AH204"/>
  <c r="AH276"/>
  <c r="AH348"/>
  <c r="AH420"/>
  <c r="AH492"/>
  <c r="AH345"/>
  <c r="AH339"/>
  <c r="AH333"/>
  <c r="AH291"/>
  <c r="AH249"/>
  <c r="AH111"/>
  <c r="AH125"/>
  <c r="AH341"/>
  <c r="AH58"/>
  <c r="AH274"/>
  <c r="AH490"/>
  <c r="AH127"/>
  <c r="AH301"/>
  <c r="AH409"/>
  <c r="AH481"/>
  <c r="AH54"/>
  <c r="AH126"/>
  <c r="AH198"/>
  <c r="AH270"/>
  <c r="AH342"/>
  <c r="AH414"/>
  <c r="AH486"/>
  <c r="AH309"/>
  <c r="AH303"/>
  <c r="AH297"/>
  <c r="AH255"/>
  <c r="AH213"/>
  <c r="AH171"/>
  <c r="AH69"/>
  <c r="AH305"/>
  <c r="AH22"/>
  <c r="AH238"/>
  <c r="AH454"/>
  <c r="AH91"/>
  <c r="AH271"/>
  <c r="AH379"/>
  <c r="AH457"/>
  <c r="AH30"/>
  <c r="AH174"/>
  <c r="AH246"/>
  <c r="AH318"/>
  <c r="AH390"/>
  <c r="AH153"/>
  <c r="AH269"/>
  <c r="AH485"/>
  <c r="AH202"/>
  <c r="AH418"/>
  <c r="AH55"/>
  <c r="AH241"/>
  <c r="AH373"/>
  <c r="AH451"/>
  <c r="AH24"/>
  <c r="AH96"/>
  <c r="AH168"/>
  <c r="AH240"/>
  <c r="AH312"/>
  <c r="AH384"/>
  <c r="AH456"/>
  <c r="AH129"/>
  <c r="AH123"/>
  <c r="AH117"/>
  <c r="AH75"/>
  <c r="AH507"/>
  <c r="AH465"/>
  <c r="AH423"/>
  <c r="AH233"/>
  <c r="AH166"/>
  <c r="AH382"/>
  <c r="AH19"/>
  <c r="AH235"/>
  <c r="AH343"/>
  <c r="AH445"/>
  <c r="AH18"/>
  <c r="AH90"/>
  <c r="AH162"/>
  <c r="AH234"/>
  <c r="AH306"/>
  <c r="AH378"/>
  <c r="AH450"/>
  <c r="AH87"/>
  <c r="AH81"/>
  <c r="AH513"/>
  <c r="AH471"/>
  <c r="AH429"/>
  <c r="AH387"/>
  <c r="AH33"/>
  <c r="AH421"/>
  <c r="AH66"/>
  <c r="AH210"/>
  <c r="AH354"/>
  <c r="AH498"/>
  <c r="AH381"/>
  <c r="AH369"/>
  <c r="AH327"/>
  <c r="AH243"/>
  <c r="AH207"/>
  <c r="AH102"/>
  <c r="AH462"/>
  <c r="AH159"/>
  <c r="AH459"/>
  <c r="AP143"/>
  <c r="AP458"/>
  <c r="AP91"/>
  <c r="AP373"/>
  <c r="AP441"/>
  <c r="AP86"/>
  <c r="AP384"/>
  <c r="AP145"/>
  <c r="BX285"/>
  <c r="AP226"/>
  <c r="AP211"/>
  <c r="AP116"/>
  <c r="BX481"/>
  <c r="AP50"/>
  <c r="BX448"/>
  <c r="BX480"/>
  <c r="BS74"/>
  <c r="BT74" s="1"/>
  <c r="BS118"/>
  <c r="BT118" s="1"/>
  <c r="BS175"/>
  <c r="BT175" s="1"/>
  <c r="BS186"/>
  <c r="BT186" s="1"/>
  <c r="BS155"/>
  <c r="BT155" s="1"/>
  <c r="BS184"/>
  <c r="BT184" s="1"/>
  <c r="BS88"/>
  <c r="BT88" s="1"/>
  <c r="BX89" s="1"/>
  <c r="BS100"/>
  <c r="BT100" s="1"/>
  <c r="BS143"/>
  <c r="BT143" s="1"/>
  <c r="BS180"/>
  <c r="BT180" s="1"/>
  <c r="BX181" s="1"/>
  <c r="BS131"/>
  <c r="BT131" s="1"/>
  <c r="BS130"/>
  <c r="BT130" s="1"/>
  <c r="BS59"/>
  <c r="BT59" s="1"/>
  <c r="BS69"/>
  <c r="BT69" s="1"/>
  <c r="BS95"/>
  <c r="BT95" s="1"/>
  <c r="BS83"/>
  <c r="BT83" s="1"/>
  <c r="BS156"/>
  <c r="BT156" s="1"/>
  <c r="BS183"/>
  <c r="BT183" s="1"/>
  <c r="BX184" s="1"/>
  <c r="BS167"/>
  <c r="BT167" s="1"/>
  <c r="BX296"/>
  <c r="BX402"/>
  <c r="BX252"/>
  <c r="BX350"/>
  <c r="BX459"/>
  <c r="BX221"/>
  <c r="BX368"/>
  <c r="BX367"/>
  <c r="BX477"/>
  <c r="BX312"/>
  <c r="BX327"/>
  <c r="AP213"/>
  <c r="AP480"/>
  <c r="AP79"/>
  <c r="AP498"/>
  <c r="AP276"/>
  <c r="AP205"/>
  <c r="AP507"/>
  <c r="AP425"/>
  <c r="AP29"/>
  <c r="AP45"/>
  <c r="AP267"/>
  <c r="AP260"/>
  <c r="AP244"/>
  <c r="AP121"/>
  <c r="AP130"/>
  <c r="AP295"/>
  <c r="AP395"/>
  <c r="AP111"/>
  <c r="AP64"/>
  <c r="AP191"/>
  <c r="AP289"/>
  <c r="AP184"/>
  <c r="AP505"/>
  <c r="AP187"/>
  <c r="BS171"/>
  <c r="BT171" s="1"/>
  <c r="BS165"/>
  <c r="BT165" s="1"/>
  <c r="BS174"/>
  <c r="BT174" s="1"/>
  <c r="BS144"/>
  <c r="BT144" s="1"/>
  <c r="AP483"/>
  <c r="AP502"/>
  <c r="BS148"/>
  <c r="BT148" s="1"/>
  <c r="AP281"/>
  <c r="AP408"/>
  <c r="AP216"/>
  <c r="AP172"/>
  <c r="BS120"/>
  <c r="BT120" s="1"/>
  <c r="AP365"/>
  <c r="BS140"/>
  <c r="BT140" s="1"/>
  <c r="AP316"/>
  <c r="BS129"/>
  <c r="BT129" s="1"/>
  <c r="BS97"/>
  <c r="BT97" s="1"/>
  <c r="BS128"/>
  <c r="BT128" s="1"/>
  <c r="BS153"/>
  <c r="BT153" s="1"/>
  <c r="BS154"/>
  <c r="BT154" s="1"/>
  <c r="BS134"/>
  <c r="BT134" s="1"/>
  <c r="BX135" s="1"/>
  <c r="BS176"/>
  <c r="BT176" s="1"/>
  <c r="BS147"/>
  <c r="BT147" s="1"/>
  <c r="BS142"/>
  <c r="BT142" s="1"/>
  <c r="BS132"/>
  <c r="BT132" s="1"/>
  <c r="BS112"/>
  <c r="BT112" s="1"/>
  <c r="BS80"/>
  <c r="BT80" s="1"/>
  <c r="BS163"/>
  <c r="BT163" s="1"/>
  <c r="AP486"/>
  <c r="BS111"/>
  <c r="BT111" s="1"/>
  <c r="BS87"/>
  <c r="BT87" s="1"/>
  <c r="BS123"/>
  <c r="BT123" s="1"/>
  <c r="BS84"/>
  <c r="BT84" s="1"/>
  <c r="BS169"/>
  <c r="BT169" s="1"/>
  <c r="BS141"/>
  <c r="BS149"/>
  <c r="BT149" s="1"/>
  <c r="BS122"/>
  <c r="BT122" s="1"/>
  <c r="BS151"/>
  <c r="BT151" s="1"/>
  <c r="AP106"/>
  <c r="AP265"/>
  <c r="AP254"/>
  <c r="BS168"/>
  <c r="BT168" s="1"/>
  <c r="BS164"/>
  <c r="BT164" s="1"/>
  <c r="BS92"/>
  <c r="BT92" s="1"/>
  <c r="BS137"/>
  <c r="BS162"/>
  <c r="BT162" s="1"/>
  <c r="BX163" s="1"/>
  <c r="BS160"/>
  <c r="BT160" s="1"/>
  <c r="BS159"/>
  <c r="BT159" s="1"/>
  <c r="AP300"/>
  <c r="AP419"/>
  <c r="AP133"/>
  <c r="AP313"/>
  <c r="AP94"/>
  <c r="AP189"/>
  <c r="AP381"/>
  <c r="AP493"/>
  <c r="AP304"/>
  <c r="AP360"/>
  <c r="AP180"/>
  <c r="AP230"/>
  <c r="AP389"/>
  <c r="AP328"/>
  <c r="AP383"/>
  <c r="AP460"/>
  <c r="AP302"/>
  <c r="AP371"/>
  <c r="AP117"/>
  <c r="BX405"/>
  <c r="BX345"/>
  <c r="BX410"/>
  <c r="BX288"/>
  <c r="AP333"/>
  <c r="AP416"/>
  <c r="AP258"/>
  <c r="AP433"/>
  <c r="AP393"/>
  <c r="AP113"/>
  <c r="BX244"/>
  <c r="BX370"/>
  <c r="BX254"/>
  <c r="AP315"/>
  <c r="AP369"/>
  <c r="AP90"/>
  <c r="AP385"/>
  <c r="BX515"/>
  <c r="BX358"/>
  <c r="BX274"/>
  <c r="BX233"/>
  <c r="AP413"/>
  <c r="BX211"/>
  <c r="BX418"/>
  <c r="BX272"/>
  <c r="AP73"/>
  <c r="AP123"/>
  <c r="BX217"/>
  <c r="AP348"/>
  <c r="AP473"/>
  <c r="AP219"/>
  <c r="AP510"/>
  <c r="AP439"/>
  <c r="AP221"/>
  <c r="AP199"/>
  <c r="BX495"/>
  <c r="BX502"/>
  <c r="AP33"/>
  <c r="AP504"/>
  <c r="BX269"/>
  <c r="BX227"/>
  <c r="AP164"/>
  <c r="AP387"/>
  <c r="BX362"/>
  <c r="AP306"/>
  <c r="AP192"/>
  <c r="AP255"/>
  <c r="BX258"/>
  <c r="BX450"/>
  <c r="BX250"/>
  <c r="BX332"/>
  <c r="AP363"/>
  <c r="AP308"/>
  <c r="AP403"/>
  <c r="AP229"/>
  <c r="AP61"/>
  <c r="AP264"/>
  <c r="AP253"/>
  <c r="AP81"/>
  <c r="AP107"/>
  <c r="BX431"/>
  <c r="AP26"/>
  <c r="AP271"/>
  <c r="AP152"/>
  <c r="AP351"/>
  <c r="AP421"/>
  <c r="AP252"/>
  <c r="BX298"/>
  <c r="BX360"/>
  <c r="BX213"/>
  <c r="BX435"/>
  <c r="AP224"/>
  <c r="AP168"/>
  <c r="AP362"/>
  <c r="BX430"/>
  <c r="BX236"/>
  <c r="BX500"/>
  <c r="AP455"/>
  <c r="AP96"/>
  <c r="AP478"/>
  <c r="BX294"/>
  <c r="BX328"/>
  <c r="BX305"/>
  <c r="AP67"/>
  <c r="AP48"/>
  <c r="AP246"/>
  <c r="BX378"/>
  <c r="BX424"/>
  <c r="BX207"/>
  <c r="AP287"/>
  <c r="AP429"/>
  <c r="AP356"/>
  <c r="BX454"/>
  <c r="BX479"/>
  <c r="BX239"/>
  <c r="BX277"/>
  <c r="BV209"/>
  <c r="BV225"/>
  <c r="BV438"/>
  <c r="BU511"/>
  <c r="AX246"/>
  <c r="AX498"/>
  <c r="AX404"/>
  <c r="BU209"/>
  <c r="BU412"/>
  <c r="BV335"/>
  <c r="BV210"/>
  <c r="BT200"/>
  <c r="BX201" s="1"/>
  <c r="BT234"/>
  <c r="BX234" s="1"/>
  <c r="AX351"/>
  <c r="BV412"/>
  <c r="BU457"/>
  <c r="BV224"/>
  <c r="BT303"/>
  <c r="BX304" s="1"/>
  <c r="AX135"/>
  <c r="BV398"/>
  <c r="AX431"/>
  <c r="BV235"/>
  <c r="BV431"/>
  <c r="BU245"/>
  <c r="AX149"/>
  <c r="AX129"/>
  <c r="AX245"/>
  <c r="BV516"/>
  <c r="BU225"/>
  <c r="BV343"/>
  <c r="BV485"/>
  <c r="BU192"/>
  <c r="BU224"/>
  <c r="BT386"/>
  <c r="BX386" s="1"/>
  <c r="BT364"/>
  <c r="BX365" s="1"/>
  <c r="AX132"/>
  <c r="AX238"/>
  <c r="BU363"/>
  <c r="BU386"/>
  <c r="BU233"/>
  <c r="BU332"/>
  <c r="BU485"/>
  <c r="BV275"/>
  <c r="BV375"/>
  <c r="BU393"/>
  <c r="BT387"/>
  <c r="AX368"/>
  <c r="AX426"/>
  <c r="BU411"/>
  <c r="AX485"/>
  <c r="BU496"/>
  <c r="AX295"/>
  <c r="BV301"/>
  <c r="BU246"/>
  <c r="BV295"/>
  <c r="AX395"/>
  <c r="BT353"/>
  <c r="BX354" s="1"/>
  <c r="BT467"/>
  <c r="BX468" s="1"/>
  <c r="BU440"/>
  <c r="BU451"/>
  <c r="BU480"/>
  <c r="BS152"/>
  <c r="BT152" s="1"/>
  <c r="BS260"/>
  <c r="BS227"/>
  <c r="BS223"/>
  <c r="BS203"/>
  <c r="BS158"/>
  <c r="BT158" s="1"/>
  <c r="BS310"/>
  <c r="BS442"/>
  <c r="BS220"/>
  <c r="BS311"/>
  <c r="BS253"/>
  <c r="BS173"/>
  <c r="BT173" s="1"/>
  <c r="BS414"/>
  <c r="BS291"/>
  <c r="BS242"/>
  <c r="BS189"/>
  <c r="BS329"/>
  <c r="BS409"/>
  <c r="BS502"/>
  <c r="BS273"/>
  <c r="BS254"/>
  <c r="BS321"/>
  <c r="BS303"/>
  <c r="BS455"/>
  <c r="BS258"/>
  <c r="BS473"/>
  <c r="BS354"/>
  <c r="BS361"/>
  <c r="BS355"/>
  <c r="BS124"/>
  <c r="BT124" s="1"/>
  <c r="BS381"/>
  <c r="BS178"/>
  <c r="BT178" s="1"/>
  <c r="BX179" s="1"/>
  <c r="BS323"/>
  <c r="BS126"/>
  <c r="BT126" s="1"/>
  <c r="BS405"/>
  <c r="BS471"/>
  <c r="BS166"/>
  <c r="BT166" s="1"/>
  <c r="BS313"/>
  <c r="BS267"/>
  <c r="BS484"/>
  <c r="BS488"/>
  <c r="BS434"/>
  <c r="BS212"/>
  <c r="BS94"/>
  <c r="BT94" s="1"/>
  <c r="BS467"/>
  <c r="BS397"/>
  <c r="BS230"/>
  <c r="BS243"/>
  <c r="BS509"/>
  <c r="BS150"/>
  <c r="BT150" s="1"/>
  <c r="BS249"/>
  <c r="BS499"/>
  <c r="BS482"/>
  <c r="BS197"/>
  <c r="AX349"/>
  <c r="AX360"/>
  <c r="AX243"/>
  <c r="BU415"/>
  <c r="BU435"/>
  <c r="BV427"/>
  <c r="BU211"/>
  <c r="AX465"/>
  <c r="BV307"/>
  <c r="AX183"/>
  <c r="AX154"/>
  <c r="BU201"/>
  <c r="BV440"/>
  <c r="BU255"/>
  <c r="BV496"/>
  <c r="BU294"/>
  <c r="BV312"/>
  <c r="BV304"/>
  <c r="BV360"/>
  <c r="BV238"/>
  <c r="BV500"/>
  <c r="AX457"/>
  <c r="AX477"/>
  <c r="AX352"/>
  <c r="AX412"/>
  <c r="AX176"/>
  <c r="BV316"/>
  <c r="BV467"/>
  <c r="AX344"/>
  <c r="BU499"/>
  <c r="BU413"/>
  <c r="BU333"/>
  <c r="AX158"/>
  <c r="BU471"/>
  <c r="AX403"/>
  <c r="AX286"/>
  <c r="AX507"/>
  <c r="BV366"/>
  <c r="BV248"/>
  <c r="BU229"/>
  <c r="AX430"/>
  <c r="AX393"/>
  <c r="AX210"/>
  <c r="BV201"/>
  <c r="BV411"/>
  <c r="AX180"/>
  <c r="BV466"/>
  <c r="BU498"/>
  <c r="BU428"/>
  <c r="BU235"/>
  <c r="BV362"/>
  <c r="BV426"/>
  <c r="BU431"/>
  <c r="BV477"/>
  <c r="BU269"/>
  <c r="BV229"/>
  <c r="BV511"/>
  <c r="BU500"/>
  <c r="AX428"/>
  <c r="BT336"/>
  <c r="BX337" s="1"/>
  <c r="BT247"/>
  <c r="BX248" s="1"/>
  <c r="AX275"/>
  <c r="BT512"/>
  <c r="BX513" s="1"/>
  <c r="AX225"/>
  <c r="BU420"/>
  <c r="BU222"/>
  <c r="AX435"/>
  <c r="AX205"/>
  <c r="AX420"/>
  <c r="AX125"/>
  <c r="BV415"/>
  <c r="BV499"/>
  <c r="BU289"/>
  <c r="BV420"/>
  <c r="BV222"/>
  <c r="BV318"/>
  <c r="BV217"/>
  <c r="BV344"/>
  <c r="BU458"/>
  <c r="AX499"/>
  <c r="AX399"/>
  <c r="AX206"/>
  <c r="BU491"/>
  <c r="BU208"/>
  <c r="BU362"/>
  <c r="BT209"/>
  <c r="BX210" s="1"/>
  <c r="BT388"/>
  <c r="BT420"/>
  <c r="BX421" s="1"/>
  <c r="BV423"/>
  <c r="BV347"/>
  <c r="BT214"/>
  <c r="BX215" s="1"/>
  <c r="BV298"/>
  <c r="BU189"/>
  <c r="AX212"/>
  <c r="BT508"/>
  <c r="BX509" s="1"/>
  <c r="AX25"/>
  <c r="AX268"/>
  <c r="BU398"/>
  <c r="BV334"/>
  <c r="BV255"/>
  <c r="AX409"/>
  <c r="AX427"/>
  <c r="BV493"/>
  <c r="BU368"/>
  <c r="BV332"/>
  <c r="BU343"/>
  <c r="BV507"/>
  <c r="BV241"/>
  <c r="BU421"/>
  <c r="BU275"/>
  <c r="BU477"/>
  <c r="BU385"/>
  <c r="BU360"/>
  <c r="BV302"/>
  <c r="BV199"/>
  <c r="BV265"/>
  <c r="AX343"/>
  <c r="AX385"/>
  <c r="AX171"/>
  <c r="AX363"/>
  <c r="BT412"/>
  <c r="BX413" s="1"/>
  <c r="AX233"/>
  <c r="AX466"/>
  <c r="AX279"/>
  <c r="AX192"/>
  <c r="AX151"/>
  <c r="BU468"/>
  <c r="BV382"/>
  <c r="BV228"/>
  <c r="AX198"/>
  <c r="AX224"/>
  <c r="BU493"/>
  <c r="BV437"/>
  <c r="BU261"/>
  <c r="BU389"/>
  <c r="BV403"/>
  <c r="BU335"/>
  <c r="BU463"/>
  <c r="BV305"/>
  <c r="BV240"/>
  <c r="BV435"/>
  <c r="BV444"/>
  <c r="BV247"/>
  <c r="BU210"/>
  <c r="BV192"/>
  <c r="BU375"/>
  <c r="BV259"/>
  <c r="BU198"/>
  <c r="BV393"/>
  <c r="BT302"/>
  <c r="BT286"/>
  <c r="BX287" s="1"/>
  <c r="BT376"/>
  <c r="BX377" s="1"/>
  <c r="BT202"/>
  <c r="BX202" s="1"/>
  <c r="AX491"/>
  <c r="AX496"/>
  <c r="BV498"/>
  <c r="BV457"/>
  <c r="BU403"/>
  <c r="BU374"/>
  <c r="BT313"/>
  <c r="BX314" s="1"/>
  <c r="BT222"/>
  <c r="BX223" s="1"/>
  <c r="AX255"/>
  <c r="AX141"/>
  <c r="AX330"/>
  <c r="BV487"/>
  <c r="AX204"/>
  <c r="BV322"/>
  <c r="BV350"/>
  <c r="BU286"/>
  <c r="BU462"/>
  <c r="BU216"/>
  <c r="BV380"/>
  <c r="BU249"/>
  <c r="BU429"/>
  <c r="BV290"/>
  <c r="BV205"/>
  <c r="BV299"/>
  <c r="BV458"/>
  <c r="AX179"/>
  <c r="BS493"/>
  <c r="BS413"/>
  <c r="BS185"/>
  <c r="BT185" s="1"/>
  <c r="BS228"/>
  <c r="BS177"/>
  <c r="BT177" s="1"/>
  <c r="BS443"/>
  <c r="BS392"/>
  <c r="BS161"/>
  <c r="BT161" s="1"/>
  <c r="BS461"/>
  <c r="BS505"/>
  <c r="BS172"/>
  <c r="BT172" s="1"/>
  <c r="BS236"/>
  <c r="BS481"/>
  <c r="BS348"/>
  <c r="BS146"/>
  <c r="BT146" s="1"/>
  <c r="BS437"/>
  <c r="BS424"/>
  <c r="BS425"/>
  <c r="BS119"/>
  <c r="BT119" s="1"/>
  <c r="BS399"/>
  <c r="BS390"/>
  <c r="BS464"/>
  <c r="BS356"/>
  <c r="BS422"/>
  <c r="BS299"/>
  <c r="BS497"/>
  <c r="BS125"/>
  <c r="BT125" s="1"/>
  <c r="BS384"/>
  <c r="BS452"/>
  <c r="BS196"/>
  <c r="BS319"/>
  <c r="BS441"/>
  <c r="BS364"/>
  <c r="BS334"/>
  <c r="AX463"/>
  <c r="AX259"/>
  <c r="AX235"/>
  <c r="AX460"/>
  <c r="AX442"/>
  <c r="AX241"/>
  <c r="AX163"/>
  <c r="AX217"/>
  <c r="AX418"/>
  <c r="BU453"/>
  <c r="BV413"/>
  <c r="BV386"/>
  <c r="BU516"/>
  <c r="AX229"/>
  <c r="AX361"/>
  <c r="AX216"/>
  <c r="BU422"/>
  <c r="BV390"/>
  <c r="BV372"/>
  <c r="BV373"/>
  <c r="BV286"/>
  <c r="BU248"/>
  <c r="BU301"/>
  <c r="BV434"/>
  <c r="BV361"/>
  <c r="BU300"/>
  <c r="BU241"/>
  <c r="BV206"/>
  <c r="BU331"/>
  <c r="BU444"/>
  <c r="BU295"/>
  <c r="BV429"/>
  <c r="BU307"/>
  <c r="BU438"/>
  <c r="BU299"/>
  <c r="BV198"/>
  <c r="BU238"/>
  <c r="BU472"/>
  <c r="AX389"/>
  <c r="AX156"/>
  <c r="AX199"/>
  <c r="AX169"/>
  <c r="BT399"/>
  <c r="BX400" s="1"/>
  <c r="AX175"/>
  <c r="AX184"/>
  <c r="AX207"/>
  <c r="BV446"/>
  <c r="AX237"/>
  <c r="BU396"/>
  <c r="BU475"/>
  <c r="AX299"/>
  <c r="BU278"/>
  <c r="BU409"/>
  <c r="BU271"/>
  <c r="BV489"/>
  <c r="BV251"/>
  <c r="BU338"/>
  <c r="BV221"/>
  <c r="BV483"/>
  <c r="BV478"/>
  <c r="BV327"/>
  <c r="AX281"/>
  <c r="BT266"/>
  <c r="BX266" s="1"/>
  <c r="AX248"/>
  <c r="AX278"/>
  <c r="BV509"/>
  <c r="BV484"/>
  <c r="BU228"/>
  <c r="BV433"/>
  <c r="BV396"/>
  <c r="BU215"/>
  <c r="BU410"/>
  <c r="BV340"/>
  <c r="BV278"/>
  <c r="BU298"/>
  <c r="BU205"/>
  <c r="BV400"/>
  <c r="BU221"/>
  <c r="AX317"/>
  <c r="BT516"/>
  <c r="BX517" s="1"/>
  <c r="BT282"/>
  <c r="AX453"/>
  <c r="BT416"/>
  <c r="BX416" s="1"/>
  <c r="BT372"/>
  <c r="BX372" s="1"/>
  <c r="BT379"/>
  <c r="BX379" s="1"/>
  <c r="AX493"/>
  <c r="AX419"/>
  <c r="BU377"/>
  <c r="BU390"/>
  <c r="BV320"/>
  <c r="BV371"/>
  <c r="BV262"/>
  <c r="BU193"/>
  <c r="BU312"/>
  <c r="BV245"/>
  <c r="BU302"/>
  <c r="BU483"/>
  <c r="BU404"/>
  <c r="AX290"/>
  <c r="AX134"/>
  <c r="BT323"/>
  <c r="BX324" s="1"/>
  <c r="AX396"/>
  <c r="AX373"/>
  <c r="AX23"/>
  <c r="BT408"/>
  <c r="BX409" s="1"/>
  <c r="AP310"/>
  <c r="AP263"/>
  <c r="AP98"/>
  <c r="AX407"/>
  <c r="AP22"/>
  <c r="AP471"/>
  <c r="AP201"/>
  <c r="AP150"/>
  <c r="AP166"/>
  <c r="AP169"/>
  <c r="BX464"/>
  <c r="AP350"/>
  <c r="AP198"/>
  <c r="AP291"/>
  <c r="AP451"/>
  <c r="AP391"/>
  <c r="AX308"/>
  <c r="AP240"/>
  <c r="AP92"/>
  <c r="AP324"/>
  <c r="AP208"/>
  <c r="BX414"/>
  <c r="AP60"/>
  <c r="AP102"/>
  <c r="AP233"/>
  <c r="BT299"/>
  <c r="BX300" s="1"/>
  <c r="BX257"/>
  <c r="AP104"/>
  <c r="AP89"/>
  <c r="AP464"/>
  <c r="AX118"/>
  <c r="BX475"/>
  <c r="BX407"/>
  <c r="BX205"/>
  <c r="BX466"/>
  <c r="BX432"/>
  <c r="AP494"/>
  <c r="BX295"/>
  <c r="BX253"/>
  <c r="AP242"/>
  <c r="AP23"/>
  <c r="AP223"/>
  <c r="AP312"/>
  <c r="AP337"/>
  <c r="AP179"/>
  <c r="AP467"/>
  <c r="AP174"/>
  <c r="AP335"/>
  <c r="AP325"/>
  <c r="AP426"/>
  <c r="AP77"/>
  <c r="AP209"/>
  <c r="AP268"/>
  <c r="AP400"/>
  <c r="AP239"/>
  <c r="BX383"/>
  <c r="BX469"/>
  <c r="BX363"/>
  <c r="AP153"/>
  <c r="AP247"/>
  <c r="BX422"/>
  <c r="AP275"/>
  <c r="AP55"/>
  <c r="AP320"/>
  <c r="BX279"/>
  <c r="AP428"/>
  <c r="AP431"/>
  <c r="AP262"/>
  <c r="AP355"/>
  <c r="AP178"/>
  <c r="AP435"/>
  <c r="AP105"/>
  <c r="AP500"/>
  <c r="AP282"/>
  <c r="AP231"/>
  <c r="AP42"/>
  <c r="AP147"/>
  <c r="AP181"/>
  <c r="AP462"/>
  <c r="AP206"/>
  <c r="BU264"/>
  <c r="AX459"/>
  <c r="AX155"/>
  <c r="BX397"/>
  <c r="AP53"/>
  <c r="AP257"/>
  <c r="AP144"/>
  <c r="AP495"/>
  <c r="AP468"/>
  <c r="AP457"/>
  <c r="AP359"/>
  <c r="BX341"/>
  <c r="BX476"/>
  <c r="BX359"/>
  <c r="BX492"/>
  <c r="BX471"/>
  <c r="BX419"/>
  <c r="BX361"/>
  <c r="AX21"/>
  <c r="AP25"/>
  <c r="AP368"/>
  <c r="AP37"/>
  <c r="AP24"/>
  <c r="AP54"/>
  <c r="AP501"/>
  <c r="AP309"/>
  <c r="AP297"/>
  <c r="AP432"/>
  <c r="AP66"/>
  <c r="AP215"/>
  <c r="AP56"/>
  <c r="AP270"/>
  <c r="AP401"/>
  <c r="AP52"/>
  <c r="AP466"/>
  <c r="AP307"/>
  <c r="AP367"/>
  <c r="AP349"/>
  <c r="AP459"/>
  <c r="AP47"/>
  <c r="AP146"/>
  <c r="AP69"/>
  <c r="AP183"/>
  <c r="AP469"/>
  <c r="AP220"/>
  <c r="AP34"/>
  <c r="AP506"/>
  <c r="AP411"/>
  <c r="AP165"/>
  <c r="AP139"/>
  <c r="AP103"/>
  <c r="AP200"/>
  <c r="AP406"/>
  <c r="AP511"/>
  <c r="AP234"/>
  <c r="AP74"/>
  <c r="AP78"/>
  <c r="AP195"/>
  <c r="AP222"/>
  <c r="AP248"/>
  <c r="AP388"/>
  <c r="AP440"/>
  <c r="AP256"/>
  <c r="AP354"/>
  <c r="AP380"/>
  <c r="AP474"/>
  <c r="BU366"/>
  <c r="BV374"/>
  <c r="AX167"/>
  <c r="AX445"/>
  <c r="BX334"/>
  <c r="BX406"/>
  <c r="BX395"/>
  <c r="BX226"/>
  <c r="BX261"/>
  <c r="BX194"/>
  <c r="BX212"/>
  <c r="BX297"/>
  <c r="BX433"/>
  <c r="BX428"/>
  <c r="AP194"/>
  <c r="AP405"/>
  <c r="AP39"/>
  <c r="AP110"/>
  <c r="AP161"/>
  <c r="AP72"/>
  <c r="AP171"/>
  <c r="AP101"/>
  <c r="AP319"/>
  <c r="AP377"/>
  <c r="AP514"/>
  <c r="AP204"/>
  <c r="AP412"/>
  <c r="AP49"/>
  <c r="AP97"/>
  <c r="AP323"/>
  <c r="AP288"/>
  <c r="AP422"/>
  <c r="AP430"/>
  <c r="AP149"/>
  <c r="AP122"/>
  <c r="AP225"/>
  <c r="AP43"/>
  <c r="AP427"/>
  <c r="AP148"/>
  <c r="AP68"/>
  <c r="AP456"/>
  <c r="AP465"/>
  <c r="AP142"/>
  <c r="AP463"/>
  <c r="AP479"/>
  <c r="BX316"/>
  <c r="BX396"/>
  <c r="BX451"/>
  <c r="BX197"/>
  <c r="BX496"/>
  <c r="BX344"/>
  <c r="BX434"/>
  <c r="BX326"/>
  <c r="BX308"/>
  <c r="BX190"/>
  <c r="AP85"/>
  <c r="AP138"/>
  <c r="AP299"/>
  <c r="AP454"/>
  <c r="AP44"/>
  <c r="AP472"/>
  <c r="AP167"/>
  <c r="AP185"/>
  <c r="AP132"/>
  <c r="AP151"/>
  <c r="AP283"/>
  <c r="AP241"/>
  <c r="AP274"/>
  <c r="AP290"/>
  <c r="AP292"/>
  <c r="AP294"/>
  <c r="AP340"/>
  <c r="AP93"/>
  <c r="AP512"/>
  <c r="AP228"/>
  <c r="AP452"/>
  <c r="AP131"/>
  <c r="AP296"/>
  <c r="AP245"/>
  <c r="AP407"/>
  <c r="AP366"/>
  <c r="AP392"/>
  <c r="AP503"/>
  <c r="AP434"/>
  <c r="AP481"/>
  <c r="AP80"/>
  <c r="AP87"/>
  <c r="AP207"/>
  <c r="BX256"/>
  <c r="BX315"/>
  <c r="BX369"/>
  <c r="BX366"/>
  <c r="BX357"/>
  <c r="BX444"/>
  <c r="BX331"/>
  <c r="BX251"/>
  <c r="BX191"/>
  <c r="BX255"/>
  <c r="BX275"/>
  <c r="BX411"/>
  <c r="BX325"/>
  <c r="BX436"/>
  <c r="BX501"/>
  <c r="AP251"/>
  <c r="AP28"/>
  <c r="AP273"/>
  <c r="AP424"/>
  <c r="AP197"/>
  <c r="AP136"/>
  <c r="AP446"/>
  <c r="AP358"/>
  <c r="AP21"/>
  <c r="AP415"/>
  <c r="AP249"/>
  <c r="AP88"/>
  <c r="AP186"/>
  <c r="AP212"/>
  <c r="AP305"/>
  <c r="AP414"/>
  <c r="AP448"/>
  <c r="AP95"/>
  <c r="AP134"/>
  <c r="AP129"/>
  <c r="AP182"/>
  <c r="AP190"/>
  <c r="AP266"/>
  <c r="AP382"/>
  <c r="AP280"/>
  <c r="AP32"/>
  <c r="AP314"/>
  <c r="AP420"/>
  <c r="AP361"/>
  <c r="AP75"/>
  <c r="AP279"/>
  <c r="BX278"/>
  <c r="BX289"/>
  <c r="BX415"/>
  <c r="BX507"/>
  <c r="BX445"/>
  <c r="BX371"/>
  <c r="BX401"/>
  <c r="BX249"/>
  <c r="BX216"/>
  <c r="BX206"/>
  <c r="BX228"/>
  <c r="BX382"/>
  <c r="BX218"/>
  <c r="BX243"/>
  <c r="AP410"/>
  <c r="AP497"/>
  <c r="AP322"/>
  <c r="AP63"/>
  <c r="AP125"/>
  <c r="AP343"/>
  <c r="AP379"/>
  <c r="AP115"/>
  <c r="AP492"/>
  <c r="AP491"/>
  <c r="AP332"/>
  <c r="AP311"/>
  <c r="AP331"/>
  <c r="AP99"/>
  <c r="AP470"/>
  <c r="AP513"/>
  <c r="AP70"/>
  <c r="AP83"/>
  <c r="AP346"/>
  <c r="AP477"/>
  <c r="AP396"/>
  <c r="AP82"/>
  <c r="AP364"/>
  <c r="AP261"/>
  <c r="AP173"/>
  <c r="AP214"/>
  <c r="AP390"/>
  <c r="AP372"/>
  <c r="AP487"/>
  <c r="AP76"/>
  <c r="AP499"/>
  <c r="AP329"/>
  <c r="AP370"/>
  <c r="BX497"/>
  <c r="BX470"/>
  <c r="BX514"/>
  <c r="BX478"/>
  <c r="BX276"/>
  <c r="BX491"/>
  <c r="BX307"/>
  <c r="BX208"/>
  <c r="BX425"/>
  <c r="BX306"/>
  <c r="BX465"/>
  <c r="AP218"/>
  <c r="AP41"/>
  <c r="AP156"/>
  <c r="AP31"/>
  <c r="AP376"/>
  <c r="AP450"/>
  <c r="AP327"/>
  <c r="AP353"/>
  <c r="AP438"/>
  <c r="AP18"/>
  <c r="AT18" s="1"/>
  <c r="AP19"/>
  <c r="AP20"/>
  <c r="AP341"/>
  <c r="AP284"/>
  <c r="AP402"/>
  <c r="AP347"/>
  <c r="AP418"/>
  <c r="AP59"/>
  <c r="AP399"/>
  <c r="AP417"/>
  <c r="AP177"/>
  <c r="AP442"/>
  <c r="AP374"/>
  <c r="AP51"/>
  <c r="AP301"/>
  <c r="AP65"/>
  <c r="AP227"/>
  <c r="AP259"/>
  <c r="AP303"/>
  <c r="AP188"/>
  <c r="AP235"/>
  <c r="AP46"/>
  <c r="AP386"/>
  <c r="AP394"/>
  <c r="AP269"/>
  <c r="AP317"/>
  <c r="AP238"/>
  <c r="AP336"/>
  <c r="AP108"/>
  <c r="AP334"/>
  <c r="AP112"/>
  <c r="AP210"/>
  <c r="AP120"/>
  <c r="AP128"/>
  <c r="BX280"/>
  <c r="BX398"/>
  <c r="BX455"/>
  <c r="BX301"/>
  <c r="BX271"/>
  <c r="BX270"/>
  <c r="BX429"/>
  <c r="BX437"/>
  <c r="BX333"/>
  <c r="BX273"/>
  <c r="BX449"/>
  <c r="BX423"/>
  <c r="AP163"/>
  <c r="AP36"/>
  <c r="AP490"/>
  <c r="AP485"/>
  <c r="AP176"/>
  <c r="AP203"/>
  <c r="AP286"/>
  <c r="AP345"/>
  <c r="AP509"/>
  <c r="AP398"/>
  <c r="AX193"/>
  <c r="BT460"/>
  <c r="BX461" s="1"/>
  <c r="BT342"/>
  <c r="BX343" s="1"/>
  <c r="BT488"/>
  <c r="BT229"/>
  <c r="BX230" s="1"/>
  <c r="BT446"/>
  <c r="BX447" s="1"/>
  <c r="AX378"/>
  <c r="AX475"/>
  <c r="AX372"/>
  <c r="BT391"/>
  <c r="BX392" s="1"/>
  <c r="BT373"/>
  <c r="BT374"/>
  <c r="AX32"/>
  <c r="AX34"/>
  <c r="AX31"/>
  <c r="BV452"/>
  <c r="BU365"/>
  <c r="BU190"/>
  <c r="BU207"/>
  <c r="BU337"/>
  <c r="BV213"/>
  <c r="BT457"/>
  <c r="BX458" s="1"/>
  <c r="AX121"/>
  <c r="AX249"/>
  <c r="AX305"/>
  <c r="AX128"/>
  <c r="AX423"/>
  <c r="AX489"/>
  <c r="BV470"/>
  <c r="BU287"/>
  <c r="BV358"/>
  <c r="BV506"/>
  <c r="AX269"/>
  <c r="AX119"/>
  <c r="BV308"/>
  <c r="BV297"/>
  <c r="BV215"/>
  <c r="BU408"/>
  <c r="BU262"/>
  <c r="BV193"/>
  <c r="BV459"/>
  <c r="BU330"/>
  <c r="BV264"/>
  <c r="BV345"/>
  <c r="BV465"/>
  <c r="BU243"/>
  <c r="BV317"/>
  <c r="BU423"/>
  <c r="BU447"/>
  <c r="BV226"/>
  <c r="BU240"/>
  <c r="BU427"/>
  <c r="BU290"/>
  <c r="BV460"/>
  <c r="BV337"/>
  <c r="BV269"/>
  <c r="BU281"/>
  <c r="BV512"/>
  <c r="BT241"/>
  <c r="BX242" s="1"/>
  <c r="BT348"/>
  <c r="BX349" s="1"/>
  <c r="AX483"/>
  <c r="AX327"/>
  <c r="AX288"/>
  <c r="AX260"/>
  <c r="BV495"/>
  <c r="BU350"/>
  <c r="BU452"/>
  <c r="BV475"/>
  <c r="BV408"/>
  <c r="BU320"/>
  <c r="BV410"/>
  <c r="BV341"/>
  <c r="BV330"/>
  <c r="BU217"/>
  <c r="BV268"/>
  <c r="BV476"/>
  <c r="BV482"/>
  <c r="BU257"/>
  <c r="AX331"/>
  <c r="BT493"/>
  <c r="BX494" s="1"/>
  <c r="BV502"/>
  <c r="AX203"/>
  <c r="BU461"/>
  <c r="BV311"/>
  <c r="BU273"/>
  <c r="BV441"/>
  <c r="AX222"/>
  <c r="AX429"/>
  <c r="AX348"/>
  <c r="BU470"/>
  <c r="BU487"/>
  <c r="BV468"/>
  <c r="BV407"/>
  <c r="BU484"/>
  <c r="BU506"/>
  <c r="AX234"/>
  <c r="BU297"/>
  <c r="BV256"/>
  <c r="BU416"/>
  <c r="BU348"/>
  <c r="BV365"/>
  <c r="BU311"/>
  <c r="BV253"/>
  <c r="BV310"/>
  <c r="BU476"/>
  <c r="BV252"/>
  <c r="AX274"/>
  <c r="BT339"/>
  <c r="BX340" s="1"/>
  <c r="AX470"/>
  <c r="AX28"/>
  <c r="BT375"/>
  <c r="BV422"/>
  <c r="BU219"/>
  <c r="BV191"/>
  <c r="BV504"/>
  <c r="BU319"/>
  <c r="BU405"/>
  <c r="BV354"/>
  <c r="BV381"/>
  <c r="BV219"/>
  <c r="BU191"/>
  <c r="BU321"/>
  <c r="BU486"/>
  <c r="BU279"/>
  <c r="BV388"/>
  <c r="BU212"/>
  <c r="BT380"/>
  <c r="BX381" s="1"/>
  <c r="BT472"/>
  <c r="BU291"/>
  <c r="BV227"/>
  <c r="BU355"/>
  <c r="BV384"/>
  <c r="BV486"/>
  <c r="BU313"/>
  <c r="BU267"/>
  <c r="BV282"/>
  <c r="BU251"/>
  <c r="BV207"/>
  <c r="AX425"/>
  <c r="BS336"/>
  <c r="BS62"/>
  <c r="BT62" s="1"/>
  <c r="BS284"/>
  <c r="BS157"/>
  <c r="BT157" s="1"/>
  <c r="BS272"/>
  <c r="BS218"/>
  <c r="BS439"/>
  <c r="BS250"/>
  <c r="BS187"/>
  <c r="BT187" s="1"/>
  <c r="BS200"/>
  <c r="BS296"/>
  <c r="BS436"/>
  <c r="AX508"/>
  <c r="AX27"/>
  <c r="BV266"/>
  <c r="BV296"/>
  <c r="BU501"/>
  <c r="BV451"/>
  <c r="BV480"/>
  <c r="BV432"/>
  <c r="BS448"/>
  <c r="BS234"/>
  <c r="BS480"/>
  <c r="BS283"/>
  <c r="BS454"/>
  <c r="BS314"/>
  <c r="BS417"/>
  <c r="BS451"/>
  <c r="BS315"/>
  <c r="BS145"/>
  <c r="BT145" s="1"/>
  <c r="BS195"/>
  <c r="BS490"/>
  <c r="BS342"/>
  <c r="AX501"/>
  <c r="BU449"/>
  <c r="BU490"/>
  <c r="BU439"/>
  <c r="AX336"/>
  <c r="BU339"/>
  <c r="BS61"/>
  <c r="BT61" s="1"/>
  <c r="BS188"/>
  <c r="BT188" s="1"/>
  <c r="BX189" s="1"/>
  <c r="BS263"/>
  <c r="BS450"/>
  <c r="BS232"/>
  <c r="BS77"/>
  <c r="BT77" s="1"/>
  <c r="BS138"/>
  <c r="BT138" s="1"/>
  <c r="BS501"/>
  <c r="BS494"/>
  <c r="BS121"/>
  <c r="BT121" s="1"/>
  <c r="BS510"/>
  <c r="AX250"/>
  <c r="BV359"/>
  <c r="BV469"/>
  <c r="BV357"/>
  <c r="BV439"/>
  <c r="BU474"/>
  <c r="BV339"/>
  <c r="BU306"/>
  <c r="BV479"/>
  <c r="BV406"/>
  <c r="BS202"/>
  <c r="BS508"/>
  <c r="BS359"/>
  <c r="BS127"/>
  <c r="BT127" s="1"/>
  <c r="BS139"/>
  <c r="BT139" s="1"/>
  <c r="BS469"/>
  <c r="BS133"/>
  <c r="BT133" s="1"/>
  <c r="BS339"/>
  <c r="BU202"/>
  <c r="BU280"/>
  <c r="AX200"/>
  <c r="BU250"/>
  <c r="BV474"/>
  <c r="BV315"/>
  <c r="BU284"/>
  <c r="BU200"/>
  <c r="BV306"/>
  <c r="BS324"/>
  <c r="BS306"/>
  <c r="BS401"/>
  <c r="BS474"/>
  <c r="BS136"/>
  <c r="BT136" s="1"/>
  <c r="BX136" s="1"/>
  <c r="BS326"/>
  <c r="BS351"/>
  <c r="BS406"/>
  <c r="BS503"/>
  <c r="BS280"/>
  <c r="BS170"/>
  <c r="BT170" s="1"/>
  <c r="BS449"/>
  <c r="BS402"/>
  <c r="BS182"/>
  <c r="BT182" s="1"/>
  <c r="BS357"/>
  <c r="AX315"/>
  <c r="AX284"/>
  <c r="BV272"/>
  <c r="BV250"/>
  <c r="BV402"/>
  <c r="AX147"/>
  <c r="AX264"/>
  <c r="BT462"/>
  <c r="BX463" s="1"/>
  <c r="AX334"/>
  <c r="BV279"/>
  <c r="AX164"/>
  <c r="BU260"/>
  <c r="BU383"/>
  <c r="BV203"/>
  <c r="BV391"/>
  <c r="BU436"/>
  <c r="BT384"/>
  <c r="BX385" s="1"/>
  <c r="AX356"/>
  <c r="AX325"/>
  <c r="BU488"/>
  <c r="BU502"/>
  <c r="BV333"/>
  <c r="BV276"/>
  <c r="BU196"/>
  <c r="BU467"/>
  <c r="BU272"/>
  <c r="BV448"/>
  <c r="AX353"/>
  <c r="BV376"/>
  <c r="BV288"/>
  <c r="BV481"/>
  <c r="BU254"/>
  <c r="BV323"/>
  <c r="BU204"/>
  <c r="BV283"/>
  <c r="BU247"/>
  <c r="BV494"/>
  <c r="AX22"/>
  <c r="AX408"/>
  <c r="BT309"/>
  <c r="AX297"/>
  <c r="AX26"/>
  <c r="AX18"/>
  <c r="AX159"/>
  <c r="AX277"/>
  <c r="AX494"/>
  <c r="AX503"/>
  <c r="AX380"/>
  <c r="AX304"/>
  <c r="AX447"/>
  <c r="AX211"/>
  <c r="BV453"/>
  <c r="BV394"/>
  <c r="BU417"/>
  <c r="BV291"/>
  <c r="BU392"/>
  <c r="BU509"/>
  <c r="BU445"/>
  <c r="BU382"/>
  <c r="BV491"/>
  <c r="BV401"/>
  <c r="AX242"/>
  <c r="AX195"/>
  <c r="AX505"/>
  <c r="BU322"/>
  <c r="BU495"/>
  <c r="BU448"/>
  <c r="BV377"/>
  <c r="BU381"/>
  <c r="BU384"/>
  <c r="BU504"/>
  <c r="BU371"/>
  <c r="BU364"/>
  <c r="BV319"/>
  <c r="BV261"/>
  <c r="BU367"/>
  <c r="AX138"/>
  <c r="BU256"/>
  <c r="BU340"/>
  <c r="BU341"/>
  <c r="BV348"/>
  <c r="BU361"/>
  <c r="BU379"/>
  <c r="BU323"/>
  <c r="BV188"/>
  <c r="BV471"/>
  <c r="BV200"/>
  <c r="BV421"/>
  <c r="BV447"/>
  <c r="BV271"/>
  <c r="BU226"/>
  <c r="BU283"/>
  <c r="BV515"/>
  <c r="BU347"/>
  <c r="BV324"/>
  <c r="BU282"/>
  <c r="BV223"/>
  <c r="BU268"/>
  <c r="BU460"/>
  <c r="BU387"/>
  <c r="BU344"/>
  <c r="BU369"/>
  <c r="BU213"/>
  <c r="BV443"/>
  <c r="BV456"/>
  <c r="BU327"/>
  <c r="BU514"/>
  <c r="BV424"/>
  <c r="AX366"/>
  <c r="AX365"/>
  <c r="AX456"/>
  <c r="AX468"/>
  <c r="BT441"/>
  <c r="BT263"/>
  <c r="BV321"/>
  <c r="BV367"/>
  <c r="BU231"/>
  <c r="BV260"/>
  <c r="BU309"/>
  <c r="BU194"/>
  <c r="BU329"/>
  <c r="BU342"/>
  <c r="BU353"/>
  <c r="BV263"/>
  <c r="BU508"/>
  <c r="AX214"/>
  <c r="AX123"/>
  <c r="AX313"/>
  <c r="AX514"/>
  <c r="AX20"/>
  <c r="AX251"/>
  <c r="BU359"/>
  <c r="BV488"/>
  <c r="BV417"/>
  <c r="BU227"/>
  <c r="BV392"/>
  <c r="BV202"/>
  <c r="BV490"/>
  <c r="BV355"/>
  <c r="BV196"/>
  <c r="BV280"/>
  <c r="BU401"/>
  <c r="AX306"/>
  <c r="AX220"/>
  <c r="BU258"/>
  <c r="BV197"/>
  <c r="BV455"/>
  <c r="BU370"/>
  <c r="BU326"/>
  <c r="BU244"/>
  <c r="BU230"/>
  <c r="BU397"/>
  <c r="BU437"/>
  <c r="BV497"/>
  <c r="BU314"/>
  <c r="BU346"/>
  <c r="BU454"/>
  <c r="AX464"/>
  <c r="BV450"/>
  <c r="BU234"/>
  <c r="BU277"/>
  <c r="BV236"/>
  <c r="BV416"/>
  <c r="BV510"/>
  <c r="BV194"/>
  <c r="BV425"/>
  <c r="BV501"/>
  <c r="BV462"/>
  <c r="BV463"/>
  <c r="BV379"/>
  <c r="BV243"/>
  <c r="BV284"/>
  <c r="BV216"/>
  <c r="BV409"/>
  <c r="BU305"/>
  <c r="BV273"/>
  <c r="BV204"/>
  <c r="BV190"/>
  <c r="BU214"/>
  <c r="BU274"/>
  <c r="BU399"/>
  <c r="BU239"/>
  <c r="BV338"/>
  <c r="BU220"/>
  <c r="AX416"/>
  <c r="BT426"/>
  <c r="BX427" s="1"/>
  <c r="BT346"/>
  <c r="BX347" s="1"/>
  <c r="BT137"/>
  <c r="AX472"/>
  <c r="BT355"/>
  <c r="BX356" s="1"/>
  <c r="BT141"/>
  <c r="BX142" s="1"/>
  <c r="BT335"/>
  <c r="AX170"/>
  <c r="AX311"/>
  <c r="AX432"/>
  <c r="AX391"/>
  <c r="AX401"/>
  <c r="BV449"/>
  <c r="BU394"/>
  <c r="BV287"/>
  <c r="BU316"/>
  <c r="BU266"/>
  <c r="BU469"/>
  <c r="BU446"/>
  <c r="BU357"/>
  <c r="BU358"/>
  <c r="BU276"/>
  <c r="BU433"/>
  <c r="AX324"/>
  <c r="AX253"/>
  <c r="AX342"/>
  <c r="AX120"/>
  <c r="BV258"/>
  <c r="BU197"/>
  <c r="BV370"/>
  <c r="BV326"/>
  <c r="BV244"/>
  <c r="BV230"/>
  <c r="BV397"/>
  <c r="BU497"/>
  <c r="BV314"/>
  <c r="BV346"/>
  <c r="BV454"/>
  <c r="BU376"/>
  <c r="BV461"/>
  <c r="BV277"/>
  <c r="BU288"/>
  <c r="BV383"/>
  <c r="BU414"/>
  <c r="BU242"/>
  <c r="BU345"/>
  <c r="BU434"/>
  <c r="BU465"/>
  <c r="BU188"/>
  <c r="BU304"/>
  <c r="BU206"/>
  <c r="BU380"/>
  <c r="BU441"/>
  <c r="BU489"/>
  <c r="BU253"/>
  <c r="BU310"/>
  <c r="BV214"/>
  <c r="BV274"/>
  <c r="BU318"/>
  <c r="BV399"/>
  <c r="BU252"/>
  <c r="BU406"/>
  <c r="BU400"/>
  <c r="BU512"/>
  <c r="BV492"/>
  <c r="BV505"/>
  <c r="BV257"/>
  <c r="BU424"/>
  <c r="BT452"/>
  <c r="BX453" s="1"/>
  <c r="AX307"/>
  <c r="BT473"/>
  <c r="BX474" s="1"/>
  <c r="AX257"/>
  <c r="AX215"/>
  <c r="AX478"/>
  <c r="BT329"/>
  <c r="BX330" s="1"/>
  <c r="BT503"/>
  <c r="BX504" s="1"/>
  <c r="BV473"/>
  <c r="BV309"/>
  <c r="BV336"/>
  <c r="BV220"/>
  <c r="BV508"/>
  <c r="BU418"/>
  <c r="BV405"/>
  <c r="BV436"/>
  <c r="BV351"/>
  <c r="BT482"/>
  <c r="AX434"/>
  <c r="AX283"/>
  <c r="BT319"/>
  <c r="BT292"/>
  <c r="BX293" s="1"/>
  <c r="BT203"/>
  <c r="BX204" s="1"/>
  <c r="BU356"/>
  <c r="BU473"/>
  <c r="BU513"/>
  <c r="BU325"/>
  <c r="BU292"/>
  <c r="BU237"/>
  <c r="BU195"/>
  <c r="BU464"/>
  <c r="BV442"/>
  <c r="BU218"/>
  <c r="BU270"/>
  <c r="AX256"/>
  <c r="BT237"/>
  <c r="BX238" s="1"/>
  <c r="BV513"/>
  <c r="BU503"/>
  <c r="BV292"/>
  <c r="BV237"/>
  <c r="BU293"/>
  <c r="BU391"/>
  <c r="BU354"/>
  <c r="BV232"/>
  <c r="BT310"/>
  <c r="BX311" s="1"/>
  <c r="BT351"/>
  <c r="BX352" s="1"/>
  <c r="AX495"/>
  <c r="BT245"/>
  <c r="BX246" s="1"/>
  <c r="AX185"/>
  <c r="AX29"/>
  <c r="AX133"/>
  <c r="BV313"/>
  <c r="BV231"/>
  <c r="BV234"/>
  <c r="BV356"/>
  <c r="BV254"/>
  <c r="BV414"/>
  <c r="BV325"/>
  <c r="BV267"/>
  <c r="BV242"/>
  <c r="BV189"/>
  <c r="BV249"/>
  <c r="BU479"/>
  <c r="BV212"/>
  <c r="BV342"/>
  <c r="BV369"/>
  <c r="BV195"/>
  <c r="BU263"/>
  <c r="BV464"/>
  <c r="BU443"/>
  <c r="BU203"/>
  <c r="BV418"/>
  <c r="BV218"/>
  <c r="BV270"/>
  <c r="BV514"/>
  <c r="AX178"/>
  <c r="AX462"/>
  <c r="AX362"/>
  <c r="AX323"/>
  <c r="AX188"/>
  <c r="AX273"/>
  <c r="BT442"/>
  <c r="BX443" s="1"/>
  <c r="AX476"/>
  <c r="AX252"/>
  <c r="AX400"/>
  <c r="AX148"/>
  <c r="AX512"/>
  <c r="AX433"/>
  <c r="AX384"/>
  <c r="AX320"/>
  <c r="AX410"/>
  <c r="BT498"/>
  <c r="BX499" s="1"/>
  <c r="BV364"/>
  <c r="BU315"/>
  <c r="BU450"/>
  <c r="BU236"/>
  <c r="BU481"/>
  <c r="BU510"/>
  <c r="BU402"/>
  <c r="BU388"/>
  <c r="BV503"/>
  <c r="BU296"/>
  <c r="BU336"/>
  <c r="BU324"/>
  <c r="BU223"/>
  <c r="BU432"/>
  <c r="BV329"/>
  <c r="BV239"/>
  <c r="BU494"/>
  <c r="BV293"/>
  <c r="BV353"/>
  <c r="BU482"/>
  <c r="BU442"/>
  <c r="BU478"/>
  <c r="BU492"/>
  <c r="BU232"/>
  <c r="BU505"/>
  <c r="BU351"/>
  <c r="AX165"/>
  <c r="AX364"/>
  <c r="BT322"/>
  <c r="BT262"/>
  <c r="AX24"/>
  <c r="BU328"/>
  <c r="BT195"/>
  <c r="BX196" s="1"/>
  <c r="AX292"/>
  <c r="AX480"/>
  <c r="AX333"/>
  <c r="BV328"/>
  <c r="BT389"/>
  <c r="BX390" s="1"/>
  <c r="AX394"/>
  <c r="AX474"/>
  <c r="BV303"/>
  <c r="AX513"/>
  <c r="AX190"/>
  <c r="BT224"/>
  <c r="BX225" s="1"/>
  <c r="BT483"/>
  <c r="BX484" s="1"/>
  <c r="AX181"/>
  <c r="AX276"/>
  <c r="BT320"/>
  <c r="BX321" s="1"/>
  <c r="BU349"/>
  <c r="AX182"/>
  <c r="BT283"/>
  <c r="BX284" s="1"/>
  <c r="BT240"/>
  <c r="BT264"/>
  <c r="BX265" s="1"/>
  <c r="BT219"/>
  <c r="BX220" s="1"/>
  <c r="AX270"/>
  <c r="AX303"/>
  <c r="BT485"/>
  <c r="BX486" s="1"/>
  <c r="AX355"/>
  <c r="BT259"/>
  <c r="BX260" s="1"/>
  <c r="BT198"/>
  <c r="BX199" s="1"/>
  <c r="AX448"/>
  <c r="AX139"/>
  <c r="BV349"/>
  <c r="AX231"/>
  <c r="BT403"/>
  <c r="BX404" s="1"/>
  <c r="AX226"/>
  <c r="AX310"/>
  <c r="AX189"/>
  <c r="AX247"/>
  <c r="AX479"/>
  <c r="AX337"/>
  <c r="BT267"/>
  <c r="BX268" s="1"/>
  <c r="AX490"/>
  <c r="AX146"/>
  <c r="BT440"/>
  <c r="BT281"/>
  <c r="AX272"/>
  <c r="BU303"/>
  <c r="AX293"/>
  <c r="AX232"/>
  <c r="BT489"/>
  <c r="BX490" s="1"/>
  <c r="BT393"/>
  <c r="BX394" s="1"/>
  <c r="BT505"/>
  <c r="BX506" s="1"/>
  <c r="BT231"/>
  <c r="BX232" s="1"/>
  <c r="AX397"/>
  <c r="AX161"/>
  <c r="AX153"/>
  <c r="AX150"/>
  <c r="AX254"/>
  <c r="AX414"/>
  <c r="AX267"/>
  <c r="AX329"/>
  <c r="AX369"/>
  <c r="AX152"/>
  <c r="AX443"/>
  <c r="AX446"/>
  <c r="AX422"/>
  <c r="AX452"/>
  <c r="BT487"/>
  <c r="AX376"/>
  <c r="AX450"/>
  <c r="AX405"/>
  <c r="AX436"/>
  <c r="AX359"/>
  <c r="AX287"/>
  <c r="BT317"/>
  <c r="BX318" s="1"/>
  <c r="BT510"/>
  <c r="BX511" s="1"/>
  <c r="AX357"/>
  <c r="AX196"/>
  <c r="AX370"/>
  <c r="AX326"/>
  <c r="BT192"/>
  <c r="BX193" s="1"/>
  <c r="AX137"/>
  <c r="BT438"/>
  <c r="BX439" s="1"/>
  <c r="AX339"/>
  <c r="AX367"/>
  <c r="AX413"/>
  <c r="AX227"/>
  <c r="AX131"/>
  <c r="AX467"/>
  <c r="AX473"/>
  <c r="BT456"/>
  <c r="AX455"/>
  <c r="AX124"/>
  <c r="AX510"/>
  <c r="BT290"/>
  <c r="BX291" s="1"/>
  <c r="AX289"/>
  <c r="AX296"/>
  <c r="AX406"/>
  <c r="AX157"/>
  <c r="AX424"/>
  <c r="AX449"/>
  <c r="AX126"/>
  <c r="AX417"/>
  <c r="AX469"/>
  <c r="AX382"/>
  <c r="AX127"/>
  <c r="AX358"/>
  <c r="AX506"/>
  <c r="AX377"/>
  <c r="AX381"/>
  <c r="AX219"/>
  <c r="AX314"/>
  <c r="AX346"/>
  <c r="AX454"/>
  <c r="BS63"/>
  <c r="BT63" s="1"/>
  <c r="BS91"/>
  <c r="BT91" s="1"/>
  <c r="BS115"/>
  <c r="BT115" s="1"/>
  <c r="BS75"/>
  <c r="BT75" s="1"/>
  <c r="BS93"/>
  <c r="BT93" s="1"/>
  <c r="BS103"/>
  <c r="BT103" s="1"/>
  <c r="BS81"/>
  <c r="BT81" s="1"/>
  <c r="BS82"/>
  <c r="BT82" s="1"/>
  <c r="BS110"/>
  <c r="BT110" s="1"/>
  <c r="BS68"/>
  <c r="BT68" s="1"/>
  <c r="BS90"/>
  <c r="BT90" s="1"/>
  <c r="BX90" s="1"/>
  <c r="BS64"/>
  <c r="BT64" s="1"/>
  <c r="BS86"/>
  <c r="BT86" s="1"/>
  <c r="BS60"/>
  <c r="BT60" s="1"/>
  <c r="BS109"/>
  <c r="BT109" s="1"/>
  <c r="BS104"/>
  <c r="BT104" s="1"/>
  <c r="BS96"/>
  <c r="BT96" s="1"/>
  <c r="BS79"/>
  <c r="BT79" s="1"/>
  <c r="BS85"/>
  <c r="BT85" s="1"/>
  <c r="BS76"/>
  <c r="BT76" s="1"/>
  <c r="BS99"/>
  <c r="BT99" s="1"/>
  <c r="BS116"/>
  <c r="BT116" s="1"/>
  <c r="BS78"/>
  <c r="BT78" s="1"/>
  <c r="BS114"/>
  <c r="BT114" s="1"/>
  <c r="BS107"/>
  <c r="BT107" s="1"/>
  <c r="BS98"/>
  <c r="BT98" s="1"/>
  <c r="BS117"/>
  <c r="BT117" s="1"/>
  <c r="BS101"/>
  <c r="BT101" s="1"/>
  <c r="BS106"/>
  <c r="BT106" s="1"/>
  <c r="BS70"/>
  <c r="BT70" s="1"/>
  <c r="BS105"/>
  <c r="BT105" s="1"/>
  <c r="BS65"/>
  <c r="BT65" s="1"/>
  <c r="BS102"/>
  <c r="BT102" s="1"/>
  <c r="BS113"/>
  <c r="BT113" s="1"/>
  <c r="BS108"/>
  <c r="BT108" s="1"/>
  <c r="BS58"/>
  <c r="BT58" s="1"/>
  <c r="BS66"/>
  <c r="BT66" s="1"/>
  <c r="BS57"/>
  <c r="BT57" s="1"/>
  <c r="BS32"/>
  <c r="BT32" s="1"/>
  <c r="BS49"/>
  <c r="BT49" s="1"/>
  <c r="BS38"/>
  <c r="BT38" s="1"/>
  <c r="BS34"/>
  <c r="BT34" s="1"/>
  <c r="BS46"/>
  <c r="BT46" s="1"/>
  <c r="BS45"/>
  <c r="BT45" s="1"/>
  <c r="BS55"/>
  <c r="BT55" s="1"/>
  <c r="BS53"/>
  <c r="BT53" s="1"/>
  <c r="BS42"/>
  <c r="BT42" s="1"/>
  <c r="BS54"/>
  <c r="BT54" s="1"/>
  <c r="BS56"/>
  <c r="BT56" s="1"/>
  <c r="BS51"/>
  <c r="BT51" s="1"/>
  <c r="BS52"/>
  <c r="BT52" s="1"/>
  <c r="BS41"/>
  <c r="BT41" s="1"/>
  <c r="BS30"/>
  <c r="BT30" s="1"/>
  <c r="BS35"/>
  <c r="BT35" s="1"/>
  <c r="BS36"/>
  <c r="BT36" s="1"/>
  <c r="BS31"/>
  <c r="BT31" s="1"/>
  <c r="BS29"/>
  <c r="BT29" s="1"/>
  <c r="BS20"/>
  <c r="BT20" s="1"/>
  <c r="BS72"/>
  <c r="BT72" s="1"/>
  <c r="BS48"/>
  <c r="BT48" s="1"/>
  <c r="BS47"/>
  <c r="BT47" s="1"/>
  <c r="BS67"/>
  <c r="BS40"/>
  <c r="BT40" s="1"/>
  <c r="BS73"/>
  <c r="BS71"/>
  <c r="BS27"/>
  <c r="BT27" s="1"/>
  <c r="BS37"/>
  <c r="BT37" s="1"/>
  <c r="BS33"/>
  <c r="BT33" s="1"/>
  <c r="BS44"/>
  <c r="BT44" s="1"/>
  <c r="BS39"/>
  <c r="BT39" s="1"/>
  <c r="BS50"/>
  <c r="BT50" s="1"/>
  <c r="BS43"/>
  <c r="BT43" s="1"/>
  <c r="BS24"/>
  <c r="BT24" s="1"/>
  <c r="BS19"/>
  <c r="BT19" s="1"/>
  <c r="BS18"/>
  <c r="BT18" s="1"/>
  <c r="BS28"/>
  <c r="BT28" s="1"/>
  <c r="BS25"/>
  <c r="BT25" s="1"/>
  <c r="BS26"/>
  <c r="BT26" s="1"/>
  <c r="BS22"/>
  <c r="BT22" s="1"/>
  <c r="BS23"/>
  <c r="BT23" s="1"/>
  <c r="BS21"/>
  <c r="BT21" s="1"/>
  <c r="BU184"/>
  <c r="BU182"/>
  <c r="BU132"/>
  <c r="BV129"/>
  <c r="BU148"/>
  <c r="BU153"/>
  <c r="BV124"/>
  <c r="BU154"/>
  <c r="BV163"/>
  <c r="BV102"/>
  <c r="BU143"/>
  <c r="BU126"/>
  <c r="BU106"/>
  <c r="BV149"/>
  <c r="BV169"/>
  <c r="BV157"/>
  <c r="BV120"/>
  <c r="BV159"/>
  <c r="BV170"/>
  <c r="BU119"/>
  <c r="BU170"/>
  <c r="BU168"/>
  <c r="BU159"/>
  <c r="BV144"/>
  <c r="BU138"/>
  <c r="BU125"/>
  <c r="BU152"/>
  <c r="BU137"/>
  <c r="BV175"/>
  <c r="BV145"/>
  <c r="BV116"/>
  <c r="BU133"/>
  <c r="BU169"/>
  <c r="BV123"/>
  <c r="BV160"/>
  <c r="BV156"/>
  <c r="BV146"/>
  <c r="BV101"/>
  <c r="BV140"/>
  <c r="BV105"/>
  <c r="BV162"/>
  <c r="BV118"/>
  <c r="BU160"/>
  <c r="BU174"/>
  <c r="BU103"/>
  <c r="BU165"/>
  <c r="BU102"/>
  <c r="BV150"/>
  <c r="BV125"/>
  <c r="BU162"/>
  <c r="BU144"/>
  <c r="BV126"/>
  <c r="BV166"/>
  <c r="BU136"/>
  <c r="BU105"/>
  <c r="BU110"/>
  <c r="BV134"/>
  <c r="BV178"/>
  <c r="BV174"/>
  <c r="BV158"/>
  <c r="BU157"/>
  <c r="BV115"/>
  <c r="BU114"/>
  <c r="BV143"/>
  <c r="BV133"/>
  <c r="BV114"/>
  <c r="BU121"/>
  <c r="BU167"/>
  <c r="BV103"/>
  <c r="BU150"/>
  <c r="BV138"/>
  <c r="BV181"/>
  <c r="BU185"/>
  <c r="BU181"/>
  <c r="BV186"/>
  <c r="BV167"/>
  <c r="BU140"/>
  <c r="BU128"/>
  <c r="BV119"/>
  <c r="BU130"/>
  <c r="BV164"/>
  <c r="BV173"/>
  <c r="BV161"/>
  <c r="BU180"/>
  <c r="BV182"/>
  <c r="BU178"/>
  <c r="BU186"/>
  <c r="BV121"/>
  <c r="BU172"/>
  <c r="BV180"/>
  <c r="BV183"/>
  <c r="BV185"/>
  <c r="BU187"/>
  <c r="BV187"/>
  <c r="BU175"/>
  <c r="BU120"/>
  <c r="BV148"/>
  <c r="BU161"/>
  <c r="BU127"/>
  <c r="BU176"/>
  <c r="BU146"/>
  <c r="BV153"/>
  <c r="BV147"/>
  <c r="BV141"/>
  <c r="BV176"/>
  <c r="BV142"/>
  <c r="BU139"/>
  <c r="BV128"/>
  <c r="BV131"/>
  <c r="BU156"/>
  <c r="BV184"/>
  <c r="BV179"/>
  <c r="BU183"/>
  <c r="BU122"/>
  <c r="BV172"/>
  <c r="BV165"/>
  <c r="BV139"/>
  <c r="BV152"/>
  <c r="BV137"/>
  <c r="BV127"/>
  <c r="BU173"/>
  <c r="BV135"/>
  <c r="BV154"/>
  <c r="BU166"/>
  <c r="BV122"/>
  <c r="BV168"/>
  <c r="BU177"/>
  <c r="BV155"/>
  <c r="BU131"/>
  <c r="BU141"/>
  <c r="BV132"/>
  <c r="BU134"/>
  <c r="BU164"/>
  <c r="BV130"/>
  <c r="BV136"/>
  <c r="BU145"/>
  <c r="BU151"/>
  <c r="BU158"/>
  <c r="BV151"/>
  <c r="BV55"/>
  <c r="BU77"/>
  <c r="BU70"/>
  <c r="BV94"/>
  <c r="BU93"/>
  <c r="BU61"/>
  <c r="BV35"/>
  <c r="BV78"/>
  <c r="BV65"/>
  <c r="BU64"/>
  <c r="BV54"/>
  <c r="BU66"/>
  <c r="BV61"/>
  <c r="BU62"/>
  <c r="BU91"/>
  <c r="BU55"/>
  <c r="BU94"/>
  <c r="BU85"/>
  <c r="BV70"/>
  <c r="BU35"/>
  <c r="BV73"/>
  <c r="BV90"/>
  <c r="BV93"/>
  <c r="BV39"/>
  <c r="BV64"/>
  <c r="BU54"/>
  <c r="BU39"/>
  <c r="BU60"/>
  <c r="BV67"/>
  <c r="BV85"/>
  <c r="BU78"/>
  <c r="BU32"/>
  <c r="BV91"/>
  <c r="BV77"/>
  <c r="BU67"/>
  <c r="BU96"/>
  <c r="BV96"/>
  <c r="BV62"/>
  <c r="BV32"/>
  <c r="BV66"/>
  <c r="BV23"/>
  <c r="BU29"/>
  <c r="BV18"/>
  <c r="BU20"/>
  <c r="BU18"/>
  <c r="BV25"/>
  <c r="BU25"/>
  <c r="BU19"/>
  <c r="BV29"/>
  <c r="BP18" a="1"/>
  <c r="BV19"/>
  <c r="BV20"/>
  <c r="BU23"/>
  <c r="BX111" l="1"/>
  <c r="BP40"/>
  <c r="BP76"/>
  <c r="BP112"/>
  <c r="BP148"/>
  <c r="BP184"/>
  <c r="BP220"/>
  <c r="BP256"/>
  <c r="BP292"/>
  <c r="BP328"/>
  <c r="BP364"/>
  <c r="BP400"/>
  <c r="BP436"/>
  <c r="BP472"/>
  <c r="BP508"/>
  <c r="BP45"/>
  <c r="BP81"/>
  <c r="BP117"/>
  <c r="BP153"/>
  <c r="BP189"/>
  <c r="BP225"/>
  <c r="BP261"/>
  <c r="BP297"/>
  <c r="BP333"/>
  <c r="BP369"/>
  <c r="BP405"/>
  <c r="BP441"/>
  <c r="BP477"/>
  <c r="BP513"/>
  <c r="BP50"/>
  <c r="BP86"/>
  <c r="BP122"/>
  <c r="BP158"/>
  <c r="BP194"/>
  <c r="BP230"/>
  <c r="BP266"/>
  <c r="BP302"/>
  <c r="BP338"/>
  <c r="BP374"/>
  <c r="BP410"/>
  <c r="BP446"/>
  <c r="BP482"/>
  <c r="BP19"/>
  <c r="BP55"/>
  <c r="BP97"/>
  <c r="BP169"/>
  <c r="BP241"/>
  <c r="BP313"/>
  <c r="BP385"/>
  <c r="BP457"/>
  <c r="BP42"/>
  <c r="BP120"/>
  <c r="BP192"/>
  <c r="BP264"/>
  <c r="BP336"/>
  <c r="BP408"/>
  <c r="BP480"/>
  <c r="BP59"/>
  <c r="BP131"/>
  <c r="BP203"/>
  <c r="BP275"/>
  <c r="BP347"/>
  <c r="BP419"/>
  <c r="BP491"/>
  <c r="BP67"/>
  <c r="BP139"/>
  <c r="BP211"/>
  <c r="BP283"/>
  <c r="BP355"/>
  <c r="BP427"/>
  <c r="BP499"/>
  <c r="BP90"/>
  <c r="BP162"/>
  <c r="BP234"/>
  <c r="BP306"/>
  <c r="BP378"/>
  <c r="BP450"/>
  <c r="BP30"/>
  <c r="BP113"/>
  <c r="BP185"/>
  <c r="BP257"/>
  <c r="BP329"/>
  <c r="BP401"/>
  <c r="BP473"/>
  <c r="BP238"/>
  <c r="BP221"/>
  <c r="BP34"/>
  <c r="BP70"/>
  <c r="BP106"/>
  <c r="BP142"/>
  <c r="BP178"/>
  <c r="BP214"/>
  <c r="BP250"/>
  <c r="BP286"/>
  <c r="BP322"/>
  <c r="BP358"/>
  <c r="BP394"/>
  <c r="BP430"/>
  <c r="BP466"/>
  <c r="BP502"/>
  <c r="BP39"/>
  <c r="BP75"/>
  <c r="BP111"/>
  <c r="BP147"/>
  <c r="BP183"/>
  <c r="BP219"/>
  <c r="BP255"/>
  <c r="BP291"/>
  <c r="BP327"/>
  <c r="BP363"/>
  <c r="BP399"/>
  <c r="BP435"/>
  <c r="BP471"/>
  <c r="BP507"/>
  <c r="BP44"/>
  <c r="BP80"/>
  <c r="BP116"/>
  <c r="BP152"/>
  <c r="BP188"/>
  <c r="BP224"/>
  <c r="BP260"/>
  <c r="BP296"/>
  <c r="BP332"/>
  <c r="BP368"/>
  <c r="BP404"/>
  <c r="BP440"/>
  <c r="BP476"/>
  <c r="BP512"/>
  <c r="BP49"/>
  <c r="BP85"/>
  <c r="BP157"/>
  <c r="BP229"/>
  <c r="BP301"/>
  <c r="BP373"/>
  <c r="BP445"/>
  <c r="BP24"/>
  <c r="BP108"/>
  <c r="BP180"/>
  <c r="BP252"/>
  <c r="BP324"/>
  <c r="BP396"/>
  <c r="BP468"/>
  <c r="BP41"/>
  <c r="BP119"/>
  <c r="BP191"/>
  <c r="BP263"/>
  <c r="BP335"/>
  <c r="BP407"/>
  <c r="BP479"/>
  <c r="BP54"/>
  <c r="BP127"/>
  <c r="BP199"/>
  <c r="BP271"/>
  <c r="BP343"/>
  <c r="BP415"/>
  <c r="BP487"/>
  <c r="BP78"/>
  <c r="BP150"/>
  <c r="BP222"/>
  <c r="BP294"/>
  <c r="BP366"/>
  <c r="BP438"/>
  <c r="BP510"/>
  <c r="BP101"/>
  <c r="BP173"/>
  <c r="BP245"/>
  <c r="BP317"/>
  <c r="BP389"/>
  <c r="BP461"/>
  <c r="BP179"/>
  <c r="BP418"/>
  <c r="BP28"/>
  <c r="BP64"/>
  <c r="BP100"/>
  <c r="BP136"/>
  <c r="BP172"/>
  <c r="BP208"/>
  <c r="BP244"/>
  <c r="BP280"/>
  <c r="BP316"/>
  <c r="BP352"/>
  <c r="BP388"/>
  <c r="BP424"/>
  <c r="BP460"/>
  <c r="BP496"/>
  <c r="BP33"/>
  <c r="BP69"/>
  <c r="BP105"/>
  <c r="BP141"/>
  <c r="BP177"/>
  <c r="BP213"/>
  <c r="BP249"/>
  <c r="BP285"/>
  <c r="BP321"/>
  <c r="BP357"/>
  <c r="BP393"/>
  <c r="BP429"/>
  <c r="BP465"/>
  <c r="BP501"/>
  <c r="BP38"/>
  <c r="BP74"/>
  <c r="BP110"/>
  <c r="BP146"/>
  <c r="BP182"/>
  <c r="BP218"/>
  <c r="BP254"/>
  <c r="BP290"/>
  <c r="BP326"/>
  <c r="BP362"/>
  <c r="BP398"/>
  <c r="BP434"/>
  <c r="BP470"/>
  <c r="BP506"/>
  <c r="BP43"/>
  <c r="BP73"/>
  <c r="BP145"/>
  <c r="BP217"/>
  <c r="BP289"/>
  <c r="BP361"/>
  <c r="BP433"/>
  <c r="BP505"/>
  <c r="BP96"/>
  <c r="BP168"/>
  <c r="BP240"/>
  <c r="BP312"/>
  <c r="BP384"/>
  <c r="BP456"/>
  <c r="BP23"/>
  <c r="BP107"/>
  <c r="BP251"/>
  <c r="BP323"/>
  <c r="BP395"/>
  <c r="BP467"/>
  <c r="BP36"/>
  <c r="BP115"/>
  <c r="BP187"/>
  <c r="BP259"/>
  <c r="BP331"/>
  <c r="BP403"/>
  <c r="BP475"/>
  <c r="BP66"/>
  <c r="BP138"/>
  <c r="BP210"/>
  <c r="BP282"/>
  <c r="BP354"/>
  <c r="BP426"/>
  <c r="BP498"/>
  <c r="BP89"/>
  <c r="BP161"/>
  <c r="BP233"/>
  <c r="BP305"/>
  <c r="BP377"/>
  <c r="BP449"/>
  <c r="BP490"/>
  <c r="BP22"/>
  <c r="BP58"/>
  <c r="BP94"/>
  <c r="BP130"/>
  <c r="BP166"/>
  <c r="BP202"/>
  <c r="BP274"/>
  <c r="BP310"/>
  <c r="BP346"/>
  <c r="BP382"/>
  <c r="BP454"/>
  <c r="BP27"/>
  <c r="BP63"/>
  <c r="BP99"/>
  <c r="BP135"/>
  <c r="BP171"/>
  <c r="BP207"/>
  <c r="BP243"/>
  <c r="BP279"/>
  <c r="BP315"/>
  <c r="BP351"/>
  <c r="BP387"/>
  <c r="BP423"/>
  <c r="BP459"/>
  <c r="BP495"/>
  <c r="BP32"/>
  <c r="BP68"/>
  <c r="BP104"/>
  <c r="BP140"/>
  <c r="BP176"/>
  <c r="BP212"/>
  <c r="BP248"/>
  <c r="BP284"/>
  <c r="BP320"/>
  <c r="BP356"/>
  <c r="BP392"/>
  <c r="BP428"/>
  <c r="BP464"/>
  <c r="BP500"/>
  <c r="BP37"/>
  <c r="BP61"/>
  <c r="BP133"/>
  <c r="BP205"/>
  <c r="BP277"/>
  <c r="BP349"/>
  <c r="BP421"/>
  <c r="BP493"/>
  <c r="BP84"/>
  <c r="BP156"/>
  <c r="BP228"/>
  <c r="BP300"/>
  <c r="BP372"/>
  <c r="BP444"/>
  <c r="BP516"/>
  <c r="BP95"/>
  <c r="BP167"/>
  <c r="BP239"/>
  <c r="BP311"/>
  <c r="BP383"/>
  <c r="BP455"/>
  <c r="BP18"/>
  <c r="BP103"/>
  <c r="BP175"/>
  <c r="BP247"/>
  <c r="BP319"/>
  <c r="BP391"/>
  <c r="BP463"/>
  <c r="BP53"/>
  <c r="BP126"/>
  <c r="BP198"/>
  <c r="BP270"/>
  <c r="BP342"/>
  <c r="BP414"/>
  <c r="BP486"/>
  <c r="BP77"/>
  <c r="BP149"/>
  <c r="BP293"/>
  <c r="BP365"/>
  <c r="BP437"/>
  <c r="BP509"/>
  <c r="BP52"/>
  <c r="BP88"/>
  <c r="BP124"/>
  <c r="BP160"/>
  <c r="BP196"/>
  <c r="BP232"/>
  <c r="BP268"/>
  <c r="BP304"/>
  <c r="BP340"/>
  <c r="BP376"/>
  <c r="BP412"/>
  <c r="BP448"/>
  <c r="BP484"/>
  <c r="BP21"/>
  <c r="BP57"/>
  <c r="BP93"/>
  <c r="BP129"/>
  <c r="BP165"/>
  <c r="BP201"/>
  <c r="BP237"/>
  <c r="BP273"/>
  <c r="BP309"/>
  <c r="BP345"/>
  <c r="BP381"/>
  <c r="BP417"/>
  <c r="BP453"/>
  <c r="BP489"/>
  <c r="BP26"/>
  <c r="BP62"/>
  <c r="BP98"/>
  <c r="BP134"/>
  <c r="BP170"/>
  <c r="BP206"/>
  <c r="BP242"/>
  <c r="BP278"/>
  <c r="BP314"/>
  <c r="BP350"/>
  <c r="BP386"/>
  <c r="BP422"/>
  <c r="BP458"/>
  <c r="BP494"/>
  <c r="BP31"/>
  <c r="BP47"/>
  <c r="BP121"/>
  <c r="BP193"/>
  <c r="BP265"/>
  <c r="BP337"/>
  <c r="BP409"/>
  <c r="BP481"/>
  <c r="BP72"/>
  <c r="BP144"/>
  <c r="BP216"/>
  <c r="BP288"/>
  <c r="BP360"/>
  <c r="BP432"/>
  <c r="BP504"/>
  <c r="BP83"/>
  <c r="BP155"/>
  <c r="BP227"/>
  <c r="BP299"/>
  <c r="BP371"/>
  <c r="BP443"/>
  <c r="BP515"/>
  <c r="BP91"/>
  <c r="BP163"/>
  <c r="BP235"/>
  <c r="BP307"/>
  <c r="BP379"/>
  <c r="BP451"/>
  <c r="BP35"/>
  <c r="BP114"/>
  <c r="BP186"/>
  <c r="BP258"/>
  <c r="BP330"/>
  <c r="BP402"/>
  <c r="BP474"/>
  <c r="BP65"/>
  <c r="BP137"/>
  <c r="BP209"/>
  <c r="BP281"/>
  <c r="BP353"/>
  <c r="BP425"/>
  <c r="BP497"/>
  <c r="BP46"/>
  <c r="BP82"/>
  <c r="BP118"/>
  <c r="BP154"/>
  <c r="BP190"/>
  <c r="BP226"/>
  <c r="BP262"/>
  <c r="BP298"/>
  <c r="BP334"/>
  <c r="BP370"/>
  <c r="BP406"/>
  <c r="BP442"/>
  <c r="BP478"/>
  <c r="BP514"/>
  <c r="BP51"/>
  <c r="BP87"/>
  <c r="BP123"/>
  <c r="BP159"/>
  <c r="BP195"/>
  <c r="BP231"/>
  <c r="BP267"/>
  <c r="BP303"/>
  <c r="BP339"/>
  <c r="BP375"/>
  <c r="BP411"/>
  <c r="BP447"/>
  <c r="BP483"/>
  <c r="BP20"/>
  <c r="BP56"/>
  <c r="BP92"/>
  <c r="BP128"/>
  <c r="BP164"/>
  <c r="BP200"/>
  <c r="BP236"/>
  <c r="BP272"/>
  <c r="BP308"/>
  <c r="BP344"/>
  <c r="BP380"/>
  <c r="BP416"/>
  <c r="BP452"/>
  <c r="BP488"/>
  <c r="BP25"/>
  <c r="BP29"/>
  <c r="BP109"/>
  <c r="BP181"/>
  <c r="BP253"/>
  <c r="BP325"/>
  <c r="BP397"/>
  <c r="BP469"/>
  <c r="BP60"/>
  <c r="BP132"/>
  <c r="BP204"/>
  <c r="BP276"/>
  <c r="BP348"/>
  <c r="BP420"/>
  <c r="BP492"/>
  <c r="BP71"/>
  <c r="BP143"/>
  <c r="BP215"/>
  <c r="BP287"/>
  <c r="BP359"/>
  <c r="BP431"/>
  <c r="BP503"/>
  <c r="BP79"/>
  <c r="BP151"/>
  <c r="BP223"/>
  <c r="BP295"/>
  <c r="BP367"/>
  <c r="BP439"/>
  <c r="BP511"/>
  <c r="BP102"/>
  <c r="BP174"/>
  <c r="BP246"/>
  <c r="BP318"/>
  <c r="BP390"/>
  <c r="BP462"/>
  <c r="BP48"/>
  <c r="BP125"/>
  <c r="BP197"/>
  <c r="BP269"/>
  <c r="BP341"/>
  <c r="BP413"/>
  <c r="BP485"/>
  <c r="BX84"/>
  <c r="BX83"/>
  <c r="BX187"/>
  <c r="BX80"/>
  <c r="BX336"/>
  <c r="BX166"/>
  <c r="BX140"/>
  <c r="BX134"/>
  <c r="BX176"/>
  <c r="BX158"/>
  <c r="BX183"/>
  <c r="BX364"/>
  <c r="BX303"/>
  <c r="BX151"/>
  <c r="BX185"/>
  <c r="BX165"/>
  <c r="BX162"/>
  <c r="BX155"/>
  <c r="BX247"/>
  <c r="BX241"/>
  <c r="BX160"/>
  <c r="BX88"/>
  <c r="BX154"/>
  <c r="BX128"/>
  <c r="BX59"/>
  <c r="BX171"/>
  <c r="BX87"/>
  <c r="BX186"/>
  <c r="BX172"/>
  <c r="BX118"/>
  <c r="BX100"/>
  <c r="BX132"/>
  <c r="BX69"/>
  <c r="BX168"/>
  <c r="BX130"/>
  <c r="BX182"/>
  <c r="BX508"/>
  <c r="BX121"/>
  <c r="BX149"/>
  <c r="BX112"/>
  <c r="BX164"/>
  <c r="BX235"/>
  <c r="BX147"/>
  <c r="BX169"/>
  <c r="BX302"/>
  <c r="BX120"/>
  <c r="BX159"/>
  <c r="BX153"/>
  <c r="BX417"/>
  <c r="BX143"/>
  <c r="BX124"/>
  <c r="BX126"/>
  <c r="BX129"/>
  <c r="BX110"/>
  <c r="BX177"/>
  <c r="BX133"/>
  <c r="BX161"/>
  <c r="BX139"/>
  <c r="BX157"/>
  <c r="BX170"/>
  <c r="BX127"/>
  <c r="BX152"/>
  <c r="BX138"/>
  <c r="BX122"/>
  <c r="BX145"/>
  <c r="BX516"/>
  <c r="BX286"/>
  <c r="BX97"/>
  <c r="BX94"/>
  <c r="BX323"/>
  <c r="BX263"/>
  <c r="BX282"/>
  <c r="BX214"/>
  <c r="BX150"/>
  <c r="BX98"/>
  <c r="BX412"/>
  <c r="BX376"/>
  <c r="BX77"/>
  <c r="BX175"/>
  <c r="BX209"/>
  <c r="BX200"/>
  <c r="BX387"/>
  <c r="BX388"/>
  <c r="BX373"/>
  <c r="BX512"/>
  <c r="BX178"/>
  <c r="BX353"/>
  <c r="BX488"/>
  <c r="BX180"/>
  <c r="BX61"/>
  <c r="BX420"/>
  <c r="BX75"/>
  <c r="BX222"/>
  <c r="BX95"/>
  <c r="BX457"/>
  <c r="BX467"/>
  <c r="BX399"/>
  <c r="BX92"/>
  <c r="BX408"/>
  <c r="BX313"/>
  <c r="BX27"/>
  <c r="BX441"/>
  <c r="BX299"/>
  <c r="BX57"/>
  <c r="BX82"/>
  <c r="BX51"/>
  <c r="BX79"/>
  <c r="BX38"/>
  <c r="BX106"/>
  <c r="BX108"/>
  <c r="BX64"/>
  <c r="BX48"/>
  <c r="BX42"/>
  <c r="BX54"/>
  <c r="BX114"/>
  <c r="BX58"/>
  <c r="BX86"/>
  <c r="BX34"/>
  <c r="BX45"/>
  <c r="BX41"/>
  <c r="BX30"/>
  <c r="BX53"/>
  <c r="BX33"/>
  <c r="BX103"/>
  <c r="BX116"/>
  <c r="BX44"/>
  <c r="BX28"/>
  <c r="BX49"/>
  <c r="BX36"/>
  <c r="BX55"/>
  <c r="BX35"/>
  <c r="BX115"/>
  <c r="BX65"/>
  <c r="BX104"/>
  <c r="BX483"/>
  <c r="BX219"/>
  <c r="BX485"/>
  <c r="BX346"/>
  <c r="BX259"/>
  <c r="BX335"/>
  <c r="BX148"/>
  <c r="BX141"/>
  <c r="BX505"/>
  <c r="BX240"/>
  <c r="BX37"/>
  <c r="BX47"/>
  <c r="BX442"/>
  <c r="BX93"/>
  <c r="BX292"/>
  <c r="BX231"/>
  <c r="BX493"/>
  <c r="BX146"/>
  <c r="BX167"/>
  <c r="BX348"/>
  <c r="BX391"/>
  <c r="BX384"/>
  <c r="BX245"/>
  <c r="BX203"/>
  <c r="BX85"/>
  <c r="BX482"/>
  <c r="BX123"/>
  <c r="BX440"/>
  <c r="BX237"/>
  <c r="BX144"/>
  <c r="BX60"/>
  <c r="BX32"/>
  <c r="BX52"/>
  <c r="BX46"/>
  <c r="BX66"/>
  <c r="BX99"/>
  <c r="BX264"/>
  <c r="BX310"/>
  <c r="BX174"/>
  <c r="BX374"/>
  <c r="BX70"/>
  <c r="BX462"/>
  <c r="BX446"/>
  <c r="BX188"/>
  <c r="BX290"/>
  <c r="BX96"/>
  <c r="BX229"/>
  <c r="BX380"/>
  <c r="BX503"/>
  <c r="BX452"/>
  <c r="BX56"/>
  <c r="BX320"/>
  <c r="BX63"/>
  <c r="BX473"/>
  <c r="BX375"/>
  <c r="BX319"/>
  <c r="BX389"/>
  <c r="BX81"/>
  <c r="BX309"/>
  <c r="BX322"/>
  <c r="BX173"/>
  <c r="BX355"/>
  <c r="BX281"/>
  <c r="BX438"/>
  <c r="BX317"/>
  <c r="BX22"/>
  <c r="BX40"/>
  <c r="BX50"/>
  <c r="BX102"/>
  <c r="BX117"/>
  <c r="BX105"/>
  <c r="BX76"/>
  <c r="BX125"/>
  <c r="BX78"/>
  <c r="BX329"/>
  <c r="BX342"/>
  <c r="BX472"/>
  <c r="BX267"/>
  <c r="BX119"/>
  <c r="BX351"/>
  <c r="BX403"/>
  <c r="BX393"/>
  <c r="BX456"/>
  <c r="BX283"/>
  <c r="BX29"/>
  <c r="BX31"/>
  <c r="BX43"/>
  <c r="BX39"/>
  <c r="BX109"/>
  <c r="BX107"/>
  <c r="BX91"/>
  <c r="BX62"/>
  <c r="BX489"/>
  <c r="BX460"/>
  <c r="BX195"/>
  <c r="BX137"/>
  <c r="BX224"/>
  <c r="BX156"/>
  <c r="BX426"/>
  <c r="BX131"/>
  <c r="BX101"/>
  <c r="BX192"/>
  <c r="BX339"/>
  <c r="BX198"/>
  <c r="BX262"/>
  <c r="BX510"/>
  <c r="BX498"/>
  <c r="BX113"/>
  <c r="BX487"/>
  <c r="BX24"/>
  <c r="BX25"/>
  <c r="BX20"/>
  <c r="BX26"/>
  <c r="BX18"/>
  <c r="BX19"/>
  <c r="BX21"/>
  <c r="BX23"/>
  <c r="BT73"/>
  <c r="BX74" s="1"/>
  <c r="BT71"/>
  <c r="BX72" s="1"/>
  <c r="BT67"/>
  <c r="BX68" s="1"/>
  <c r="Y33" i="5"/>
  <c r="BX73" i="10" l="1"/>
  <c r="BX71"/>
  <c r="BX67"/>
  <c r="Y34" i="5"/>
  <c r="Y40"/>
  <c r="Y46"/>
  <c r="Y35"/>
  <c r="Y29"/>
  <c r="Y48"/>
  <c r="Y36"/>
  <c r="Y30"/>
  <c r="Y43"/>
  <c r="Y37"/>
  <c r="Y31"/>
  <c r="Y44"/>
  <c r="Y38"/>
  <c r="Y32"/>
  <c r="Y45"/>
  <c r="AA28"/>
  <c r="EP6" i="1" l="1"/>
  <c r="EP12"/>
  <c r="EP18"/>
  <c r="EP24"/>
  <c r="EP5"/>
  <c r="EP11"/>
  <c r="EP17"/>
  <c r="EP23"/>
  <c r="EP10"/>
  <c r="EP16"/>
  <c r="EP22"/>
  <c r="EP9"/>
  <c r="EP15"/>
  <c r="EP21"/>
  <c r="EP8"/>
  <c r="EP14"/>
  <c r="EP7"/>
  <c r="EP19"/>
  <c r="EP20"/>
  <c r="EP13"/>
  <c r="AF49" i="5"/>
  <c r="AF48"/>
  <c r="AF44"/>
  <c r="AF45"/>
  <c r="AF46"/>
  <c r="CT13"/>
  <c r="AF47" l="1"/>
  <c r="EN25" i="1"/>
  <c r="EQ25" s="1"/>
  <c r="CT14" i="5"/>
  <c r="CT15"/>
  <c r="CT9"/>
  <c r="CT16"/>
  <c r="CT10"/>
  <c r="CT17"/>
  <c r="CT11"/>
  <c r="CT18"/>
  <c r="CT12"/>
  <c r="EP25" i="1" l="1"/>
  <c r="EN26"/>
  <c r="EQ26" s="1"/>
  <c r="EP26" l="1"/>
  <c r="EN27"/>
  <c r="EQ27" s="1"/>
  <c r="EP27" l="1"/>
  <c r="EN28"/>
  <c r="EQ28" s="1"/>
  <c r="EP28" l="1"/>
  <c r="EN29"/>
  <c r="EQ29" s="1"/>
  <c r="AF40" i="5"/>
  <c r="AF43"/>
  <c r="AF38"/>
  <c r="AF8"/>
  <c r="AF39" l="1"/>
  <c r="AF41"/>
  <c r="AF42" s="1"/>
  <c r="EP29" i="1"/>
  <c r="EN30"/>
  <c r="EQ30" s="1"/>
  <c r="BP30" i="5"/>
  <c r="AF10"/>
  <c r="AF9"/>
  <c r="AF11"/>
  <c r="AF5"/>
  <c r="AF12"/>
  <c r="AF6"/>
  <c r="AF7"/>
  <c r="BP34" l="1"/>
  <c r="EP30" i="1"/>
  <c r="EN31"/>
  <c r="EQ31" s="1"/>
  <c r="BD25" i="5"/>
  <c r="BD26"/>
  <c r="BP31"/>
  <c r="BP32"/>
  <c r="BP33"/>
  <c r="BP42"/>
  <c r="BP40"/>
  <c r="BP38"/>
  <c r="BP41"/>
  <c r="BP36"/>
  <c r="BD37"/>
  <c r="BP35"/>
  <c r="BP43"/>
  <c r="BP39"/>
  <c r="BP37"/>
  <c r="BD32"/>
  <c r="BD34"/>
  <c r="BD39"/>
  <c r="BD35"/>
  <c r="BD41"/>
  <c r="BD38"/>
  <c r="BD36"/>
  <c r="BD40"/>
  <c r="BD33"/>
  <c r="AR29"/>
  <c r="EP31" i="1" l="1"/>
  <c r="EN32"/>
  <c r="EQ32" s="1"/>
  <c r="EP32" l="1"/>
  <c r="EN33"/>
  <c r="EQ33" s="1"/>
  <c r="EP33" l="1"/>
  <c r="EN34"/>
  <c r="EQ34" s="1"/>
  <c r="F10" i="7"/>
  <c r="BM13" s="1"/>
  <c r="J24"/>
  <c r="J23"/>
  <c r="EP34" i="1" l="1"/>
  <c r="EN35"/>
  <c r="EQ35" s="1"/>
  <c r="U13" i="7"/>
  <c r="J35"/>
  <c r="G29" i="5" l="1" a="1"/>
  <c r="EP35" i="1"/>
  <c r="EN36"/>
  <c r="EQ36" s="1"/>
  <c r="M24" i="7"/>
  <c r="T6"/>
  <c r="R142" l="1"/>
  <c r="R358"/>
  <c r="R75"/>
  <c r="R291"/>
  <c r="R440"/>
  <c r="R239"/>
  <c r="R433"/>
  <c r="R384"/>
  <c r="R172"/>
  <c r="R483"/>
  <c r="R242"/>
  <c r="R500"/>
  <c r="R30"/>
  <c r="R72"/>
  <c r="R146"/>
  <c r="R410"/>
  <c r="R347"/>
  <c r="R379"/>
  <c r="R60"/>
  <c r="R118"/>
  <c r="R47"/>
  <c r="R352"/>
  <c r="R392"/>
  <c r="R170"/>
  <c r="R163"/>
  <c r="R464"/>
  <c r="R423"/>
  <c r="R398"/>
  <c r="R329"/>
  <c r="R218"/>
  <c r="R491"/>
  <c r="R371"/>
  <c r="R91"/>
  <c r="R395"/>
  <c r="R493"/>
  <c r="R313"/>
  <c r="R164"/>
  <c r="R422"/>
  <c r="R322"/>
  <c r="R39"/>
  <c r="R167"/>
  <c r="R115"/>
  <c r="R54"/>
  <c r="R312"/>
  <c r="R136"/>
  <c r="R130"/>
  <c r="R200"/>
  <c r="R458"/>
  <c r="R469"/>
  <c r="R504"/>
  <c r="R362"/>
  <c r="R179"/>
  <c r="R295"/>
  <c r="R318"/>
  <c r="R492"/>
  <c r="R123"/>
  <c r="R182"/>
  <c r="R268"/>
  <c r="R285"/>
  <c r="R266"/>
  <c r="R175"/>
  <c r="R479"/>
  <c r="R221"/>
  <c r="R357"/>
  <c r="R213"/>
  <c r="R314"/>
  <c r="R103"/>
  <c r="R396"/>
  <c r="R323"/>
  <c r="R288"/>
  <c r="R308"/>
  <c r="R462"/>
  <c r="R468"/>
  <c r="R241"/>
  <c r="R113"/>
  <c r="R472"/>
  <c r="R380"/>
  <c r="R467"/>
  <c r="R133"/>
  <c r="R502"/>
  <c r="R219"/>
  <c r="R435"/>
  <c r="R41"/>
  <c r="R475"/>
  <c r="R414"/>
  <c r="R100"/>
  <c r="R82"/>
  <c r="R376"/>
  <c r="R135"/>
  <c r="R416"/>
  <c r="R275"/>
  <c r="R307"/>
  <c r="R420"/>
  <c r="R232"/>
  <c r="R83"/>
  <c r="R211"/>
  <c r="R234"/>
  <c r="R490"/>
  <c r="R56"/>
  <c r="R201"/>
  <c r="R176"/>
  <c r="R407"/>
  <c r="R154"/>
  <c r="R125"/>
  <c r="R360"/>
  <c r="R180"/>
  <c r="R419"/>
  <c r="R474"/>
  <c r="R132"/>
  <c r="R484"/>
  <c r="R253"/>
  <c r="R105"/>
  <c r="R282"/>
  <c r="R294"/>
  <c r="R485"/>
  <c r="R415"/>
  <c r="R148"/>
  <c r="R424"/>
  <c r="R189"/>
  <c r="R287"/>
  <c r="R90"/>
  <c r="R377"/>
  <c r="R348"/>
  <c r="R183"/>
  <c r="R399"/>
  <c r="R260"/>
  <c r="R383"/>
  <c r="R145"/>
  <c r="R309"/>
  <c r="R326"/>
  <c r="R139"/>
  <c r="R185"/>
  <c r="R477"/>
  <c r="R494"/>
  <c r="R66"/>
  <c r="R109"/>
  <c r="R413"/>
  <c r="R27"/>
  <c r="R81"/>
  <c r="R71"/>
  <c r="R181"/>
  <c r="R333"/>
  <c r="R325"/>
  <c r="R29"/>
  <c r="R405"/>
  <c r="R119"/>
  <c r="R197"/>
  <c r="R141"/>
  <c r="R264"/>
  <c r="R317"/>
  <c r="R99"/>
  <c r="R311"/>
  <c r="R198"/>
  <c r="R73"/>
  <c r="R456"/>
  <c r="R284"/>
  <c r="R55"/>
  <c r="R101"/>
  <c r="R156"/>
  <c r="R452"/>
  <c r="R463"/>
  <c r="R226"/>
  <c r="R442"/>
  <c r="R482"/>
  <c r="R63"/>
  <c r="R427"/>
  <c r="R488"/>
  <c r="R509"/>
  <c r="R243"/>
  <c r="R271"/>
  <c r="R355"/>
  <c r="R421"/>
  <c r="R276"/>
  <c r="R499"/>
  <c r="R461"/>
  <c r="R40"/>
  <c r="R481"/>
  <c r="R31"/>
  <c r="R227"/>
  <c r="R48"/>
  <c r="R489"/>
  <c r="R394"/>
  <c r="R44"/>
  <c r="R49"/>
  <c r="R168"/>
  <c r="R110"/>
  <c r="R301"/>
  <c r="R184"/>
  <c r="R278"/>
  <c r="R324"/>
  <c r="R465"/>
  <c r="R36"/>
  <c r="R52"/>
  <c r="R42"/>
  <c r="R192"/>
  <c r="R166"/>
  <c r="R140"/>
  <c r="R478"/>
  <c r="R511"/>
  <c r="R84"/>
  <c r="R88"/>
  <c r="R290"/>
  <c r="R102"/>
  <c r="R248"/>
  <c r="R150"/>
  <c r="R97"/>
  <c r="R165"/>
  <c r="R203"/>
  <c r="R214"/>
  <c r="R363"/>
  <c r="R209"/>
  <c r="R96"/>
  <c r="R244"/>
  <c r="R51"/>
  <c r="R162"/>
  <c r="R205"/>
  <c r="R171"/>
  <c r="R89"/>
  <c r="R228"/>
  <c r="R381"/>
  <c r="R367"/>
  <c r="R85"/>
  <c r="R428"/>
  <c r="R409"/>
  <c r="R58"/>
  <c r="R310"/>
  <c r="R434"/>
  <c r="R346"/>
  <c r="R336"/>
  <c r="R406"/>
  <c r="R117"/>
  <c r="R366"/>
  <c r="R204"/>
  <c r="R382"/>
  <c r="R293"/>
  <c r="R178"/>
  <c r="R259"/>
  <c r="R137"/>
  <c r="R505"/>
  <c r="R208"/>
  <c r="R43"/>
  <c r="R78"/>
  <c r="R121"/>
  <c r="R76"/>
  <c r="R431"/>
  <c r="R498"/>
  <c r="R144"/>
  <c r="R297"/>
  <c r="R459"/>
  <c r="R378"/>
  <c r="R302"/>
  <c r="R157"/>
  <c r="R451"/>
  <c r="R220"/>
  <c r="R350"/>
  <c r="R202"/>
  <c r="R233"/>
  <c r="R262"/>
  <c r="R247"/>
  <c r="R432"/>
  <c r="R151"/>
  <c r="R397"/>
  <c r="R147"/>
  <c r="R296"/>
  <c r="R217"/>
  <c r="R64"/>
  <c r="R334"/>
  <c r="R351"/>
  <c r="R193"/>
  <c r="R251"/>
  <c r="G33" i="5"/>
  <c r="G34"/>
  <c r="G31"/>
  <c r="G30"/>
  <c r="G36"/>
  <c r="G29"/>
  <c r="G35"/>
  <c r="G32"/>
  <c r="BJ92" i="7"/>
  <c r="BJ360"/>
  <c r="BJ91"/>
  <c r="Z30"/>
  <c r="BJ364"/>
  <c r="BJ399"/>
  <c r="BJ212"/>
  <c r="BJ151"/>
  <c r="BJ239"/>
  <c r="BJ509"/>
  <c r="BJ274"/>
  <c r="BJ309"/>
  <c r="BJ41"/>
  <c r="BJ120"/>
  <c r="BJ482"/>
  <c r="BJ491"/>
  <c r="BJ460"/>
  <c r="BJ100"/>
  <c r="BJ426"/>
  <c r="BJ304"/>
  <c r="BJ397"/>
  <c r="BJ57"/>
  <c r="BJ454"/>
  <c r="BJ280"/>
  <c r="BJ206"/>
  <c r="BJ349"/>
  <c r="BJ270"/>
  <c r="BJ487"/>
  <c r="BJ181"/>
  <c r="BJ104"/>
  <c r="BJ422"/>
  <c r="BJ50"/>
  <c r="BJ458"/>
  <c r="BJ288"/>
  <c r="BJ117"/>
  <c r="BJ457"/>
  <c r="BJ173"/>
  <c r="BJ328"/>
  <c r="BJ80"/>
  <c r="BJ140"/>
  <c r="BJ214"/>
  <c r="BJ68"/>
  <c r="BJ283"/>
  <c r="BJ305"/>
  <c r="BJ303"/>
  <c r="BJ236"/>
  <c r="BJ493"/>
  <c r="BJ83"/>
  <c r="BJ362"/>
  <c r="BJ499"/>
  <c r="BJ129"/>
  <c r="BJ501"/>
  <c r="BJ387"/>
  <c r="BJ401"/>
  <c r="BJ231"/>
  <c r="BJ394"/>
  <c r="BJ115"/>
  <c r="BJ101"/>
  <c r="BJ106"/>
  <c r="BJ506"/>
  <c r="BJ126"/>
  <c r="BJ114"/>
  <c r="BJ195"/>
  <c r="BJ438"/>
  <c r="BJ250"/>
  <c r="BJ49"/>
  <c r="BJ268"/>
  <c r="BJ43"/>
  <c r="BJ489"/>
  <c r="BJ448"/>
  <c r="BJ267"/>
  <c r="BJ486"/>
  <c r="BJ263"/>
  <c r="BJ46"/>
  <c r="BJ319"/>
  <c r="BJ216"/>
  <c r="BJ81"/>
  <c r="BJ440"/>
  <c r="BJ379"/>
  <c r="BJ330"/>
  <c r="BJ137"/>
  <c r="BJ292"/>
  <c r="BJ508"/>
  <c r="BJ446"/>
  <c r="BJ373"/>
  <c r="BJ327"/>
  <c r="BJ74"/>
  <c r="BJ500"/>
  <c r="BJ445"/>
  <c r="BJ166"/>
  <c r="BJ490"/>
  <c r="BJ121"/>
  <c r="BJ187"/>
  <c r="BJ354"/>
  <c r="BJ257"/>
  <c r="BJ122"/>
  <c r="BJ391"/>
  <c r="BJ35"/>
  <c r="BJ266"/>
  <c r="BJ409"/>
  <c r="BJ69"/>
  <c r="BJ453"/>
  <c r="BJ244"/>
  <c r="BJ277"/>
  <c r="BJ279"/>
  <c r="BJ343"/>
  <c r="BJ329"/>
  <c r="BJ316"/>
  <c r="BJ278"/>
  <c r="BJ437"/>
  <c r="BJ470"/>
  <c r="BJ123"/>
  <c r="Z31"/>
  <c r="BJ392"/>
  <c r="BJ389"/>
  <c r="BJ346"/>
  <c r="BJ361"/>
  <c r="BJ496"/>
  <c r="BJ133"/>
  <c r="BJ252"/>
  <c r="BJ48"/>
  <c r="BJ107"/>
  <c r="BJ479"/>
  <c r="BJ473"/>
  <c r="BJ259"/>
  <c r="BJ61"/>
  <c r="BJ227"/>
  <c r="BJ221"/>
  <c r="BJ308"/>
  <c r="BJ62"/>
  <c r="BJ145"/>
  <c r="BJ124"/>
  <c r="BJ159"/>
  <c r="BJ199"/>
  <c r="BJ226"/>
  <c r="BJ144"/>
  <c r="BJ45"/>
  <c r="BJ261"/>
  <c r="BJ301"/>
  <c r="BJ258"/>
  <c r="BJ377"/>
  <c r="BJ40"/>
  <c r="BJ374"/>
  <c r="BJ307"/>
  <c r="BJ75"/>
  <c r="BJ291"/>
  <c r="BJ430"/>
  <c r="BJ141"/>
  <c r="BJ67"/>
  <c r="BJ52"/>
  <c r="BJ146"/>
  <c r="BJ345"/>
  <c r="BJ196"/>
  <c r="BJ127"/>
  <c r="BJ434"/>
  <c r="BJ286"/>
  <c r="BJ161"/>
  <c r="BJ413"/>
  <c r="BJ366"/>
  <c r="BJ190"/>
  <c r="BJ406"/>
  <c r="BJ78"/>
  <c r="BJ504"/>
  <c r="BJ225"/>
  <c r="BJ441"/>
  <c r="BJ65"/>
  <c r="BJ281"/>
  <c r="BJ347"/>
  <c r="BJ302"/>
  <c r="BJ229"/>
  <c r="BJ132"/>
  <c r="BJ39"/>
  <c r="BJ356"/>
  <c r="BJ295"/>
  <c r="BJ246"/>
  <c r="BJ95"/>
  <c r="BJ382"/>
  <c r="BJ410"/>
  <c r="BJ36"/>
  <c r="BJ93"/>
  <c r="BJ138"/>
  <c r="BJ149"/>
  <c r="BJ467"/>
  <c r="BJ175"/>
  <c r="BJ342"/>
  <c r="BJ251"/>
  <c r="BJ202"/>
  <c r="BJ312"/>
  <c r="BJ285"/>
  <c r="BJ139"/>
  <c r="BJ125"/>
  <c r="BJ63"/>
  <c r="BJ404"/>
  <c r="BJ119"/>
  <c r="BJ218"/>
  <c r="BJ208"/>
  <c r="BJ56"/>
  <c r="BJ55"/>
  <c r="BJ320"/>
  <c r="BJ300"/>
  <c r="BJ98"/>
  <c r="BJ414"/>
  <c r="BJ130"/>
  <c r="BJ238"/>
  <c r="BJ338"/>
  <c r="BJ321"/>
  <c r="BJ388"/>
  <c r="BJ370"/>
  <c r="BJ170"/>
  <c r="BJ97"/>
  <c r="BJ224"/>
  <c r="BJ163"/>
  <c r="BJ108"/>
  <c r="BJ323"/>
  <c r="BJ184"/>
  <c r="BJ400"/>
  <c r="BJ230"/>
  <c r="BJ492"/>
  <c r="BJ219"/>
  <c r="BJ435"/>
  <c r="BJ284"/>
  <c r="BJ59"/>
  <c r="BJ275"/>
  <c r="BJ497"/>
  <c r="BJ322"/>
  <c r="BJ33"/>
  <c r="BJ357"/>
  <c r="BJ344"/>
  <c r="BJ505"/>
  <c r="BJ415"/>
  <c r="BJ87"/>
  <c r="BJ411"/>
  <c r="BJ452"/>
  <c r="BJ142"/>
  <c r="BJ466"/>
  <c r="BJ73"/>
  <c r="BJ192"/>
  <c r="BJ28"/>
  <c r="BJ134"/>
  <c r="BJ396"/>
  <c r="BJ502"/>
  <c r="BJ105"/>
  <c r="BJ282"/>
  <c r="BJ160"/>
  <c r="BJ110"/>
  <c r="BJ77"/>
  <c r="BJ412"/>
  <c r="BJ90"/>
  <c r="BJ419"/>
  <c r="BJ213"/>
  <c r="BJ378"/>
  <c r="BJ178"/>
  <c r="BJ162"/>
  <c r="BJ340"/>
  <c r="BJ326"/>
  <c r="M26"/>
  <c r="M27"/>
  <c r="EP36" i="1"/>
  <c r="EN37"/>
  <c r="EQ37" s="1"/>
  <c r="M25" i="7"/>
  <c r="AF31" i="5"/>
  <c r="R111" i="7"/>
  <c r="R327"/>
  <c r="R476"/>
  <c r="R74"/>
  <c r="R506"/>
  <c r="R319"/>
  <c r="R258"/>
  <c r="R238"/>
  <c r="R454"/>
  <c r="R387"/>
  <c r="R104"/>
  <c r="R320"/>
  <c r="R37"/>
  <c r="R257"/>
  <c r="R338"/>
  <c r="R354"/>
  <c r="R229"/>
  <c r="R448"/>
  <c r="R306"/>
  <c r="R447"/>
  <c r="R67"/>
  <c r="R438"/>
  <c r="R446"/>
  <c r="R199"/>
  <c r="R77"/>
  <c r="R445"/>
  <c r="R196"/>
  <c r="R129"/>
  <c r="R62"/>
  <c r="R173"/>
  <c r="R190"/>
  <c r="R283"/>
  <c r="R161"/>
  <c r="R408"/>
  <c r="R507"/>
  <c r="R224"/>
  <c r="R187"/>
  <c r="R126"/>
  <c r="R65"/>
  <c r="R497"/>
  <c r="R388"/>
  <c r="R321"/>
  <c r="R38"/>
  <c r="R254"/>
  <c r="R470"/>
  <c r="R299"/>
  <c r="R186"/>
  <c r="R61"/>
  <c r="R444"/>
  <c r="R418"/>
  <c r="R68"/>
  <c r="R359"/>
  <c r="R246"/>
  <c r="R400"/>
  <c r="R210"/>
  <c r="R375"/>
  <c r="R169"/>
  <c r="R508"/>
  <c r="R441"/>
  <c r="R374"/>
  <c r="R426"/>
  <c r="R124"/>
  <c r="R57"/>
  <c r="R510"/>
  <c r="R385"/>
  <c r="R263"/>
  <c r="R106"/>
  <c r="R255"/>
  <c r="R471"/>
  <c r="R188"/>
  <c r="R404"/>
  <c r="R486"/>
  <c r="R425"/>
  <c r="R361"/>
  <c r="R69"/>
  <c r="R501"/>
  <c r="R114"/>
  <c r="R53"/>
  <c r="R372"/>
  <c r="R315"/>
  <c r="R235"/>
  <c r="R174"/>
  <c r="R328"/>
  <c r="R261"/>
  <c r="R194"/>
  <c r="R437"/>
  <c r="R304"/>
  <c r="R237"/>
  <c r="R131"/>
  <c r="R389"/>
  <c r="R370"/>
  <c r="R303"/>
  <c r="R236"/>
  <c r="R436"/>
  <c r="R369"/>
  <c r="R417"/>
  <c r="R46"/>
  <c r="R411"/>
  <c r="R70"/>
  <c r="R286"/>
  <c r="R152"/>
  <c r="R368"/>
  <c r="R95"/>
  <c r="R353"/>
  <c r="R289"/>
  <c r="R240"/>
  <c r="R316"/>
  <c r="R249"/>
  <c r="R155"/>
  <c r="R349"/>
  <c r="R300"/>
  <c r="R279"/>
  <c r="R495"/>
  <c r="R212"/>
  <c r="R215"/>
  <c r="R35"/>
  <c r="R473"/>
  <c r="R256"/>
  <c r="R122"/>
  <c r="R98"/>
  <c r="R245"/>
  <c r="R298"/>
  <c r="R231"/>
  <c r="R364"/>
  <c r="R230"/>
  <c r="R138"/>
  <c r="R412"/>
  <c r="R345"/>
  <c r="R339"/>
  <c r="R272"/>
  <c r="R335"/>
  <c r="R222"/>
  <c r="R480"/>
  <c r="R34"/>
  <c r="R250"/>
  <c r="R466"/>
  <c r="R116"/>
  <c r="R332"/>
  <c r="R455"/>
  <c r="R403"/>
  <c r="R342"/>
  <c r="R281"/>
  <c r="R280"/>
  <c r="R496"/>
  <c r="R429"/>
  <c r="R402"/>
  <c r="R341"/>
  <c r="R277"/>
  <c r="R94"/>
  <c r="R143"/>
  <c r="R401"/>
  <c r="R337"/>
  <c r="R50"/>
  <c r="R149"/>
  <c r="R160"/>
  <c r="R93"/>
  <c r="R223"/>
  <c r="R159"/>
  <c r="R92"/>
  <c r="R120"/>
  <c r="R292"/>
  <c r="R225"/>
  <c r="R158"/>
  <c r="R107"/>
  <c r="R487"/>
  <c r="R365"/>
  <c r="R252"/>
  <c r="R340"/>
  <c r="R273"/>
  <c r="R206"/>
  <c r="R267"/>
  <c r="R191"/>
  <c r="R449"/>
  <c r="R430"/>
  <c r="R80"/>
  <c r="R331"/>
  <c r="R270"/>
  <c r="R460"/>
  <c r="R177"/>
  <c r="R393"/>
  <c r="R443"/>
  <c r="R391"/>
  <c r="R330"/>
  <c r="R269"/>
  <c r="R274"/>
  <c r="R207"/>
  <c r="R356"/>
  <c r="R503"/>
  <c r="R390"/>
  <c r="R265"/>
  <c r="R216"/>
  <c r="R112"/>
  <c r="R45"/>
  <c r="R127"/>
  <c r="R373"/>
  <c r="R453"/>
  <c r="R386"/>
  <c r="R79"/>
  <c r="R450"/>
  <c r="R87"/>
  <c r="R457"/>
  <c r="R153"/>
  <c r="R86"/>
  <c r="R343"/>
  <c r="R108"/>
  <c r="R134"/>
  <c r="R59"/>
  <c r="R439"/>
  <c r="R195"/>
  <c r="R128"/>
  <c r="R305"/>
  <c r="R344"/>
  <c r="Z32"/>
  <c r="R26"/>
  <c r="Z27"/>
  <c r="R33"/>
  <c r="Z26"/>
  <c r="Z29"/>
  <c r="R32"/>
  <c r="R28"/>
  <c r="BJ334"/>
  <c r="BJ369"/>
  <c r="BJ443"/>
  <c r="BJ420"/>
  <c r="BJ456"/>
  <c r="BJ205"/>
  <c r="BJ34"/>
  <c r="BJ306"/>
  <c r="BJ70"/>
  <c r="BJ393"/>
  <c r="BJ383"/>
  <c r="BJ331"/>
  <c r="BJ483"/>
  <c r="BJ494"/>
  <c r="BJ168"/>
  <c r="BJ317"/>
  <c r="BJ86"/>
  <c r="BJ112"/>
  <c r="BJ147"/>
  <c r="BJ203"/>
  <c r="BJ249"/>
  <c r="BJ324"/>
  <c r="BJ358"/>
  <c r="BJ455"/>
  <c r="BJ488"/>
  <c r="BJ211"/>
  <c r="BJ150"/>
  <c r="BJ318"/>
  <c r="BJ197"/>
  <c r="BJ185"/>
  <c r="BJ71"/>
  <c r="BJ498"/>
  <c r="BJ478"/>
  <c r="BJ76"/>
  <c r="BJ111"/>
  <c r="BJ167"/>
  <c r="BJ201"/>
  <c r="BJ228"/>
  <c r="BJ310"/>
  <c r="BJ293"/>
  <c r="BJ265"/>
  <c r="BJ355"/>
  <c r="BJ475"/>
  <c r="BJ449"/>
  <c r="BJ380"/>
  <c r="BJ289"/>
  <c r="BJ365"/>
  <c r="BJ421"/>
  <c r="BJ314"/>
  <c r="BJ368"/>
  <c r="BJ472"/>
  <c r="BJ131"/>
  <c r="BJ299"/>
  <c r="BJ182"/>
  <c r="BJ260"/>
  <c r="BJ169"/>
  <c r="BJ235"/>
  <c r="BJ436"/>
  <c r="BJ471"/>
  <c r="BJ58"/>
  <c r="BJ464"/>
  <c r="BJ459"/>
  <c r="BJ193"/>
  <c r="BJ350"/>
  <c r="BJ53"/>
  <c r="BJ32"/>
  <c r="BJ113"/>
  <c r="BJ154"/>
  <c r="BJ189"/>
  <c r="BJ245"/>
  <c r="BJ66"/>
  <c r="BJ174"/>
  <c r="BJ427"/>
  <c r="BJ371"/>
  <c r="BJ191"/>
  <c r="BJ416"/>
  <c r="BJ510"/>
  <c r="BJ27"/>
  <c r="BJ198"/>
  <c r="BJ165"/>
  <c r="BJ51"/>
  <c r="BJ118"/>
  <c r="BJ153"/>
  <c r="BJ209"/>
  <c r="BJ511"/>
  <c r="BJ96"/>
  <c r="BJ337"/>
  <c r="BJ503"/>
  <c r="BJ143"/>
  <c r="BJ200"/>
  <c r="BJ294"/>
  <c r="BJ325"/>
  <c r="BJ469"/>
  <c r="BJ480"/>
  <c r="BJ468"/>
  <c r="BJ99"/>
  <c r="BJ315"/>
  <c r="BJ155"/>
  <c r="BJ298"/>
  <c r="BJ333"/>
  <c r="BJ311"/>
  <c r="BJ348"/>
  <c r="BJ462"/>
  <c r="BJ336"/>
  <c r="BJ109"/>
  <c r="BJ335"/>
  <c r="BJ210"/>
  <c r="BJ54"/>
  <c r="BJ287"/>
  <c r="BJ423"/>
  <c r="BJ367"/>
  <c r="BJ234"/>
  <c r="BJ408"/>
  <c r="BJ254"/>
  <c r="BJ47"/>
  <c r="BJ262"/>
  <c r="BJ297"/>
  <c r="BJ359"/>
  <c r="BJ276"/>
  <c r="BJ390"/>
  <c r="BJ240"/>
  <c r="BJ398"/>
  <c r="BJ431"/>
  <c r="BJ481"/>
  <c r="BJ485"/>
  <c r="BJ94"/>
  <c r="BJ179"/>
  <c r="BJ272"/>
  <c r="BJ375"/>
  <c r="BJ271"/>
  <c r="BJ395"/>
  <c r="BJ156"/>
  <c r="BJ442"/>
  <c r="BJ477"/>
  <c r="BJ256"/>
  <c r="BJ428"/>
  <c r="BJ26"/>
  <c r="BJ429"/>
  <c r="BJ37"/>
  <c r="BJ242"/>
  <c r="BJ296"/>
  <c r="BJ220"/>
  <c r="BJ255"/>
  <c r="BJ341"/>
  <c r="BJ417"/>
  <c r="BJ135"/>
  <c r="BJ44"/>
  <c r="BJ136"/>
  <c r="BJ273"/>
  <c r="BJ233"/>
  <c r="BJ381"/>
  <c r="BJ164"/>
  <c r="BJ432"/>
  <c r="BJ29"/>
  <c r="BJ157"/>
  <c r="BJ223"/>
  <c r="BJ290"/>
  <c r="BJ89"/>
  <c r="BJ222"/>
  <c r="BJ237"/>
  <c r="BJ188"/>
  <c r="BJ484"/>
  <c r="BJ447"/>
  <c r="BJ116"/>
  <c r="BJ463"/>
  <c r="BJ474"/>
  <c r="BJ85"/>
  <c r="BJ194"/>
  <c r="BJ177"/>
  <c r="BJ495"/>
  <c r="BJ424"/>
  <c r="BJ339"/>
  <c r="BJ264"/>
  <c r="BJ476"/>
  <c r="BJ82"/>
  <c r="BJ439"/>
  <c r="BJ217"/>
  <c r="BJ253"/>
  <c r="BJ507"/>
  <c r="BJ465"/>
  <c r="BJ451"/>
  <c r="BJ30"/>
  <c r="BJ158"/>
  <c r="BJ403"/>
  <c r="BJ332"/>
  <c r="BJ102"/>
  <c r="BJ180"/>
  <c r="BJ215"/>
  <c r="BJ247"/>
  <c r="BJ372"/>
  <c r="BJ402"/>
  <c r="BJ79"/>
  <c r="BJ450"/>
  <c r="BJ72"/>
  <c r="BJ88"/>
  <c r="BJ232"/>
  <c r="BJ204"/>
  <c r="BJ248"/>
  <c r="BJ351"/>
  <c r="BJ433"/>
  <c r="BJ60"/>
  <c r="BJ313"/>
  <c r="BJ385"/>
  <c r="BJ152"/>
  <c r="BJ148"/>
  <c r="BJ183"/>
  <c r="BJ444"/>
  <c r="BJ418"/>
  <c r="BJ384"/>
  <c r="BJ207"/>
  <c r="BJ103"/>
  <c r="BJ84"/>
  <c r="BJ425"/>
  <c r="BJ363"/>
  <c r="BJ407"/>
  <c r="BJ128"/>
  <c r="BJ352"/>
  <c r="BJ376"/>
  <c r="BJ353"/>
  <c r="BJ171"/>
  <c r="BJ269"/>
  <c r="BJ42"/>
  <c r="BJ386"/>
  <c r="BJ461"/>
  <c r="BJ38"/>
  <c r="BJ243"/>
  <c r="BJ176"/>
  <c r="BJ172"/>
  <c r="BJ64"/>
  <c r="BJ241"/>
  <c r="BJ186"/>
  <c r="BJ405"/>
  <c r="R25"/>
  <c r="Z25"/>
  <c r="AC24"/>
  <c r="AG19"/>
  <c r="R13"/>
  <c r="AF15"/>
  <c r="AH15"/>
  <c r="AJ13" a="1"/>
  <c r="AE24"/>
  <c r="AH19"/>
  <c r="R19"/>
  <c r="AB23"/>
  <c r="R21"/>
  <c r="R16"/>
  <c r="AE13"/>
  <c r="AB21"/>
  <c r="AI23"/>
  <c r="Z15"/>
  <c r="AI16"/>
  <c r="AE18"/>
  <c r="Z19"/>
  <c r="AB20"/>
  <c r="AG24"/>
  <c r="AG16"/>
  <c r="AF24"/>
  <c r="AD16"/>
  <c r="AF23"/>
  <c r="AD21"/>
  <c r="AI25"/>
  <c r="Z22"/>
  <c r="AF25"/>
  <c r="Z20"/>
  <c r="AC18"/>
  <c r="R15"/>
  <c r="AI24"/>
  <c r="AF19"/>
  <c r="Z23"/>
  <c r="AF22"/>
  <c r="AB17"/>
  <c r="AG20"/>
  <c r="AH21"/>
  <c r="Z17"/>
  <c r="AC25"/>
  <c r="Z16"/>
  <c r="AC15"/>
  <c r="AH18"/>
  <c r="AI15"/>
  <c r="AC13"/>
  <c r="AC20"/>
  <c r="AB13"/>
  <c r="R23"/>
  <c r="AH20"/>
  <c r="AH16"/>
  <c r="AD24"/>
  <c r="AG25"/>
  <c r="R20"/>
  <c r="AG14"/>
  <c r="AH23"/>
  <c r="AE23"/>
  <c r="Z13"/>
  <c r="AB16"/>
  <c r="AI18"/>
  <c r="AE22"/>
  <c r="AD18"/>
  <c r="AD15"/>
  <c r="AB15"/>
  <c r="AB14"/>
  <c r="AB24"/>
  <c r="AF18"/>
  <c r="AF14"/>
  <c r="AC14"/>
  <c r="Z18"/>
  <c r="AB25"/>
  <c r="R18"/>
  <c r="AE19"/>
  <c r="AG13"/>
  <c r="AD25"/>
  <c r="AF20"/>
  <c r="AE14"/>
  <c r="AH17"/>
  <c r="AH24"/>
  <c r="AD13"/>
  <c r="Z14"/>
  <c r="AD20"/>
  <c r="AI21"/>
  <c r="AC23"/>
  <c r="R14"/>
  <c r="AI17"/>
  <c r="AE25"/>
  <c r="AI19"/>
  <c r="AF16"/>
  <c r="AI13"/>
  <c r="AI20"/>
  <c r="AH25"/>
  <c r="AH13"/>
  <c r="AF21"/>
  <c r="AB19"/>
  <c r="AC19"/>
  <c r="AG23"/>
  <c r="AD19"/>
  <c r="R22"/>
  <c r="AC22"/>
  <c r="AC21"/>
  <c r="AF17"/>
  <c r="AH22"/>
  <c r="AE15"/>
  <c r="AD23"/>
  <c r="AH14"/>
  <c r="AG15"/>
  <c r="Z24"/>
  <c r="R17"/>
  <c r="AG21"/>
  <c r="AF13"/>
  <c r="AB18"/>
  <c r="AG17"/>
  <c r="R24"/>
  <c r="AE21"/>
  <c r="AI22"/>
  <c r="AI14"/>
  <c r="AD22"/>
  <c r="AD14"/>
  <c r="AE20"/>
  <c r="AE16"/>
  <c r="BJ31" l="1"/>
  <c r="Z511"/>
  <c r="Y511"/>
  <c r="BG163"/>
  <c r="BF163"/>
  <c r="BB163"/>
  <c r="BE163"/>
  <c r="BD163"/>
  <c r="BC163"/>
  <c r="BA163"/>
  <c r="AZ163"/>
  <c r="BC420"/>
  <c r="BF420"/>
  <c r="BG420"/>
  <c r="BE420"/>
  <c r="BD420"/>
  <c r="BA420"/>
  <c r="BB420"/>
  <c r="AZ420"/>
  <c r="BG111"/>
  <c r="BF111"/>
  <c r="BC111"/>
  <c r="BB111"/>
  <c r="BE111"/>
  <c r="BD111"/>
  <c r="BA111"/>
  <c r="AZ111"/>
  <c r="BC503"/>
  <c r="BE503"/>
  <c r="BD503"/>
  <c r="AZ503"/>
  <c r="BB503"/>
  <c r="BG503"/>
  <c r="BF503"/>
  <c r="BA503"/>
  <c r="BG143"/>
  <c r="BF143"/>
  <c r="BE143"/>
  <c r="BD143"/>
  <c r="BC143"/>
  <c r="BB143"/>
  <c r="AZ143"/>
  <c r="BA143"/>
  <c r="BC416"/>
  <c r="BB416"/>
  <c r="BD416"/>
  <c r="BA416"/>
  <c r="BG416"/>
  <c r="BF416"/>
  <c r="AZ416"/>
  <c r="BE416"/>
  <c r="BG34"/>
  <c r="BF34"/>
  <c r="BE34"/>
  <c r="BD34"/>
  <c r="BC34"/>
  <c r="BB34"/>
  <c r="BA34"/>
  <c r="AZ34"/>
  <c r="BG60"/>
  <c r="BF60"/>
  <c r="BC60"/>
  <c r="BB60"/>
  <c r="BE60"/>
  <c r="BD60"/>
  <c r="AZ60"/>
  <c r="BA60"/>
  <c r="BC493"/>
  <c r="BG493"/>
  <c r="BF493"/>
  <c r="BE493"/>
  <c r="BD493"/>
  <c r="BA493"/>
  <c r="BB493"/>
  <c r="AZ493"/>
  <c r="BC324"/>
  <c r="BB324"/>
  <c r="BF324"/>
  <c r="BE324"/>
  <c r="BD324"/>
  <c r="BG324"/>
  <c r="AZ324"/>
  <c r="BA324"/>
  <c r="BC406"/>
  <c r="BD406"/>
  <c r="BE406"/>
  <c r="BA406"/>
  <c r="BG406"/>
  <c r="BF406"/>
  <c r="AZ406"/>
  <c r="BB406"/>
  <c r="BC371"/>
  <c r="BE371"/>
  <c r="BD371"/>
  <c r="BB371"/>
  <c r="BG371"/>
  <c r="BF371"/>
  <c r="AZ371"/>
  <c r="BA371"/>
  <c r="BG239"/>
  <c r="BE239"/>
  <c r="BD239"/>
  <c r="BF239"/>
  <c r="BC239"/>
  <c r="BB239"/>
  <c r="AZ239"/>
  <c r="BA239"/>
  <c r="BC301"/>
  <c r="BB301"/>
  <c r="BG301"/>
  <c r="BF301"/>
  <c r="BE301"/>
  <c r="BD301"/>
  <c r="BA301"/>
  <c r="AZ301"/>
  <c r="BG209"/>
  <c r="BE209"/>
  <c r="BD209"/>
  <c r="BF209"/>
  <c r="BC209"/>
  <c r="BB209"/>
  <c r="AZ209"/>
  <c r="BA209"/>
  <c r="BG64"/>
  <c r="BF64"/>
  <c r="BE64"/>
  <c r="BD64"/>
  <c r="BC64"/>
  <c r="BB64"/>
  <c r="BA64"/>
  <c r="AZ64"/>
  <c r="BC313"/>
  <c r="BB313"/>
  <c r="BG313"/>
  <c r="BF313"/>
  <c r="BE313"/>
  <c r="BD313"/>
  <c r="BA313"/>
  <c r="AZ313"/>
  <c r="BG176"/>
  <c r="BB176"/>
  <c r="BF176"/>
  <c r="BE176"/>
  <c r="BD176"/>
  <c r="BC176"/>
  <c r="BA176"/>
  <c r="AZ176"/>
  <c r="BG139"/>
  <c r="BF139"/>
  <c r="BE139"/>
  <c r="BD139"/>
  <c r="BC139"/>
  <c r="BB139"/>
  <c r="BA139"/>
  <c r="AZ139"/>
  <c r="BC383"/>
  <c r="BE383"/>
  <c r="BD383"/>
  <c r="BB383"/>
  <c r="BG383"/>
  <c r="BF383"/>
  <c r="AZ383"/>
  <c r="BA383"/>
  <c r="BC357"/>
  <c r="BB357"/>
  <c r="BG357"/>
  <c r="BF357"/>
  <c r="BE357"/>
  <c r="BD357"/>
  <c r="BA357"/>
  <c r="AZ357"/>
  <c r="BC303"/>
  <c r="BB303"/>
  <c r="BF303"/>
  <c r="BE303"/>
  <c r="BD303"/>
  <c r="BG303"/>
  <c r="BA303"/>
  <c r="AZ303"/>
  <c r="BG187"/>
  <c r="BF187"/>
  <c r="BE187"/>
  <c r="BD187"/>
  <c r="BC187"/>
  <c r="BB187"/>
  <c r="BA187"/>
  <c r="AZ187"/>
  <c r="BG79"/>
  <c r="BF79"/>
  <c r="BE79"/>
  <c r="BD79"/>
  <c r="BC79"/>
  <c r="BB79"/>
  <c r="BA79"/>
  <c r="AZ79"/>
  <c r="BC414"/>
  <c r="BF414"/>
  <c r="BG414"/>
  <c r="BD414"/>
  <c r="AZ414"/>
  <c r="BB414"/>
  <c r="BA414"/>
  <c r="BE414"/>
  <c r="BG147"/>
  <c r="BC147"/>
  <c r="BB147"/>
  <c r="BF147"/>
  <c r="BE147"/>
  <c r="BD147"/>
  <c r="BA147"/>
  <c r="AZ147"/>
  <c r="BC431"/>
  <c r="BF431"/>
  <c r="BG431"/>
  <c r="AZ431"/>
  <c r="BE431"/>
  <c r="BD431"/>
  <c r="BB431"/>
  <c r="BA431"/>
  <c r="BC375"/>
  <c r="BB375"/>
  <c r="BG375"/>
  <c r="BF375"/>
  <c r="BE375"/>
  <c r="BD375"/>
  <c r="BA375"/>
  <c r="AZ375"/>
  <c r="BC302"/>
  <c r="BB302"/>
  <c r="BD302"/>
  <c r="BG302"/>
  <c r="BF302"/>
  <c r="BE302"/>
  <c r="BA302"/>
  <c r="AZ302"/>
  <c r="BG242"/>
  <c r="BB242"/>
  <c r="BC242"/>
  <c r="BF242"/>
  <c r="BE242"/>
  <c r="BD242"/>
  <c r="BA242"/>
  <c r="AZ242"/>
  <c r="BG65"/>
  <c r="BF65"/>
  <c r="BE65"/>
  <c r="BD65"/>
  <c r="BC65"/>
  <c r="BB65"/>
  <c r="AZ65"/>
  <c r="BA65"/>
  <c r="BC309"/>
  <c r="BB309"/>
  <c r="BF309"/>
  <c r="BE309"/>
  <c r="BD309"/>
  <c r="BG309"/>
  <c r="BA309"/>
  <c r="AZ309"/>
  <c r="BG260"/>
  <c r="BB260"/>
  <c r="BC260"/>
  <c r="BF260"/>
  <c r="BE260"/>
  <c r="BD260"/>
  <c r="BA260"/>
  <c r="AZ260"/>
  <c r="BG49"/>
  <c r="BF49"/>
  <c r="BE49"/>
  <c r="BD49"/>
  <c r="BC49"/>
  <c r="BB49"/>
  <c r="BA49"/>
  <c r="AZ49"/>
  <c r="BG173"/>
  <c r="BE173"/>
  <c r="BD173"/>
  <c r="BF173"/>
  <c r="BC173"/>
  <c r="BB173"/>
  <c r="AZ173"/>
  <c r="BA173"/>
  <c r="BC393"/>
  <c r="BB393"/>
  <c r="BG393"/>
  <c r="BF393"/>
  <c r="BE393"/>
  <c r="BD393"/>
  <c r="BA393"/>
  <c r="AZ393"/>
  <c r="BC438"/>
  <c r="BG438"/>
  <c r="BF438"/>
  <c r="BE438"/>
  <c r="BD438"/>
  <c r="BA438"/>
  <c r="BB438"/>
  <c r="AZ438"/>
  <c r="BG177"/>
  <c r="BC177"/>
  <c r="BB177"/>
  <c r="BD177"/>
  <c r="BF177"/>
  <c r="BE177"/>
  <c r="BA177"/>
  <c r="AZ177"/>
  <c r="BG245"/>
  <c r="BE245"/>
  <c r="BD245"/>
  <c r="BF245"/>
  <c r="BC245"/>
  <c r="BB245"/>
  <c r="AZ245"/>
  <c r="BA245"/>
  <c r="BG267"/>
  <c r="BC267"/>
  <c r="BB267"/>
  <c r="BD267"/>
  <c r="BF267"/>
  <c r="BE267"/>
  <c r="BA267"/>
  <c r="AZ267"/>
  <c r="BG244"/>
  <c r="BD244"/>
  <c r="BC244"/>
  <c r="BF244"/>
  <c r="BE244"/>
  <c r="BB244"/>
  <c r="BA244"/>
  <c r="AZ244"/>
  <c r="BG39"/>
  <c r="BF39"/>
  <c r="BC39"/>
  <c r="BB39"/>
  <c r="BE39"/>
  <c r="BD39"/>
  <c r="BA39"/>
  <c r="AZ39"/>
  <c r="BC462"/>
  <c r="BF462"/>
  <c r="BE462"/>
  <c r="BD462"/>
  <c r="BB462"/>
  <c r="BA462"/>
  <c r="BG462"/>
  <c r="AZ462"/>
  <c r="BC328"/>
  <c r="BB328"/>
  <c r="BG328"/>
  <c r="BF328"/>
  <c r="BE328"/>
  <c r="BD328"/>
  <c r="BA328"/>
  <c r="AZ328"/>
  <c r="BC293"/>
  <c r="BB293"/>
  <c r="BD293"/>
  <c r="BG293"/>
  <c r="BF293"/>
  <c r="BE293"/>
  <c r="AZ293"/>
  <c r="BA293"/>
  <c r="BC441"/>
  <c r="BD441"/>
  <c r="BG441"/>
  <c r="BA441"/>
  <c r="BF441"/>
  <c r="BE441"/>
  <c r="AZ441"/>
  <c r="BB441"/>
  <c r="BC387"/>
  <c r="BB387"/>
  <c r="BG387"/>
  <c r="BF387"/>
  <c r="BE387"/>
  <c r="BD387"/>
  <c r="BA387"/>
  <c r="AZ387"/>
  <c r="BG43"/>
  <c r="BF43"/>
  <c r="BE43"/>
  <c r="BD43"/>
  <c r="BC43"/>
  <c r="BB43"/>
  <c r="BA43"/>
  <c r="AZ43"/>
  <c r="BG270"/>
  <c r="BF270"/>
  <c r="BE270"/>
  <c r="BD270"/>
  <c r="BC270"/>
  <c r="BB270"/>
  <c r="AZ270"/>
  <c r="BA270"/>
  <c r="BG172"/>
  <c r="BD172"/>
  <c r="BC172"/>
  <c r="BF172"/>
  <c r="BE172"/>
  <c r="BB172"/>
  <c r="BA172"/>
  <c r="AZ172"/>
  <c r="BG115"/>
  <c r="BF115"/>
  <c r="BE115"/>
  <c r="BD115"/>
  <c r="BC115"/>
  <c r="BB115"/>
  <c r="BA115"/>
  <c r="AZ115"/>
  <c r="BG107"/>
  <c r="BF107"/>
  <c r="BE107"/>
  <c r="BD107"/>
  <c r="BC107"/>
  <c r="BB107"/>
  <c r="AZ107"/>
  <c r="BA107"/>
  <c r="BC354"/>
  <c r="BF354"/>
  <c r="BE354"/>
  <c r="BD354"/>
  <c r="BB354"/>
  <c r="BG354"/>
  <c r="AZ354"/>
  <c r="BA354"/>
  <c r="BC395"/>
  <c r="BE395"/>
  <c r="BD395"/>
  <c r="BB395"/>
  <c r="BG395"/>
  <c r="BF395"/>
  <c r="AZ395"/>
  <c r="BA395"/>
  <c r="BC377"/>
  <c r="BE377"/>
  <c r="BD377"/>
  <c r="BB377"/>
  <c r="BG377"/>
  <c r="BF377"/>
  <c r="AZ377"/>
  <c r="BA377"/>
  <c r="BC353"/>
  <c r="BE353"/>
  <c r="BD353"/>
  <c r="BB353"/>
  <c r="BG353"/>
  <c r="BF353"/>
  <c r="AZ353"/>
  <c r="BA353"/>
  <c r="BC363"/>
  <c r="BB363"/>
  <c r="BG363"/>
  <c r="BF363"/>
  <c r="BE363"/>
  <c r="BD363"/>
  <c r="BA363"/>
  <c r="AZ363"/>
  <c r="BC304"/>
  <c r="BB304"/>
  <c r="BG304"/>
  <c r="BF304"/>
  <c r="BE304"/>
  <c r="BD304"/>
  <c r="BA304"/>
  <c r="AZ304"/>
  <c r="BG129"/>
  <c r="BF129"/>
  <c r="BC129"/>
  <c r="BB129"/>
  <c r="BE129"/>
  <c r="BD129"/>
  <c r="BA129"/>
  <c r="AZ129"/>
  <c r="BC408"/>
  <c r="BF408"/>
  <c r="BG408"/>
  <c r="BE408"/>
  <c r="BD408"/>
  <c r="BB408"/>
  <c r="BA408"/>
  <c r="AZ408"/>
  <c r="BC364"/>
  <c r="BD364"/>
  <c r="BB364"/>
  <c r="BG364"/>
  <c r="BF364"/>
  <c r="BE364"/>
  <c r="BA364"/>
  <c r="AZ364"/>
  <c r="BC329"/>
  <c r="BB329"/>
  <c r="BD329"/>
  <c r="BG329"/>
  <c r="BF329"/>
  <c r="BE329"/>
  <c r="AZ329"/>
  <c r="BA329"/>
  <c r="BC459"/>
  <c r="BB459"/>
  <c r="BA459"/>
  <c r="BG459"/>
  <c r="BF459"/>
  <c r="AZ459"/>
  <c r="BE459"/>
  <c r="BD459"/>
  <c r="BC423"/>
  <c r="BB423"/>
  <c r="BD423"/>
  <c r="BE423"/>
  <c r="BA423"/>
  <c r="AZ423"/>
  <c r="BG423"/>
  <c r="BF423"/>
  <c r="BC426"/>
  <c r="BG426"/>
  <c r="BD426"/>
  <c r="BB426"/>
  <c r="BF426"/>
  <c r="BA426"/>
  <c r="BE426"/>
  <c r="AZ426"/>
  <c r="BG85"/>
  <c r="BF85"/>
  <c r="BE85"/>
  <c r="BD85"/>
  <c r="BC85"/>
  <c r="BB85"/>
  <c r="BA85"/>
  <c r="AZ85"/>
  <c r="BG104"/>
  <c r="BF104"/>
  <c r="BE104"/>
  <c r="BD104"/>
  <c r="BC104"/>
  <c r="BB104"/>
  <c r="BA104"/>
  <c r="AZ104"/>
  <c r="BG208"/>
  <c r="BD208"/>
  <c r="BC208"/>
  <c r="BF208"/>
  <c r="BE208"/>
  <c r="BB208"/>
  <c r="BA208"/>
  <c r="AZ208"/>
  <c r="BG58"/>
  <c r="BF58"/>
  <c r="BE58"/>
  <c r="BD58"/>
  <c r="BC58"/>
  <c r="BB58"/>
  <c r="BA58"/>
  <c r="AZ58"/>
  <c r="BC427"/>
  <c r="BF427"/>
  <c r="BE427"/>
  <c r="BD427"/>
  <c r="BB427"/>
  <c r="BA427"/>
  <c r="BG427"/>
  <c r="AZ427"/>
  <c r="BC385"/>
  <c r="BG385"/>
  <c r="BF385"/>
  <c r="BE385"/>
  <c r="BD385"/>
  <c r="BB385"/>
  <c r="BA385"/>
  <c r="AZ385"/>
  <c r="BC492"/>
  <c r="BF492"/>
  <c r="AZ492"/>
  <c r="BE492"/>
  <c r="BD492"/>
  <c r="BB492"/>
  <c r="BA492"/>
  <c r="BG492"/>
  <c r="BC419"/>
  <c r="BE419"/>
  <c r="BF419"/>
  <c r="BG419"/>
  <c r="BD419"/>
  <c r="AZ419"/>
  <c r="BB419"/>
  <c r="BA419"/>
  <c r="BC445"/>
  <c r="BB445"/>
  <c r="BG445"/>
  <c r="BF445"/>
  <c r="BA445"/>
  <c r="BE445"/>
  <c r="BD445"/>
  <c r="AZ445"/>
  <c r="BC310"/>
  <c r="BB310"/>
  <c r="BG310"/>
  <c r="BF310"/>
  <c r="BE310"/>
  <c r="BD310"/>
  <c r="BA310"/>
  <c r="AZ310"/>
  <c r="BG240"/>
  <c r="BF240"/>
  <c r="BE240"/>
  <c r="BC240"/>
  <c r="BB240"/>
  <c r="BD240"/>
  <c r="AZ240"/>
  <c r="BA240"/>
  <c r="BG184"/>
  <c r="BD184"/>
  <c r="BC184"/>
  <c r="BE184"/>
  <c r="BB184"/>
  <c r="BF184"/>
  <c r="BA184"/>
  <c r="AZ184"/>
  <c r="BG149"/>
  <c r="BE149"/>
  <c r="BD149"/>
  <c r="BF149"/>
  <c r="BC149"/>
  <c r="BB149"/>
  <c r="AZ149"/>
  <c r="BA149"/>
  <c r="BG153"/>
  <c r="BC153"/>
  <c r="BB153"/>
  <c r="BF153"/>
  <c r="BE153"/>
  <c r="BD153"/>
  <c r="BA153"/>
  <c r="AZ153"/>
  <c r="BG93"/>
  <c r="BF93"/>
  <c r="BC93"/>
  <c r="BB93"/>
  <c r="BE93"/>
  <c r="BD93"/>
  <c r="BA93"/>
  <c r="AZ93"/>
  <c r="BG214"/>
  <c r="BD214"/>
  <c r="BC214"/>
  <c r="BF214"/>
  <c r="BE214"/>
  <c r="BB214"/>
  <c r="BA214"/>
  <c r="AZ214"/>
  <c r="BG78"/>
  <c r="BF78"/>
  <c r="BC78"/>
  <c r="BB78"/>
  <c r="BE78"/>
  <c r="BD78"/>
  <c r="AZ78"/>
  <c r="BA78"/>
  <c r="BG106"/>
  <c r="BF106"/>
  <c r="BE106"/>
  <c r="BD106"/>
  <c r="BC106"/>
  <c r="BB106"/>
  <c r="BA106"/>
  <c r="AZ106"/>
  <c r="BG29"/>
  <c r="BF29"/>
  <c r="BE29"/>
  <c r="BD29"/>
  <c r="BC29"/>
  <c r="BB29"/>
  <c r="AZ29"/>
  <c r="BA29"/>
  <c r="BC467"/>
  <c r="BE467"/>
  <c r="BD467"/>
  <c r="BB467"/>
  <c r="BG467"/>
  <c r="BF467"/>
  <c r="BA467"/>
  <c r="AZ467"/>
  <c r="BG88"/>
  <c r="BF88"/>
  <c r="BE88"/>
  <c r="BD88"/>
  <c r="BC88"/>
  <c r="BB88"/>
  <c r="BA88"/>
  <c r="AZ88"/>
  <c r="BC358"/>
  <c r="BD358"/>
  <c r="BB358"/>
  <c r="BG358"/>
  <c r="BF358"/>
  <c r="BE358"/>
  <c r="BA358"/>
  <c r="AZ358"/>
  <c r="BG276"/>
  <c r="BF276"/>
  <c r="BE276"/>
  <c r="BC276"/>
  <c r="BB276"/>
  <c r="BD276"/>
  <c r="AZ276"/>
  <c r="BA276"/>
  <c r="BG220"/>
  <c r="BD220"/>
  <c r="BC220"/>
  <c r="BE220"/>
  <c r="BB220"/>
  <c r="BF220"/>
  <c r="BA220"/>
  <c r="AZ220"/>
  <c r="BG185"/>
  <c r="BE185"/>
  <c r="BD185"/>
  <c r="BF185"/>
  <c r="BC185"/>
  <c r="BB185"/>
  <c r="AZ185"/>
  <c r="BA185"/>
  <c r="BG225"/>
  <c r="BC225"/>
  <c r="BB225"/>
  <c r="BF225"/>
  <c r="BE225"/>
  <c r="BD225"/>
  <c r="BA225"/>
  <c r="AZ225"/>
  <c r="BG171"/>
  <c r="BC171"/>
  <c r="BB171"/>
  <c r="BF171"/>
  <c r="BE171"/>
  <c r="BD171"/>
  <c r="BA171"/>
  <c r="AZ171"/>
  <c r="BC339"/>
  <c r="BB339"/>
  <c r="BF339"/>
  <c r="BE339"/>
  <c r="BD339"/>
  <c r="BG339"/>
  <c r="BA339"/>
  <c r="AZ339"/>
  <c r="BG99"/>
  <c r="BF99"/>
  <c r="BC99"/>
  <c r="BB99"/>
  <c r="BE99"/>
  <c r="BD99"/>
  <c r="BA99"/>
  <c r="AZ99"/>
  <c r="BG57"/>
  <c r="BF57"/>
  <c r="BC57"/>
  <c r="BB57"/>
  <c r="BE57"/>
  <c r="BD57"/>
  <c r="BA57"/>
  <c r="AZ57"/>
  <c r="BC405"/>
  <c r="BB405"/>
  <c r="BD405"/>
  <c r="BE405"/>
  <c r="BA405"/>
  <c r="AZ405"/>
  <c r="BG405"/>
  <c r="BF405"/>
  <c r="BC286"/>
  <c r="BB286"/>
  <c r="BG286"/>
  <c r="BF286"/>
  <c r="BE286"/>
  <c r="BD286"/>
  <c r="BA286"/>
  <c r="AZ286"/>
  <c r="BC343"/>
  <c r="BG343"/>
  <c r="BF343"/>
  <c r="BE343"/>
  <c r="BD343"/>
  <c r="BB343"/>
  <c r="BA343"/>
  <c r="AZ343"/>
  <c r="BG150"/>
  <c r="BF150"/>
  <c r="BE150"/>
  <c r="BC150"/>
  <c r="BB150"/>
  <c r="BD150"/>
  <c r="AZ150"/>
  <c r="BA150"/>
  <c r="BC411"/>
  <c r="BB411"/>
  <c r="BD411"/>
  <c r="BA411"/>
  <c r="BG411"/>
  <c r="BF411"/>
  <c r="AZ411"/>
  <c r="BE411"/>
  <c r="BC296"/>
  <c r="BB296"/>
  <c r="BD296"/>
  <c r="BG296"/>
  <c r="BF296"/>
  <c r="BE296"/>
  <c r="BA296"/>
  <c r="AZ296"/>
  <c r="BG230"/>
  <c r="BB230"/>
  <c r="BF230"/>
  <c r="BE230"/>
  <c r="BD230"/>
  <c r="BC230"/>
  <c r="BA230"/>
  <c r="AZ230"/>
  <c r="BG66"/>
  <c r="BF66"/>
  <c r="BC66"/>
  <c r="BB66"/>
  <c r="BE66"/>
  <c r="BD66"/>
  <c r="AZ66"/>
  <c r="BA66"/>
  <c r="BC505"/>
  <c r="BG505"/>
  <c r="BF505"/>
  <c r="BE505"/>
  <c r="BD505"/>
  <c r="BA505"/>
  <c r="BB505"/>
  <c r="AZ505"/>
  <c r="BC367"/>
  <c r="BG367"/>
  <c r="BF367"/>
  <c r="BE367"/>
  <c r="BD367"/>
  <c r="BB367"/>
  <c r="BA367"/>
  <c r="AZ367"/>
  <c r="BC435"/>
  <c r="BD435"/>
  <c r="BA435"/>
  <c r="BG435"/>
  <c r="BF435"/>
  <c r="AZ435"/>
  <c r="BE435"/>
  <c r="BB435"/>
  <c r="BC346"/>
  <c r="BD346"/>
  <c r="BB346"/>
  <c r="BG346"/>
  <c r="BF346"/>
  <c r="BE346"/>
  <c r="BA346"/>
  <c r="AZ346"/>
  <c r="BG142"/>
  <c r="BF142"/>
  <c r="BE142"/>
  <c r="BD142"/>
  <c r="BB142"/>
  <c r="BC142"/>
  <c r="BA142"/>
  <c r="AZ142"/>
  <c r="BC308"/>
  <c r="BB308"/>
  <c r="BD308"/>
  <c r="BG308"/>
  <c r="BF308"/>
  <c r="BE308"/>
  <c r="BA308"/>
  <c r="AZ308"/>
  <c r="BG259"/>
  <c r="BF259"/>
  <c r="BE259"/>
  <c r="BD259"/>
  <c r="BC259"/>
  <c r="BB259"/>
  <c r="BA259"/>
  <c r="AZ259"/>
  <c r="BG145"/>
  <c r="BF145"/>
  <c r="BE145"/>
  <c r="BD145"/>
  <c r="BC145"/>
  <c r="BB145"/>
  <c r="BA145"/>
  <c r="AZ145"/>
  <c r="BG160"/>
  <c r="BD160"/>
  <c r="BC160"/>
  <c r="BF160"/>
  <c r="BE160"/>
  <c r="BB160"/>
  <c r="BA160"/>
  <c r="AZ160"/>
  <c r="BG63"/>
  <c r="BF63"/>
  <c r="BC63"/>
  <c r="BB63"/>
  <c r="BE63"/>
  <c r="BD63"/>
  <c r="BA63"/>
  <c r="AZ63"/>
  <c r="BG62"/>
  <c r="BF62"/>
  <c r="BE62"/>
  <c r="BD62"/>
  <c r="BC62"/>
  <c r="BB62"/>
  <c r="BA62"/>
  <c r="AZ62"/>
  <c r="BG108"/>
  <c r="BF108"/>
  <c r="BC108"/>
  <c r="BB108"/>
  <c r="BE108"/>
  <c r="BD108"/>
  <c r="AZ108"/>
  <c r="BA108"/>
  <c r="BC497"/>
  <c r="BE497"/>
  <c r="AZ497"/>
  <c r="BD497"/>
  <c r="BB497"/>
  <c r="BG497"/>
  <c r="BF497"/>
  <c r="BA497"/>
  <c r="BC390"/>
  <c r="BF390"/>
  <c r="BE390"/>
  <c r="BD390"/>
  <c r="BB390"/>
  <c r="BG390"/>
  <c r="AZ390"/>
  <c r="BA390"/>
  <c r="BC471"/>
  <c r="BB471"/>
  <c r="BA471"/>
  <c r="BG471"/>
  <c r="BF471"/>
  <c r="BE471"/>
  <c r="BD471"/>
  <c r="AZ471"/>
  <c r="BC330"/>
  <c r="BB330"/>
  <c r="BF330"/>
  <c r="BE330"/>
  <c r="BD330"/>
  <c r="BG330"/>
  <c r="AZ330"/>
  <c r="BA330"/>
  <c r="BG278"/>
  <c r="BB278"/>
  <c r="BC278"/>
  <c r="BF278"/>
  <c r="BE278"/>
  <c r="BD278"/>
  <c r="BA278"/>
  <c r="AZ278"/>
  <c r="BC410"/>
  <c r="BB410"/>
  <c r="BF410"/>
  <c r="BE410"/>
  <c r="BD410"/>
  <c r="BA410"/>
  <c r="AZ410"/>
  <c r="BG410"/>
  <c r="BG123"/>
  <c r="BF123"/>
  <c r="BC123"/>
  <c r="BB123"/>
  <c r="BE123"/>
  <c r="BD123"/>
  <c r="BA123"/>
  <c r="AZ123"/>
  <c r="BG188"/>
  <c r="BB188"/>
  <c r="BC188"/>
  <c r="BF188"/>
  <c r="BE188"/>
  <c r="BD188"/>
  <c r="BA188"/>
  <c r="AZ188"/>
  <c r="BG167"/>
  <c r="BE167"/>
  <c r="BD167"/>
  <c r="BF167"/>
  <c r="BC167"/>
  <c r="BB167"/>
  <c r="AZ167"/>
  <c r="BA167"/>
  <c r="BG75"/>
  <c r="BF75"/>
  <c r="BC75"/>
  <c r="BB75"/>
  <c r="BE75"/>
  <c r="BD75"/>
  <c r="BA75"/>
  <c r="AZ75"/>
  <c r="BG509"/>
  <c r="BF509"/>
  <c r="BE509"/>
  <c r="BD509"/>
  <c r="BC509"/>
  <c r="BB509"/>
  <c r="BA509"/>
  <c r="AZ509"/>
  <c r="BC380"/>
  <c r="BG380"/>
  <c r="BF380"/>
  <c r="BE380"/>
  <c r="BD380"/>
  <c r="BB380"/>
  <c r="BA380"/>
  <c r="AZ380"/>
  <c r="BC320"/>
  <c r="BB320"/>
  <c r="BD320"/>
  <c r="BG320"/>
  <c r="BF320"/>
  <c r="BE320"/>
  <c r="BA320"/>
  <c r="AZ320"/>
  <c r="BC487"/>
  <c r="BG487"/>
  <c r="BF487"/>
  <c r="BE487"/>
  <c r="BD487"/>
  <c r="BA487"/>
  <c r="BB487"/>
  <c r="AZ487"/>
  <c r="BC490"/>
  <c r="BD490"/>
  <c r="BA490"/>
  <c r="BB490"/>
  <c r="BG490"/>
  <c r="BF490"/>
  <c r="BE490"/>
  <c r="AZ490"/>
  <c r="BG50"/>
  <c r="BF50"/>
  <c r="BE50"/>
  <c r="BD50"/>
  <c r="BC50"/>
  <c r="BB50"/>
  <c r="BA50"/>
  <c r="AZ50"/>
  <c r="BG196"/>
  <c r="BD196"/>
  <c r="BC196"/>
  <c r="BF196"/>
  <c r="BE196"/>
  <c r="BB196"/>
  <c r="BA196"/>
  <c r="AZ196"/>
  <c r="BG507"/>
  <c r="BF507"/>
  <c r="BA507"/>
  <c r="BE507"/>
  <c r="BD507"/>
  <c r="AZ507"/>
  <c r="BC507"/>
  <c r="BB507"/>
  <c r="BG102"/>
  <c r="BF102"/>
  <c r="BC102"/>
  <c r="BB102"/>
  <c r="BE102"/>
  <c r="BD102"/>
  <c r="AZ102"/>
  <c r="BA102"/>
  <c r="BG116"/>
  <c r="BF116"/>
  <c r="BE116"/>
  <c r="BD116"/>
  <c r="BC116"/>
  <c r="BB116"/>
  <c r="BA116"/>
  <c r="AZ116"/>
  <c r="BC388"/>
  <c r="BD388"/>
  <c r="BB388"/>
  <c r="BG388"/>
  <c r="BF388"/>
  <c r="BE388"/>
  <c r="BA388"/>
  <c r="AZ388"/>
  <c r="BC500"/>
  <c r="BG500"/>
  <c r="BF500"/>
  <c r="BA500"/>
  <c r="AZ500"/>
  <c r="BE500"/>
  <c r="BD500"/>
  <c r="BB500"/>
  <c r="BG237"/>
  <c r="BC237"/>
  <c r="BB237"/>
  <c r="BF237"/>
  <c r="BE237"/>
  <c r="BD237"/>
  <c r="BA237"/>
  <c r="AZ237"/>
  <c r="BC284"/>
  <c r="BB284"/>
  <c r="BD284"/>
  <c r="BG284"/>
  <c r="BF284"/>
  <c r="BE284"/>
  <c r="BA284"/>
  <c r="AZ284"/>
  <c r="BG215"/>
  <c r="BE215"/>
  <c r="BD215"/>
  <c r="BB215"/>
  <c r="BF215"/>
  <c r="BC215"/>
  <c r="AZ215"/>
  <c r="BA215"/>
  <c r="BG141"/>
  <c r="BF141"/>
  <c r="BC141"/>
  <c r="BB141"/>
  <c r="BE141"/>
  <c r="BD141"/>
  <c r="BA141"/>
  <c r="AZ141"/>
  <c r="BG81"/>
  <c r="BF81"/>
  <c r="BC81"/>
  <c r="BB81"/>
  <c r="BE81"/>
  <c r="BD81"/>
  <c r="BA81"/>
  <c r="AZ81"/>
  <c r="BC458"/>
  <c r="BG458"/>
  <c r="BF458"/>
  <c r="BA458"/>
  <c r="BE458"/>
  <c r="BD458"/>
  <c r="AZ458"/>
  <c r="BB458"/>
  <c r="BC386"/>
  <c r="BG386"/>
  <c r="BF386"/>
  <c r="BE386"/>
  <c r="BD386"/>
  <c r="BB386"/>
  <c r="BA386"/>
  <c r="AZ386"/>
  <c r="BC314"/>
  <c r="BB314"/>
  <c r="BD314"/>
  <c r="BG314"/>
  <c r="BF314"/>
  <c r="BE314"/>
  <c r="BA314"/>
  <c r="AZ314"/>
  <c r="BG105"/>
  <c r="BF105"/>
  <c r="BC105"/>
  <c r="BB105"/>
  <c r="BE105"/>
  <c r="BD105"/>
  <c r="BA105"/>
  <c r="AZ105"/>
  <c r="BG182"/>
  <c r="BB182"/>
  <c r="BE182"/>
  <c r="BD182"/>
  <c r="BC182"/>
  <c r="BF182"/>
  <c r="BA182"/>
  <c r="AZ182"/>
  <c r="BG271"/>
  <c r="BF271"/>
  <c r="BB271"/>
  <c r="BE271"/>
  <c r="BD271"/>
  <c r="BC271"/>
  <c r="BA271"/>
  <c r="AZ271"/>
  <c r="BC281"/>
  <c r="BB281"/>
  <c r="BD281"/>
  <c r="BG281"/>
  <c r="BF281"/>
  <c r="BE281"/>
  <c r="AZ281"/>
  <c r="BA281"/>
  <c r="BG61"/>
  <c r="BF61"/>
  <c r="BE61"/>
  <c r="BD61"/>
  <c r="BC61"/>
  <c r="BB61"/>
  <c r="BA61"/>
  <c r="AZ61"/>
  <c r="BC305"/>
  <c r="BB305"/>
  <c r="BD305"/>
  <c r="BG305"/>
  <c r="BF305"/>
  <c r="BE305"/>
  <c r="AZ305"/>
  <c r="BA305"/>
  <c r="BC434"/>
  <c r="BB434"/>
  <c r="BG434"/>
  <c r="BF434"/>
  <c r="BE434"/>
  <c r="BA434"/>
  <c r="BD434"/>
  <c r="AZ434"/>
  <c r="BC461"/>
  <c r="BE461"/>
  <c r="BD461"/>
  <c r="AZ461"/>
  <c r="BB461"/>
  <c r="BG461"/>
  <c r="BF461"/>
  <c r="BA461"/>
  <c r="BC483"/>
  <c r="BB483"/>
  <c r="BA483"/>
  <c r="BG483"/>
  <c r="BF483"/>
  <c r="AZ483"/>
  <c r="BE483"/>
  <c r="BD483"/>
  <c r="BC352"/>
  <c r="BD352"/>
  <c r="BB352"/>
  <c r="BG352"/>
  <c r="BF352"/>
  <c r="BE352"/>
  <c r="BA352"/>
  <c r="AZ352"/>
  <c r="BG249"/>
  <c r="BC249"/>
  <c r="BB249"/>
  <c r="BD249"/>
  <c r="BF249"/>
  <c r="BE249"/>
  <c r="BA249"/>
  <c r="AZ249"/>
  <c r="BG510"/>
  <c r="BF510"/>
  <c r="BE510"/>
  <c r="BD510"/>
  <c r="BC510"/>
  <c r="BA510"/>
  <c r="BB510"/>
  <c r="AZ510"/>
  <c r="BC400"/>
  <c r="BD400"/>
  <c r="BF400"/>
  <c r="BE400"/>
  <c r="BA400"/>
  <c r="BG400"/>
  <c r="BB400"/>
  <c r="AZ400"/>
  <c r="BC365"/>
  <c r="BE365"/>
  <c r="BD365"/>
  <c r="BB365"/>
  <c r="BG365"/>
  <c r="BF365"/>
  <c r="AZ365"/>
  <c r="BA365"/>
  <c r="BG92"/>
  <c r="BF92"/>
  <c r="BE92"/>
  <c r="BD92"/>
  <c r="BC92"/>
  <c r="BB92"/>
  <c r="BA92"/>
  <c r="AZ92"/>
  <c r="BC341"/>
  <c r="BB341"/>
  <c r="BD341"/>
  <c r="BG341"/>
  <c r="BF341"/>
  <c r="BE341"/>
  <c r="AZ341"/>
  <c r="BA341"/>
  <c r="BC379"/>
  <c r="BG379"/>
  <c r="BF379"/>
  <c r="BE379"/>
  <c r="BD379"/>
  <c r="BB379"/>
  <c r="BA379"/>
  <c r="AZ379"/>
  <c r="BC413"/>
  <c r="BE413"/>
  <c r="BF413"/>
  <c r="AZ413"/>
  <c r="BG413"/>
  <c r="BD413"/>
  <c r="BB413"/>
  <c r="BA413"/>
  <c r="BC283"/>
  <c r="BB283"/>
  <c r="BG283"/>
  <c r="BF283"/>
  <c r="BE283"/>
  <c r="BD283"/>
  <c r="BA283"/>
  <c r="AZ283"/>
  <c r="BG135"/>
  <c r="BF135"/>
  <c r="BC135"/>
  <c r="BB135"/>
  <c r="BD135"/>
  <c r="BE135"/>
  <c r="BA135"/>
  <c r="AZ135"/>
  <c r="BG74"/>
  <c r="BF74"/>
  <c r="BE74"/>
  <c r="BD74"/>
  <c r="BC74"/>
  <c r="BB74"/>
  <c r="BA74"/>
  <c r="AZ74"/>
  <c r="BC412"/>
  <c r="BD412"/>
  <c r="BE412"/>
  <c r="BF412"/>
  <c r="BA412"/>
  <c r="BB412"/>
  <c r="AZ412"/>
  <c r="BG412"/>
  <c r="BC345"/>
  <c r="BB345"/>
  <c r="BG345"/>
  <c r="BF345"/>
  <c r="BE345"/>
  <c r="BD345"/>
  <c r="BA345"/>
  <c r="AZ345"/>
  <c r="BC498"/>
  <c r="BF498"/>
  <c r="BE498"/>
  <c r="BD498"/>
  <c r="BB498"/>
  <c r="BA498"/>
  <c r="BG498"/>
  <c r="AZ498"/>
  <c r="BC436"/>
  <c r="BE436"/>
  <c r="BD436"/>
  <c r="BA436"/>
  <c r="BB436"/>
  <c r="AZ436"/>
  <c r="BG436"/>
  <c r="BF436"/>
  <c r="BC401"/>
  <c r="BE401"/>
  <c r="BG401"/>
  <c r="BF401"/>
  <c r="BB401"/>
  <c r="AZ401"/>
  <c r="BD401"/>
  <c r="BA401"/>
  <c r="BG164"/>
  <c r="BB164"/>
  <c r="BE164"/>
  <c r="BD164"/>
  <c r="BC164"/>
  <c r="BF164"/>
  <c r="BA164"/>
  <c r="AZ164"/>
  <c r="BG98"/>
  <c r="BF98"/>
  <c r="BE98"/>
  <c r="BD98"/>
  <c r="BC98"/>
  <c r="BB98"/>
  <c r="BA98"/>
  <c r="AZ98"/>
  <c r="BC322"/>
  <c r="BB322"/>
  <c r="BG322"/>
  <c r="BF322"/>
  <c r="BE322"/>
  <c r="BD322"/>
  <c r="BA322"/>
  <c r="AZ322"/>
  <c r="BC415"/>
  <c r="BG415"/>
  <c r="BF415"/>
  <c r="BE415"/>
  <c r="BD415"/>
  <c r="BA415"/>
  <c r="BB415"/>
  <c r="AZ415"/>
  <c r="BG56"/>
  <c r="BF56"/>
  <c r="BE56"/>
  <c r="BD56"/>
  <c r="BC56"/>
  <c r="BB56"/>
  <c r="BA56"/>
  <c r="AZ56"/>
  <c r="BG120"/>
  <c r="BF120"/>
  <c r="BC120"/>
  <c r="BB120"/>
  <c r="BE120"/>
  <c r="BD120"/>
  <c r="AZ120"/>
  <c r="BA120"/>
  <c r="BG140"/>
  <c r="BF140"/>
  <c r="BB140"/>
  <c r="BE140"/>
  <c r="BD140"/>
  <c r="BC140"/>
  <c r="BA140"/>
  <c r="AZ140"/>
  <c r="BG252"/>
  <c r="BF252"/>
  <c r="BE252"/>
  <c r="BD252"/>
  <c r="BC252"/>
  <c r="BB252"/>
  <c r="AZ252"/>
  <c r="BA252"/>
  <c r="BC468"/>
  <c r="BF468"/>
  <c r="BE468"/>
  <c r="BD468"/>
  <c r="BB468"/>
  <c r="BA468"/>
  <c r="BG468"/>
  <c r="AZ468"/>
  <c r="BG37"/>
  <c r="BF37"/>
  <c r="BE37"/>
  <c r="BD37"/>
  <c r="BC37"/>
  <c r="BB37"/>
  <c r="BA37"/>
  <c r="AZ37"/>
  <c r="BG247"/>
  <c r="BF247"/>
  <c r="BD247"/>
  <c r="BC247"/>
  <c r="BB247"/>
  <c r="BE247"/>
  <c r="BA247"/>
  <c r="AZ247"/>
  <c r="BG133"/>
  <c r="BF133"/>
  <c r="BE133"/>
  <c r="BD133"/>
  <c r="BB133"/>
  <c r="BC133"/>
  <c r="BA133"/>
  <c r="AZ133"/>
  <c r="BC282"/>
  <c r="BB282"/>
  <c r="BF282"/>
  <c r="BE282"/>
  <c r="BD282"/>
  <c r="BG282"/>
  <c r="AZ282"/>
  <c r="BA282"/>
  <c r="BG226"/>
  <c r="BD226"/>
  <c r="BC226"/>
  <c r="BF226"/>
  <c r="BE226"/>
  <c r="BB226"/>
  <c r="BA226"/>
  <c r="AZ226"/>
  <c r="BG191"/>
  <c r="BE191"/>
  <c r="BD191"/>
  <c r="BF191"/>
  <c r="BC191"/>
  <c r="BB191"/>
  <c r="AZ191"/>
  <c r="BA191"/>
  <c r="BC287"/>
  <c r="BB287"/>
  <c r="BD287"/>
  <c r="BG287"/>
  <c r="BF287"/>
  <c r="BE287"/>
  <c r="AZ287"/>
  <c r="BA287"/>
  <c r="BG197"/>
  <c r="BE197"/>
  <c r="BD197"/>
  <c r="BB197"/>
  <c r="BF197"/>
  <c r="BC197"/>
  <c r="AZ197"/>
  <c r="BA197"/>
  <c r="BG68"/>
  <c r="BF68"/>
  <c r="BE68"/>
  <c r="BD68"/>
  <c r="BC68"/>
  <c r="BB68"/>
  <c r="BA68"/>
  <c r="AZ68"/>
  <c r="BG76"/>
  <c r="BF76"/>
  <c r="BE76"/>
  <c r="BD76"/>
  <c r="BC76"/>
  <c r="BB76"/>
  <c r="BA76"/>
  <c r="AZ76"/>
  <c r="BC378"/>
  <c r="BF378"/>
  <c r="BE378"/>
  <c r="BD378"/>
  <c r="BB378"/>
  <c r="BG378"/>
  <c r="BA378"/>
  <c r="AZ378"/>
  <c r="BG46"/>
  <c r="BF46"/>
  <c r="BE46"/>
  <c r="BD46"/>
  <c r="BC46"/>
  <c r="BB46"/>
  <c r="BA46"/>
  <c r="AZ46"/>
  <c r="BG200"/>
  <c r="BB200"/>
  <c r="BE200"/>
  <c r="BD200"/>
  <c r="BC200"/>
  <c r="BF200"/>
  <c r="BA200"/>
  <c r="AZ200"/>
  <c r="BG146"/>
  <c r="BF146"/>
  <c r="BD146"/>
  <c r="BC146"/>
  <c r="BB146"/>
  <c r="BE146"/>
  <c r="BA146"/>
  <c r="AZ146"/>
  <c r="BG228"/>
  <c r="BF228"/>
  <c r="BE228"/>
  <c r="BD228"/>
  <c r="BC228"/>
  <c r="BB228"/>
  <c r="AZ228"/>
  <c r="BA228"/>
  <c r="BC480"/>
  <c r="BF480"/>
  <c r="BE480"/>
  <c r="BD480"/>
  <c r="BB480"/>
  <c r="BA480"/>
  <c r="BG480"/>
  <c r="AZ480"/>
  <c r="BG134"/>
  <c r="BF134"/>
  <c r="BE134"/>
  <c r="BD134"/>
  <c r="BC134"/>
  <c r="BB134"/>
  <c r="BA134"/>
  <c r="AZ134"/>
  <c r="BC347"/>
  <c r="BE347"/>
  <c r="BD347"/>
  <c r="BB347"/>
  <c r="BG347"/>
  <c r="BF347"/>
  <c r="AZ347"/>
  <c r="BA347"/>
  <c r="BG124"/>
  <c r="BF124"/>
  <c r="BE124"/>
  <c r="BD124"/>
  <c r="BB124"/>
  <c r="BC124"/>
  <c r="BA124"/>
  <c r="AZ124"/>
  <c r="BC317"/>
  <c r="BB317"/>
  <c r="BD317"/>
  <c r="BG317"/>
  <c r="BF317"/>
  <c r="BE317"/>
  <c r="AZ317"/>
  <c r="BA317"/>
  <c r="BC280"/>
  <c r="BB280"/>
  <c r="BG280"/>
  <c r="BF280"/>
  <c r="BE280"/>
  <c r="BD280"/>
  <c r="BA280"/>
  <c r="AZ280"/>
  <c r="BG70"/>
  <c r="BF70"/>
  <c r="BE70"/>
  <c r="BD70"/>
  <c r="BC70"/>
  <c r="BB70"/>
  <c r="BA70"/>
  <c r="AZ70"/>
  <c r="BC392"/>
  <c r="BG392"/>
  <c r="BF392"/>
  <c r="BE392"/>
  <c r="BD392"/>
  <c r="BB392"/>
  <c r="BA392"/>
  <c r="AZ392"/>
  <c r="BC355"/>
  <c r="BG355"/>
  <c r="BF355"/>
  <c r="BE355"/>
  <c r="BD355"/>
  <c r="BB355"/>
  <c r="BA355"/>
  <c r="AZ355"/>
  <c r="BC491"/>
  <c r="BE491"/>
  <c r="BD491"/>
  <c r="BB491"/>
  <c r="BG491"/>
  <c r="BF491"/>
  <c r="BA491"/>
  <c r="AZ491"/>
  <c r="BC501"/>
  <c r="BB501"/>
  <c r="BA501"/>
  <c r="AZ501"/>
  <c r="BG501"/>
  <c r="BF501"/>
  <c r="BE501"/>
  <c r="BD501"/>
  <c r="BC447"/>
  <c r="BD447"/>
  <c r="BG447"/>
  <c r="BF447"/>
  <c r="BA447"/>
  <c r="BE447"/>
  <c r="BB447"/>
  <c r="AZ447"/>
  <c r="BC331"/>
  <c r="BB331"/>
  <c r="BG331"/>
  <c r="BF331"/>
  <c r="BE331"/>
  <c r="BD331"/>
  <c r="BA331"/>
  <c r="AZ331"/>
  <c r="BG217"/>
  <c r="BF217"/>
  <c r="BB217"/>
  <c r="BE217"/>
  <c r="BD217"/>
  <c r="BC217"/>
  <c r="BA217"/>
  <c r="AZ217"/>
  <c r="BG264"/>
  <c r="BF264"/>
  <c r="BE264"/>
  <c r="BD264"/>
  <c r="BC264"/>
  <c r="BB264"/>
  <c r="AZ264"/>
  <c r="BA264"/>
  <c r="BC449"/>
  <c r="BF449"/>
  <c r="BD449"/>
  <c r="BB449"/>
  <c r="AZ449"/>
  <c r="BG449"/>
  <c r="BE449"/>
  <c r="BA449"/>
  <c r="BG269"/>
  <c r="BE269"/>
  <c r="BD269"/>
  <c r="BB269"/>
  <c r="BF269"/>
  <c r="BC269"/>
  <c r="AZ269"/>
  <c r="BA269"/>
  <c r="BC439"/>
  <c r="BD439"/>
  <c r="BB439"/>
  <c r="BG439"/>
  <c r="BA439"/>
  <c r="BF439"/>
  <c r="BE439"/>
  <c r="AZ439"/>
  <c r="BG127"/>
  <c r="BF127"/>
  <c r="BE127"/>
  <c r="BD127"/>
  <c r="BC127"/>
  <c r="BB127"/>
  <c r="BA127"/>
  <c r="AZ127"/>
  <c r="BG205"/>
  <c r="BF205"/>
  <c r="BE205"/>
  <c r="BD205"/>
  <c r="BC205"/>
  <c r="BB205"/>
  <c r="BA205"/>
  <c r="AZ205"/>
  <c r="BG233"/>
  <c r="BE233"/>
  <c r="BD233"/>
  <c r="BB233"/>
  <c r="BF233"/>
  <c r="BC233"/>
  <c r="AZ233"/>
  <c r="BA233"/>
  <c r="BG89"/>
  <c r="BF89"/>
  <c r="BE89"/>
  <c r="BD89"/>
  <c r="BC89"/>
  <c r="BB89"/>
  <c r="AZ89"/>
  <c r="BA89"/>
  <c r="BG73"/>
  <c r="BF73"/>
  <c r="BE73"/>
  <c r="BD73"/>
  <c r="BC73"/>
  <c r="BB73"/>
  <c r="BA73"/>
  <c r="AZ73"/>
  <c r="BG130"/>
  <c r="BF130"/>
  <c r="BE130"/>
  <c r="BD130"/>
  <c r="BC130"/>
  <c r="BB130"/>
  <c r="BA130"/>
  <c r="AZ130"/>
  <c r="BC494"/>
  <c r="BG494"/>
  <c r="AZ494"/>
  <c r="BF494"/>
  <c r="BA494"/>
  <c r="BE494"/>
  <c r="BD494"/>
  <c r="BB494"/>
  <c r="BC451"/>
  <c r="BG451"/>
  <c r="BF451"/>
  <c r="BE451"/>
  <c r="BA451"/>
  <c r="BD451"/>
  <c r="BB451"/>
  <c r="AZ451"/>
  <c r="BG69"/>
  <c r="BF69"/>
  <c r="BC69"/>
  <c r="BB69"/>
  <c r="BE69"/>
  <c r="BD69"/>
  <c r="BA69"/>
  <c r="AZ69"/>
  <c r="BG80"/>
  <c r="BF80"/>
  <c r="BE80"/>
  <c r="BD80"/>
  <c r="BC80"/>
  <c r="BB80"/>
  <c r="BA80"/>
  <c r="AZ80"/>
  <c r="BC403"/>
  <c r="BG403"/>
  <c r="BB403"/>
  <c r="BE403"/>
  <c r="BD403"/>
  <c r="BA403"/>
  <c r="BF403"/>
  <c r="AZ403"/>
  <c r="BC289"/>
  <c r="BB289"/>
  <c r="BG289"/>
  <c r="BF289"/>
  <c r="BE289"/>
  <c r="BD289"/>
  <c r="BA289"/>
  <c r="AZ289"/>
  <c r="BG51"/>
  <c r="BF51"/>
  <c r="BC51"/>
  <c r="BB51"/>
  <c r="BE51"/>
  <c r="BD51"/>
  <c r="BA51"/>
  <c r="AZ51"/>
  <c r="BC373"/>
  <c r="BG373"/>
  <c r="BF373"/>
  <c r="BE373"/>
  <c r="BD373"/>
  <c r="BB373"/>
  <c r="BA373"/>
  <c r="AZ373"/>
  <c r="BG248"/>
  <c r="BB248"/>
  <c r="BF248"/>
  <c r="BE248"/>
  <c r="BD248"/>
  <c r="BC248"/>
  <c r="BA248"/>
  <c r="AZ248"/>
  <c r="BG216"/>
  <c r="BF216"/>
  <c r="BE216"/>
  <c r="BD216"/>
  <c r="BC216"/>
  <c r="BB216"/>
  <c r="AZ216"/>
  <c r="BA216"/>
  <c r="BG207"/>
  <c r="BC207"/>
  <c r="BB207"/>
  <c r="BF207"/>
  <c r="BE207"/>
  <c r="BD207"/>
  <c r="BA207"/>
  <c r="AZ207"/>
  <c r="BC398"/>
  <c r="BG398"/>
  <c r="BE398"/>
  <c r="BD398"/>
  <c r="BB398"/>
  <c r="BA398"/>
  <c r="AZ398"/>
  <c r="BF398"/>
  <c r="BG101"/>
  <c r="BF101"/>
  <c r="BE101"/>
  <c r="BD101"/>
  <c r="BC101"/>
  <c r="BB101"/>
  <c r="AZ101"/>
  <c r="BA101"/>
  <c r="BG181"/>
  <c r="BF181"/>
  <c r="BB181"/>
  <c r="BE181"/>
  <c r="BD181"/>
  <c r="BC181"/>
  <c r="BA181"/>
  <c r="AZ181"/>
  <c r="BG103"/>
  <c r="BF103"/>
  <c r="BE103"/>
  <c r="BD103"/>
  <c r="BC103"/>
  <c r="BB103"/>
  <c r="BA103"/>
  <c r="AZ103"/>
  <c r="BC333"/>
  <c r="BB333"/>
  <c r="BF333"/>
  <c r="BE333"/>
  <c r="BD333"/>
  <c r="BG333"/>
  <c r="BA333"/>
  <c r="AZ333"/>
  <c r="BC404"/>
  <c r="BB404"/>
  <c r="BG404"/>
  <c r="BF404"/>
  <c r="BA404"/>
  <c r="BE404"/>
  <c r="BD404"/>
  <c r="AZ404"/>
  <c r="BG275"/>
  <c r="BE275"/>
  <c r="BD275"/>
  <c r="BF275"/>
  <c r="BC275"/>
  <c r="BB275"/>
  <c r="AZ275"/>
  <c r="BA275"/>
  <c r="BG213"/>
  <c r="BC213"/>
  <c r="BB213"/>
  <c r="BD213"/>
  <c r="BF213"/>
  <c r="BE213"/>
  <c r="BA213"/>
  <c r="AZ213"/>
  <c r="BG159"/>
  <c r="BC159"/>
  <c r="BB159"/>
  <c r="BD159"/>
  <c r="BF159"/>
  <c r="BE159"/>
  <c r="BA159"/>
  <c r="AZ159"/>
  <c r="BG31"/>
  <c r="BF31"/>
  <c r="BE31"/>
  <c r="BD31"/>
  <c r="BC31"/>
  <c r="BB31"/>
  <c r="BA31"/>
  <c r="AZ31"/>
  <c r="BC452"/>
  <c r="BB452"/>
  <c r="BD452"/>
  <c r="BA452"/>
  <c r="BG452"/>
  <c r="BF452"/>
  <c r="AZ452"/>
  <c r="BE452"/>
  <c r="BC327"/>
  <c r="BB327"/>
  <c r="BF327"/>
  <c r="BE327"/>
  <c r="BD327"/>
  <c r="BG327"/>
  <c r="BA327"/>
  <c r="AZ327"/>
  <c r="BG179"/>
  <c r="BE179"/>
  <c r="BD179"/>
  <c r="BB179"/>
  <c r="BF179"/>
  <c r="BC179"/>
  <c r="AZ179"/>
  <c r="BA179"/>
  <c r="BG91"/>
  <c r="BF91"/>
  <c r="BE91"/>
  <c r="BD91"/>
  <c r="BC91"/>
  <c r="BB91"/>
  <c r="BA91"/>
  <c r="AZ91"/>
  <c r="BG161"/>
  <c r="BE161"/>
  <c r="BD161"/>
  <c r="BB161"/>
  <c r="BF161"/>
  <c r="BC161"/>
  <c r="AZ161"/>
  <c r="BA161"/>
  <c r="BC397"/>
  <c r="BG397"/>
  <c r="BF397"/>
  <c r="BE397"/>
  <c r="BD397"/>
  <c r="BB397"/>
  <c r="BA397"/>
  <c r="AZ397"/>
  <c r="BG193"/>
  <c r="BF193"/>
  <c r="BD193"/>
  <c r="BC193"/>
  <c r="BB193"/>
  <c r="BE193"/>
  <c r="BA193"/>
  <c r="AZ193"/>
  <c r="BC453"/>
  <c r="BD453"/>
  <c r="BF453"/>
  <c r="BE453"/>
  <c r="BA453"/>
  <c r="BB453"/>
  <c r="AZ453"/>
  <c r="BG453"/>
  <c r="BG506"/>
  <c r="BF506"/>
  <c r="BE506"/>
  <c r="BA506"/>
  <c r="BD506"/>
  <c r="BC506"/>
  <c r="AZ506"/>
  <c r="BB506"/>
  <c r="BC323"/>
  <c r="BB323"/>
  <c r="BD323"/>
  <c r="BG323"/>
  <c r="BF323"/>
  <c r="BE323"/>
  <c r="AZ323"/>
  <c r="BA323"/>
  <c r="BC285"/>
  <c r="BB285"/>
  <c r="BF285"/>
  <c r="BE285"/>
  <c r="BD285"/>
  <c r="BG285"/>
  <c r="BA285"/>
  <c r="AZ285"/>
  <c r="BG231"/>
  <c r="BC231"/>
  <c r="BB231"/>
  <c r="BD231"/>
  <c r="BF231"/>
  <c r="BE231"/>
  <c r="BA231"/>
  <c r="AZ231"/>
  <c r="BG109"/>
  <c r="BF109"/>
  <c r="BE109"/>
  <c r="BD109"/>
  <c r="BC109"/>
  <c r="BB109"/>
  <c r="BA109"/>
  <c r="AZ109"/>
  <c r="BC389"/>
  <c r="BE389"/>
  <c r="BD389"/>
  <c r="BB389"/>
  <c r="BG389"/>
  <c r="BF389"/>
  <c r="AZ389"/>
  <c r="BA389"/>
  <c r="BG131"/>
  <c r="BF131"/>
  <c r="BB131"/>
  <c r="BE131"/>
  <c r="BD131"/>
  <c r="BC131"/>
  <c r="AZ131"/>
  <c r="BA131"/>
  <c r="BC321"/>
  <c r="BB321"/>
  <c r="BF321"/>
  <c r="BE321"/>
  <c r="BD321"/>
  <c r="BG321"/>
  <c r="BA321"/>
  <c r="AZ321"/>
  <c r="BG219"/>
  <c r="BC219"/>
  <c r="BB219"/>
  <c r="BF219"/>
  <c r="BE219"/>
  <c r="BD219"/>
  <c r="BA219"/>
  <c r="AZ219"/>
  <c r="BG126"/>
  <c r="BF126"/>
  <c r="BC126"/>
  <c r="BB126"/>
  <c r="BD126"/>
  <c r="BE126"/>
  <c r="AZ126"/>
  <c r="BA126"/>
  <c r="BG203"/>
  <c r="BE203"/>
  <c r="BD203"/>
  <c r="BF203"/>
  <c r="BC203"/>
  <c r="BB203"/>
  <c r="AZ203"/>
  <c r="BA203"/>
  <c r="BG94"/>
  <c r="BF94"/>
  <c r="BE94"/>
  <c r="BD94"/>
  <c r="BC94"/>
  <c r="BB94"/>
  <c r="BA94"/>
  <c r="AZ94"/>
  <c r="BG96"/>
  <c r="BF96"/>
  <c r="BC96"/>
  <c r="BB96"/>
  <c r="BE96"/>
  <c r="BD96"/>
  <c r="AZ96"/>
  <c r="BA96"/>
  <c r="BG40"/>
  <c r="BF40"/>
  <c r="BE40"/>
  <c r="BD40"/>
  <c r="BC40"/>
  <c r="BB40"/>
  <c r="BA40"/>
  <c r="AZ40"/>
  <c r="BC348"/>
  <c r="BF348"/>
  <c r="BE348"/>
  <c r="BD348"/>
  <c r="BB348"/>
  <c r="BG348"/>
  <c r="BA348"/>
  <c r="AZ348"/>
  <c r="BC442"/>
  <c r="BE442"/>
  <c r="BB442"/>
  <c r="BA442"/>
  <c r="AZ442"/>
  <c r="BG442"/>
  <c r="BF442"/>
  <c r="BD442"/>
  <c r="BC407"/>
  <c r="BE407"/>
  <c r="BF407"/>
  <c r="BB407"/>
  <c r="AZ407"/>
  <c r="BG407"/>
  <c r="BD407"/>
  <c r="BA407"/>
  <c r="BG162"/>
  <c r="BF162"/>
  <c r="BE162"/>
  <c r="BD162"/>
  <c r="BC162"/>
  <c r="BB162"/>
  <c r="AZ162"/>
  <c r="BA162"/>
  <c r="BG128"/>
  <c r="BF128"/>
  <c r="BD128"/>
  <c r="BC128"/>
  <c r="BB128"/>
  <c r="BE128"/>
  <c r="BA128"/>
  <c r="AZ128"/>
  <c r="BG53"/>
  <c r="BF53"/>
  <c r="BE53"/>
  <c r="BD53"/>
  <c r="BC53"/>
  <c r="BB53"/>
  <c r="AZ53"/>
  <c r="BA53"/>
  <c r="BC292"/>
  <c r="BB292"/>
  <c r="BG292"/>
  <c r="BF292"/>
  <c r="BE292"/>
  <c r="BD292"/>
  <c r="BA292"/>
  <c r="AZ292"/>
  <c r="BG41"/>
  <c r="BF41"/>
  <c r="BE41"/>
  <c r="BD41"/>
  <c r="BC41"/>
  <c r="BB41"/>
  <c r="AZ41"/>
  <c r="BA41"/>
  <c r="BG262"/>
  <c r="BD262"/>
  <c r="BC262"/>
  <c r="BF262"/>
  <c r="BE262"/>
  <c r="BB262"/>
  <c r="BA262"/>
  <c r="AZ262"/>
  <c r="BG227"/>
  <c r="BE227"/>
  <c r="BD227"/>
  <c r="BF227"/>
  <c r="BC227"/>
  <c r="BB227"/>
  <c r="AZ227"/>
  <c r="BA227"/>
  <c r="BG125"/>
  <c r="BF125"/>
  <c r="BE125"/>
  <c r="BD125"/>
  <c r="BC125"/>
  <c r="BB125"/>
  <c r="AZ125"/>
  <c r="BA125"/>
  <c r="BG222"/>
  <c r="BF222"/>
  <c r="BE222"/>
  <c r="BC222"/>
  <c r="BB222"/>
  <c r="BD222"/>
  <c r="AZ222"/>
  <c r="BA222"/>
  <c r="BC474"/>
  <c r="BF474"/>
  <c r="AZ474"/>
  <c r="BE474"/>
  <c r="BD474"/>
  <c r="BB474"/>
  <c r="BA474"/>
  <c r="BG474"/>
  <c r="BG253"/>
  <c r="BF253"/>
  <c r="BB253"/>
  <c r="BE253"/>
  <c r="BD253"/>
  <c r="BC253"/>
  <c r="BA253"/>
  <c r="AZ253"/>
  <c r="BC362"/>
  <c r="BG362"/>
  <c r="BF362"/>
  <c r="BE362"/>
  <c r="BD362"/>
  <c r="BB362"/>
  <c r="BA362"/>
  <c r="AZ362"/>
  <c r="BG32"/>
  <c r="BF32"/>
  <c r="BE32"/>
  <c r="BD32"/>
  <c r="BC32"/>
  <c r="BB32"/>
  <c r="BA32"/>
  <c r="AZ32"/>
  <c r="BC279"/>
  <c r="BB279"/>
  <c r="BF279"/>
  <c r="BE279"/>
  <c r="BD279"/>
  <c r="BG279"/>
  <c r="BA279"/>
  <c r="AZ279"/>
  <c r="BC344"/>
  <c r="BG344"/>
  <c r="BF344"/>
  <c r="BE344"/>
  <c r="BD344"/>
  <c r="BB344"/>
  <c r="BA344"/>
  <c r="AZ344"/>
  <c r="BC454"/>
  <c r="BE454"/>
  <c r="BA454"/>
  <c r="BG454"/>
  <c r="BF454"/>
  <c r="AZ454"/>
  <c r="BD454"/>
  <c r="BB454"/>
  <c r="BG36"/>
  <c r="BF36"/>
  <c r="BC36"/>
  <c r="BB36"/>
  <c r="BE36"/>
  <c r="BD36"/>
  <c r="AZ36"/>
  <c r="BA36"/>
  <c r="BG258"/>
  <c r="BF258"/>
  <c r="BE258"/>
  <c r="BC258"/>
  <c r="BB258"/>
  <c r="BD258"/>
  <c r="AZ258"/>
  <c r="BA258"/>
  <c r="BG122"/>
  <c r="BF122"/>
  <c r="BE122"/>
  <c r="BD122"/>
  <c r="BC122"/>
  <c r="BB122"/>
  <c r="BA122"/>
  <c r="AZ122"/>
  <c r="BC446"/>
  <c r="BB446"/>
  <c r="BE446"/>
  <c r="BD446"/>
  <c r="BA446"/>
  <c r="BG446"/>
  <c r="AZ446"/>
  <c r="BF446"/>
  <c r="BC374"/>
  <c r="BG374"/>
  <c r="BF374"/>
  <c r="BE374"/>
  <c r="BD374"/>
  <c r="BB374"/>
  <c r="BA374"/>
  <c r="AZ374"/>
  <c r="BG138"/>
  <c r="BF138"/>
  <c r="BC138"/>
  <c r="BB138"/>
  <c r="BE138"/>
  <c r="BD138"/>
  <c r="AZ138"/>
  <c r="BA138"/>
  <c r="BG82"/>
  <c r="BF82"/>
  <c r="BE82"/>
  <c r="BD82"/>
  <c r="BC82"/>
  <c r="BB82"/>
  <c r="BA82"/>
  <c r="AZ82"/>
  <c r="BG47"/>
  <c r="BF47"/>
  <c r="BE47"/>
  <c r="BD47"/>
  <c r="BC47"/>
  <c r="BB47"/>
  <c r="AZ47"/>
  <c r="BA47"/>
  <c r="BG268"/>
  <c r="BD268"/>
  <c r="BC268"/>
  <c r="BF268"/>
  <c r="BE268"/>
  <c r="BB268"/>
  <c r="BA268"/>
  <c r="AZ268"/>
  <c r="BG44"/>
  <c r="BF44"/>
  <c r="BE44"/>
  <c r="BD44"/>
  <c r="BC44"/>
  <c r="BB44"/>
  <c r="BA44"/>
  <c r="AZ44"/>
  <c r="BG251"/>
  <c r="BE251"/>
  <c r="BD251"/>
  <c r="BB251"/>
  <c r="BF251"/>
  <c r="BC251"/>
  <c r="AZ251"/>
  <c r="BA251"/>
  <c r="BC466"/>
  <c r="BD466"/>
  <c r="BA466"/>
  <c r="BB466"/>
  <c r="AZ466"/>
  <c r="BG466"/>
  <c r="BF466"/>
  <c r="BE466"/>
  <c r="BG508"/>
  <c r="BA508"/>
  <c r="BF508"/>
  <c r="BE508"/>
  <c r="BD508"/>
  <c r="BC508"/>
  <c r="BB508"/>
  <c r="AZ508"/>
  <c r="BG254"/>
  <c r="BB254"/>
  <c r="BE254"/>
  <c r="BD254"/>
  <c r="BC254"/>
  <c r="BF254"/>
  <c r="BA254"/>
  <c r="AZ254"/>
  <c r="BG232"/>
  <c r="BD232"/>
  <c r="BC232"/>
  <c r="BF232"/>
  <c r="BE232"/>
  <c r="BB232"/>
  <c r="BA232"/>
  <c r="AZ232"/>
  <c r="BC402"/>
  <c r="BF402"/>
  <c r="BG402"/>
  <c r="AZ402"/>
  <c r="BE402"/>
  <c r="BD402"/>
  <c r="BB402"/>
  <c r="BA402"/>
  <c r="BC502"/>
  <c r="BD502"/>
  <c r="BA502"/>
  <c r="AZ502"/>
  <c r="BB502"/>
  <c r="BG502"/>
  <c r="BF502"/>
  <c r="BE502"/>
  <c r="BG84"/>
  <c r="BF84"/>
  <c r="BC84"/>
  <c r="BB84"/>
  <c r="BE84"/>
  <c r="BD84"/>
  <c r="AZ84"/>
  <c r="BA84"/>
  <c r="BC306"/>
  <c r="BB306"/>
  <c r="BF306"/>
  <c r="BE306"/>
  <c r="BD306"/>
  <c r="BG306"/>
  <c r="AZ306"/>
  <c r="BA306"/>
  <c r="BG218"/>
  <c r="BB218"/>
  <c r="BE218"/>
  <c r="BD218"/>
  <c r="BC218"/>
  <c r="BF218"/>
  <c r="BA218"/>
  <c r="AZ218"/>
  <c r="BC440"/>
  <c r="BB440"/>
  <c r="BF440"/>
  <c r="BE440"/>
  <c r="BD440"/>
  <c r="BA440"/>
  <c r="AZ440"/>
  <c r="BG440"/>
  <c r="BG174"/>
  <c r="BF174"/>
  <c r="BE174"/>
  <c r="BD174"/>
  <c r="BC174"/>
  <c r="BB174"/>
  <c r="AZ174"/>
  <c r="BA174"/>
  <c r="BG118"/>
  <c r="BF118"/>
  <c r="BE118"/>
  <c r="BD118"/>
  <c r="BC118"/>
  <c r="BB118"/>
  <c r="BA118"/>
  <c r="AZ118"/>
  <c r="BG83"/>
  <c r="BF83"/>
  <c r="BE83"/>
  <c r="BD83"/>
  <c r="BC83"/>
  <c r="BB83"/>
  <c r="AZ83"/>
  <c r="BA83"/>
  <c r="BC477"/>
  <c r="BB477"/>
  <c r="BA477"/>
  <c r="AZ477"/>
  <c r="BG477"/>
  <c r="BF477"/>
  <c r="BE477"/>
  <c r="BD477"/>
  <c r="BG265"/>
  <c r="BF265"/>
  <c r="BD265"/>
  <c r="BC265"/>
  <c r="BB265"/>
  <c r="BE265"/>
  <c r="BA265"/>
  <c r="AZ265"/>
  <c r="BC488"/>
  <c r="BG488"/>
  <c r="BF488"/>
  <c r="BA488"/>
  <c r="BE488"/>
  <c r="BD488"/>
  <c r="AZ488"/>
  <c r="BB488"/>
  <c r="BC350"/>
  <c r="BG350"/>
  <c r="BF350"/>
  <c r="BE350"/>
  <c r="BD350"/>
  <c r="BB350"/>
  <c r="BA350"/>
  <c r="AZ350"/>
  <c r="BC455"/>
  <c r="BF455"/>
  <c r="BB455"/>
  <c r="AZ455"/>
  <c r="BG455"/>
  <c r="BE455"/>
  <c r="BD455"/>
  <c r="BA455"/>
  <c r="BC340"/>
  <c r="BB340"/>
  <c r="BG340"/>
  <c r="BF340"/>
  <c r="BE340"/>
  <c r="BD340"/>
  <c r="BA340"/>
  <c r="AZ340"/>
  <c r="BC425"/>
  <c r="BF425"/>
  <c r="AZ425"/>
  <c r="BG425"/>
  <c r="BE425"/>
  <c r="BD425"/>
  <c r="BB425"/>
  <c r="BA425"/>
  <c r="BC496"/>
  <c r="BD496"/>
  <c r="BA496"/>
  <c r="BB496"/>
  <c r="AZ496"/>
  <c r="BG496"/>
  <c r="BF496"/>
  <c r="BE496"/>
  <c r="BG178"/>
  <c r="BD178"/>
  <c r="BC178"/>
  <c r="BF178"/>
  <c r="BE178"/>
  <c r="BB178"/>
  <c r="BA178"/>
  <c r="AZ178"/>
  <c r="BG121"/>
  <c r="BF121"/>
  <c r="BE121"/>
  <c r="BD121"/>
  <c r="BC121"/>
  <c r="BB121"/>
  <c r="BA121"/>
  <c r="AZ121"/>
  <c r="BG42"/>
  <c r="BF42"/>
  <c r="BC42"/>
  <c r="BB42"/>
  <c r="BE42"/>
  <c r="BD42"/>
  <c r="AZ42"/>
  <c r="BA42"/>
  <c r="BG195"/>
  <c r="BC195"/>
  <c r="BB195"/>
  <c r="BD195"/>
  <c r="BF195"/>
  <c r="BE195"/>
  <c r="BA195"/>
  <c r="AZ195"/>
  <c r="BG152"/>
  <c r="BB152"/>
  <c r="BC152"/>
  <c r="BF152"/>
  <c r="BE152"/>
  <c r="BD152"/>
  <c r="BA152"/>
  <c r="AZ152"/>
  <c r="BG86"/>
  <c r="BF86"/>
  <c r="BE86"/>
  <c r="BD86"/>
  <c r="BC86"/>
  <c r="BB86"/>
  <c r="BA86"/>
  <c r="AZ86"/>
  <c r="BC475"/>
  <c r="BG475"/>
  <c r="BF475"/>
  <c r="BE475"/>
  <c r="BD475"/>
  <c r="BA475"/>
  <c r="BB475"/>
  <c r="AZ475"/>
  <c r="BC361"/>
  <c r="BG361"/>
  <c r="BF361"/>
  <c r="BE361"/>
  <c r="BD361"/>
  <c r="BB361"/>
  <c r="BA361"/>
  <c r="AZ361"/>
  <c r="BC464"/>
  <c r="BG464"/>
  <c r="BF464"/>
  <c r="BA464"/>
  <c r="BE464"/>
  <c r="BD464"/>
  <c r="AZ464"/>
  <c r="BB464"/>
  <c r="BG117"/>
  <c r="BF117"/>
  <c r="BC117"/>
  <c r="BB117"/>
  <c r="BE117"/>
  <c r="BD117"/>
  <c r="BA117"/>
  <c r="AZ117"/>
  <c r="BC448"/>
  <c r="BE448"/>
  <c r="BA448"/>
  <c r="BG448"/>
  <c r="AZ448"/>
  <c r="BF448"/>
  <c r="BD448"/>
  <c r="BB448"/>
  <c r="BC485"/>
  <c r="BE485"/>
  <c r="BD485"/>
  <c r="AZ485"/>
  <c r="BB485"/>
  <c r="BG485"/>
  <c r="BF485"/>
  <c r="BA485"/>
  <c r="BG189"/>
  <c r="BC189"/>
  <c r="BB189"/>
  <c r="BF189"/>
  <c r="BE189"/>
  <c r="BD189"/>
  <c r="BA189"/>
  <c r="AZ189"/>
  <c r="BG238"/>
  <c r="BD238"/>
  <c r="BC238"/>
  <c r="BE238"/>
  <c r="BB238"/>
  <c r="BF238"/>
  <c r="BA238"/>
  <c r="AZ238"/>
  <c r="BG223"/>
  <c r="BF223"/>
  <c r="BE223"/>
  <c r="BD223"/>
  <c r="BC223"/>
  <c r="BB223"/>
  <c r="BA223"/>
  <c r="AZ223"/>
  <c r="BG90"/>
  <c r="BF90"/>
  <c r="BC90"/>
  <c r="BB90"/>
  <c r="BE90"/>
  <c r="BD90"/>
  <c r="AZ90"/>
  <c r="BA90"/>
  <c r="BC291"/>
  <c r="BB291"/>
  <c r="BF291"/>
  <c r="BE291"/>
  <c r="BD291"/>
  <c r="BG291"/>
  <c r="BA291"/>
  <c r="AZ291"/>
  <c r="BG224"/>
  <c r="BB224"/>
  <c r="BC224"/>
  <c r="BF224"/>
  <c r="BE224"/>
  <c r="BD224"/>
  <c r="BA224"/>
  <c r="AZ224"/>
  <c r="BG158"/>
  <c r="BB158"/>
  <c r="BF158"/>
  <c r="BE158"/>
  <c r="BD158"/>
  <c r="BC158"/>
  <c r="BA158"/>
  <c r="AZ158"/>
  <c r="BG30"/>
  <c r="BF30"/>
  <c r="BC30"/>
  <c r="BB30"/>
  <c r="BE30"/>
  <c r="BD30"/>
  <c r="AZ30"/>
  <c r="BA30"/>
  <c r="BC433"/>
  <c r="BE433"/>
  <c r="BD433"/>
  <c r="BB433"/>
  <c r="BA433"/>
  <c r="BG433"/>
  <c r="BF433"/>
  <c r="AZ433"/>
  <c r="BG165"/>
  <c r="BC165"/>
  <c r="BB165"/>
  <c r="BF165"/>
  <c r="BE165"/>
  <c r="BD165"/>
  <c r="BA165"/>
  <c r="AZ165"/>
  <c r="BC382"/>
  <c r="BD382"/>
  <c r="BB382"/>
  <c r="BG382"/>
  <c r="BF382"/>
  <c r="BE382"/>
  <c r="BA382"/>
  <c r="AZ382"/>
  <c r="BG234"/>
  <c r="BF234"/>
  <c r="BE234"/>
  <c r="BD234"/>
  <c r="BC234"/>
  <c r="BB234"/>
  <c r="AZ234"/>
  <c r="BA234"/>
  <c r="BG274"/>
  <c r="BD274"/>
  <c r="BC274"/>
  <c r="BE274"/>
  <c r="BB274"/>
  <c r="BF274"/>
  <c r="BA274"/>
  <c r="AZ274"/>
  <c r="BG137"/>
  <c r="BF137"/>
  <c r="BD137"/>
  <c r="BC137"/>
  <c r="BB137"/>
  <c r="BE137"/>
  <c r="AZ137"/>
  <c r="BA137"/>
  <c r="BG45"/>
  <c r="BF45"/>
  <c r="BC45"/>
  <c r="BB45"/>
  <c r="BE45"/>
  <c r="BD45"/>
  <c r="BA45"/>
  <c r="AZ45"/>
  <c r="BG136"/>
  <c r="BF136"/>
  <c r="BE136"/>
  <c r="BD136"/>
  <c r="BC136"/>
  <c r="BB136"/>
  <c r="BA136"/>
  <c r="AZ136"/>
  <c r="BC418"/>
  <c r="BD418"/>
  <c r="BE418"/>
  <c r="BA418"/>
  <c r="AZ418"/>
  <c r="BG418"/>
  <c r="BF418"/>
  <c r="BB418"/>
  <c r="BC342"/>
  <c r="BB342"/>
  <c r="BF342"/>
  <c r="BE342"/>
  <c r="BD342"/>
  <c r="BG342"/>
  <c r="AZ342"/>
  <c r="BA342"/>
  <c r="BG256"/>
  <c r="BD256"/>
  <c r="BC256"/>
  <c r="BE256"/>
  <c r="BB256"/>
  <c r="BF256"/>
  <c r="BA256"/>
  <c r="AZ256"/>
  <c r="BG221"/>
  <c r="BE221"/>
  <c r="BD221"/>
  <c r="BF221"/>
  <c r="BC221"/>
  <c r="BB221"/>
  <c r="AZ221"/>
  <c r="BA221"/>
  <c r="BC297"/>
  <c r="BB297"/>
  <c r="BF297"/>
  <c r="BE297"/>
  <c r="BD297"/>
  <c r="BG297"/>
  <c r="BA297"/>
  <c r="AZ297"/>
  <c r="BG243"/>
  <c r="BC243"/>
  <c r="BB243"/>
  <c r="BF243"/>
  <c r="BE243"/>
  <c r="BD243"/>
  <c r="BA243"/>
  <c r="AZ243"/>
  <c r="BG38"/>
  <c r="BF38"/>
  <c r="BE38"/>
  <c r="BD38"/>
  <c r="BC38"/>
  <c r="BB38"/>
  <c r="BA38"/>
  <c r="AZ38"/>
  <c r="BC430"/>
  <c r="BE430"/>
  <c r="BF430"/>
  <c r="BA430"/>
  <c r="BD430"/>
  <c r="BB430"/>
  <c r="AZ430"/>
  <c r="BG430"/>
  <c r="BG27"/>
  <c r="BF27"/>
  <c r="BC27"/>
  <c r="BB27"/>
  <c r="BE27"/>
  <c r="BD27"/>
  <c r="BA27"/>
  <c r="AZ27"/>
  <c r="BC429"/>
  <c r="BD429"/>
  <c r="BB429"/>
  <c r="BA429"/>
  <c r="BG429"/>
  <c r="AZ429"/>
  <c r="BF429"/>
  <c r="BE429"/>
  <c r="BG257"/>
  <c r="BE257"/>
  <c r="BD257"/>
  <c r="BF257"/>
  <c r="BC257"/>
  <c r="BB257"/>
  <c r="AZ257"/>
  <c r="BA257"/>
  <c r="BC478"/>
  <c r="BD478"/>
  <c r="BA478"/>
  <c r="BB478"/>
  <c r="AZ478"/>
  <c r="BG478"/>
  <c r="BF478"/>
  <c r="BE478"/>
  <c r="BC443"/>
  <c r="BF443"/>
  <c r="BE443"/>
  <c r="BD443"/>
  <c r="AZ443"/>
  <c r="BB443"/>
  <c r="BG443"/>
  <c r="BA443"/>
  <c r="BG157"/>
  <c r="BF157"/>
  <c r="BD157"/>
  <c r="BC157"/>
  <c r="BB157"/>
  <c r="BE157"/>
  <c r="BA157"/>
  <c r="AZ157"/>
  <c r="BC396"/>
  <c r="BF396"/>
  <c r="BE396"/>
  <c r="BD396"/>
  <c r="BB396"/>
  <c r="BG396"/>
  <c r="BA396"/>
  <c r="AZ396"/>
  <c r="BG272"/>
  <c r="BB272"/>
  <c r="BE272"/>
  <c r="BD272"/>
  <c r="BC272"/>
  <c r="BF272"/>
  <c r="BA272"/>
  <c r="AZ272"/>
  <c r="BC376"/>
  <c r="BD376"/>
  <c r="BB376"/>
  <c r="BG376"/>
  <c r="BF376"/>
  <c r="BE376"/>
  <c r="BA376"/>
  <c r="AZ376"/>
  <c r="BG273"/>
  <c r="BC273"/>
  <c r="BB273"/>
  <c r="BF273"/>
  <c r="BE273"/>
  <c r="BD273"/>
  <c r="BA273"/>
  <c r="AZ273"/>
  <c r="BG180"/>
  <c r="BF180"/>
  <c r="BE180"/>
  <c r="BD180"/>
  <c r="BC180"/>
  <c r="BB180"/>
  <c r="AZ180"/>
  <c r="BA180"/>
  <c r="BG95"/>
  <c r="BF95"/>
  <c r="BE95"/>
  <c r="BD95"/>
  <c r="BC95"/>
  <c r="BB95"/>
  <c r="AZ95"/>
  <c r="BA95"/>
  <c r="BC486"/>
  <c r="BF486"/>
  <c r="BE486"/>
  <c r="BD486"/>
  <c r="BB486"/>
  <c r="BA486"/>
  <c r="BG486"/>
  <c r="AZ486"/>
  <c r="BC482"/>
  <c r="BG482"/>
  <c r="BF482"/>
  <c r="BA482"/>
  <c r="BE482"/>
  <c r="BD482"/>
  <c r="AZ482"/>
  <c r="BB482"/>
  <c r="BC432"/>
  <c r="BG432"/>
  <c r="BB432"/>
  <c r="AZ432"/>
  <c r="BF432"/>
  <c r="BE432"/>
  <c r="BA432"/>
  <c r="BD432"/>
  <c r="BC399"/>
  <c r="BB399"/>
  <c r="BE399"/>
  <c r="BD399"/>
  <c r="BA399"/>
  <c r="BG399"/>
  <c r="AZ399"/>
  <c r="BF399"/>
  <c r="BG241"/>
  <c r="BF241"/>
  <c r="BE241"/>
  <c r="BD241"/>
  <c r="BC241"/>
  <c r="BB241"/>
  <c r="BA241"/>
  <c r="AZ241"/>
  <c r="BC391"/>
  <c r="BG391"/>
  <c r="BF391"/>
  <c r="BE391"/>
  <c r="BD391"/>
  <c r="BB391"/>
  <c r="BA391"/>
  <c r="AZ391"/>
  <c r="BG277"/>
  <c r="BF277"/>
  <c r="BE277"/>
  <c r="BD277"/>
  <c r="BC277"/>
  <c r="BB277"/>
  <c r="BA277"/>
  <c r="AZ277"/>
  <c r="BC360"/>
  <c r="BF360"/>
  <c r="BE360"/>
  <c r="BD360"/>
  <c r="BB360"/>
  <c r="BG360"/>
  <c r="AZ360"/>
  <c r="BA360"/>
  <c r="BC298"/>
  <c r="BB298"/>
  <c r="BG298"/>
  <c r="BF298"/>
  <c r="BE298"/>
  <c r="BD298"/>
  <c r="BA298"/>
  <c r="AZ298"/>
  <c r="BG263"/>
  <c r="BE263"/>
  <c r="BD263"/>
  <c r="BF263"/>
  <c r="BC263"/>
  <c r="BB263"/>
  <c r="AZ263"/>
  <c r="BA263"/>
  <c r="BG48"/>
  <c r="BF48"/>
  <c r="BC48"/>
  <c r="BB48"/>
  <c r="BE48"/>
  <c r="BD48"/>
  <c r="AZ48"/>
  <c r="BA48"/>
  <c r="BG255"/>
  <c r="BC255"/>
  <c r="BB255"/>
  <c r="BF255"/>
  <c r="BE255"/>
  <c r="BD255"/>
  <c r="BA255"/>
  <c r="AZ255"/>
  <c r="BC409"/>
  <c r="BG409"/>
  <c r="BB409"/>
  <c r="BF409"/>
  <c r="BA409"/>
  <c r="BE409"/>
  <c r="BD409"/>
  <c r="AZ409"/>
  <c r="BG235"/>
  <c r="BF235"/>
  <c r="BB235"/>
  <c r="BE235"/>
  <c r="BD235"/>
  <c r="BC235"/>
  <c r="BA235"/>
  <c r="AZ235"/>
  <c r="BC368"/>
  <c r="BG368"/>
  <c r="BF368"/>
  <c r="BE368"/>
  <c r="BD368"/>
  <c r="BB368"/>
  <c r="BA368"/>
  <c r="AZ368"/>
  <c r="BC424"/>
  <c r="BE424"/>
  <c r="BG424"/>
  <c r="BA424"/>
  <c r="BF424"/>
  <c r="BD424"/>
  <c r="AZ424"/>
  <c r="BB424"/>
  <c r="BC288"/>
  <c r="BB288"/>
  <c r="BF288"/>
  <c r="BE288"/>
  <c r="BD288"/>
  <c r="BG288"/>
  <c r="AZ288"/>
  <c r="BA288"/>
  <c r="BG55"/>
  <c r="BF55"/>
  <c r="BE55"/>
  <c r="BD55"/>
  <c r="BC55"/>
  <c r="BB55"/>
  <c r="BA55"/>
  <c r="AZ55"/>
  <c r="BG211"/>
  <c r="BF211"/>
  <c r="BD211"/>
  <c r="BC211"/>
  <c r="BB211"/>
  <c r="BE211"/>
  <c r="BA211"/>
  <c r="AZ211"/>
  <c r="BC336"/>
  <c r="BB336"/>
  <c r="BF336"/>
  <c r="BE336"/>
  <c r="BD336"/>
  <c r="BG336"/>
  <c r="AZ336"/>
  <c r="BA336"/>
  <c r="BG110"/>
  <c r="BF110"/>
  <c r="BE110"/>
  <c r="BD110"/>
  <c r="BC110"/>
  <c r="BB110"/>
  <c r="BA110"/>
  <c r="AZ110"/>
  <c r="BC337"/>
  <c r="BB337"/>
  <c r="BG337"/>
  <c r="BF337"/>
  <c r="BE337"/>
  <c r="BD337"/>
  <c r="BA337"/>
  <c r="AZ337"/>
  <c r="BC463"/>
  <c r="BG463"/>
  <c r="BF463"/>
  <c r="BE463"/>
  <c r="BD463"/>
  <c r="BA463"/>
  <c r="BB463"/>
  <c r="AZ463"/>
  <c r="BC349"/>
  <c r="BG349"/>
  <c r="BF349"/>
  <c r="BE349"/>
  <c r="BD349"/>
  <c r="BB349"/>
  <c r="BA349"/>
  <c r="AZ349"/>
  <c r="BC312"/>
  <c r="BB312"/>
  <c r="BF312"/>
  <c r="BE312"/>
  <c r="BD312"/>
  <c r="BG312"/>
  <c r="AZ312"/>
  <c r="BA312"/>
  <c r="BC334"/>
  <c r="BB334"/>
  <c r="BG334"/>
  <c r="BF334"/>
  <c r="BE334"/>
  <c r="BD334"/>
  <c r="BA334"/>
  <c r="AZ334"/>
  <c r="BC299"/>
  <c r="BB299"/>
  <c r="BD299"/>
  <c r="BG299"/>
  <c r="BF299"/>
  <c r="BE299"/>
  <c r="AZ299"/>
  <c r="BA299"/>
  <c r="BG156"/>
  <c r="BF156"/>
  <c r="BE156"/>
  <c r="BD156"/>
  <c r="BC156"/>
  <c r="BB156"/>
  <c r="AZ156"/>
  <c r="BA156"/>
  <c r="BC316"/>
  <c r="BB316"/>
  <c r="BG316"/>
  <c r="BF316"/>
  <c r="BE316"/>
  <c r="BD316"/>
  <c r="BA316"/>
  <c r="AZ316"/>
  <c r="BG100"/>
  <c r="BF100"/>
  <c r="BE100"/>
  <c r="BD100"/>
  <c r="BC100"/>
  <c r="BB100"/>
  <c r="BA100"/>
  <c r="AZ100"/>
  <c r="BC469"/>
  <c r="BG469"/>
  <c r="BF469"/>
  <c r="BE469"/>
  <c r="BD469"/>
  <c r="BA469"/>
  <c r="BB469"/>
  <c r="AZ469"/>
  <c r="BC481"/>
  <c r="BG481"/>
  <c r="BF481"/>
  <c r="BE481"/>
  <c r="BD481"/>
  <c r="BA481"/>
  <c r="BB481"/>
  <c r="AZ481"/>
  <c r="BC470"/>
  <c r="BG470"/>
  <c r="BF470"/>
  <c r="BA470"/>
  <c r="BE470"/>
  <c r="BD470"/>
  <c r="AZ470"/>
  <c r="BB470"/>
  <c r="BC326"/>
  <c r="BB326"/>
  <c r="BD326"/>
  <c r="BG326"/>
  <c r="BF326"/>
  <c r="BE326"/>
  <c r="BA326"/>
  <c r="AZ326"/>
  <c r="BC295"/>
  <c r="BB295"/>
  <c r="BG295"/>
  <c r="BF295"/>
  <c r="BE295"/>
  <c r="BD295"/>
  <c r="BA295"/>
  <c r="AZ295"/>
  <c r="BG201"/>
  <c r="BC201"/>
  <c r="BB201"/>
  <c r="BF201"/>
  <c r="BE201"/>
  <c r="BD201"/>
  <c r="BA201"/>
  <c r="AZ201"/>
  <c r="BG144"/>
  <c r="BF144"/>
  <c r="BC144"/>
  <c r="BB144"/>
  <c r="BD144"/>
  <c r="BE144"/>
  <c r="AZ144"/>
  <c r="BA144"/>
  <c r="BC504"/>
  <c r="BF504"/>
  <c r="AZ504"/>
  <c r="BE504"/>
  <c r="BD504"/>
  <c r="BB504"/>
  <c r="BA504"/>
  <c r="BG504"/>
  <c r="BC338"/>
  <c r="BB338"/>
  <c r="BD338"/>
  <c r="BG338"/>
  <c r="BF338"/>
  <c r="BE338"/>
  <c r="BA338"/>
  <c r="AZ338"/>
  <c r="BG97"/>
  <c r="BF97"/>
  <c r="BE97"/>
  <c r="BD97"/>
  <c r="BC97"/>
  <c r="BB97"/>
  <c r="BA97"/>
  <c r="AZ97"/>
  <c r="BG512"/>
  <c r="AZ512"/>
  <c r="BF512"/>
  <c r="BE512"/>
  <c r="BA512"/>
  <c r="BD512"/>
  <c r="BC512"/>
  <c r="BB512"/>
  <c r="BG210"/>
  <c r="BF210"/>
  <c r="BE210"/>
  <c r="BD210"/>
  <c r="BC210"/>
  <c r="BB210"/>
  <c r="AZ210"/>
  <c r="BA210"/>
  <c r="BG154"/>
  <c r="BD154"/>
  <c r="BC154"/>
  <c r="BF154"/>
  <c r="BE154"/>
  <c r="BB154"/>
  <c r="BA154"/>
  <c r="AZ154"/>
  <c r="BG119"/>
  <c r="BF119"/>
  <c r="BE119"/>
  <c r="BD119"/>
  <c r="BC119"/>
  <c r="BB119"/>
  <c r="AZ119"/>
  <c r="BA119"/>
  <c r="BG52"/>
  <c r="BF52"/>
  <c r="BE52"/>
  <c r="BD52"/>
  <c r="BC52"/>
  <c r="BB52"/>
  <c r="BA52"/>
  <c r="AZ52"/>
  <c r="BG166"/>
  <c r="BD166"/>
  <c r="BC166"/>
  <c r="BE166"/>
  <c r="BB166"/>
  <c r="BF166"/>
  <c r="BA166"/>
  <c r="AZ166"/>
  <c r="BG199"/>
  <c r="BF199"/>
  <c r="BB199"/>
  <c r="BE199"/>
  <c r="BD199"/>
  <c r="BC199"/>
  <c r="BA199"/>
  <c r="AZ199"/>
  <c r="BG28"/>
  <c r="BF28"/>
  <c r="BE28"/>
  <c r="BD28"/>
  <c r="BC28"/>
  <c r="BB28"/>
  <c r="BA28"/>
  <c r="AZ28"/>
  <c r="BG511"/>
  <c r="BF511"/>
  <c r="BE511"/>
  <c r="BD511"/>
  <c r="BA511"/>
  <c r="BC511"/>
  <c r="BB511"/>
  <c r="AZ511"/>
  <c r="BC417"/>
  <c r="BB417"/>
  <c r="BD417"/>
  <c r="BG417"/>
  <c r="BF417"/>
  <c r="BA417"/>
  <c r="BE417"/>
  <c r="AZ417"/>
  <c r="BG192"/>
  <c r="BF192"/>
  <c r="BE192"/>
  <c r="BD192"/>
  <c r="BC192"/>
  <c r="BB192"/>
  <c r="AZ192"/>
  <c r="BA192"/>
  <c r="BC372"/>
  <c r="BF372"/>
  <c r="BE372"/>
  <c r="BD372"/>
  <c r="BB372"/>
  <c r="BG372"/>
  <c r="AZ372"/>
  <c r="BA372"/>
  <c r="BC428"/>
  <c r="BB428"/>
  <c r="BG428"/>
  <c r="BF428"/>
  <c r="BA428"/>
  <c r="BE428"/>
  <c r="BD428"/>
  <c r="AZ428"/>
  <c r="BG175"/>
  <c r="BF175"/>
  <c r="BD175"/>
  <c r="BC175"/>
  <c r="BB175"/>
  <c r="BE175"/>
  <c r="BA175"/>
  <c r="AZ175"/>
  <c r="BG67"/>
  <c r="BF67"/>
  <c r="BE67"/>
  <c r="BD67"/>
  <c r="BC67"/>
  <c r="BB67"/>
  <c r="BA67"/>
  <c r="AZ67"/>
  <c r="BG246"/>
  <c r="BF246"/>
  <c r="BE246"/>
  <c r="BD246"/>
  <c r="BC246"/>
  <c r="BB246"/>
  <c r="AZ246"/>
  <c r="BA246"/>
  <c r="BG190"/>
  <c r="BD190"/>
  <c r="BC190"/>
  <c r="BF190"/>
  <c r="BE190"/>
  <c r="BB190"/>
  <c r="BA190"/>
  <c r="AZ190"/>
  <c r="BG155"/>
  <c r="BE155"/>
  <c r="BD155"/>
  <c r="BF155"/>
  <c r="BC155"/>
  <c r="BB155"/>
  <c r="AZ155"/>
  <c r="BA155"/>
  <c r="BG114"/>
  <c r="BF114"/>
  <c r="BC114"/>
  <c r="BB114"/>
  <c r="BE114"/>
  <c r="BD114"/>
  <c r="AZ114"/>
  <c r="BA114"/>
  <c r="BG33"/>
  <c r="BF33"/>
  <c r="BC33"/>
  <c r="BB33"/>
  <c r="BE33"/>
  <c r="BD33"/>
  <c r="BA33"/>
  <c r="AZ33"/>
  <c r="BG54"/>
  <c r="BF54"/>
  <c r="BC54"/>
  <c r="BB54"/>
  <c r="BE54"/>
  <c r="BD54"/>
  <c r="AZ54"/>
  <c r="BA54"/>
  <c r="BC351"/>
  <c r="BB351"/>
  <c r="BG351"/>
  <c r="BF351"/>
  <c r="BE351"/>
  <c r="BD351"/>
  <c r="BA351"/>
  <c r="AZ351"/>
  <c r="BG194"/>
  <c r="BB194"/>
  <c r="BF194"/>
  <c r="BE194"/>
  <c r="BD194"/>
  <c r="BC194"/>
  <c r="BA194"/>
  <c r="AZ194"/>
  <c r="BC460"/>
  <c r="BD460"/>
  <c r="BA460"/>
  <c r="BB460"/>
  <c r="AZ460"/>
  <c r="BG460"/>
  <c r="BF460"/>
  <c r="BE460"/>
  <c r="BC465"/>
  <c r="BB465"/>
  <c r="BA465"/>
  <c r="BG465"/>
  <c r="BF465"/>
  <c r="AZ465"/>
  <c r="BE465"/>
  <c r="BD465"/>
  <c r="BG59"/>
  <c r="BF59"/>
  <c r="BE59"/>
  <c r="BD59"/>
  <c r="BC59"/>
  <c r="BB59"/>
  <c r="AZ59"/>
  <c r="BA59"/>
  <c r="BC472"/>
  <c r="BD472"/>
  <c r="BA472"/>
  <c r="BB472"/>
  <c r="AZ472"/>
  <c r="BG472"/>
  <c r="BF472"/>
  <c r="BE472"/>
  <c r="BC437"/>
  <c r="BF437"/>
  <c r="BG437"/>
  <c r="BE437"/>
  <c r="AZ437"/>
  <c r="BD437"/>
  <c r="BB437"/>
  <c r="BA437"/>
  <c r="BG236"/>
  <c r="BB236"/>
  <c r="BE236"/>
  <c r="BD236"/>
  <c r="BC236"/>
  <c r="BF236"/>
  <c r="BA236"/>
  <c r="AZ236"/>
  <c r="BG170"/>
  <c r="BB170"/>
  <c r="BC170"/>
  <c r="BF170"/>
  <c r="BE170"/>
  <c r="BD170"/>
  <c r="BA170"/>
  <c r="AZ170"/>
  <c r="BG261"/>
  <c r="BC261"/>
  <c r="BB261"/>
  <c r="BF261"/>
  <c r="BE261"/>
  <c r="BD261"/>
  <c r="BA261"/>
  <c r="AZ261"/>
  <c r="BG183"/>
  <c r="BC183"/>
  <c r="BB183"/>
  <c r="BF183"/>
  <c r="BE183"/>
  <c r="BD183"/>
  <c r="BA183"/>
  <c r="AZ183"/>
  <c r="BC300"/>
  <c r="BB300"/>
  <c r="BF300"/>
  <c r="BE300"/>
  <c r="BD300"/>
  <c r="BG300"/>
  <c r="AZ300"/>
  <c r="BA300"/>
  <c r="BG132"/>
  <c r="BF132"/>
  <c r="BC132"/>
  <c r="BB132"/>
  <c r="BE132"/>
  <c r="BD132"/>
  <c r="AZ132"/>
  <c r="BA132"/>
  <c r="BC473"/>
  <c r="BE473"/>
  <c r="BD473"/>
  <c r="AZ473"/>
  <c r="BB473"/>
  <c r="BG473"/>
  <c r="BF473"/>
  <c r="BA473"/>
  <c r="BC369"/>
  <c r="BB369"/>
  <c r="BG369"/>
  <c r="BF369"/>
  <c r="BE369"/>
  <c r="BD369"/>
  <c r="BA369"/>
  <c r="AZ369"/>
  <c r="BC315"/>
  <c r="BB315"/>
  <c r="BF315"/>
  <c r="BE315"/>
  <c r="BD315"/>
  <c r="BG315"/>
  <c r="BA315"/>
  <c r="AZ315"/>
  <c r="BC422"/>
  <c r="BB422"/>
  <c r="BG422"/>
  <c r="BF422"/>
  <c r="BA422"/>
  <c r="BE422"/>
  <c r="BD422"/>
  <c r="AZ422"/>
  <c r="BC366"/>
  <c r="BF366"/>
  <c r="BE366"/>
  <c r="BD366"/>
  <c r="BB366"/>
  <c r="BG366"/>
  <c r="BA366"/>
  <c r="AZ366"/>
  <c r="BC290"/>
  <c r="BB290"/>
  <c r="BD290"/>
  <c r="BG290"/>
  <c r="BF290"/>
  <c r="BE290"/>
  <c r="BA290"/>
  <c r="AZ290"/>
  <c r="BC381"/>
  <c r="BB381"/>
  <c r="BG381"/>
  <c r="BF381"/>
  <c r="BE381"/>
  <c r="BD381"/>
  <c r="BA381"/>
  <c r="AZ381"/>
  <c r="BC450"/>
  <c r="BG450"/>
  <c r="BF450"/>
  <c r="BE450"/>
  <c r="BD450"/>
  <c r="BB450"/>
  <c r="BA450"/>
  <c r="AZ450"/>
  <c r="BC476"/>
  <c r="BG476"/>
  <c r="BF476"/>
  <c r="BA476"/>
  <c r="BE476"/>
  <c r="BD476"/>
  <c r="AZ476"/>
  <c r="BB476"/>
  <c r="BC356"/>
  <c r="BG356"/>
  <c r="BF356"/>
  <c r="BE356"/>
  <c r="BD356"/>
  <c r="BB356"/>
  <c r="BA356"/>
  <c r="AZ356"/>
  <c r="BG266"/>
  <c r="BB266"/>
  <c r="BF266"/>
  <c r="BE266"/>
  <c r="BD266"/>
  <c r="BC266"/>
  <c r="BA266"/>
  <c r="AZ266"/>
  <c r="BC294"/>
  <c r="BB294"/>
  <c r="BF294"/>
  <c r="BE294"/>
  <c r="BD294"/>
  <c r="BG294"/>
  <c r="AZ294"/>
  <c r="BA294"/>
  <c r="BC311"/>
  <c r="BB311"/>
  <c r="BD311"/>
  <c r="BG311"/>
  <c r="BF311"/>
  <c r="BE311"/>
  <c r="AZ311"/>
  <c r="BA311"/>
  <c r="BG229"/>
  <c r="BF229"/>
  <c r="BD229"/>
  <c r="BC229"/>
  <c r="BB229"/>
  <c r="BE229"/>
  <c r="BA229"/>
  <c r="AZ229"/>
  <c r="BG202"/>
  <c r="BD202"/>
  <c r="BC202"/>
  <c r="BE202"/>
  <c r="BB202"/>
  <c r="BF202"/>
  <c r="BA202"/>
  <c r="AZ202"/>
  <c r="BG168"/>
  <c r="BF168"/>
  <c r="BE168"/>
  <c r="BC168"/>
  <c r="BB168"/>
  <c r="BD168"/>
  <c r="AZ168"/>
  <c r="BA168"/>
  <c r="BG112"/>
  <c r="BF112"/>
  <c r="BE112"/>
  <c r="BD112"/>
  <c r="BC112"/>
  <c r="BB112"/>
  <c r="BA112"/>
  <c r="AZ112"/>
  <c r="BG77"/>
  <c r="BF77"/>
  <c r="BE77"/>
  <c r="BD77"/>
  <c r="BC77"/>
  <c r="BB77"/>
  <c r="AZ77"/>
  <c r="BA77"/>
  <c r="BC479"/>
  <c r="BE479"/>
  <c r="BD479"/>
  <c r="BB479"/>
  <c r="BG479"/>
  <c r="BF479"/>
  <c r="BA479"/>
  <c r="AZ479"/>
  <c r="BC499"/>
  <c r="BG499"/>
  <c r="BF499"/>
  <c r="BE499"/>
  <c r="BD499"/>
  <c r="BA499"/>
  <c r="BB499"/>
  <c r="AZ499"/>
  <c r="BG72"/>
  <c r="BF72"/>
  <c r="BC72"/>
  <c r="BB72"/>
  <c r="BE72"/>
  <c r="BD72"/>
  <c r="AZ72"/>
  <c r="BA72"/>
  <c r="BG186"/>
  <c r="BF186"/>
  <c r="BE186"/>
  <c r="BC186"/>
  <c r="BB186"/>
  <c r="BD186"/>
  <c r="AZ186"/>
  <c r="BA186"/>
  <c r="BG198"/>
  <c r="BF198"/>
  <c r="BE198"/>
  <c r="BD198"/>
  <c r="BC198"/>
  <c r="BB198"/>
  <c r="AZ198"/>
  <c r="BA198"/>
  <c r="BC319"/>
  <c r="BB319"/>
  <c r="BG319"/>
  <c r="BF319"/>
  <c r="BE319"/>
  <c r="BD319"/>
  <c r="BA319"/>
  <c r="AZ319"/>
  <c r="BG151"/>
  <c r="BF151"/>
  <c r="BE151"/>
  <c r="BD151"/>
  <c r="BC151"/>
  <c r="BB151"/>
  <c r="BA151"/>
  <c r="AZ151"/>
  <c r="BG212"/>
  <c r="BB212"/>
  <c r="BF212"/>
  <c r="BE212"/>
  <c r="BD212"/>
  <c r="BC212"/>
  <c r="BA212"/>
  <c r="AZ212"/>
  <c r="BC489"/>
  <c r="BB489"/>
  <c r="AZ489"/>
  <c r="BA489"/>
  <c r="BG489"/>
  <c r="BF489"/>
  <c r="BE489"/>
  <c r="BD489"/>
  <c r="BC456"/>
  <c r="BG456"/>
  <c r="BE456"/>
  <c r="AZ456"/>
  <c r="BD456"/>
  <c r="BB456"/>
  <c r="BA456"/>
  <c r="BF456"/>
  <c r="BC359"/>
  <c r="BE359"/>
  <c r="BD359"/>
  <c r="BB359"/>
  <c r="BG359"/>
  <c r="BF359"/>
  <c r="AZ359"/>
  <c r="BA359"/>
  <c r="BC325"/>
  <c r="BB325"/>
  <c r="BG325"/>
  <c r="BF325"/>
  <c r="BE325"/>
  <c r="BD325"/>
  <c r="BA325"/>
  <c r="AZ325"/>
  <c r="BG250"/>
  <c r="BD250"/>
  <c r="BC250"/>
  <c r="BF250"/>
  <c r="BE250"/>
  <c r="BB250"/>
  <c r="BA250"/>
  <c r="AZ250"/>
  <c r="BG204"/>
  <c r="BF204"/>
  <c r="BE204"/>
  <c r="BC204"/>
  <c r="BB204"/>
  <c r="BD204"/>
  <c r="AZ204"/>
  <c r="BA204"/>
  <c r="BG148"/>
  <c r="BD148"/>
  <c r="BC148"/>
  <c r="BE148"/>
  <c r="BB148"/>
  <c r="BF148"/>
  <c r="BA148"/>
  <c r="AZ148"/>
  <c r="BG113"/>
  <c r="BF113"/>
  <c r="BE113"/>
  <c r="BD113"/>
  <c r="BC113"/>
  <c r="BB113"/>
  <c r="AZ113"/>
  <c r="BA113"/>
  <c r="BG87"/>
  <c r="BF87"/>
  <c r="BC87"/>
  <c r="BB87"/>
  <c r="BE87"/>
  <c r="BD87"/>
  <c r="BA87"/>
  <c r="AZ87"/>
  <c r="BC318"/>
  <c r="BB318"/>
  <c r="BF318"/>
  <c r="BE318"/>
  <c r="BD318"/>
  <c r="BG318"/>
  <c r="AZ318"/>
  <c r="BA318"/>
  <c r="BG169"/>
  <c r="BF169"/>
  <c r="BE169"/>
  <c r="BD169"/>
  <c r="BC169"/>
  <c r="BB169"/>
  <c r="BA169"/>
  <c r="AZ169"/>
  <c r="BC495"/>
  <c r="BB495"/>
  <c r="BA495"/>
  <c r="BG495"/>
  <c r="BF495"/>
  <c r="BE495"/>
  <c r="BD495"/>
  <c r="AZ495"/>
  <c r="BC484"/>
  <c r="BD484"/>
  <c r="BA484"/>
  <c r="BB484"/>
  <c r="AZ484"/>
  <c r="BG484"/>
  <c r="BF484"/>
  <c r="BE484"/>
  <c r="BC332"/>
  <c r="BB332"/>
  <c r="BD332"/>
  <c r="BG332"/>
  <c r="BF332"/>
  <c r="BE332"/>
  <c r="BA332"/>
  <c r="AZ332"/>
  <c r="BC384"/>
  <c r="BF384"/>
  <c r="BE384"/>
  <c r="BD384"/>
  <c r="BB384"/>
  <c r="BG384"/>
  <c r="BA384"/>
  <c r="AZ384"/>
  <c r="BC394"/>
  <c r="BD394"/>
  <c r="BB394"/>
  <c r="BG394"/>
  <c r="BF394"/>
  <c r="BE394"/>
  <c r="BA394"/>
  <c r="AZ394"/>
  <c r="BG71"/>
  <c r="BF71"/>
  <c r="BE71"/>
  <c r="BD71"/>
  <c r="BC71"/>
  <c r="BB71"/>
  <c r="AZ71"/>
  <c r="BA71"/>
  <c r="BC307"/>
  <c r="BB307"/>
  <c r="BG307"/>
  <c r="BF307"/>
  <c r="BE307"/>
  <c r="BD307"/>
  <c r="BA307"/>
  <c r="AZ307"/>
  <c r="BG35"/>
  <c r="BF35"/>
  <c r="BE35"/>
  <c r="BD35"/>
  <c r="BC35"/>
  <c r="BB35"/>
  <c r="AZ35"/>
  <c r="BA35"/>
  <c r="BG206"/>
  <c r="BB206"/>
  <c r="BC206"/>
  <c r="BF206"/>
  <c r="BE206"/>
  <c r="BD206"/>
  <c r="BA206"/>
  <c r="AZ206"/>
  <c r="BC457"/>
  <c r="BG457"/>
  <c r="BF457"/>
  <c r="BE457"/>
  <c r="BD457"/>
  <c r="BA457"/>
  <c r="BB457"/>
  <c r="AZ457"/>
  <c r="BC421"/>
  <c r="BG421"/>
  <c r="BE421"/>
  <c r="BD421"/>
  <c r="BB421"/>
  <c r="BA421"/>
  <c r="BF421"/>
  <c r="AZ421"/>
  <c r="BC444"/>
  <c r="BG444"/>
  <c r="AZ444"/>
  <c r="BF444"/>
  <c r="BE444"/>
  <c r="BD444"/>
  <c r="BB444"/>
  <c r="BA444"/>
  <c r="BC370"/>
  <c r="BD370"/>
  <c r="BB370"/>
  <c r="BG370"/>
  <c r="BF370"/>
  <c r="BE370"/>
  <c r="BA370"/>
  <c r="AZ370"/>
  <c r="BC335"/>
  <c r="BB335"/>
  <c r="BD335"/>
  <c r="BG335"/>
  <c r="BF335"/>
  <c r="BE335"/>
  <c r="AZ335"/>
  <c r="BA335"/>
  <c r="AV163"/>
  <c r="AT163"/>
  <c r="AW163"/>
  <c r="AV420"/>
  <c r="AT420"/>
  <c r="AW420"/>
  <c r="AW111"/>
  <c r="AV111"/>
  <c r="AT111"/>
  <c r="AV503"/>
  <c r="AT503"/>
  <c r="AW503"/>
  <c r="AT143"/>
  <c r="AV143"/>
  <c r="AW143"/>
  <c r="AV416"/>
  <c r="AW416"/>
  <c r="AT416"/>
  <c r="AW34"/>
  <c r="AT34"/>
  <c r="AV34"/>
  <c r="AT60"/>
  <c r="AV60"/>
  <c r="AW60"/>
  <c r="AV493"/>
  <c r="AT493"/>
  <c r="AW493"/>
  <c r="AV324"/>
  <c r="AT324"/>
  <c r="AW324"/>
  <c r="AW406"/>
  <c r="AV406"/>
  <c r="AT406"/>
  <c r="AV371"/>
  <c r="AW371"/>
  <c r="AT371"/>
  <c r="AT239"/>
  <c r="AV239"/>
  <c r="AW239"/>
  <c r="AV301"/>
  <c r="AT301"/>
  <c r="AW301"/>
  <c r="AT209"/>
  <c r="AW209"/>
  <c r="AV209"/>
  <c r="AW64"/>
  <c r="AT64"/>
  <c r="AV64"/>
  <c r="AV313"/>
  <c r="AT313"/>
  <c r="AW313"/>
  <c r="AV176"/>
  <c r="AW176"/>
  <c r="AT176"/>
  <c r="AV139"/>
  <c r="AT139"/>
  <c r="AW139"/>
  <c r="AV383"/>
  <c r="AT383"/>
  <c r="AW383"/>
  <c r="AW357"/>
  <c r="AV357"/>
  <c r="AT357"/>
  <c r="AW303"/>
  <c r="AV303"/>
  <c r="AT303"/>
  <c r="AV187"/>
  <c r="AT187"/>
  <c r="AW187"/>
  <c r="AV79"/>
  <c r="AT79"/>
  <c r="AW79"/>
  <c r="AV414"/>
  <c r="AT414"/>
  <c r="AW414"/>
  <c r="AW147"/>
  <c r="AV147"/>
  <c r="AT147"/>
  <c r="AV431"/>
  <c r="AT431"/>
  <c r="AW431"/>
  <c r="AW375"/>
  <c r="AT375"/>
  <c r="AV375"/>
  <c r="AV302"/>
  <c r="AW302"/>
  <c r="AT302"/>
  <c r="AV242"/>
  <c r="AW242"/>
  <c r="AT242"/>
  <c r="AT65"/>
  <c r="AW65"/>
  <c r="AV65"/>
  <c r="AW309"/>
  <c r="AV309"/>
  <c r="AT309"/>
  <c r="AV260"/>
  <c r="AW260"/>
  <c r="AT260"/>
  <c r="AV49"/>
  <c r="AT49"/>
  <c r="AW49"/>
  <c r="AT173"/>
  <c r="AW173"/>
  <c r="AV173"/>
  <c r="AW393"/>
  <c r="AV393"/>
  <c r="AT393"/>
  <c r="AT438"/>
  <c r="AV438"/>
  <c r="AW438"/>
  <c r="AW177"/>
  <c r="AV177"/>
  <c r="AT177"/>
  <c r="AT245"/>
  <c r="AW245"/>
  <c r="AV245"/>
  <c r="AW267"/>
  <c r="AT267"/>
  <c r="AV267"/>
  <c r="AW244"/>
  <c r="AT244"/>
  <c r="AV244"/>
  <c r="AW39"/>
  <c r="AV39"/>
  <c r="AT39"/>
  <c r="AT462"/>
  <c r="AV462"/>
  <c r="AW462"/>
  <c r="AW328"/>
  <c r="AV328"/>
  <c r="AT328"/>
  <c r="AT293"/>
  <c r="AW293"/>
  <c r="AV293"/>
  <c r="AW441"/>
  <c r="AV441"/>
  <c r="AT441"/>
  <c r="AW387"/>
  <c r="AT387"/>
  <c r="AV387"/>
  <c r="AV43"/>
  <c r="AT43"/>
  <c r="AW43"/>
  <c r="AT270"/>
  <c r="AV270"/>
  <c r="AW270"/>
  <c r="AW172"/>
  <c r="AT172"/>
  <c r="AV172"/>
  <c r="AV115"/>
  <c r="AT115"/>
  <c r="AW115"/>
  <c r="AT107"/>
  <c r="AV107"/>
  <c r="AW107"/>
  <c r="AT354"/>
  <c r="AV354"/>
  <c r="AW354"/>
  <c r="AV395"/>
  <c r="AT395"/>
  <c r="AW395"/>
  <c r="AW377"/>
  <c r="AV377"/>
  <c r="AT377"/>
  <c r="AT353"/>
  <c r="AW353"/>
  <c r="AV353"/>
  <c r="AW363"/>
  <c r="AT363"/>
  <c r="AV363"/>
  <c r="AW304"/>
  <c r="AV304"/>
  <c r="AT304"/>
  <c r="AW129"/>
  <c r="AV129"/>
  <c r="AT129"/>
  <c r="AT408"/>
  <c r="AV408"/>
  <c r="AW408"/>
  <c r="AW364"/>
  <c r="AT364"/>
  <c r="AV364"/>
  <c r="AT329"/>
  <c r="AW329"/>
  <c r="AV329"/>
  <c r="AW459"/>
  <c r="AV459"/>
  <c r="AT459"/>
  <c r="AW423"/>
  <c r="AT423"/>
  <c r="AV423"/>
  <c r="AT426"/>
  <c r="AV426"/>
  <c r="AW426"/>
  <c r="AV85"/>
  <c r="AT85"/>
  <c r="AW85"/>
  <c r="AV104"/>
  <c r="AW104"/>
  <c r="AT104"/>
  <c r="AW208"/>
  <c r="AT208"/>
  <c r="AV208"/>
  <c r="AW58"/>
  <c r="AT58"/>
  <c r="AV58"/>
  <c r="AV427"/>
  <c r="AT427"/>
  <c r="AW427"/>
  <c r="AV385"/>
  <c r="AT385"/>
  <c r="AW385"/>
  <c r="AV492"/>
  <c r="AT492"/>
  <c r="AW492"/>
  <c r="AV419"/>
  <c r="AT419"/>
  <c r="AW419"/>
  <c r="AV445"/>
  <c r="AT445"/>
  <c r="AW445"/>
  <c r="AW310"/>
  <c r="AT310"/>
  <c r="AV310"/>
  <c r="AT240"/>
  <c r="AV240"/>
  <c r="AW240"/>
  <c r="AW184"/>
  <c r="AV184"/>
  <c r="AT184"/>
  <c r="AT149"/>
  <c r="AW149"/>
  <c r="AV149"/>
  <c r="AW153"/>
  <c r="AV153"/>
  <c r="AT153"/>
  <c r="AW93"/>
  <c r="AV93"/>
  <c r="AT93"/>
  <c r="AW214"/>
  <c r="AT214"/>
  <c r="AV214"/>
  <c r="AT78"/>
  <c r="AV78"/>
  <c r="AW78"/>
  <c r="AW106"/>
  <c r="AT106"/>
  <c r="AV106"/>
  <c r="AT29"/>
  <c r="AW29"/>
  <c r="AV29"/>
  <c r="AV467"/>
  <c r="AT467"/>
  <c r="AW467"/>
  <c r="AW88"/>
  <c r="AV88"/>
  <c r="AT88"/>
  <c r="AW358"/>
  <c r="AT358"/>
  <c r="AV358"/>
  <c r="AT276"/>
  <c r="AV276"/>
  <c r="AW276"/>
  <c r="AW220"/>
  <c r="AV220"/>
  <c r="AT220"/>
  <c r="AT185"/>
  <c r="AW185"/>
  <c r="AV185"/>
  <c r="AW225"/>
  <c r="AV225"/>
  <c r="AT225"/>
  <c r="AW171"/>
  <c r="AT171"/>
  <c r="AV171"/>
  <c r="AW339"/>
  <c r="AT339"/>
  <c r="AV339"/>
  <c r="AW99"/>
  <c r="AT99"/>
  <c r="AV99"/>
  <c r="AW57"/>
  <c r="AV57"/>
  <c r="AT57"/>
  <c r="AW405"/>
  <c r="AV405"/>
  <c r="AT405"/>
  <c r="AW286"/>
  <c r="AT286"/>
  <c r="AV286"/>
  <c r="AV343"/>
  <c r="AT343"/>
  <c r="AW343"/>
  <c r="AT150"/>
  <c r="AV150"/>
  <c r="AW150"/>
  <c r="AW411"/>
  <c r="AT411"/>
  <c r="AV411"/>
  <c r="AV296"/>
  <c r="AW296"/>
  <c r="AT296"/>
  <c r="AV230"/>
  <c r="AW230"/>
  <c r="AT230"/>
  <c r="AT66"/>
  <c r="AV66"/>
  <c r="AW66"/>
  <c r="AV505"/>
  <c r="AT505"/>
  <c r="AW505"/>
  <c r="AV367"/>
  <c r="AT367"/>
  <c r="AW367"/>
  <c r="AW435"/>
  <c r="AV435"/>
  <c r="AT435"/>
  <c r="AW346"/>
  <c r="AT346"/>
  <c r="AV346"/>
  <c r="AW142"/>
  <c r="AT142"/>
  <c r="AV142"/>
  <c r="AV308"/>
  <c r="AW308"/>
  <c r="AT308"/>
  <c r="AV259"/>
  <c r="AT259"/>
  <c r="AW259"/>
  <c r="AV145"/>
  <c r="AT145"/>
  <c r="AW145"/>
  <c r="AW160"/>
  <c r="AV160"/>
  <c r="AT160"/>
  <c r="AW63"/>
  <c r="AT63"/>
  <c r="AV63"/>
  <c r="AV62"/>
  <c r="AW62"/>
  <c r="AT62"/>
  <c r="AT108"/>
  <c r="AV108"/>
  <c r="AW108"/>
  <c r="AW497"/>
  <c r="AV497"/>
  <c r="AT497"/>
  <c r="AT390"/>
  <c r="AV390"/>
  <c r="AW390"/>
  <c r="AW471"/>
  <c r="AT471"/>
  <c r="AV471"/>
  <c r="AT330"/>
  <c r="AV330"/>
  <c r="AW330"/>
  <c r="AV278"/>
  <c r="AW278"/>
  <c r="AT278"/>
  <c r="AV410"/>
  <c r="AW410"/>
  <c r="AT410"/>
  <c r="AW123"/>
  <c r="AT123"/>
  <c r="AV123"/>
  <c r="AV188"/>
  <c r="AW188"/>
  <c r="AT188"/>
  <c r="AT167"/>
  <c r="AV167"/>
  <c r="AW167"/>
  <c r="AW75"/>
  <c r="AT75"/>
  <c r="AV75"/>
  <c r="AW509"/>
  <c r="AT509"/>
  <c r="AV509"/>
  <c r="AV380"/>
  <c r="AW380"/>
  <c r="AT380"/>
  <c r="AV320"/>
  <c r="AW320"/>
  <c r="AT320"/>
  <c r="AV487"/>
  <c r="AT487"/>
  <c r="AW487"/>
  <c r="AW490"/>
  <c r="AV490"/>
  <c r="AT490"/>
  <c r="AV50"/>
  <c r="AW50"/>
  <c r="AT50"/>
  <c r="AW196"/>
  <c r="AV196"/>
  <c r="AT196"/>
  <c r="AW507"/>
  <c r="AT507"/>
  <c r="AV507"/>
  <c r="AT102"/>
  <c r="AV102"/>
  <c r="AW102"/>
  <c r="AV116"/>
  <c r="AW116"/>
  <c r="AT116"/>
  <c r="AW388"/>
  <c r="AV388"/>
  <c r="AT388"/>
  <c r="AV500"/>
  <c r="AW500"/>
  <c r="AT500"/>
  <c r="AW237"/>
  <c r="AV237"/>
  <c r="AT237"/>
  <c r="AV284"/>
  <c r="AW284"/>
  <c r="AT284"/>
  <c r="AT215"/>
  <c r="AV215"/>
  <c r="AW215"/>
  <c r="AW141"/>
  <c r="AV141"/>
  <c r="AT141"/>
  <c r="AW81"/>
  <c r="AV81"/>
  <c r="AT81"/>
  <c r="AV458"/>
  <c r="AW458"/>
  <c r="AT458"/>
  <c r="AV386"/>
  <c r="AW386"/>
  <c r="AT386"/>
  <c r="AV314"/>
  <c r="AW314"/>
  <c r="AT314"/>
  <c r="AW105"/>
  <c r="AV105"/>
  <c r="AT105"/>
  <c r="AV182"/>
  <c r="AW182"/>
  <c r="AT182"/>
  <c r="AV271"/>
  <c r="AT271"/>
  <c r="AW271"/>
  <c r="AT281"/>
  <c r="AW281"/>
  <c r="AV281"/>
  <c r="AV61"/>
  <c r="AT61"/>
  <c r="AW61"/>
  <c r="AT305"/>
  <c r="AW305"/>
  <c r="AV305"/>
  <c r="AV434"/>
  <c r="AW434"/>
  <c r="AT434"/>
  <c r="AW461"/>
  <c r="AV461"/>
  <c r="AT461"/>
  <c r="AW483"/>
  <c r="AV483"/>
  <c r="AT483"/>
  <c r="AW352"/>
  <c r="AT352"/>
  <c r="AV352"/>
  <c r="AW249"/>
  <c r="AV249"/>
  <c r="AT249"/>
  <c r="AV510"/>
  <c r="AW510"/>
  <c r="AT510"/>
  <c r="AW400"/>
  <c r="AT400"/>
  <c r="AV400"/>
  <c r="AW365"/>
  <c r="AV365"/>
  <c r="AT365"/>
  <c r="AV92"/>
  <c r="AW92"/>
  <c r="AT92"/>
  <c r="AT341"/>
  <c r="AW341"/>
  <c r="AV341"/>
  <c r="AV379"/>
  <c r="AT379"/>
  <c r="AW379"/>
  <c r="AW413"/>
  <c r="AT413"/>
  <c r="AV413"/>
  <c r="AV283"/>
  <c r="AT283"/>
  <c r="AW283"/>
  <c r="AW135"/>
  <c r="AT135"/>
  <c r="AV135"/>
  <c r="AV74"/>
  <c r="AW74"/>
  <c r="AT74"/>
  <c r="AW412"/>
  <c r="AT412"/>
  <c r="AV412"/>
  <c r="AW345"/>
  <c r="AV345"/>
  <c r="AT345"/>
  <c r="AV498"/>
  <c r="AW498"/>
  <c r="AT498"/>
  <c r="AW436"/>
  <c r="AT436"/>
  <c r="AV436"/>
  <c r="AW401"/>
  <c r="AT401"/>
  <c r="AV401"/>
  <c r="AV164"/>
  <c r="AW164"/>
  <c r="AT164"/>
  <c r="AV98"/>
  <c r="AW98"/>
  <c r="AT98"/>
  <c r="AW322"/>
  <c r="AT322"/>
  <c r="AV322"/>
  <c r="AV415"/>
  <c r="AT415"/>
  <c r="AW415"/>
  <c r="AV56"/>
  <c r="AW56"/>
  <c r="AT56"/>
  <c r="AT120"/>
  <c r="AV120"/>
  <c r="AW120"/>
  <c r="AV140"/>
  <c r="AW140"/>
  <c r="AT140"/>
  <c r="AT252"/>
  <c r="AV252"/>
  <c r="AW252"/>
  <c r="AV468"/>
  <c r="AT468"/>
  <c r="AW468"/>
  <c r="AV37"/>
  <c r="AT37"/>
  <c r="AW37"/>
  <c r="AV247"/>
  <c r="AT247"/>
  <c r="AW247"/>
  <c r="AV133"/>
  <c r="AT133"/>
  <c r="AW133"/>
  <c r="AT282"/>
  <c r="AV282"/>
  <c r="AW282"/>
  <c r="AW226"/>
  <c r="AT226"/>
  <c r="AV226"/>
  <c r="AT191"/>
  <c r="AV191"/>
  <c r="AW191"/>
  <c r="AT287"/>
  <c r="AV287"/>
  <c r="AW287"/>
  <c r="AT197"/>
  <c r="AW197"/>
  <c r="AV197"/>
  <c r="AV68"/>
  <c r="AW68"/>
  <c r="AT68"/>
  <c r="AW76"/>
  <c r="AT76"/>
  <c r="AV76"/>
  <c r="AT378"/>
  <c r="AV378"/>
  <c r="AW378"/>
  <c r="AW46"/>
  <c r="AT46"/>
  <c r="AV46"/>
  <c r="AV200"/>
  <c r="AW200"/>
  <c r="AT200"/>
  <c r="AV146"/>
  <c r="AW146"/>
  <c r="AT146"/>
  <c r="AT228"/>
  <c r="AV228"/>
  <c r="AW228"/>
  <c r="AV480"/>
  <c r="AT480"/>
  <c r="AW480"/>
  <c r="AV134"/>
  <c r="AW134"/>
  <c r="AT134"/>
  <c r="AT347"/>
  <c r="AV347"/>
  <c r="AW347"/>
  <c r="AW124"/>
  <c r="AV124"/>
  <c r="AT124"/>
  <c r="AT317"/>
  <c r="AW317"/>
  <c r="AV317"/>
  <c r="AW280"/>
  <c r="AT280"/>
  <c r="AV280"/>
  <c r="AW70"/>
  <c r="AT70"/>
  <c r="AV70"/>
  <c r="AV392"/>
  <c r="AW392"/>
  <c r="AT392"/>
  <c r="AV355"/>
  <c r="AT355"/>
  <c r="AW355"/>
  <c r="AV491"/>
  <c r="AW491"/>
  <c r="AT491"/>
  <c r="AW501"/>
  <c r="AT501"/>
  <c r="AV501"/>
  <c r="AW447"/>
  <c r="AT447"/>
  <c r="AV447"/>
  <c r="AV331"/>
  <c r="AT331"/>
  <c r="AW331"/>
  <c r="AV217"/>
  <c r="AT217"/>
  <c r="AW217"/>
  <c r="AT264"/>
  <c r="AV264"/>
  <c r="AW264"/>
  <c r="AW449"/>
  <c r="AV449"/>
  <c r="AT449"/>
  <c r="AT269"/>
  <c r="AW269"/>
  <c r="AV269"/>
  <c r="AV439"/>
  <c r="AT439"/>
  <c r="AW439"/>
  <c r="AV127"/>
  <c r="AT127"/>
  <c r="AW127"/>
  <c r="AV205"/>
  <c r="AT205"/>
  <c r="AW205"/>
  <c r="AT233"/>
  <c r="AW233"/>
  <c r="AV233"/>
  <c r="AT89"/>
  <c r="AW89"/>
  <c r="AV89"/>
  <c r="AV73"/>
  <c r="AT73"/>
  <c r="AW73"/>
  <c r="AW130"/>
  <c r="AT130"/>
  <c r="AV130"/>
  <c r="AV494"/>
  <c r="AW494"/>
  <c r="AT494"/>
  <c r="AV451"/>
  <c r="AT451"/>
  <c r="AW451"/>
  <c r="AW69"/>
  <c r="AV69"/>
  <c r="AT69"/>
  <c r="AV80"/>
  <c r="AW80"/>
  <c r="AT80"/>
  <c r="AV403"/>
  <c r="AT403"/>
  <c r="AW403"/>
  <c r="AV289"/>
  <c r="AT289"/>
  <c r="AW289"/>
  <c r="AW51"/>
  <c r="AT51"/>
  <c r="AV51"/>
  <c r="AV373"/>
  <c r="AT373"/>
  <c r="AW373"/>
  <c r="AV248"/>
  <c r="AW248"/>
  <c r="AT248"/>
  <c r="AT216"/>
  <c r="AV216"/>
  <c r="AW216"/>
  <c r="AW207"/>
  <c r="AV207"/>
  <c r="AT207"/>
  <c r="AV398"/>
  <c r="AW398"/>
  <c r="AT398"/>
  <c r="AT101"/>
  <c r="AW101"/>
  <c r="AV101"/>
  <c r="AV181"/>
  <c r="AT181"/>
  <c r="AW181"/>
  <c r="AV103"/>
  <c r="AT103"/>
  <c r="AW103"/>
  <c r="AW333"/>
  <c r="AV333"/>
  <c r="AT333"/>
  <c r="AV404"/>
  <c r="AW404"/>
  <c r="AT404"/>
  <c r="AT275"/>
  <c r="AV275"/>
  <c r="AW275"/>
  <c r="AW213"/>
  <c r="AV213"/>
  <c r="AT213"/>
  <c r="AW159"/>
  <c r="AT159"/>
  <c r="AV159"/>
  <c r="AV31"/>
  <c r="AT31"/>
  <c r="AW31"/>
  <c r="AV452"/>
  <c r="AW452"/>
  <c r="AT452"/>
  <c r="AW327"/>
  <c r="AV327"/>
  <c r="AT327"/>
  <c r="AT179"/>
  <c r="AV179"/>
  <c r="AW179"/>
  <c r="AV91"/>
  <c r="AT91"/>
  <c r="AW91"/>
  <c r="AT161"/>
  <c r="AW161"/>
  <c r="AV161"/>
  <c r="AV397"/>
  <c r="AT397"/>
  <c r="AW397"/>
  <c r="AV193"/>
  <c r="AT193"/>
  <c r="AW193"/>
  <c r="AW453"/>
  <c r="AV453"/>
  <c r="AT453"/>
  <c r="AV506"/>
  <c r="AW506"/>
  <c r="AT506"/>
  <c r="AT323"/>
  <c r="AV323"/>
  <c r="AW323"/>
  <c r="AW285"/>
  <c r="AV285"/>
  <c r="AT285"/>
  <c r="AW231"/>
  <c r="AV231"/>
  <c r="AT231"/>
  <c r="AV109"/>
  <c r="AT109"/>
  <c r="AW109"/>
  <c r="AW389"/>
  <c r="AV389"/>
  <c r="AT389"/>
  <c r="AT131"/>
  <c r="AV131"/>
  <c r="AW131"/>
  <c r="AW321"/>
  <c r="AV321"/>
  <c r="AT321"/>
  <c r="AW219"/>
  <c r="AT219"/>
  <c r="AV219"/>
  <c r="AT126"/>
  <c r="AV126"/>
  <c r="AW126"/>
  <c r="AT203"/>
  <c r="AV203"/>
  <c r="AW203"/>
  <c r="AW94"/>
  <c r="AT94"/>
  <c r="AV94"/>
  <c r="AT96"/>
  <c r="AV96"/>
  <c r="AW96"/>
  <c r="AW40"/>
  <c r="AV40"/>
  <c r="AT40"/>
  <c r="AV348"/>
  <c r="AT348"/>
  <c r="AW348"/>
  <c r="AW442"/>
  <c r="AV442"/>
  <c r="AT442"/>
  <c r="AV407"/>
  <c r="AW407"/>
  <c r="AT407"/>
  <c r="AT162"/>
  <c r="AV162"/>
  <c r="AW162"/>
  <c r="AV128"/>
  <c r="AW128"/>
  <c r="AT128"/>
  <c r="AT53"/>
  <c r="AW53"/>
  <c r="AV53"/>
  <c r="AW292"/>
  <c r="AV292"/>
  <c r="AT292"/>
  <c r="AT41"/>
  <c r="AW41"/>
  <c r="AV41"/>
  <c r="AW262"/>
  <c r="AT262"/>
  <c r="AV262"/>
  <c r="AT227"/>
  <c r="AV227"/>
  <c r="AW227"/>
  <c r="AT125"/>
  <c r="AW125"/>
  <c r="AV125"/>
  <c r="AT222"/>
  <c r="AV222"/>
  <c r="AW222"/>
  <c r="AV474"/>
  <c r="AW474"/>
  <c r="AT474"/>
  <c r="AV253"/>
  <c r="AT253"/>
  <c r="AW253"/>
  <c r="AV362"/>
  <c r="AW362"/>
  <c r="AT362"/>
  <c r="AV32"/>
  <c r="AW32"/>
  <c r="AT32"/>
  <c r="AW279"/>
  <c r="AV279"/>
  <c r="AT279"/>
  <c r="AV344"/>
  <c r="AW344"/>
  <c r="AT344"/>
  <c r="AW454"/>
  <c r="AT454"/>
  <c r="AV454"/>
  <c r="AT36"/>
  <c r="AV36"/>
  <c r="AW36"/>
  <c r="AT258"/>
  <c r="AV258"/>
  <c r="AW258"/>
  <c r="AV122"/>
  <c r="AW122"/>
  <c r="AT122"/>
  <c r="AV446"/>
  <c r="AW446"/>
  <c r="AT446"/>
  <c r="AV374"/>
  <c r="AW374"/>
  <c r="AT374"/>
  <c r="AT138"/>
  <c r="AV138"/>
  <c r="AW138"/>
  <c r="AW82"/>
  <c r="AT82"/>
  <c r="AV82"/>
  <c r="AT47"/>
  <c r="AV47"/>
  <c r="AW47"/>
  <c r="AW268"/>
  <c r="AV268"/>
  <c r="AT268"/>
  <c r="AV44"/>
  <c r="AW44"/>
  <c r="AT44"/>
  <c r="AT251"/>
  <c r="AV251"/>
  <c r="AW251"/>
  <c r="AW466"/>
  <c r="AT466"/>
  <c r="AV466"/>
  <c r="AW508"/>
  <c r="AT508"/>
  <c r="AV508"/>
  <c r="AV254"/>
  <c r="AW254"/>
  <c r="AT254"/>
  <c r="AW232"/>
  <c r="AV232"/>
  <c r="AT232"/>
  <c r="AV402"/>
  <c r="AT402"/>
  <c r="AW402"/>
  <c r="AW502"/>
  <c r="AT502"/>
  <c r="AV502"/>
  <c r="AT84"/>
  <c r="AV84"/>
  <c r="AW84"/>
  <c r="AT306"/>
  <c r="AV306"/>
  <c r="AW306"/>
  <c r="AV218"/>
  <c r="AW218"/>
  <c r="AT218"/>
  <c r="AV440"/>
  <c r="AW440"/>
  <c r="AT440"/>
  <c r="AT174"/>
  <c r="AV174"/>
  <c r="AW174"/>
  <c r="AW118"/>
  <c r="AT118"/>
  <c r="AV118"/>
  <c r="AT83"/>
  <c r="AV83"/>
  <c r="AW83"/>
  <c r="AW477"/>
  <c r="AV477"/>
  <c r="AT477"/>
  <c r="AV265"/>
  <c r="AT265"/>
  <c r="AW265"/>
  <c r="AV488"/>
  <c r="AW488"/>
  <c r="AT488"/>
  <c r="AV350"/>
  <c r="AW350"/>
  <c r="AT350"/>
  <c r="AV455"/>
  <c r="AT455"/>
  <c r="AW455"/>
  <c r="AW340"/>
  <c r="AV340"/>
  <c r="AT340"/>
  <c r="AW425"/>
  <c r="AT425"/>
  <c r="AV425"/>
  <c r="AW496"/>
  <c r="AV496"/>
  <c r="AT496"/>
  <c r="AW178"/>
  <c r="AT178"/>
  <c r="AV178"/>
  <c r="AV121"/>
  <c r="AT121"/>
  <c r="AW121"/>
  <c r="AT42"/>
  <c r="AV42"/>
  <c r="AW42"/>
  <c r="AW195"/>
  <c r="AV195"/>
  <c r="AT195"/>
  <c r="AV152"/>
  <c r="AW152"/>
  <c r="AT152"/>
  <c r="AV86"/>
  <c r="AW86"/>
  <c r="AT86"/>
  <c r="AV475"/>
  <c r="AT475"/>
  <c r="AW475"/>
  <c r="AV361"/>
  <c r="AT361"/>
  <c r="AW361"/>
  <c r="AV464"/>
  <c r="AW464"/>
  <c r="AT464"/>
  <c r="AW117"/>
  <c r="AV117"/>
  <c r="AT117"/>
  <c r="AW448"/>
  <c r="AT448"/>
  <c r="AV448"/>
  <c r="AW485"/>
  <c r="AT485"/>
  <c r="AV485"/>
  <c r="AW189"/>
  <c r="AV189"/>
  <c r="AT189"/>
  <c r="AW238"/>
  <c r="AT238"/>
  <c r="AV238"/>
  <c r="AV223"/>
  <c r="AT223"/>
  <c r="AW223"/>
  <c r="AT90"/>
  <c r="AV90"/>
  <c r="AW90"/>
  <c r="AW291"/>
  <c r="AT291"/>
  <c r="AV291"/>
  <c r="AV224"/>
  <c r="AW224"/>
  <c r="AT224"/>
  <c r="AV158"/>
  <c r="AW158"/>
  <c r="AT158"/>
  <c r="AT30"/>
  <c r="AV30"/>
  <c r="AW30"/>
  <c r="AV433"/>
  <c r="AT433"/>
  <c r="AW433"/>
  <c r="AW165"/>
  <c r="AV165"/>
  <c r="AT165"/>
  <c r="AW382"/>
  <c r="AT382"/>
  <c r="AV382"/>
  <c r="AT234"/>
  <c r="AV234"/>
  <c r="AW234"/>
  <c r="AW274"/>
  <c r="AT274"/>
  <c r="AV274"/>
  <c r="AT137"/>
  <c r="AW137"/>
  <c r="AV137"/>
  <c r="AW45"/>
  <c r="AT45"/>
  <c r="AV45"/>
  <c r="AW136"/>
  <c r="AT136"/>
  <c r="AV136"/>
  <c r="AW418"/>
  <c r="AT418"/>
  <c r="AV418"/>
  <c r="AT342"/>
  <c r="AV342"/>
  <c r="AW342"/>
  <c r="AW256"/>
  <c r="AV256"/>
  <c r="AT256"/>
  <c r="AT221"/>
  <c r="AW221"/>
  <c r="AV221"/>
  <c r="AW297"/>
  <c r="AV297"/>
  <c r="AT297"/>
  <c r="AW243"/>
  <c r="AT243"/>
  <c r="AV243"/>
  <c r="AV38"/>
  <c r="AW38"/>
  <c r="AT38"/>
  <c r="AW430"/>
  <c r="AT430"/>
  <c r="AV430"/>
  <c r="AW27"/>
  <c r="AV27"/>
  <c r="AT27"/>
  <c r="AW429"/>
  <c r="AV429"/>
  <c r="AT429"/>
  <c r="AT257"/>
  <c r="AW257"/>
  <c r="AV257"/>
  <c r="AW478"/>
  <c r="AT478"/>
  <c r="AV478"/>
  <c r="AV443"/>
  <c r="AW443"/>
  <c r="AT443"/>
  <c r="AV157"/>
  <c r="AT157"/>
  <c r="AW157"/>
  <c r="AV396"/>
  <c r="AT396"/>
  <c r="AW396"/>
  <c r="AV272"/>
  <c r="AW272"/>
  <c r="AT272"/>
  <c r="AW376"/>
  <c r="AT376"/>
  <c r="AV376"/>
  <c r="AW273"/>
  <c r="AV273"/>
  <c r="AT273"/>
  <c r="AT180"/>
  <c r="AV180"/>
  <c r="AW180"/>
  <c r="AT95"/>
  <c r="AV95"/>
  <c r="AW95"/>
  <c r="AV486"/>
  <c r="AW486"/>
  <c r="AT486"/>
  <c r="AV482"/>
  <c r="AW482"/>
  <c r="AT482"/>
  <c r="AV432"/>
  <c r="AT432"/>
  <c r="AW432"/>
  <c r="AW399"/>
  <c r="AT399"/>
  <c r="AV399"/>
  <c r="AV241"/>
  <c r="AT241"/>
  <c r="AW241"/>
  <c r="AV391"/>
  <c r="AT391"/>
  <c r="AW391"/>
  <c r="AV277"/>
  <c r="AT277"/>
  <c r="AW277"/>
  <c r="AV360"/>
  <c r="AT360"/>
  <c r="AW360"/>
  <c r="AW298"/>
  <c r="AT298"/>
  <c r="AV298"/>
  <c r="AT263"/>
  <c r="AV263"/>
  <c r="AW263"/>
  <c r="AT48"/>
  <c r="AV48"/>
  <c r="AW48"/>
  <c r="AW255"/>
  <c r="AV255"/>
  <c r="AT255"/>
  <c r="AV409"/>
  <c r="AT409"/>
  <c r="AW409"/>
  <c r="AV235"/>
  <c r="AT235"/>
  <c r="AW235"/>
  <c r="AV368"/>
  <c r="AW368"/>
  <c r="AT368"/>
  <c r="AW424"/>
  <c r="AV424"/>
  <c r="AT424"/>
  <c r="AT288"/>
  <c r="AV288"/>
  <c r="AW288"/>
  <c r="AV55"/>
  <c r="AT55"/>
  <c r="AW55"/>
  <c r="AV211"/>
  <c r="AT211"/>
  <c r="AW211"/>
  <c r="AT336"/>
  <c r="AV336"/>
  <c r="AW336"/>
  <c r="AV110"/>
  <c r="AW110"/>
  <c r="AT110"/>
  <c r="AV337"/>
  <c r="AT337"/>
  <c r="AW337"/>
  <c r="AV463"/>
  <c r="AT463"/>
  <c r="AW463"/>
  <c r="AV349"/>
  <c r="AT349"/>
  <c r="AW349"/>
  <c r="AT312"/>
  <c r="AV312"/>
  <c r="AW312"/>
  <c r="AW334"/>
  <c r="AT334"/>
  <c r="AV334"/>
  <c r="AT299"/>
  <c r="AV299"/>
  <c r="AW299"/>
  <c r="AT156"/>
  <c r="AV156"/>
  <c r="AW156"/>
  <c r="AW316"/>
  <c r="AT316"/>
  <c r="AV316"/>
  <c r="AW100"/>
  <c r="AT100"/>
  <c r="AV100"/>
  <c r="AV469"/>
  <c r="AT469"/>
  <c r="AW469"/>
  <c r="AV481"/>
  <c r="AT481"/>
  <c r="AW481"/>
  <c r="AV470"/>
  <c r="AW470"/>
  <c r="AT470"/>
  <c r="AV326"/>
  <c r="AW326"/>
  <c r="AT326"/>
  <c r="AV295"/>
  <c r="AT295"/>
  <c r="AW295"/>
  <c r="AW201"/>
  <c r="AV201"/>
  <c r="AT201"/>
  <c r="AT144"/>
  <c r="AV144"/>
  <c r="AW144"/>
  <c r="AV504"/>
  <c r="AW504"/>
  <c r="AT504"/>
  <c r="AV338"/>
  <c r="AW338"/>
  <c r="AT338"/>
  <c r="AV97"/>
  <c r="AT97"/>
  <c r="AW97"/>
  <c r="AW512"/>
  <c r="AT512"/>
  <c r="AT210"/>
  <c r="AV210"/>
  <c r="AW210"/>
  <c r="AW154"/>
  <c r="AT154"/>
  <c r="AV154"/>
  <c r="AT119"/>
  <c r="AV119"/>
  <c r="AW119"/>
  <c r="AW52"/>
  <c r="AV52"/>
  <c r="AT52"/>
  <c r="AW166"/>
  <c r="AT166"/>
  <c r="AV166"/>
  <c r="AV199"/>
  <c r="AT199"/>
  <c r="AW199"/>
  <c r="AW28"/>
  <c r="AT28"/>
  <c r="AV28"/>
  <c r="AV511"/>
  <c r="AT511"/>
  <c r="AW511"/>
  <c r="AW417"/>
  <c r="AV417"/>
  <c r="AT417"/>
  <c r="AT192"/>
  <c r="AV192"/>
  <c r="AW192"/>
  <c r="AV372"/>
  <c r="AT372"/>
  <c r="AW372"/>
  <c r="AV428"/>
  <c r="AW428"/>
  <c r="AT428"/>
  <c r="AV175"/>
  <c r="AT175"/>
  <c r="AW175"/>
  <c r="AV67"/>
  <c r="AT67"/>
  <c r="AW67"/>
  <c r="AT246"/>
  <c r="AV246"/>
  <c r="AW246"/>
  <c r="AW190"/>
  <c r="AT190"/>
  <c r="AV190"/>
  <c r="AT155"/>
  <c r="AV155"/>
  <c r="AW155"/>
  <c r="AT114"/>
  <c r="AV114"/>
  <c r="AW114"/>
  <c r="AW33"/>
  <c r="AV33"/>
  <c r="AT33"/>
  <c r="AT54"/>
  <c r="AV54"/>
  <c r="AW54"/>
  <c r="AW351"/>
  <c r="AT351"/>
  <c r="AV351"/>
  <c r="AV194"/>
  <c r="AW194"/>
  <c r="AT194"/>
  <c r="AW460"/>
  <c r="AT460"/>
  <c r="AV460"/>
  <c r="AW465"/>
  <c r="AT465"/>
  <c r="AV465"/>
  <c r="AT59"/>
  <c r="AV59"/>
  <c r="AW59"/>
  <c r="AW472"/>
  <c r="AT472"/>
  <c r="AV472"/>
  <c r="AW437"/>
  <c r="AT437"/>
  <c r="AV437"/>
  <c r="AV236"/>
  <c r="AW236"/>
  <c r="AT236"/>
  <c r="AV170"/>
  <c r="AW170"/>
  <c r="AT170"/>
  <c r="AW261"/>
  <c r="AV261"/>
  <c r="AT261"/>
  <c r="AW183"/>
  <c r="AV183"/>
  <c r="AT183"/>
  <c r="AT300"/>
  <c r="AV300"/>
  <c r="AW300"/>
  <c r="AT132"/>
  <c r="AV132"/>
  <c r="AW132"/>
  <c r="AW473"/>
  <c r="AT473"/>
  <c r="AV473"/>
  <c r="AW369"/>
  <c r="AV369"/>
  <c r="AT369"/>
  <c r="AW315"/>
  <c r="AV315"/>
  <c r="AT315"/>
  <c r="AV422"/>
  <c r="AW422"/>
  <c r="AT422"/>
  <c r="AT366"/>
  <c r="AV366"/>
  <c r="AW366"/>
  <c r="AV290"/>
  <c r="AW290"/>
  <c r="AT290"/>
  <c r="AW381"/>
  <c r="AV381"/>
  <c r="AT381"/>
  <c r="AT450"/>
  <c r="AV450"/>
  <c r="AW450"/>
  <c r="AV476"/>
  <c r="AW476"/>
  <c r="AT476"/>
  <c r="AV356"/>
  <c r="AW356"/>
  <c r="AT356"/>
  <c r="AV266"/>
  <c r="AW266"/>
  <c r="AT266"/>
  <c r="AT294"/>
  <c r="AV294"/>
  <c r="AW294"/>
  <c r="AT311"/>
  <c r="AV311"/>
  <c r="AW311"/>
  <c r="AV229"/>
  <c r="AT229"/>
  <c r="AW229"/>
  <c r="AW202"/>
  <c r="AT202"/>
  <c r="AV202"/>
  <c r="AT168"/>
  <c r="AV168"/>
  <c r="AW168"/>
  <c r="AW112"/>
  <c r="AV112"/>
  <c r="AT112"/>
  <c r="AT77"/>
  <c r="AW77"/>
  <c r="AV77"/>
  <c r="AV479"/>
  <c r="AT479"/>
  <c r="AW479"/>
  <c r="AV499"/>
  <c r="AT499"/>
  <c r="AW499"/>
  <c r="AT72"/>
  <c r="AV72"/>
  <c r="AW72"/>
  <c r="AT186"/>
  <c r="AV186"/>
  <c r="AW186"/>
  <c r="AT198"/>
  <c r="AV198"/>
  <c r="AW198"/>
  <c r="AV319"/>
  <c r="AT319"/>
  <c r="AW319"/>
  <c r="AV151"/>
  <c r="AT151"/>
  <c r="AW151"/>
  <c r="AV212"/>
  <c r="AW212"/>
  <c r="AT212"/>
  <c r="AW489"/>
  <c r="AV489"/>
  <c r="AT489"/>
  <c r="AV456"/>
  <c r="AT456"/>
  <c r="AW456"/>
  <c r="AV359"/>
  <c r="AW359"/>
  <c r="AT359"/>
  <c r="AV325"/>
  <c r="AT325"/>
  <c r="AW325"/>
  <c r="AW250"/>
  <c r="AT250"/>
  <c r="AV250"/>
  <c r="AT204"/>
  <c r="AV204"/>
  <c r="AW204"/>
  <c r="AW148"/>
  <c r="AV148"/>
  <c r="AT148"/>
  <c r="AT113"/>
  <c r="AW113"/>
  <c r="AV113"/>
  <c r="AW87"/>
  <c r="AV87"/>
  <c r="AT87"/>
  <c r="AT318"/>
  <c r="AV318"/>
  <c r="AW318"/>
  <c r="AV169"/>
  <c r="AT169"/>
  <c r="AW169"/>
  <c r="AW495"/>
  <c r="AT495"/>
  <c r="AV495"/>
  <c r="AW484"/>
  <c r="AT484"/>
  <c r="AV484"/>
  <c r="AV332"/>
  <c r="AW332"/>
  <c r="AT332"/>
  <c r="AV384"/>
  <c r="AT384"/>
  <c r="AW384"/>
  <c r="AW394"/>
  <c r="AT394"/>
  <c r="AV394"/>
  <c r="AT71"/>
  <c r="AV71"/>
  <c r="AW71"/>
  <c r="AV307"/>
  <c r="AT307"/>
  <c r="AW307"/>
  <c r="AT35"/>
  <c r="AV35"/>
  <c r="AW35"/>
  <c r="AV206"/>
  <c r="AW206"/>
  <c r="AT206"/>
  <c r="AV457"/>
  <c r="AT457"/>
  <c r="AW457"/>
  <c r="AV421"/>
  <c r="AT421"/>
  <c r="AW421"/>
  <c r="AV444"/>
  <c r="AT444"/>
  <c r="AW444"/>
  <c r="AW370"/>
  <c r="AV370"/>
  <c r="AT370"/>
  <c r="AT335"/>
  <c r="AV335"/>
  <c r="AW335"/>
  <c r="AC163"/>
  <c r="AI163"/>
  <c r="AD163"/>
  <c r="AB163"/>
  <c r="AG163"/>
  <c r="AF163"/>
  <c r="AE163"/>
  <c r="AH163"/>
  <c r="AB420"/>
  <c r="AH420"/>
  <c r="AF420"/>
  <c r="AE420"/>
  <c r="AD420"/>
  <c r="AC420"/>
  <c r="AI420"/>
  <c r="AG420"/>
  <c r="AE111"/>
  <c r="AD111"/>
  <c r="AC111"/>
  <c r="AB111"/>
  <c r="AI111"/>
  <c r="AH111"/>
  <c r="AG111"/>
  <c r="AF111"/>
  <c r="AG503"/>
  <c r="AD503"/>
  <c r="AF503"/>
  <c r="AE503"/>
  <c r="AC503"/>
  <c r="AB503"/>
  <c r="AI503"/>
  <c r="AH503"/>
  <c r="AG143"/>
  <c r="AE143"/>
  <c r="AD143"/>
  <c r="AF143"/>
  <c r="AC143"/>
  <c r="AB143"/>
  <c r="AI143"/>
  <c r="AH143"/>
  <c r="AD416"/>
  <c r="AB416"/>
  <c r="AI416"/>
  <c r="AH416"/>
  <c r="AF416"/>
  <c r="AG416"/>
  <c r="AE416"/>
  <c r="AC416"/>
  <c r="AC34"/>
  <c r="AI34"/>
  <c r="AB34"/>
  <c r="AH34"/>
  <c r="AG34"/>
  <c r="AF34"/>
  <c r="AE34"/>
  <c r="AD34"/>
  <c r="AE60"/>
  <c r="AD60"/>
  <c r="AG60"/>
  <c r="AF60"/>
  <c r="AC60"/>
  <c r="AI60"/>
  <c r="AH60"/>
  <c r="AB60"/>
  <c r="AC493"/>
  <c r="AI493"/>
  <c r="AB493"/>
  <c r="AG493"/>
  <c r="AE493"/>
  <c r="AH493"/>
  <c r="AF493"/>
  <c r="AD493"/>
  <c r="AB324"/>
  <c r="AH324"/>
  <c r="AG324"/>
  <c r="AF324"/>
  <c r="AC324"/>
  <c r="AI324"/>
  <c r="AE324"/>
  <c r="AD324"/>
  <c r="AF406"/>
  <c r="AC406"/>
  <c r="AI406"/>
  <c r="AG406"/>
  <c r="AB406"/>
  <c r="AH406"/>
  <c r="AE406"/>
  <c r="AD406"/>
  <c r="AD371"/>
  <c r="AC371"/>
  <c r="AI371"/>
  <c r="AG371"/>
  <c r="AF371"/>
  <c r="AB371"/>
  <c r="AE371"/>
  <c r="AH371"/>
  <c r="AC239"/>
  <c r="AI239"/>
  <c r="AB239"/>
  <c r="AH239"/>
  <c r="AD239"/>
  <c r="AG239"/>
  <c r="AE239"/>
  <c r="AF239"/>
  <c r="AF301"/>
  <c r="AE301"/>
  <c r="AD301"/>
  <c r="AG301"/>
  <c r="AC301"/>
  <c r="AB301"/>
  <c r="AI301"/>
  <c r="AH301"/>
  <c r="AG209"/>
  <c r="AC209"/>
  <c r="AB209"/>
  <c r="AI209"/>
  <c r="AF209"/>
  <c r="AE209"/>
  <c r="AD209"/>
  <c r="AH209"/>
  <c r="AC64"/>
  <c r="AI64"/>
  <c r="AB64"/>
  <c r="AH64"/>
  <c r="AG64"/>
  <c r="AF64"/>
  <c r="AE64"/>
  <c r="AD64"/>
  <c r="AF313"/>
  <c r="AE313"/>
  <c r="AD313"/>
  <c r="AG313"/>
  <c r="AC313"/>
  <c r="AB313"/>
  <c r="AI313"/>
  <c r="AH313"/>
  <c r="AG176"/>
  <c r="AH176"/>
  <c r="AF176"/>
  <c r="AB176"/>
  <c r="AI176"/>
  <c r="AE176"/>
  <c r="AD176"/>
  <c r="AC176"/>
  <c r="AC139"/>
  <c r="AI139"/>
  <c r="AH139"/>
  <c r="AG139"/>
  <c r="AE139"/>
  <c r="AD139"/>
  <c r="AB139"/>
  <c r="AF139"/>
  <c r="AD383"/>
  <c r="AC383"/>
  <c r="AI383"/>
  <c r="AF383"/>
  <c r="AH383"/>
  <c r="AG383"/>
  <c r="AE383"/>
  <c r="AB383"/>
  <c r="AB357"/>
  <c r="AH357"/>
  <c r="AG357"/>
  <c r="AC357"/>
  <c r="AF357"/>
  <c r="AI357"/>
  <c r="AE357"/>
  <c r="AD357"/>
  <c r="AB303"/>
  <c r="AH303"/>
  <c r="AG303"/>
  <c r="AF303"/>
  <c r="AC303"/>
  <c r="AI303"/>
  <c r="AE303"/>
  <c r="AD303"/>
  <c r="AC187"/>
  <c r="AI187"/>
  <c r="AF187"/>
  <c r="AE187"/>
  <c r="AH187"/>
  <c r="AG187"/>
  <c r="AD187"/>
  <c r="AB187"/>
  <c r="AC79"/>
  <c r="AI79"/>
  <c r="AB79"/>
  <c r="AH79"/>
  <c r="AG79"/>
  <c r="AF79"/>
  <c r="AE79"/>
  <c r="AD79"/>
  <c r="AB414"/>
  <c r="AH414"/>
  <c r="AD414"/>
  <c r="AC414"/>
  <c r="AI414"/>
  <c r="AG414"/>
  <c r="AF414"/>
  <c r="AE414"/>
  <c r="AE147"/>
  <c r="AB147"/>
  <c r="AI147"/>
  <c r="AH147"/>
  <c r="AF147"/>
  <c r="AD147"/>
  <c r="AC147"/>
  <c r="AG147"/>
  <c r="AD431"/>
  <c r="AE431"/>
  <c r="AC431"/>
  <c r="AB431"/>
  <c r="AI431"/>
  <c r="AH431"/>
  <c r="AG431"/>
  <c r="AF431"/>
  <c r="AB375"/>
  <c r="AH375"/>
  <c r="AG375"/>
  <c r="AC375"/>
  <c r="AF375"/>
  <c r="AI375"/>
  <c r="AE375"/>
  <c r="AD375"/>
  <c r="AD302"/>
  <c r="AC302"/>
  <c r="AI302"/>
  <c r="AB302"/>
  <c r="AH302"/>
  <c r="AG302"/>
  <c r="AF302"/>
  <c r="AE302"/>
  <c r="AC242"/>
  <c r="AI242"/>
  <c r="AB242"/>
  <c r="AH242"/>
  <c r="AF242"/>
  <c r="AE242"/>
  <c r="AD242"/>
  <c r="AG242"/>
  <c r="AG65"/>
  <c r="AF65"/>
  <c r="AC65"/>
  <c r="AB65"/>
  <c r="AI65"/>
  <c r="AH65"/>
  <c r="AE65"/>
  <c r="AD65"/>
  <c r="AB309"/>
  <c r="AH309"/>
  <c r="AG309"/>
  <c r="AF309"/>
  <c r="AC309"/>
  <c r="AI309"/>
  <c r="AE309"/>
  <c r="AD309"/>
  <c r="AC260"/>
  <c r="AI260"/>
  <c r="AB260"/>
  <c r="AH260"/>
  <c r="AF260"/>
  <c r="AE260"/>
  <c r="AD260"/>
  <c r="AG260"/>
  <c r="AC49"/>
  <c r="AI49"/>
  <c r="AB49"/>
  <c r="AH49"/>
  <c r="AE49"/>
  <c r="AD49"/>
  <c r="AG49"/>
  <c r="AF49"/>
  <c r="AG173"/>
  <c r="AC173"/>
  <c r="AB173"/>
  <c r="AI173"/>
  <c r="AD173"/>
  <c r="AH173"/>
  <c r="AF173"/>
  <c r="AE173"/>
  <c r="AB393"/>
  <c r="AH393"/>
  <c r="AG393"/>
  <c r="AC393"/>
  <c r="AI393"/>
  <c r="AF393"/>
  <c r="AE393"/>
  <c r="AD393"/>
  <c r="AB438"/>
  <c r="AH438"/>
  <c r="AF438"/>
  <c r="AE438"/>
  <c r="AD438"/>
  <c r="AC438"/>
  <c r="AI438"/>
  <c r="AG438"/>
  <c r="AE177"/>
  <c r="AG177"/>
  <c r="AF177"/>
  <c r="AC177"/>
  <c r="AB177"/>
  <c r="AI177"/>
  <c r="AH177"/>
  <c r="AD177"/>
  <c r="AC245"/>
  <c r="AI245"/>
  <c r="AB245"/>
  <c r="AH245"/>
  <c r="AG245"/>
  <c r="AF245"/>
  <c r="AE245"/>
  <c r="AD245"/>
  <c r="AG267"/>
  <c r="AH267"/>
  <c r="AF267"/>
  <c r="AE267"/>
  <c r="AB267"/>
  <c r="AI267"/>
  <c r="AD267"/>
  <c r="AC267"/>
  <c r="AE244"/>
  <c r="AD244"/>
  <c r="AH244"/>
  <c r="AG244"/>
  <c r="AF244"/>
  <c r="AC244"/>
  <c r="AI244"/>
  <c r="AB244"/>
  <c r="AE39"/>
  <c r="AD39"/>
  <c r="AC39"/>
  <c r="AB39"/>
  <c r="AI39"/>
  <c r="AH39"/>
  <c r="AG39"/>
  <c r="AF39"/>
  <c r="AE462"/>
  <c r="AC462"/>
  <c r="AI462"/>
  <c r="AB462"/>
  <c r="AD462"/>
  <c r="AH462"/>
  <c r="AG462"/>
  <c r="AF462"/>
  <c r="AF328"/>
  <c r="AE328"/>
  <c r="AD328"/>
  <c r="AG328"/>
  <c r="AC328"/>
  <c r="AB328"/>
  <c r="AI328"/>
  <c r="AH328"/>
  <c r="AD293"/>
  <c r="AC293"/>
  <c r="AI293"/>
  <c r="AB293"/>
  <c r="AH293"/>
  <c r="AG293"/>
  <c r="AF293"/>
  <c r="AE293"/>
  <c r="AB441"/>
  <c r="AH441"/>
  <c r="AD441"/>
  <c r="AC441"/>
  <c r="AI441"/>
  <c r="AG441"/>
  <c r="AF441"/>
  <c r="AE441"/>
  <c r="AB387"/>
  <c r="AH387"/>
  <c r="AG387"/>
  <c r="AE387"/>
  <c r="AC387"/>
  <c r="AD387"/>
  <c r="AI387"/>
  <c r="AF387"/>
  <c r="AC43"/>
  <c r="AI43"/>
  <c r="AB43"/>
  <c r="AH43"/>
  <c r="AG43"/>
  <c r="AF43"/>
  <c r="AE43"/>
  <c r="AD43"/>
  <c r="AG270"/>
  <c r="AE270"/>
  <c r="AD270"/>
  <c r="AC270"/>
  <c r="AF270"/>
  <c r="AB270"/>
  <c r="AI270"/>
  <c r="AH270"/>
  <c r="AC172"/>
  <c r="AI172"/>
  <c r="AD172"/>
  <c r="AB172"/>
  <c r="AH172"/>
  <c r="AG172"/>
  <c r="AF172"/>
  <c r="AE172"/>
  <c r="AC115"/>
  <c r="AI115"/>
  <c r="AF115"/>
  <c r="AE115"/>
  <c r="AD115"/>
  <c r="AB115"/>
  <c r="AH115"/>
  <c r="AG115"/>
  <c r="AG107"/>
  <c r="AF107"/>
  <c r="AI107"/>
  <c r="AH107"/>
  <c r="AE107"/>
  <c r="AD107"/>
  <c r="AC107"/>
  <c r="AB107"/>
  <c r="AB354"/>
  <c r="AH354"/>
  <c r="AG354"/>
  <c r="AI354"/>
  <c r="AF354"/>
  <c r="AE354"/>
  <c r="AD354"/>
  <c r="AC354"/>
  <c r="AD395"/>
  <c r="AC395"/>
  <c r="AI395"/>
  <c r="AE395"/>
  <c r="AB395"/>
  <c r="AH395"/>
  <c r="AG395"/>
  <c r="AF395"/>
  <c r="AD377"/>
  <c r="AC377"/>
  <c r="AI377"/>
  <c r="AE377"/>
  <c r="AH377"/>
  <c r="AB377"/>
  <c r="AG377"/>
  <c r="AF377"/>
  <c r="AD353"/>
  <c r="AC353"/>
  <c r="AI353"/>
  <c r="AG353"/>
  <c r="AF353"/>
  <c r="AB353"/>
  <c r="AE353"/>
  <c r="AH353"/>
  <c r="AB363"/>
  <c r="AH363"/>
  <c r="AG363"/>
  <c r="AI363"/>
  <c r="AD363"/>
  <c r="AF363"/>
  <c r="AE363"/>
  <c r="AC363"/>
  <c r="AF304"/>
  <c r="AE304"/>
  <c r="AD304"/>
  <c r="AG304"/>
  <c r="AC304"/>
  <c r="AB304"/>
  <c r="AI304"/>
  <c r="AH304"/>
  <c r="AE129"/>
  <c r="AB129"/>
  <c r="AI129"/>
  <c r="AH129"/>
  <c r="AG129"/>
  <c r="AF129"/>
  <c r="AD129"/>
  <c r="AC129"/>
  <c r="AB408"/>
  <c r="AH408"/>
  <c r="AI408"/>
  <c r="AE408"/>
  <c r="AG408"/>
  <c r="AF408"/>
  <c r="AD408"/>
  <c r="AC408"/>
  <c r="AF364"/>
  <c r="AE364"/>
  <c r="AI364"/>
  <c r="AH364"/>
  <c r="AG364"/>
  <c r="AD364"/>
  <c r="AC364"/>
  <c r="AB364"/>
  <c r="AD329"/>
  <c r="AC329"/>
  <c r="AI329"/>
  <c r="AB329"/>
  <c r="AH329"/>
  <c r="AG329"/>
  <c r="AF329"/>
  <c r="AE329"/>
  <c r="AB459"/>
  <c r="AH459"/>
  <c r="AD459"/>
  <c r="AC459"/>
  <c r="AI459"/>
  <c r="AG459"/>
  <c r="AF459"/>
  <c r="AE459"/>
  <c r="AB423"/>
  <c r="AH423"/>
  <c r="AD423"/>
  <c r="AC423"/>
  <c r="AI423"/>
  <c r="AG423"/>
  <c r="AF423"/>
  <c r="AE423"/>
  <c r="AB426"/>
  <c r="AH426"/>
  <c r="AI426"/>
  <c r="AE426"/>
  <c r="AG426"/>
  <c r="AF426"/>
  <c r="AD426"/>
  <c r="AC426"/>
  <c r="AC85"/>
  <c r="AI85"/>
  <c r="AB85"/>
  <c r="AH85"/>
  <c r="AE85"/>
  <c r="AD85"/>
  <c r="AG85"/>
  <c r="AF85"/>
  <c r="AG104"/>
  <c r="AF104"/>
  <c r="AE104"/>
  <c r="AD104"/>
  <c r="AC104"/>
  <c r="AB104"/>
  <c r="AI104"/>
  <c r="AH104"/>
  <c r="AC208"/>
  <c r="AI208"/>
  <c r="AD208"/>
  <c r="AB208"/>
  <c r="AE208"/>
  <c r="AH208"/>
  <c r="AG208"/>
  <c r="AF208"/>
  <c r="AC58"/>
  <c r="AI58"/>
  <c r="AB58"/>
  <c r="AH58"/>
  <c r="AE58"/>
  <c r="AD58"/>
  <c r="AG58"/>
  <c r="AF58"/>
  <c r="AF427"/>
  <c r="AH427"/>
  <c r="AG427"/>
  <c r="AE427"/>
  <c r="AD427"/>
  <c r="AC427"/>
  <c r="AB427"/>
  <c r="AI427"/>
  <c r="AF385"/>
  <c r="AE385"/>
  <c r="AC385"/>
  <c r="AH385"/>
  <c r="AB385"/>
  <c r="AI385"/>
  <c r="AG385"/>
  <c r="AD385"/>
  <c r="AE492"/>
  <c r="AD492"/>
  <c r="AC492"/>
  <c r="AB492"/>
  <c r="AI492"/>
  <c r="AH492"/>
  <c r="AG492"/>
  <c r="AF492"/>
  <c r="AD419"/>
  <c r="AG419"/>
  <c r="AF419"/>
  <c r="AE419"/>
  <c r="AC419"/>
  <c r="AB419"/>
  <c r="AI419"/>
  <c r="AH419"/>
  <c r="AF445"/>
  <c r="AH445"/>
  <c r="AE445"/>
  <c r="AD445"/>
  <c r="AG445"/>
  <c r="AC445"/>
  <c r="AB445"/>
  <c r="AI445"/>
  <c r="AF310"/>
  <c r="AE310"/>
  <c r="AD310"/>
  <c r="AG310"/>
  <c r="AC310"/>
  <c r="AB310"/>
  <c r="AI310"/>
  <c r="AH310"/>
  <c r="AG240"/>
  <c r="AF240"/>
  <c r="AD240"/>
  <c r="AC240"/>
  <c r="AB240"/>
  <c r="AI240"/>
  <c r="AE240"/>
  <c r="AH240"/>
  <c r="AC184"/>
  <c r="AI184"/>
  <c r="AH184"/>
  <c r="AG184"/>
  <c r="AB184"/>
  <c r="AF184"/>
  <c r="AE184"/>
  <c r="AD184"/>
  <c r="AG149"/>
  <c r="AH149"/>
  <c r="AF149"/>
  <c r="AB149"/>
  <c r="AI149"/>
  <c r="AE149"/>
  <c r="AD149"/>
  <c r="AC149"/>
  <c r="AE153"/>
  <c r="AD153"/>
  <c r="AC153"/>
  <c r="AI153"/>
  <c r="AH153"/>
  <c r="AG153"/>
  <c r="AF153"/>
  <c r="AB153"/>
  <c r="AE93"/>
  <c r="AD93"/>
  <c r="AC93"/>
  <c r="AB93"/>
  <c r="AI93"/>
  <c r="AH93"/>
  <c r="AG93"/>
  <c r="AF93"/>
  <c r="AC214"/>
  <c r="AI214"/>
  <c r="AF214"/>
  <c r="AE214"/>
  <c r="AH214"/>
  <c r="AG214"/>
  <c r="AD214"/>
  <c r="AB214"/>
  <c r="AE78"/>
  <c r="AD78"/>
  <c r="AG78"/>
  <c r="AF78"/>
  <c r="AC78"/>
  <c r="AI78"/>
  <c r="AH78"/>
  <c r="AB78"/>
  <c r="AC106"/>
  <c r="AI106"/>
  <c r="AB106"/>
  <c r="AH106"/>
  <c r="AG106"/>
  <c r="AF106"/>
  <c r="AE106"/>
  <c r="AD106"/>
  <c r="AG29"/>
  <c r="AF29"/>
  <c r="AC29"/>
  <c r="AB29"/>
  <c r="AI29"/>
  <c r="AH29"/>
  <c r="AE29"/>
  <c r="AD29"/>
  <c r="AG467"/>
  <c r="AF467"/>
  <c r="AE467"/>
  <c r="AC467"/>
  <c r="AI467"/>
  <c r="AD467"/>
  <c r="AB467"/>
  <c r="AH467"/>
  <c r="AC88"/>
  <c r="AI88"/>
  <c r="AB88"/>
  <c r="AH88"/>
  <c r="AG88"/>
  <c r="AF88"/>
  <c r="AE88"/>
  <c r="AD88"/>
  <c r="AF358"/>
  <c r="AE358"/>
  <c r="AC358"/>
  <c r="AB358"/>
  <c r="AI358"/>
  <c r="AH358"/>
  <c r="AG358"/>
  <c r="AD358"/>
  <c r="AG276"/>
  <c r="AH276"/>
  <c r="AF276"/>
  <c r="AE276"/>
  <c r="AB276"/>
  <c r="AI276"/>
  <c r="AD276"/>
  <c r="AC276"/>
  <c r="AE220"/>
  <c r="AD220"/>
  <c r="AB220"/>
  <c r="AI220"/>
  <c r="AH220"/>
  <c r="AG220"/>
  <c r="AF220"/>
  <c r="AC220"/>
  <c r="AG185"/>
  <c r="AH185"/>
  <c r="AF185"/>
  <c r="AD185"/>
  <c r="AC185"/>
  <c r="AB185"/>
  <c r="AI185"/>
  <c r="AE185"/>
  <c r="AG225"/>
  <c r="AF225"/>
  <c r="AH225"/>
  <c r="AE225"/>
  <c r="AD225"/>
  <c r="AC225"/>
  <c r="AB225"/>
  <c r="AI225"/>
  <c r="AE171"/>
  <c r="AD171"/>
  <c r="AC171"/>
  <c r="AH171"/>
  <c r="AG171"/>
  <c r="AF171"/>
  <c r="AB171"/>
  <c r="AI171"/>
  <c r="AB339"/>
  <c r="AH339"/>
  <c r="AG339"/>
  <c r="AF339"/>
  <c r="AC339"/>
  <c r="AI339"/>
  <c r="AE339"/>
  <c r="AD339"/>
  <c r="AE99"/>
  <c r="AD99"/>
  <c r="AI99"/>
  <c r="AH99"/>
  <c r="AG99"/>
  <c r="AF99"/>
  <c r="AC99"/>
  <c r="AB99"/>
  <c r="AE57"/>
  <c r="AD57"/>
  <c r="AC57"/>
  <c r="AB57"/>
  <c r="AI57"/>
  <c r="AH57"/>
  <c r="AG57"/>
  <c r="AF57"/>
  <c r="AB405"/>
  <c r="AH405"/>
  <c r="AD405"/>
  <c r="AC405"/>
  <c r="AI405"/>
  <c r="AG405"/>
  <c r="AF405"/>
  <c r="AE405"/>
  <c r="AF286"/>
  <c r="AE286"/>
  <c r="AD286"/>
  <c r="AG286"/>
  <c r="AC286"/>
  <c r="AB286"/>
  <c r="AI286"/>
  <c r="AH286"/>
  <c r="AF343"/>
  <c r="AE343"/>
  <c r="AD343"/>
  <c r="AG343"/>
  <c r="AC343"/>
  <c r="AB343"/>
  <c r="AI343"/>
  <c r="AH343"/>
  <c r="AE150"/>
  <c r="AG150"/>
  <c r="AF150"/>
  <c r="AC150"/>
  <c r="AB150"/>
  <c r="AI150"/>
  <c r="AH150"/>
  <c r="AD150"/>
  <c r="AB411"/>
  <c r="AH411"/>
  <c r="AF411"/>
  <c r="AC411"/>
  <c r="AE411"/>
  <c r="AD411"/>
  <c r="AI411"/>
  <c r="AG411"/>
  <c r="AD296"/>
  <c r="AC296"/>
  <c r="AI296"/>
  <c r="AB296"/>
  <c r="AH296"/>
  <c r="AG296"/>
  <c r="AF296"/>
  <c r="AE296"/>
  <c r="AC230"/>
  <c r="AI230"/>
  <c r="AB230"/>
  <c r="AH230"/>
  <c r="AD230"/>
  <c r="AG230"/>
  <c r="AF230"/>
  <c r="AE230"/>
  <c r="AE66"/>
  <c r="AD66"/>
  <c r="AC66"/>
  <c r="AB66"/>
  <c r="AI66"/>
  <c r="AH66"/>
  <c r="AG66"/>
  <c r="AF66"/>
  <c r="AC505"/>
  <c r="AI505"/>
  <c r="AB505"/>
  <c r="AF505"/>
  <c r="AE505"/>
  <c r="AH505"/>
  <c r="AG505"/>
  <c r="AD505"/>
  <c r="AF367"/>
  <c r="AE367"/>
  <c r="AC367"/>
  <c r="AB367"/>
  <c r="AH367"/>
  <c r="AI367"/>
  <c r="AG367"/>
  <c r="AD367"/>
  <c r="AB435"/>
  <c r="AH435"/>
  <c r="AI435"/>
  <c r="AG435"/>
  <c r="AF435"/>
  <c r="AE435"/>
  <c r="AD435"/>
  <c r="AC435"/>
  <c r="AF346"/>
  <c r="AE346"/>
  <c r="AI346"/>
  <c r="AH346"/>
  <c r="AG346"/>
  <c r="AD346"/>
  <c r="AC346"/>
  <c r="AB346"/>
  <c r="AC142"/>
  <c r="AI142"/>
  <c r="AF142"/>
  <c r="AE142"/>
  <c r="AB142"/>
  <c r="AH142"/>
  <c r="AG142"/>
  <c r="AD142"/>
  <c r="AD308"/>
  <c r="AC308"/>
  <c r="AI308"/>
  <c r="AB308"/>
  <c r="AH308"/>
  <c r="AG308"/>
  <c r="AF308"/>
  <c r="AE308"/>
  <c r="AE259"/>
  <c r="AD259"/>
  <c r="AF259"/>
  <c r="AC259"/>
  <c r="AB259"/>
  <c r="AG259"/>
  <c r="AI259"/>
  <c r="AH259"/>
  <c r="AC145"/>
  <c r="AI145"/>
  <c r="AD145"/>
  <c r="AB145"/>
  <c r="AH145"/>
  <c r="AG145"/>
  <c r="AF145"/>
  <c r="AE145"/>
  <c r="AC160"/>
  <c r="AI160"/>
  <c r="AF160"/>
  <c r="AE160"/>
  <c r="AH160"/>
  <c r="AG160"/>
  <c r="AD160"/>
  <c r="AB160"/>
  <c r="AE63"/>
  <c r="AD63"/>
  <c r="AI63"/>
  <c r="AH63"/>
  <c r="AG63"/>
  <c r="AF63"/>
  <c r="AC63"/>
  <c r="AB63"/>
  <c r="AG62"/>
  <c r="AF62"/>
  <c r="AI62"/>
  <c r="AH62"/>
  <c r="AE62"/>
  <c r="AD62"/>
  <c r="AC62"/>
  <c r="AB62"/>
  <c r="AE108"/>
  <c r="AD108"/>
  <c r="AI108"/>
  <c r="AH108"/>
  <c r="AG108"/>
  <c r="AF108"/>
  <c r="AC108"/>
  <c r="AB108"/>
  <c r="AG497"/>
  <c r="AF497"/>
  <c r="AC497"/>
  <c r="AE497"/>
  <c r="AD497"/>
  <c r="AI497"/>
  <c r="AB497"/>
  <c r="AH497"/>
  <c r="AB390"/>
  <c r="AH390"/>
  <c r="AG390"/>
  <c r="AI390"/>
  <c r="AE390"/>
  <c r="AD390"/>
  <c r="AF390"/>
  <c r="AC390"/>
  <c r="AE471"/>
  <c r="AC471"/>
  <c r="AD471"/>
  <c r="AI471"/>
  <c r="AG471"/>
  <c r="AB471"/>
  <c r="AH471"/>
  <c r="AF471"/>
  <c r="AB330"/>
  <c r="AH330"/>
  <c r="AG330"/>
  <c r="AF330"/>
  <c r="AC330"/>
  <c r="AI330"/>
  <c r="AE330"/>
  <c r="AD330"/>
  <c r="AD278"/>
  <c r="AC278"/>
  <c r="AI278"/>
  <c r="AB278"/>
  <c r="AH278"/>
  <c r="AG278"/>
  <c r="AE278"/>
  <c r="AF278"/>
  <c r="AD410"/>
  <c r="AG410"/>
  <c r="AF410"/>
  <c r="AE410"/>
  <c r="AC410"/>
  <c r="AB410"/>
  <c r="AI410"/>
  <c r="AH410"/>
  <c r="AE123"/>
  <c r="AG123"/>
  <c r="AF123"/>
  <c r="AD123"/>
  <c r="AI123"/>
  <c r="AH123"/>
  <c r="AC123"/>
  <c r="AB123"/>
  <c r="AG188"/>
  <c r="AE188"/>
  <c r="AD188"/>
  <c r="AB188"/>
  <c r="AI188"/>
  <c r="AH188"/>
  <c r="AF188"/>
  <c r="AC188"/>
  <c r="AG167"/>
  <c r="AH167"/>
  <c r="AF167"/>
  <c r="AI167"/>
  <c r="AE167"/>
  <c r="AD167"/>
  <c r="AC167"/>
  <c r="AB167"/>
  <c r="AE75"/>
  <c r="AD75"/>
  <c r="AC75"/>
  <c r="AB75"/>
  <c r="AI75"/>
  <c r="AH75"/>
  <c r="AG75"/>
  <c r="AF75"/>
  <c r="AG509"/>
  <c r="AF509"/>
  <c r="AE509"/>
  <c r="AC509"/>
  <c r="AH509"/>
  <c r="AD509"/>
  <c r="AI509"/>
  <c r="AB509"/>
  <c r="AD380"/>
  <c r="AC380"/>
  <c r="AI380"/>
  <c r="AG380"/>
  <c r="AE380"/>
  <c r="AB380"/>
  <c r="AF380"/>
  <c r="AH380"/>
  <c r="AD320"/>
  <c r="AC320"/>
  <c r="AI320"/>
  <c r="AB320"/>
  <c r="AH320"/>
  <c r="AG320"/>
  <c r="AF320"/>
  <c r="AE320"/>
  <c r="AC487"/>
  <c r="AI487"/>
  <c r="AB487"/>
  <c r="AF487"/>
  <c r="AE487"/>
  <c r="AH487"/>
  <c r="AG487"/>
  <c r="AD487"/>
  <c r="AC490"/>
  <c r="AI490"/>
  <c r="AH490"/>
  <c r="AE490"/>
  <c r="AB490"/>
  <c r="AF490"/>
  <c r="AG490"/>
  <c r="AD490"/>
  <c r="AG50"/>
  <c r="AF50"/>
  <c r="AE50"/>
  <c r="AD50"/>
  <c r="AC50"/>
  <c r="AB50"/>
  <c r="AI50"/>
  <c r="AH50"/>
  <c r="AC196"/>
  <c r="AI196"/>
  <c r="AF196"/>
  <c r="AE196"/>
  <c r="AB196"/>
  <c r="AH196"/>
  <c r="AG196"/>
  <c r="AD196"/>
  <c r="AE507"/>
  <c r="AI507"/>
  <c r="AH507"/>
  <c r="AG507"/>
  <c r="AD507"/>
  <c r="AC507"/>
  <c r="AB507"/>
  <c r="AF507"/>
  <c r="AE102"/>
  <c r="AD102"/>
  <c r="AC102"/>
  <c r="AB102"/>
  <c r="AI102"/>
  <c r="AH102"/>
  <c r="AG102"/>
  <c r="AF102"/>
  <c r="AG116"/>
  <c r="AE116"/>
  <c r="AD116"/>
  <c r="AC116"/>
  <c r="AI116"/>
  <c r="AH116"/>
  <c r="AF116"/>
  <c r="AB116"/>
  <c r="AF388"/>
  <c r="AE388"/>
  <c r="AG388"/>
  <c r="AB388"/>
  <c r="AD388"/>
  <c r="AC388"/>
  <c r="AI388"/>
  <c r="AH388"/>
  <c r="AG500"/>
  <c r="AF500"/>
  <c r="AH500"/>
  <c r="AC500"/>
  <c r="AE500"/>
  <c r="AD500"/>
  <c r="AI500"/>
  <c r="AB500"/>
  <c r="AG237"/>
  <c r="AF237"/>
  <c r="AB237"/>
  <c r="AI237"/>
  <c r="AH237"/>
  <c r="AE237"/>
  <c r="AC237"/>
  <c r="AD237"/>
  <c r="AD284"/>
  <c r="AC284"/>
  <c r="AI284"/>
  <c r="AB284"/>
  <c r="AH284"/>
  <c r="AG284"/>
  <c r="AF284"/>
  <c r="AE284"/>
  <c r="AG215"/>
  <c r="AE215"/>
  <c r="AD215"/>
  <c r="AB215"/>
  <c r="AI215"/>
  <c r="AH215"/>
  <c r="AF215"/>
  <c r="AC215"/>
  <c r="AE141"/>
  <c r="AG141"/>
  <c r="AF141"/>
  <c r="AI141"/>
  <c r="AH141"/>
  <c r="AD141"/>
  <c r="AC141"/>
  <c r="AB141"/>
  <c r="AE81"/>
  <c r="AD81"/>
  <c r="AI81"/>
  <c r="AH81"/>
  <c r="AG81"/>
  <c r="AF81"/>
  <c r="AC81"/>
  <c r="AB81"/>
  <c r="AD458"/>
  <c r="AE458"/>
  <c r="AB458"/>
  <c r="AC458"/>
  <c r="AI458"/>
  <c r="AH458"/>
  <c r="AG458"/>
  <c r="AF458"/>
  <c r="AD386"/>
  <c r="AC386"/>
  <c r="AI386"/>
  <c r="AE386"/>
  <c r="AB386"/>
  <c r="AH386"/>
  <c r="AG386"/>
  <c r="AF386"/>
  <c r="AD314"/>
  <c r="AC314"/>
  <c r="AI314"/>
  <c r="AB314"/>
  <c r="AH314"/>
  <c r="AG314"/>
  <c r="AF314"/>
  <c r="AE314"/>
  <c r="AE105"/>
  <c r="AD105"/>
  <c r="AG105"/>
  <c r="AF105"/>
  <c r="AC105"/>
  <c r="AI105"/>
  <c r="AH105"/>
  <c r="AB105"/>
  <c r="AG182"/>
  <c r="AC182"/>
  <c r="AB182"/>
  <c r="AI182"/>
  <c r="AF182"/>
  <c r="AE182"/>
  <c r="AD182"/>
  <c r="AH182"/>
  <c r="AE271"/>
  <c r="AD271"/>
  <c r="AC271"/>
  <c r="AB271"/>
  <c r="AI271"/>
  <c r="AH271"/>
  <c r="AG271"/>
  <c r="AF271"/>
  <c r="AD281"/>
  <c r="AC281"/>
  <c r="AI281"/>
  <c r="AB281"/>
  <c r="AH281"/>
  <c r="AG281"/>
  <c r="AF281"/>
  <c r="AE281"/>
  <c r="AC61"/>
  <c r="AI61"/>
  <c r="AB61"/>
  <c r="AH61"/>
  <c r="AG61"/>
  <c r="AF61"/>
  <c r="AE61"/>
  <c r="AD61"/>
  <c r="AD305"/>
  <c r="AC305"/>
  <c r="AI305"/>
  <c r="AB305"/>
  <c r="AH305"/>
  <c r="AG305"/>
  <c r="AF305"/>
  <c r="AE305"/>
  <c r="AD434"/>
  <c r="AB434"/>
  <c r="AI434"/>
  <c r="AH434"/>
  <c r="AG434"/>
  <c r="AE434"/>
  <c r="AF434"/>
  <c r="AC434"/>
  <c r="AG461"/>
  <c r="AF461"/>
  <c r="AC461"/>
  <c r="AE461"/>
  <c r="AD461"/>
  <c r="AI461"/>
  <c r="AB461"/>
  <c r="AH461"/>
  <c r="AE483"/>
  <c r="AD483"/>
  <c r="AC483"/>
  <c r="AB483"/>
  <c r="AG483"/>
  <c r="AI483"/>
  <c r="AH483"/>
  <c r="AF483"/>
  <c r="AF352"/>
  <c r="AE352"/>
  <c r="AG352"/>
  <c r="AB352"/>
  <c r="AD352"/>
  <c r="AC352"/>
  <c r="AI352"/>
  <c r="AH352"/>
  <c r="AG249"/>
  <c r="AF249"/>
  <c r="AD249"/>
  <c r="AC249"/>
  <c r="AB249"/>
  <c r="AI249"/>
  <c r="AE249"/>
  <c r="AH249"/>
  <c r="AE510"/>
  <c r="AD510"/>
  <c r="AC510"/>
  <c r="AH510"/>
  <c r="AG510"/>
  <c r="AI510"/>
  <c r="AB510"/>
  <c r="AF510"/>
  <c r="AF400"/>
  <c r="AH400"/>
  <c r="AG400"/>
  <c r="AE400"/>
  <c r="AD400"/>
  <c r="AC400"/>
  <c r="AB400"/>
  <c r="AI400"/>
  <c r="AD365"/>
  <c r="AC365"/>
  <c r="AI365"/>
  <c r="AH365"/>
  <c r="AF365"/>
  <c r="AG365"/>
  <c r="AE365"/>
  <c r="AB365"/>
  <c r="AG92"/>
  <c r="AF92"/>
  <c r="AC92"/>
  <c r="AB92"/>
  <c r="AI92"/>
  <c r="AH92"/>
  <c r="AE92"/>
  <c r="AD92"/>
  <c r="AD341"/>
  <c r="AC341"/>
  <c r="AI341"/>
  <c r="AB341"/>
  <c r="AH341"/>
  <c r="AG341"/>
  <c r="AF341"/>
  <c r="AE341"/>
  <c r="AF379"/>
  <c r="AE379"/>
  <c r="AG379"/>
  <c r="AD379"/>
  <c r="AB379"/>
  <c r="AC379"/>
  <c r="AI379"/>
  <c r="AH379"/>
  <c r="AD413"/>
  <c r="AE413"/>
  <c r="AC413"/>
  <c r="AI413"/>
  <c r="AB413"/>
  <c r="AH413"/>
  <c r="AG413"/>
  <c r="AF413"/>
  <c r="AF283"/>
  <c r="AE283"/>
  <c r="AD283"/>
  <c r="AG283"/>
  <c r="AC283"/>
  <c r="AB283"/>
  <c r="AI283"/>
  <c r="AH283"/>
  <c r="AE135"/>
  <c r="AD135"/>
  <c r="AC135"/>
  <c r="AB135"/>
  <c r="AI135"/>
  <c r="AH135"/>
  <c r="AG135"/>
  <c r="AF135"/>
  <c r="AG74"/>
  <c r="AF74"/>
  <c r="AC74"/>
  <c r="AB74"/>
  <c r="AI74"/>
  <c r="AH74"/>
  <c r="AE74"/>
  <c r="AD74"/>
  <c r="AF412"/>
  <c r="AE412"/>
  <c r="AD412"/>
  <c r="AC412"/>
  <c r="AI412"/>
  <c r="AB412"/>
  <c r="AH412"/>
  <c r="AG412"/>
  <c r="AB345"/>
  <c r="AH345"/>
  <c r="AG345"/>
  <c r="AI345"/>
  <c r="AF345"/>
  <c r="AD345"/>
  <c r="AE345"/>
  <c r="AC345"/>
  <c r="AE498"/>
  <c r="AD498"/>
  <c r="AC498"/>
  <c r="AB498"/>
  <c r="AI498"/>
  <c r="AH498"/>
  <c r="AG498"/>
  <c r="AF498"/>
  <c r="AF436"/>
  <c r="AH436"/>
  <c r="AE436"/>
  <c r="AD436"/>
  <c r="AG436"/>
  <c r="AC436"/>
  <c r="AB436"/>
  <c r="AI436"/>
  <c r="AD401"/>
  <c r="AG401"/>
  <c r="AE401"/>
  <c r="AC401"/>
  <c r="AF401"/>
  <c r="AB401"/>
  <c r="AI401"/>
  <c r="AH401"/>
  <c r="AG164"/>
  <c r="AC164"/>
  <c r="AB164"/>
  <c r="AI164"/>
  <c r="AH164"/>
  <c r="AF164"/>
  <c r="AE164"/>
  <c r="AD164"/>
  <c r="AG98"/>
  <c r="AF98"/>
  <c r="AI98"/>
  <c r="AH98"/>
  <c r="AE98"/>
  <c r="AD98"/>
  <c r="AC98"/>
  <c r="AB98"/>
  <c r="AF322"/>
  <c r="AE322"/>
  <c r="AD322"/>
  <c r="AG322"/>
  <c r="AC322"/>
  <c r="AB322"/>
  <c r="AI322"/>
  <c r="AH322"/>
  <c r="AF415"/>
  <c r="AC415"/>
  <c r="AI415"/>
  <c r="AH415"/>
  <c r="AG415"/>
  <c r="AB415"/>
  <c r="AE415"/>
  <c r="AD415"/>
  <c r="AG56"/>
  <c r="AF56"/>
  <c r="AC56"/>
  <c r="AB56"/>
  <c r="AI56"/>
  <c r="AH56"/>
  <c r="AE56"/>
  <c r="AD56"/>
  <c r="AE120"/>
  <c r="AB120"/>
  <c r="AI120"/>
  <c r="AH120"/>
  <c r="AG120"/>
  <c r="AF120"/>
  <c r="AD120"/>
  <c r="AC120"/>
  <c r="AG140"/>
  <c r="AH140"/>
  <c r="AF140"/>
  <c r="AI140"/>
  <c r="AE140"/>
  <c r="AD140"/>
  <c r="AC140"/>
  <c r="AB140"/>
  <c r="AG252"/>
  <c r="AF252"/>
  <c r="AH252"/>
  <c r="AE252"/>
  <c r="AD252"/>
  <c r="AC252"/>
  <c r="AI252"/>
  <c r="AB252"/>
  <c r="AE468"/>
  <c r="AB468"/>
  <c r="AD468"/>
  <c r="AI468"/>
  <c r="AC468"/>
  <c r="AH468"/>
  <c r="AG468"/>
  <c r="AF468"/>
  <c r="AC37"/>
  <c r="AI37"/>
  <c r="AB37"/>
  <c r="AH37"/>
  <c r="AG37"/>
  <c r="AF37"/>
  <c r="AE37"/>
  <c r="AD37"/>
  <c r="AE247"/>
  <c r="AD247"/>
  <c r="AB247"/>
  <c r="AI247"/>
  <c r="AH247"/>
  <c r="AG247"/>
  <c r="AC247"/>
  <c r="AF247"/>
  <c r="AC133"/>
  <c r="AI133"/>
  <c r="AF133"/>
  <c r="AE133"/>
  <c r="AD133"/>
  <c r="AB133"/>
  <c r="AH133"/>
  <c r="AG133"/>
  <c r="AB282"/>
  <c r="AH282"/>
  <c r="AG282"/>
  <c r="AF282"/>
  <c r="AC282"/>
  <c r="AI282"/>
  <c r="AE282"/>
  <c r="AD282"/>
  <c r="AE226"/>
  <c r="AD226"/>
  <c r="AH226"/>
  <c r="AG226"/>
  <c r="AF226"/>
  <c r="AC226"/>
  <c r="AB226"/>
  <c r="AI226"/>
  <c r="AG191"/>
  <c r="AC191"/>
  <c r="AB191"/>
  <c r="AI191"/>
  <c r="AH191"/>
  <c r="AF191"/>
  <c r="AE191"/>
  <c r="AD191"/>
  <c r="AD287"/>
  <c r="AC287"/>
  <c r="AI287"/>
  <c r="AB287"/>
  <c r="AH287"/>
  <c r="AG287"/>
  <c r="AF287"/>
  <c r="AE287"/>
  <c r="AG197"/>
  <c r="AE197"/>
  <c r="AD197"/>
  <c r="AF197"/>
  <c r="AC197"/>
  <c r="AB197"/>
  <c r="AI197"/>
  <c r="AH197"/>
  <c r="AG68"/>
  <c r="AF68"/>
  <c r="AE68"/>
  <c r="AD68"/>
  <c r="AC68"/>
  <c r="AB68"/>
  <c r="AI68"/>
  <c r="AH68"/>
  <c r="AC76"/>
  <c r="AI76"/>
  <c r="AB76"/>
  <c r="AH76"/>
  <c r="AE76"/>
  <c r="AD76"/>
  <c r="AG76"/>
  <c r="AF76"/>
  <c r="AB378"/>
  <c r="AH378"/>
  <c r="AG378"/>
  <c r="AE378"/>
  <c r="AD378"/>
  <c r="AC378"/>
  <c r="AI378"/>
  <c r="AF378"/>
  <c r="AC46"/>
  <c r="AI46"/>
  <c r="AB46"/>
  <c r="AH46"/>
  <c r="AG46"/>
  <c r="AF46"/>
  <c r="AE46"/>
  <c r="AD46"/>
  <c r="AG200"/>
  <c r="AC200"/>
  <c r="AB200"/>
  <c r="AI200"/>
  <c r="AD200"/>
  <c r="AH200"/>
  <c r="AF200"/>
  <c r="AE200"/>
  <c r="AG146"/>
  <c r="AC146"/>
  <c r="AB146"/>
  <c r="AI146"/>
  <c r="AD146"/>
  <c r="AH146"/>
  <c r="AF146"/>
  <c r="AE146"/>
  <c r="AG228"/>
  <c r="AF228"/>
  <c r="AB228"/>
  <c r="AI228"/>
  <c r="AH228"/>
  <c r="AE228"/>
  <c r="AD228"/>
  <c r="AC228"/>
  <c r="AE480"/>
  <c r="AB480"/>
  <c r="AD480"/>
  <c r="AI480"/>
  <c r="AH480"/>
  <c r="AG480"/>
  <c r="AC480"/>
  <c r="AF480"/>
  <c r="AG134"/>
  <c r="AE134"/>
  <c r="AD134"/>
  <c r="AC134"/>
  <c r="AI134"/>
  <c r="AH134"/>
  <c r="AF134"/>
  <c r="AB134"/>
  <c r="AD347"/>
  <c r="AC347"/>
  <c r="AI347"/>
  <c r="AH347"/>
  <c r="AG347"/>
  <c r="AF347"/>
  <c r="AE347"/>
  <c r="AB347"/>
  <c r="AC124"/>
  <c r="AI124"/>
  <c r="AF124"/>
  <c r="AE124"/>
  <c r="AD124"/>
  <c r="AB124"/>
  <c r="AH124"/>
  <c r="AG124"/>
  <c r="AD317"/>
  <c r="AC317"/>
  <c r="AI317"/>
  <c r="AB317"/>
  <c r="AH317"/>
  <c r="AG317"/>
  <c r="AF317"/>
  <c r="AE317"/>
  <c r="AF280"/>
  <c r="AE280"/>
  <c r="AD280"/>
  <c r="AG280"/>
  <c r="AC280"/>
  <c r="AB280"/>
  <c r="AI280"/>
  <c r="AH280"/>
  <c r="AC70"/>
  <c r="AI70"/>
  <c r="AB70"/>
  <c r="AH70"/>
  <c r="AG70"/>
  <c r="AF70"/>
  <c r="AE70"/>
  <c r="AD70"/>
  <c r="AD392"/>
  <c r="AC392"/>
  <c r="AI392"/>
  <c r="AH392"/>
  <c r="AG392"/>
  <c r="AF392"/>
  <c r="AE392"/>
  <c r="AB392"/>
  <c r="AF355"/>
  <c r="AE355"/>
  <c r="AI355"/>
  <c r="AD355"/>
  <c r="AH355"/>
  <c r="AG355"/>
  <c r="AC355"/>
  <c r="AB355"/>
  <c r="AG491"/>
  <c r="AF491"/>
  <c r="AE491"/>
  <c r="AD491"/>
  <c r="AC491"/>
  <c r="AI491"/>
  <c r="AB491"/>
  <c r="AH491"/>
  <c r="AE501"/>
  <c r="AI501"/>
  <c r="AB501"/>
  <c r="AD501"/>
  <c r="AC501"/>
  <c r="AH501"/>
  <c r="AG501"/>
  <c r="AF501"/>
  <c r="AB447"/>
  <c r="AH447"/>
  <c r="AF447"/>
  <c r="AE447"/>
  <c r="AD447"/>
  <c r="AI447"/>
  <c r="AC447"/>
  <c r="AG447"/>
  <c r="AF331"/>
  <c r="AE331"/>
  <c r="AD331"/>
  <c r="AG331"/>
  <c r="AC331"/>
  <c r="AB331"/>
  <c r="AI331"/>
  <c r="AH331"/>
  <c r="AC217"/>
  <c r="AI217"/>
  <c r="AD217"/>
  <c r="AB217"/>
  <c r="AG217"/>
  <c r="AF217"/>
  <c r="AE217"/>
  <c r="AH217"/>
  <c r="AG264"/>
  <c r="AF264"/>
  <c r="AB264"/>
  <c r="AI264"/>
  <c r="AH264"/>
  <c r="AC264"/>
  <c r="AE264"/>
  <c r="AD264"/>
  <c r="AD449"/>
  <c r="AE449"/>
  <c r="AI449"/>
  <c r="AC449"/>
  <c r="AB449"/>
  <c r="AH449"/>
  <c r="AG449"/>
  <c r="AF449"/>
  <c r="AC269"/>
  <c r="AI269"/>
  <c r="AF269"/>
  <c r="AE269"/>
  <c r="AD269"/>
  <c r="AH269"/>
  <c r="AG269"/>
  <c r="AB269"/>
  <c r="AF439"/>
  <c r="AE439"/>
  <c r="AB439"/>
  <c r="AH439"/>
  <c r="AD439"/>
  <c r="AC439"/>
  <c r="AI439"/>
  <c r="AG439"/>
  <c r="AC127"/>
  <c r="AI127"/>
  <c r="AD127"/>
  <c r="AB127"/>
  <c r="AH127"/>
  <c r="AG127"/>
  <c r="AF127"/>
  <c r="AE127"/>
  <c r="AC205"/>
  <c r="AI205"/>
  <c r="AF205"/>
  <c r="AE205"/>
  <c r="AG205"/>
  <c r="AD205"/>
  <c r="AB205"/>
  <c r="AH205"/>
  <c r="AC233"/>
  <c r="AI233"/>
  <c r="AB233"/>
  <c r="AH233"/>
  <c r="AF233"/>
  <c r="AE233"/>
  <c r="AD233"/>
  <c r="AG233"/>
  <c r="AG89"/>
  <c r="AF89"/>
  <c r="AI89"/>
  <c r="AH89"/>
  <c r="AE89"/>
  <c r="AD89"/>
  <c r="AC89"/>
  <c r="AB89"/>
  <c r="AC73"/>
  <c r="AI73"/>
  <c r="AB73"/>
  <c r="AH73"/>
  <c r="AG73"/>
  <c r="AF73"/>
  <c r="AE73"/>
  <c r="AD73"/>
  <c r="AC130"/>
  <c r="AI130"/>
  <c r="AH130"/>
  <c r="AG130"/>
  <c r="AF130"/>
  <c r="AE130"/>
  <c r="AD130"/>
  <c r="AB130"/>
  <c r="AG494"/>
  <c r="AF494"/>
  <c r="AD494"/>
  <c r="AC494"/>
  <c r="AE494"/>
  <c r="AI494"/>
  <c r="AB494"/>
  <c r="AH494"/>
  <c r="AF451"/>
  <c r="AC451"/>
  <c r="AB451"/>
  <c r="AH451"/>
  <c r="AI451"/>
  <c r="AG451"/>
  <c r="AE451"/>
  <c r="AD451"/>
  <c r="AE69"/>
  <c r="AD69"/>
  <c r="AG69"/>
  <c r="AF69"/>
  <c r="AC69"/>
  <c r="AI69"/>
  <c r="AH69"/>
  <c r="AB69"/>
  <c r="AG80"/>
  <c r="AF80"/>
  <c r="AI80"/>
  <c r="AH80"/>
  <c r="AE80"/>
  <c r="AD80"/>
  <c r="AC80"/>
  <c r="AB80"/>
  <c r="AF403"/>
  <c r="AE403"/>
  <c r="AD403"/>
  <c r="AC403"/>
  <c r="AB403"/>
  <c r="AI403"/>
  <c r="AH403"/>
  <c r="AG403"/>
  <c r="AF289"/>
  <c r="AE289"/>
  <c r="AD289"/>
  <c r="AG289"/>
  <c r="AC289"/>
  <c r="AB289"/>
  <c r="AI289"/>
  <c r="AH289"/>
  <c r="AE51"/>
  <c r="AD51"/>
  <c r="AG51"/>
  <c r="AF51"/>
  <c r="AC51"/>
  <c r="AI51"/>
  <c r="AH51"/>
  <c r="AB51"/>
  <c r="AF373"/>
  <c r="AE373"/>
  <c r="AI373"/>
  <c r="AD373"/>
  <c r="AH373"/>
  <c r="AG373"/>
  <c r="AC373"/>
  <c r="AB373"/>
  <c r="AC248"/>
  <c r="AI248"/>
  <c r="AB248"/>
  <c r="AH248"/>
  <c r="AD248"/>
  <c r="AG248"/>
  <c r="AE248"/>
  <c r="AF248"/>
  <c r="AE216"/>
  <c r="AD216"/>
  <c r="AC216"/>
  <c r="AF216"/>
  <c r="AB216"/>
  <c r="AI216"/>
  <c r="AH216"/>
  <c r="AG216"/>
  <c r="AE207"/>
  <c r="AD207"/>
  <c r="AC207"/>
  <c r="AI207"/>
  <c r="AH207"/>
  <c r="AG207"/>
  <c r="AF207"/>
  <c r="AB207"/>
  <c r="AD398"/>
  <c r="AC398"/>
  <c r="AI398"/>
  <c r="AG398"/>
  <c r="AF398"/>
  <c r="AE398"/>
  <c r="AB398"/>
  <c r="AH398"/>
  <c r="AG101"/>
  <c r="AF101"/>
  <c r="AC101"/>
  <c r="AB101"/>
  <c r="AI101"/>
  <c r="AH101"/>
  <c r="AE101"/>
  <c r="AD101"/>
  <c r="AC181"/>
  <c r="AI181"/>
  <c r="AD181"/>
  <c r="AB181"/>
  <c r="AE181"/>
  <c r="AH181"/>
  <c r="AG181"/>
  <c r="AF181"/>
  <c r="AC103"/>
  <c r="AI103"/>
  <c r="AB103"/>
  <c r="AH103"/>
  <c r="AE103"/>
  <c r="AD103"/>
  <c r="AG103"/>
  <c r="AF103"/>
  <c r="AB333"/>
  <c r="AH333"/>
  <c r="AG333"/>
  <c r="AF333"/>
  <c r="AC333"/>
  <c r="AI333"/>
  <c r="AE333"/>
  <c r="AD333"/>
  <c r="AD404"/>
  <c r="AE404"/>
  <c r="AC404"/>
  <c r="AI404"/>
  <c r="AH404"/>
  <c r="AB404"/>
  <c r="AG404"/>
  <c r="AF404"/>
  <c r="AC275"/>
  <c r="AI275"/>
  <c r="AH275"/>
  <c r="AG275"/>
  <c r="AF275"/>
  <c r="AE275"/>
  <c r="AD275"/>
  <c r="AB275"/>
  <c r="AE213"/>
  <c r="AG213"/>
  <c r="AF213"/>
  <c r="AH213"/>
  <c r="AD213"/>
  <c r="AC213"/>
  <c r="AB213"/>
  <c r="AI213"/>
  <c r="AE159"/>
  <c r="AG159"/>
  <c r="AF159"/>
  <c r="AH159"/>
  <c r="AD159"/>
  <c r="AC159"/>
  <c r="AB159"/>
  <c r="AI159"/>
  <c r="AC31"/>
  <c r="AI31"/>
  <c r="AB31"/>
  <c r="AH31"/>
  <c r="AE31"/>
  <c r="AD31"/>
  <c r="AG31"/>
  <c r="AF31"/>
  <c r="AD452"/>
  <c r="AB452"/>
  <c r="AI452"/>
  <c r="AH452"/>
  <c r="AG452"/>
  <c r="AF452"/>
  <c r="AE452"/>
  <c r="AC452"/>
  <c r="AB327"/>
  <c r="AH327"/>
  <c r="AG327"/>
  <c r="AF327"/>
  <c r="AC327"/>
  <c r="AI327"/>
  <c r="AE327"/>
  <c r="AD327"/>
  <c r="AG179"/>
  <c r="AE179"/>
  <c r="AD179"/>
  <c r="AI179"/>
  <c r="AH179"/>
  <c r="AF179"/>
  <c r="AC179"/>
  <c r="AB179"/>
  <c r="AC91"/>
  <c r="AI91"/>
  <c r="AB91"/>
  <c r="AH91"/>
  <c r="AG91"/>
  <c r="AF91"/>
  <c r="AE91"/>
  <c r="AD91"/>
  <c r="AG161"/>
  <c r="AE161"/>
  <c r="AD161"/>
  <c r="AB161"/>
  <c r="AI161"/>
  <c r="AH161"/>
  <c r="AF161"/>
  <c r="AC161"/>
  <c r="AF397"/>
  <c r="AE397"/>
  <c r="AG397"/>
  <c r="AB397"/>
  <c r="AD397"/>
  <c r="AC397"/>
  <c r="AI397"/>
  <c r="AH397"/>
  <c r="AC193"/>
  <c r="AI193"/>
  <c r="AH193"/>
  <c r="AG193"/>
  <c r="AE193"/>
  <c r="AD193"/>
  <c r="AB193"/>
  <c r="AF193"/>
  <c r="AB453"/>
  <c r="AH453"/>
  <c r="AI453"/>
  <c r="AG453"/>
  <c r="AE453"/>
  <c r="AF453"/>
  <c r="AD453"/>
  <c r="AC453"/>
  <c r="AG506"/>
  <c r="AF506"/>
  <c r="AE506"/>
  <c r="AD506"/>
  <c r="AC506"/>
  <c r="AH506"/>
  <c r="AI506"/>
  <c r="AB506"/>
  <c r="AD323"/>
  <c r="AC323"/>
  <c r="AI323"/>
  <c r="AB323"/>
  <c r="AH323"/>
  <c r="AG323"/>
  <c r="AF323"/>
  <c r="AE323"/>
  <c r="AB285"/>
  <c r="AH285"/>
  <c r="AG285"/>
  <c r="AF285"/>
  <c r="AC285"/>
  <c r="AI285"/>
  <c r="AE285"/>
  <c r="AD285"/>
  <c r="AG231"/>
  <c r="AF231"/>
  <c r="AD231"/>
  <c r="AC231"/>
  <c r="AB231"/>
  <c r="AI231"/>
  <c r="AH231"/>
  <c r="AE231"/>
  <c r="AC109"/>
  <c r="AI109"/>
  <c r="AB109"/>
  <c r="AH109"/>
  <c r="AG109"/>
  <c r="AF109"/>
  <c r="AE109"/>
  <c r="AD109"/>
  <c r="AD389"/>
  <c r="AC389"/>
  <c r="AI389"/>
  <c r="AG389"/>
  <c r="AF389"/>
  <c r="AE389"/>
  <c r="AB389"/>
  <c r="AH389"/>
  <c r="AG131"/>
  <c r="AH131"/>
  <c r="AF131"/>
  <c r="AE131"/>
  <c r="AD131"/>
  <c r="AC131"/>
  <c r="AB131"/>
  <c r="AI131"/>
  <c r="AB321"/>
  <c r="AH321"/>
  <c r="AG321"/>
  <c r="AF321"/>
  <c r="AC321"/>
  <c r="AI321"/>
  <c r="AE321"/>
  <c r="AD321"/>
  <c r="AG219"/>
  <c r="AF219"/>
  <c r="AB219"/>
  <c r="AI219"/>
  <c r="AH219"/>
  <c r="AE219"/>
  <c r="AD219"/>
  <c r="AC219"/>
  <c r="AE126"/>
  <c r="AD126"/>
  <c r="AC126"/>
  <c r="AB126"/>
  <c r="AI126"/>
  <c r="AH126"/>
  <c r="AG126"/>
  <c r="AF126"/>
  <c r="AG203"/>
  <c r="AH203"/>
  <c r="AF203"/>
  <c r="AB203"/>
  <c r="AI203"/>
  <c r="AE203"/>
  <c r="AD203"/>
  <c r="AC203"/>
  <c r="AC94"/>
  <c r="AI94"/>
  <c r="AB94"/>
  <c r="AH94"/>
  <c r="AE94"/>
  <c r="AD94"/>
  <c r="AG94"/>
  <c r="AF94"/>
  <c r="AE96"/>
  <c r="AD96"/>
  <c r="AG96"/>
  <c r="AF96"/>
  <c r="AC96"/>
  <c r="AI96"/>
  <c r="AH96"/>
  <c r="AB96"/>
  <c r="AC40"/>
  <c r="AI40"/>
  <c r="AB40"/>
  <c r="AH40"/>
  <c r="AE40"/>
  <c r="AD40"/>
  <c r="AG40"/>
  <c r="AF40"/>
  <c r="AB348"/>
  <c r="AH348"/>
  <c r="AG348"/>
  <c r="AC348"/>
  <c r="AI348"/>
  <c r="AF348"/>
  <c r="AE348"/>
  <c r="AD348"/>
  <c r="AF442"/>
  <c r="AC442"/>
  <c r="AI442"/>
  <c r="AH442"/>
  <c r="AG442"/>
  <c r="AB442"/>
  <c r="AE442"/>
  <c r="AD442"/>
  <c r="AD407"/>
  <c r="AB407"/>
  <c r="AI407"/>
  <c r="AH407"/>
  <c r="AG407"/>
  <c r="AF407"/>
  <c r="AE407"/>
  <c r="AC407"/>
  <c r="AE162"/>
  <c r="AD162"/>
  <c r="AC162"/>
  <c r="AF162"/>
  <c r="AB162"/>
  <c r="AI162"/>
  <c r="AH162"/>
  <c r="AG162"/>
  <c r="AG128"/>
  <c r="AC128"/>
  <c r="AB128"/>
  <c r="AI128"/>
  <c r="AH128"/>
  <c r="AF128"/>
  <c r="AE128"/>
  <c r="AD128"/>
  <c r="AG53"/>
  <c r="AF53"/>
  <c r="AI53"/>
  <c r="AH53"/>
  <c r="AE53"/>
  <c r="AD53"/>
  <c r="AC53"/>
  <c r="AB53"/>
  <c r="AF292"/>
  <c r="AE292"/>
  <c r="AD292"/>
  <c r="AG292"/>
  <c r="AC292"/>
  <c r="AB292"/>
  <c r="AI292"/>
  <c r="AH292"/>
  <c r="AG41"/>
  <c r="AF41"/>
  <c r="AE41"/>
  <c r="AD41"/>
  <c r="AC41"/>
  <c r="AB41"/>
  <c r="AI41"/>
  <c r="AH41"/>
  <c r="AE262"/>
  <c r="AD262"/>
  <c r="AH262"/>
  <c r="AG262"/>
  <c r="AF262"/>
  <c r="AI262"/>
  <c r="AB262"/>
  <c r="AC262"/>
  <c r="AC227"/>
  <c r="AI227"/>
  <c r="AB227"/>
  <c r="AH227"/>
  <c r="AG227"/>
  <c r="AF227"/>
  <c r="AE227"/>
  <c r="AD227"/>
  <c r="AG125"/>
  <c r="AE125"/>
  <c r="AD125"/>
  <c r="AC125"/>
  <c r="AI125"/>
  <c r="AH125"/>
  <c r="AF125"/>
  <c r="AB125"/>
  <c r="AG222"/>
  <c r="AF222"/>
  <c r="AD222"/>
  <c r="AC222"/>
  <c r="AB222"/>
  <c r="AI222"/>
  <c r="AH222"/>
  <c r="AE222"/>
  <c r="AE474"/>
  <c r="AC474"/>
  <c r="AD474"/>
  <c r="AG474"/>
  <c r="AI474"/>
  <c r="AB474"/>
  <c r="AH474"/>
  <c r="AF474"/>
  <c r="AE253"/>
  <c r="AD253"/>
  <c r="AH253"/>
  <c r="AG253"/>
  <c r="AF253"/>
  <c r="AC253"/>
  <c r="AI253"/>
  <c r="AB253"/>
  <c r="AD362"/>
  <c r="AC362"/>
  <c r="AI362"/>
  <c r="AG362"/>
  <c r="AF362"/>
  <c r="AB362"/>
  <c r="AE362"/>
  <c r="AH362"/>
  <c r="AG32"/>
  <c r="AF32"/>
  <c r="AE32"/>
  <c r="AD32"/>
  <c r="AC32"/>
  <c r="AB32"/>
  <c r="AI32"/>
  <c r="AH32"/>
  <c r="AB279"/>
  <c r="AH279"/>
  <c r="AG279"/>
  <c r="AF279"/>
  <c r="AC279"/>
  <c r="AI279"/>
  <c r="AE279"/>
  <c r="AD279"/>
  <c r="AD344"/>
  <c r="AC344"/>
  <c r="AI344"/>
  <c r="AG344"/>
  <c r="AF344"/>
  <c r="AE344"/>
  <c r="AB344"/>
  <c r="AH344"/>
  <c r="AF454"/>
  <c r="AH454"/>
  <c r="AG454"/>
  <c r="AE454"/>
  <c r="AD454"/>
  <c r="AC454"/>
  <c r="AB454"/>
  <c r="AI454"/>
  <c r="AE36"/>
  <c r="AD36"/>
  <c r="AI36"/>
  <c r="AH36"/>
  <c r="AG36"/>
  <c r="AF36"/>
  <c r="AC36"/>
  <c r="AB36"/>
  <c r="AG258"/>
  <c r="AF258"/>
  <c r="AD258"/>
  <c r="AC258"/>
  <c r="AB258"/>
  <c r="AE258"/>
  <c r="AH258"/>
  <c r="AI258"/>
  <c r="AG122"/>
  <c r="AH122"/>
  <c r="AF122"/>
  <c r="AE122"/>
  <c r="AD122"/>
  <c r="AC122"/>
  <c r="AB122"/>
  <c r="AI122"/>
  <c r="AD446"/>
  <c r="AG446"/>
  <c r="AF446"/>
  <c r="AI446"/>
  <c r="AE446"/>
  <c r="AC446"/>
  <c r="AB446"/>
  <c r="AH446"/>
  <c r="AD374"/>
  <c r="AC374"/>
  <c r="AI374"/>
  <c r="AH374"/>
  <c r="AF374"/>
  <c r="AG374"/>
  <c r="AE374"/>
  <c r="AB374"/>
  <c r="AE138"/>
  <c r="AB138"/>
  <c r="AI138"/>
  <c r="AH138"/>
  <c r="AC138"/>
  <c r="AG138"/>
  <c r="AF138"/>
  <c r="AD138"/>
  <c r="AC82"/>
  <c r="AI82"/>
  <c r="AB82"/>
  <c r="AH82"/>
  <c r="AG82"/>
  <c r="AF82"/>
  <c r="AE82"/>
  <c r="AD82"/>
  <c r="AG47"/>
  <c r="AF47"/>
  <c r="AC47"/>
  <c r="AB47"/>
  <c r="AI47"/>
  <c r="AH47"/>
  <c r="AE47"/>
  <c r="AD47"/>
  <c r="AE268"/>
  <c r="AG268"/>
  <c r="AF268"/>
  <c r="AD268"/>
  <c r="AH268"/>
  <c r="AC268"/>
  <c r="AB268"/>
  <c r="AI268"/>
  <c r="AG44"/>
  <c r="AF44"/>
  <c r="AI44"/>
  <c r="AH44"/>
  <c r="AE44"/>
  <c r="AD44"/>
  <c r="AC44"/>
  <c r="AB44"/>
  <c r="AC251"/>
  <c r="AI251"/>
  <c r="AB251"/>
  <c r="AH251"/>
  <c r="AF251"/>
  <c r="AE251"/>
  <c r="AD251"/>
  <c r="AG251"/>
  <c r="AC466"/>
  <c r="AI466"/>
  <c r="AH466"/>
  <c r="AB466"/>
  <c r="AG466"/>
  <c r="AF466"/>
  <c r="AE466"/>
  <c r="AD466"/>
  <c r="AC508"/>
  <c r="AI508"/>
  <c r="AB508"/>
  <c r="AH508"/>
  <c r="AD508"/>
  <c r="AF508"/>
  <c r="AG508"/>
  <c r="AE508"/>
  <c r="AC254"/>
  <c r="AI254"/>
  <c r="AB254"/>
  <c r="AH254"/>
  <c r="AG254"/>
  <c r="AF254"/>
  <c r="AE254"/>
  <c r="AD254"/>
  <c r="AE232"/>
  <c r="AD232"/>
  <c r="AF232"/>
  <c r="AC232"/>
  <c r="AB232"/>
  <c r="AI232"/>
  <c r="AH232"/>
  <c r="AG232"/>
  <c r="AB402"/>
  <c r="AH402"/>
  <c r="AF402"/>
  <c r="AE402"/>
  <c r="AD402"/>
  <c r="AC402"/>
  <c r="AI402"/>
  <c r="AG402"/>
  <c r="AC502"/>
  <c r="AI502"/>
  <c r="AB502"/>
  <c r="AH502"/>
  <c r="AE502"/>
  <c r="AG502"/>
  <c r="AF502"/>
  <c r="AD502"/>
  <c r="AE84"/>
  <c r="AD84"/>
  <c r="AC84"/>
  <c r="AB84"/>
  <c r="AI84"/>
  <c r="AH84"/>
  <c r="AG84"/>
  <c r="AF84"/>
  <c r="AB306"/>
  <c r="AH306"/>
  <c r="AG306"/>
  <c r="AF306"/>
  <c r="AC306"/>
  <c r="AI306"/>
  <c r="AE306"/>
  <c r="AD306"/>
  <c r="AC218"/>
  <c r="AI218"/>
  <c r="AB218"/>
  <c r="AH218"/>
  <c r="AG218"/>
  <c r="AF218"/>
  <c r="AE218"/>
  <c r="AD218"/>
  <c r="AD440"/>
  <c r="AE440"/>
  <c r="AC440"/>
  <c r="AI440"/>
  <c r="AB440"/>
  <c r="AH440"/>
  <c r="AG440"/>
  <c r="AF440"/>
  <c r="AE174"/>
  <c r="AB174"/>
  <c r="AI174"/>
  <c r="AH174"/>
  <c r="AF174"/>
  <c r="AD174"/>
  <c r="AC174"/>
  <c r="AG174"/>
  <c r="AC118"/>
  <c r="AI118"/>
  <c r="AD118"/>
  <c r="AB118"/>
  <c r="AH118"/>
  <c r="AG118"/>
  <c r="AF118"/>
  <c r="AE118"/>
  <c r="AG83"/>
  <c r="AF83"/>
  <c r="AC83"/>
  <c r="AB83"/>
  <c r="AI83"/>
  <c r="AH83"/>
  <c r="AE83"/>
  <c r="AD83"/>
  <c r="AE477"/>
  <c r="AD477"/>
  <c r="AI477"/>
  <c r="AH477"/>
  <c r="AC477"/>
  <c r="AG477"/>
  <c r="AB477"/>
  <c r="AF477"/>
  <c r="AE265"/>
  <c r="AB265"/>
  <c r="AI265"/>
  <c r="AH265"/>
  <c r="AG265"/>
  <c r="AC265"/>
  <c r="AF265"/>
  <c r="AD265"/>
  <c r="AG488"/>
  <c r="AF488"/>
  <c r="AE488"/>
  <c r="AD488"/>
  <c r="AC488"/>
  <c r="AI488"/>
  <c r="AB488"/>
  <c r="AH488"/>
  <c r="AD350"/>
  <c r="AC350"/>
  <c r="AI350"/>
  <c r="AE350"/>
  <c r="AB350"/>
  <c r="AH350"/>
  <c r="AG350"/>
  <c r="AF350"/>
  <c r="AD455"/>
  <c r="AG455"/>
  <c r="AB455"/>
  <c r="AF455"/>
  <c r="AE455"/>
  <c r="AC455"/>
  <c r="AI455"/>
  <c r="AH455"/>
  <c r="AF340"/>
  <c r="AE340"/>
  <c r="AD340"/>
  <c r="AG340"/>
  <c r="AB340"/>
  <c r="AC340"/>
  <c r="AI340"/>
  <c r="AH340"/>
  <c r="AD425"/>
  <c r="AB425"/>
  <c r="AI425"/>
  <c r="AH425"/>
  <c r="AF425"/>
  <c r="AG425"/>
  <c r="AE425"/>
  <c r="AC425"/>
  <c r="AC496"/>
  <c r="AI496"/>
  <c r="AH496"/>
  <c r="AF496"/>
  <c r="AE496"/>
  <c r="AB496"/>
  <c r="AG496"/>
  <c r="AD496"/>
  <c r="AC178"/>
  <c r="AI178"/>
  <c r="AF178"/>
  <c r="AE178"/>
  <c r="AG178"/>
  <c r="AD178"/>
  <c r="AB178"/>
  <c r="AH178"/>
  <c r="AC121"/>
  <c r="AI121"/>
  <c r="AH121"/>
  <c r="AG121"/>
  <c r="AF121"/>
  <c r="AE121"/>
  <c r="AD121"/>
  <c r="AB121"/>
  <c r="AE42"/>
  <c r="AD42"/>
  <c r="AG42"/>
  <c r="AF42"/>
  <c r="AC42"/>
  <c r="AI42"/>
  <c r="AH42"/>
  <c r="AB42"/>
  <c r="AE195"/>
  <c r="AG195"/>
  <c r="AF195"/>
  <c r="AI195"/>
  <c r="AH195"/>
  <c r="AD195"/>
  <c r="AC195"/>
  <c r="AB195"/>
  <c r="AG152"/>
  <c r="AE152"/>
  <c r="AD152"/>
  <c r="AI152"/>
  <c r="AH152"/>
  <c r="AF152"/>
  <c r="AC152"/>
  <c r="AB152"/>
  <c r="AG86"/>
  <c r="AF86"/>
  <c r="AE86"/>
  <c r="AD86"/>
  <c r="AC86"/>
  <c r="AB86"/>
  <c r="AI86"/>
  <c r="AH86"/>
  <c r="AC475"/>
  <c r="AI475"/>
  <c r="AB475"/>
  <c r="AH475"/>
  <c r="AG475"/>
  <c r="AF475"/>
  <c r="AE475"/>
  <c r="AD475"/>
  <c r="AF361"/>
  <c r="AE361"/>
  <c r="AG361"/>
  <c r="AB361"/>
  <c r="AD361"/>
  <c r="AC361"/>
  <c r="AI361"/>
  <c r="AH361"/>
  <c r="AG464"/>
  <c r="AF464"/>
  <c r="AE464"/>
  <c r="AC464"/>
  <c r="AD464"/>
  <c r="AI464"/>
  <c r="AB464"/>
  <c r="AH464"/>
  <c r="AE117"/>
  <c r="AD117"/>
  <c r="AC117"/>
  <c r="AB117"/>
  <c r="AI117"/>
  <c r="AH117"/>
  <c r="AG117"/>
  <c r="AF117"/>
  <c r="AF448"/>
  <c r="AE448"/>
  <c r="AD448"/>
  <c r="AC448"/>
  <c r="AI448"/>
  <c r="AB448"/>
  <c r="AH448"/>
  <c r="AG448"/>
  <c r="AG485"/>
  <c r="AE485"/>
  <c r="AC485"/>
  <c r="AF485"/>
  <c r="AD485"/>
  <c r="AI485"/>
  <c r="AB485"/>
  <c r="AH485"/>
  <c r="AE189"/>
  <c r="AD189"/>
  <c r="AC189"/>
  <c r="AF189"/>
  <c r="AB189"/>
  <c r="AI189"/>
  <c r="AH189"/>
  <c r="AG189"/>
  <c r="AE238"/>
  <c r="AD238"/>
  <c r="AB238"/>
  <c r="AI238"/>
  <c r="AH238"/>
  <c r="AG238"/>
  <c r="AC238"/>
  <c r="AF238"/>
  <c r="AE223"/>
  <c r="AD223"/>
  <c r="AF223"/>
  <c r="AC223"/>
  <c r="AB223"/>
  <c r="AI223"/>
  <c r="AH223"/>
  <c r="AG223"/>
  <c r="AE90"/>
  <c r="AD90"/>
  <c r="AI90"/>
  <c r="AH90"/>
  <c r="AG90"/>
  <c r="AF90"/>
  <c r="AC90"/>
  <c r="AB90"/>
  <c r="AB291"/>
  <c r="AH291"/>
  <c r="AG291"/>
  <c r="AF291"/>
  <c r="AC291"/>
  <c r="AI291"/>
  <c r="AE291"/>
  <c r="AD291"/>
  <c r="AC224"/>
  <c r="AI224"/>
  <c r="AB224"/>
  <c r="AH224"/>
  <c r="AF224"/>
  <c r="AE224"/>
  <c r="AD224"/>
  <c r="AG224"/>
  <c r="AG158"/>
  <c r="AH158"/>
  <c r="AF158"/>
  <c r="AD158"/>
  <c r="AC158"/>
  <c r="AB158"/>
  <c r="AI158"/>
  <c r="AE158"/>
  <c r="AE30"/>
  <c r="AD30"/>
  <c r="AC30"/>
  <c r="AB30"/>
  <c r="AI30"/>
  <c r="AH30"/>
  <c r="AG30"/>
  <c r="AF30"/>
  <c r="AF433"/>
  <c r="AC433"/>
  <c r="AI433"/>
  <c r="AG433"/>
  <c r="AE433"/>
  <c r="AB433"/>
  <c r="AH433"/>
  <c r="AD433"/>
  <c r="AE165"/>
  <c r="AB165"/>
  <c r="AI165"/>
  <c r="AH165"/>
  <c r="AC165"/>
  <c r="AG165"/>
  <c r="AF165"/>
  <c r="AD165"/>
  <c r="AF382"/>
  <c r="AE382"/>
  <c r="AI382"/>
  <c r="AH382"/>
  <c r="AG382"/>
  <c r="AD382"/>
  <c r="AC382"/>
  <c r="AB382"/>
  <c r="AG234"/>
  <c r="AF234"/>
  <c r="AH234"/>
  <c r="AE234"/>
  <c r="AD234"/>
  <c r="AC234"/>
  <c r="AB234"/>
  <c r="AI234"/>
  <c r="AE274"/>
  <c r="AB274"/>
  <c r="AI274"/>
  <c r="AH274"/>
  <c r="AG274"/>
  <c r="AC274"/>
  <c r="AF274"/>
  <c r="AD274"/>
  <c r="AG137"/>
  <c r="AC137"/>
  <c r="AB137"/>
  <c r="AI137"/>
  <c r="AH137"/>
  <c r="AF137"/>
  <c r="AE137"/>
  <c r="AD137"/>
  <c r="AE45"/>
  <c r="AD45"/>
  <c r="AI45"/>
  <c r="AH45"/>
  <c r="AG45"/>
  <c r="AF45"/>
  <c r="AC45"/>
  <c r="AB45"/>
  <c r="AC136"/>
  <c r="AI136"/>
  <c r="AD136"/>
  <c r="AB136"/>
  <c r="AG136"/>
  <c r="AF136"/>
  <c r="AE136"/>
  <c r="AH136"/>
  <c r="AF418"/>
  <c r="AH418"/>
  <c r="AD418"/>
  <c r="AG418"/>
  <c r="AE418"/>
  <c r="AC418"/>
  <c r="AB418"/>
  <c r="AI418"/>
  <c r="AB342"/>
  <c r="AH342"/>
  <c r="AG342"/>
  <c r="AF342"/>
  <c r="AC342"/>
  <c r="AI342"/>
  <c r="AE342"/>
  <c r="AD342"/>
  <c r="AE256"/>
  <c r="AD256"/>
  <c r="AB256"/>
  <c r="AI256"/>
  <c r="AH256"/>
  <c r="AC256"/>
  <c r="AG256"/>
  <c r="AF256"/>
  <c r="AC221"/>
  <c r="AI221"/>
  <c r="AB221"/>
  <c r="AH221"/>
  <c r="AD221"/>
  <c r="AG221"/>
  <c r="AF221"/>
  <c r="AE221"/>
  <c r="AB297"/>
  <c r="AH297"/>
  <c r="AG297"/>
  <c r="AF297"/>
  <c r="AC297"/>
  <c r="AI297"/>
  <c r="AE297"/>
  <c r="AD297"/>
  <c r="AG243"/>
  <c r="AF243"/>
  <c r="AH243"/>
  <c r="AE243"/>
  <c r="AD243"/>
  <c r="AC243"/>
  <c r="AI243"/>
  <c r="AB243"/>
  <c r="AG38"/>
  <c r="AF38"/>
  <c r="AC38"/>
  <c r="AB38"/>
  <c r="AI38"/>
  <c r="AH38"/>
  <c r="AE38"/>
  <c r="AD38"/>
  <c r="AF430"/>
  <c r="AE430"/>
  <c r="AD430"/>
  <c r="AC430"/>
  <c r="AI430"/>
  <c r="AB430"/>
  <c r="AH430"/>
  <c r="AG430"/>
  <c r="AE27"/>
  <c r="AD27"/>
  <c r="AI27"/>
  <c r="AH27"/>
  <c r="AG27"/>
  <c r="AF27"/>
  <c r="AC27"/>
  <c r="AB27"/>
  <c r="AB429"/>
  <c r="AH429"/>
  <c r="AF429"/>
  <c r="AC429"/>
  <c r="AI429"/>
  <c r="AE429"/>
  <c r="AD429"/>
  <c r="AG429"/>
  <c r="AC257"/>
  <c r="AI257"/>
  <c r="AB257"/>
  <c r="AH257"/>
  <c r="AD257"/>
  <c r="AE257"/>
  <c r="AG257"/>
  <c r="AF257"/>
  <c r="AC478"/>
  <c r="AI478"/>
  <c r="AB478"/>
  <c r="AH478"/>
  <c r="AG478"/>
  <c r="AF478"/>
  <c r="AE478"/>
  <c r="AD478"/>
  <c r="AD443"/>
  <c r="AB443"/>
  <c r="AI443"/>
  <c r="AH443"/>
  <c r="AG443"/>
  <c r="AF443"/>
  <c r="AE443"/>
  <c r="AC443"/>
  <c r="AC157"/>
  <c r="AI157"/>
  <c r="AH157"/>
  <c r="AG157"/>
  <c r="AB157"/>
  <c r="AF157"/>
  <c r="AE157"/>
  <c r="AD157"/>
  <c r="AB396"/>
  <c r="AH396"/>
  <c r="AG396"/>
  <c r="AE396"/>
  <c r="AC396"/>
  <c r="AD396"/>
  <c r="AI396"/>
  <c r="AF396"/>
  <c r="AC272"/>
  <c r="AI272"/>
  <c r="AD272"/>
  <c r="AB272"/>
  <c r="AH272"/>
  <c r="AE272"/>
  <c r="AG272"/>
  <c r="AF272"/>
  <c r="AF376"/>
  <c r="AE376"/>
  <c r="AC376"/>
  <c r="AB376"/>
  <c r="AH376"/>
  <c r="AI376"/>
  <c r="AG376"/>
  <c r="AD376"/>
  <c r="AG273"/>
  <c r="AC273"/>
  <c r="AB273"/>
  <c r="AI273"/>
  <c r="AH273"/>
  <c r="AF273"/>
  <c r="AE273"/>
  <c r="AD273"/>
  <c r="AE180"/>
  <c r="AD180"/>
  <c r="AC180"/>
  <c r="AI180"/>
  <c r="AH180"/>
  <c r="AG180"/>
  <c r="AF180"/>
  <c r="AB180"/>
  <c r="AG95"/>
  <c r="AF95"/>
  <c r="AE95"/>
  <c r="AD95"/>
  <c r="AC95"/>
  <c r="AB95"/>
  <c r="AI95"/>
  <c r="AH95"/>
  <c r="AE486"/>
  <c r="AD486"/>
  <c r="AC486"/>
  <c r="AI486"/>
  <c r="AG486"/>
  <c r="AB486"/>
  <c r="AH486"/>
  <c r="AF486"/>
  <c r="AG482"/>
  <c r="AD482"/>
  <c r="AC482"/>
  <c r="AF482"/>
  <c r="AE482"/>
  <c r="AI482"/>
  <c r="AB482"/>
  <c r="AH482"/>
  <c r="AB432"/>
  <c r="AH432"/>
  <c r="AD432"/>
  <c r="AC432"/>
  <c r="AI432"/>
  <c r="AG432"/>
  <c r="AF432"/>
  <c r="AE432"/>
  <c r="AB399"/>
  <c r="AH399"/>
  <c r="AG399"/>
  <c r="AI399"/>
  <c r="AF399"/>
  <c r="AE399"/>
  <c r="AD399"/>
  <c r="AC399"/>
  <c r="AE241"/>
  <c r="AD241"/>
  <c r="AF241"/>
  <c r="AC241"/>
  <c r="AB241"/>
  <c r="AI241"/>
  <c r="AG241"/>
  <c r="AH241"/>
  <c r="AF391"/>
  <c r="AE391"/>
  <c r="AI391"/>
  <c r="AH391"/>
  <c r="AG391"/>
  <c r="AD391"/>
  <c r="AC391"/>
  <c r="AB391"/>
  <c r="AF277"/>
  <c r="AE277"/>
  <c r="AD277"/>
  <c r="AG277"/>
  <c r="AC277"/>
  <c r="AB277"/>
  <c r="AI277"/>
  <c r="AH277"/>
  <c r="AB360"/>
  <c r="AH360"/>
  <c r="AG360"/>
  <c r="AE360"/>
  <c r="AD360"/>
  <c r="AC360"/>
  <c r="AI360"/>
  <c r="AF360"/>
  <c r="AF298"/>
  <c r="AE298"/>
  <c r="AD298"/>
  <c r="AG298"/>
  <c r="AC298"/>
  <c r="AB298"/>
  <c r="AI298"/>
  <c r="AH298"/>
  <c r="AC263"/>
  <c r="AI263"/>
  <c r="AB263"/>
  <c r="AH263"/>
  <c r="AG263"/>
  <c r="AF263"/>
  <c r="AE263"/>
  <c r="AD263"/>
  <c r="AE48"/>
  <c r="AD48"/>
  <c r="AC48"/>
  <c r="AB48"/>
  <c r="AI48"/>
  <c r="AH48"/>
  <c r="AG48"/>
  <c r="AF48"/>
  <c r="AG255"/>
  <c r="AF255"/>
  <c r="AB255"/>
  <c r="AI255"/>
  <c r="AH255"/>
  <c r="AE255"/>
  <c r="AC255"/>
  <c r="AD255"/>
  <c r="AF409"/>
  <c r="AH409"/>
  <c r="AG409"/>
  <c r="AE409"/>
  <c r="AD409"/>
  <c r="AC409"/>
  <c r="AB409"/>
  <c r="AI409"/>
  <c r="AE235"/>
  <c r="AD235"/>
  <c r="AH235"/>
  <c r="AG235"/>
  <c r="AF235"/>
  <c r="AC235"/>
  <c r="AI235"/>
  <c r="AB235"/>
  <c r="AD368"/>
  <c r="AC368"/>
  <c r="AI368"/>
  <c r="AE368"/>
  <c r="AB368"/>
  <c r="AH368"/>
  <c r="AG368"/>
  <c r="AF368"/>
  <c r="AF424"/>
  <c r="AC424"/>
  <c r="AI424"/>
  <c r="AH424"/>
  <c r="AB424"/>
  <c r="AG424"/>
  <c r="AE424"/>
  <c r="AD424"/>
  <c r="AB288"/>
  <c r="AH288"/>
  <c r="AG288"/>
  <c r="AF288"/>
  <c r="AC288"/>
  <c r="AI288"/>
  <c r="AE288"/>
  <c r="AD288"/>
  <c r="AC55"/>
  <c r="AI55"/>
  <c r="AB55"/>
  <c r="AH55"/>
  <c r="AG55"/>
  <c r="AF55"/>
  <c r="AE55"/>
  <c r="AD55"/>
  <c r="AC211"/>
  <c r="AI211"/>
  <c r="AH211"/>
  <c r="AG211"/>
  <c r="AB211"/>
  <c r="AF211"/>
  <c r="AE211"/>
  <c r="AD211"/>
  <c r="AB336"/>
  <c r="AH336"/>
  <c r="AG336"/>
  <c r="AF336"/>
  <c r="AC336"/>
  <c r="AI336"/>
  <c r="AE336"/>
  <c r="AD336"/>
  <c r="AG110"/>
  <c r="AF110"/>
  <c r="AC110"/>
  <c r="AB110"/>
  <c r="AI110"/>
  <c r="AH110"/>
  <c r="AE110"/>
  <c r="AD110"/>
  <c r="AF337"/>
  <c r="AE337"/>
  <c r="AD337"/>
  <c r="AG337"/>
  <c r="AC337"/>
  <c r="AB337"/>
  <c r="AI337"/>
  <c r="AH337"/>
  <c r="AC463"/>
  <c r="AI463"/>
  <c r="AB463"/>
  <c r="AH463"/>
  <c r="AF463"/>
  <c r="AG463"/>
  <c r="AE463"/>
  <c r="AD463"/>
  <c r="AF349"/>
  <c r="AE349"/>
  <c r="AC349"/>
  <c r="AH349"/>
  <c r="AB349"/>
  <c r="AI349"/>
  <c r="AG349"/>
  <c r="AD349"/>
  <c r="AB312"/>
  <c r="AH312"/>
  <c r="AG312"/>
  <c r="AF312"/>
  <c r="AC312"/>
  <c r="AI312"/>
  <c r="AE312"/>
  <c r="AD312"/>
  <c r="AF334"/>
  <c r="AE334"/>
  <c r="AD334"/>
  <c r="AG334"/>
  <c r="AC334"/>
  <c r="AB334"/>
  <c r="AI334"/>
  <c r="AH334"/>
  <c r="AD299"/>
  <c r="AC299"/>
  <c r="AI299"/>
  <c r="AB299"/>
  <c r="AH299"/>
  <c r="AG299"/>
  <c r="AF299"/>
  <c r="AE299"/>
  <c r="AE156"/>
  <c r="AB156"/>
  <c r="AI156"/>
  <c r="AH156"/>
  <c r="AG156"/>
  <c r="AF156"/>
  <c r="AD156"/>
  <c r="AC156"/>
  <c r="AF316"/>
  <c r="AE316"/>
  <c r="AD316"/>
  <c r="AG316"/>
  <c r="AC316"/>
  <c r="AB316"/>
  <c r="AI316"/>
  <c r="AH316"/>
  <c r="AC100"/>
  <c r="AI100"/>
  <c r="AB100"/>
  <c r="AH100"/>
  <c r="AG100"/>
  <c r="AF100"/>
  <c r="AE100"/>
  <c r="AD100"/>
  <c r="AC469"/>
  <c r="AI469"/>
  <c r="AB469"/>
  <c r="AH469"/>
  <c r="AG469"/>
  <c r="AF469"/>
  <c r="AE469"/>
  <c r="AD469"/>
  <c r="AC481"/>
  <c r="AI481"/>
  <c r="AB481"/>
  <c r="AH481"/>
  <c r="AG481"/>
  <c r="AF481"/>
  <c r="AE481"/>
  <c r="AD481"/>
  <c r="AG470"/>
  <c r="AF470"/>
  <c r="AD470"/>
  <c r="AI470"/>
  <c r="AE470"/>
  <c r="AC470"/>
  <c r="AB470"/>
  <c r="AH470"/>
  <c r="AD326"/>
  <c r="AC326"/>
  <c r="AI326"/>
  <c r="AB326"/>
  <c r="AH326"/>
  <c r="AG326"/>
  <c r="AF326"/>
  <c r="AE326"/>
  <c r="AF295"/>
  <c r="AE295"/>
  <c r="AD295"/>
  <c r="AG295"/>
  <c r="AC295"/>
  <c r="AB295"/>
  <c r="AI295"/>
  <c r="AH295"/>
  <c r="AE201"/>
  <c r="AB201"/>
  <c r="AI201"/>
  <c r="AH201"/>
  <c r="AF201"/>
  <c r="AD201"/>
  <c r="AC201"/>
  <c r="AG201"/>
  <c r="AE144"/>
  <c r="AD144"/>
  <c r="AC144"/>
  <c r="AH144"/>
  <c r="AG144"/>
  <c r="AF144"/>
  <c r="AB144"/>
  <c r="AI144"/>
  <c r="AE504"/>
  <c r="AD504"/>
  <c r="AC504"/>
  <c r="AF504"/>
  <c r="AB504"/>
  <c r="AI504"/>
  <c r="AH504"/>
  <c r="AG504"/>
  <c r="AD338"/>
  <c r="AC338"/>
  <c r="AI338"/>
  <c r="AB338"/>
  <c r="AH338"/>
  <c r="AG338"/>
  <c r="AF338"/>
  <c r="AE338"/>
  <c r="AC97"/>
  <c r="AI97"/>
  <c r="AB97"/>
  <c r="AH97"/>
  <c r="AG97"/>
  <c r="AF97"/>
  <c r="AE97"/>
  <c r="AD97"/>
  <c r="AG512"/>
  <c r="AF512"/>
  <c r="AE512"/>
  <c r="AD512"/>
  <c r="AI512"/>
  <c r="AB512"/>
  <c r="AC512"/>
  <c r="AH512"/>
  <c r="AE210"/>
  <c r="AB210"/>
  <c r="AI210"/>
  <c r="AH210"/>
  <c r="AG210"/>
  <c r="AF210"/>
  <c r="AD210"/>
  <c r="AC210"/>
  <c r="AC154"/>
  <c r="AI154"/>
  <c r="AD154"/>
  <c r="AB154"/>
  <c r="AE154"/>
  <c r="AH154"/>
  <c r="AG154"/>
  <c r="AF154"/>
  <c r="AG119"/>
  <c r="AC119"/>
  <c r="AB119"/>
  <c r="AI119"/>
  <c r="AH119"/>
  <c r="AF119"/>
  <c r="AE119"/>
  <c r="AD119"/>
  <c r="AC52"/>
  <c r="AI52"/>
  <c r="AB52"/>
  <c r="AH52"/>
  <c r="AG52"/>
  <c r="AF52"/>
  <c r="AE52"/>
  <c r="AD52"/>
  <c r="AC166"/>
  <c r="AI166"/>
  <c r="AH166"/>
  <c r="AG166"/>
  <c r="AE166"/>
  <c r="AD166"/>
  <c r="AB166"/>
  <c r="AF166"/>
  <c r="AC199"/>
  <c r="AI199"/>
  <c r="AD199"/>
  <c r="AB199"/>
  <c r="AH199"/>
  <c r="AG199"/>
  <c r="AF199"/>
  <c r="AE199"/>
  <c r="AC28"/>
  <c r="AI28"/>
  <c r="AB28"/>
  <c r="AH28"/>
  <c r="AG28"/>
  <c r="AF28"/>
  <c r="AE28"/>
  <c r="AD28"/>
  <c r="AC511"/>
  <c r="AI511"/>
  <c r="AB511"/>
  <c r="AD511"/>
  <c r="AH511"/>
  <c r="AF511"/>
  <c r="AE511"/>
  <c r="AG511"/>
  <c r="AB417"/>
  <c r="AH417"/>
  <c r="AI417"/>
  <c r="AG417"/>
  <c r="AF417"/>
  <c r="AD417"/>
  <c r="AE417"/>
  <c r="AC417"/>
  <c r="AE192"/>
  <c r="AB192"/>
  <c r="AI192"/>
  <c r="AH192"/>
  <c r="AC192"/>
  <c r="AG192"/>
  <c r="AF192"/>
  <c r="AD192"/>
  <c r="AB372"/>
  <c r="AH372"/>
  <c r="AG372"/>
  <c r="AI372"/>
  <c r="AF372"/>
  <c r="AE372"/>
  <c r="AD372"/>
  <c r="AC372"/>
  <c r="AD428"/>
  <c r="AG428"/>
  <c r="AF428"/>
  <c r="AE428"/>
  <c r="AC428"/>
  <c r="AB428"/>
  <c r="AI428"/>
  <c r="AH428"/>
  <c r="AC175"/>
  <c r="AI175"/>
  <c r="AH175"/>
  <c r="AG175"/>
  <c r="AF175"/>
  <c r="AE175"/>
  <c r="AD175"/>
  <c r="AB175"/>
  <c r="AC67"/>
  <c r="AI67"/>
  <c r="AB67"/>
  <c r="AH67"/>
  <c r="AE67"/>
  <c r="AD67"/>
  <c r="AG67"/>
  <c r="AF67"/>
  <c r="AG246"/>
  <c r="AF246"/>
  <c r="AB246"/>
  <c r="AI246"/>
  <c r="AH246"/>
  <c r="AE246"/>
  <c r="AC246"/>
  <c r="AD246"/>
  <c r="AC190"/>
  <c r="AI190"/>
  <c r="AD190"/>
  <c r="AB190"/>
  <c r="AG190"/>
  <c r="AF190"/>
  <c r="AE190"/>
  <c r="AH190"/>
  <c r="AG155"/>
  <c r="AC155"/>
  <c r="AB155"/>
  <c r="AI155"/>
  <c r="AF155"/>
  <c r="AE155"/>
  <c r="AD155"/>
  <c r="AH155"/>
  <c r="AE114"/>
  <c r="AD114"/>
  <c r="AG114"/>
  <c r="AF114"/>
  <c r="AC114"/>
  <c r="AI114"/>
  <c r="AH114"/>
  <c r="AB114"/>
  <c r="AE33"/>
  <c r="AD33"/>
  <c r="AG33"/>
  <c r="AF33"/>
  <c r="AC33"/>
  <c r="AI33"/>
  <c r="AH33"/>
  <c r="AB33"/>
  <c r="AE54"/>
  <c r="AD54"/>
  <c r="AI54"/>
  <c r="AH54"/>
  <c r="AG54"/>
  <c r="AF54"/>
  <c r="AC54"/>
  <c r="AB54"/>
  <c r="AB351"/>
  <c r="AH351"/>
  <c r="AG351"/>
  <c r="AE351"/>
  <c r="AD351"/>
  <c r="AC351"/>
  <c r="AI351"/>
  <c r="AF351"/>
  <c r="AG194"/>
  <c r="AH194"/>
  <c r="AF194"/>
  <c r="AI194"/>
  <c r="AE194"/>
  <c r="AD194"/>
  <c r="AC194"/>
  <c r="AB194"/>
  <c r="AC460"/>
  <c r="AI460"/>
  <c r="AB460"/>
  <c r="AH460"/>
  <c r="AG460"/>
  <c r="AF460"/>
  <c r="AE460"/>
  <c r="AD460"/>
  <c r="AE465"/>
  <c r="AD465"/>
  <c r="AI465"/>
  <c r="AH465"/>
  <c r="AC465"/>
  <c r="AB465"/>
  <c r="AG465"/>
  <c r="AF465"/>
  <c r="AG59"/>
  <c r="AF59"/>
  <c r="AE59"/>
  <c r="AD59"/>
  <c r="AC59"/>
  <c r="AB59"/>
  <c r="AI59"/>
  <c r="AH59"/>
  <c r="AC472"/>
  <c r="AI472"/>
  <c r="AB472"/>
  <c r="AH472"/>
  <c r="AG472"/>
  <c r="AF472"/>
  <c r="AE472"/>
  <c r="AD472"/>
  <c r="AD437"/>
  <c r="AG437"/>
  <c r="AF437"/>
  <c r="AB437"/>
  <c r="AE437"/>
  <c r="AI437"/>
  <c r="AC437"/>
  <c r="AH437"/>
  <c r="AC236"/>
  <c r="AI236"/>
  <c r="AB236"/>
  <c r="AH236"/>
  <c r="AG236"/>
  <c r="AF236"/>
  <c r="AE236"/>
  <c r="AD236"/>
  <c r="AG170"/>
  <c r="AE170"/>
  <c r="AD170"/>
  <c r="AF170"/>
  <c r="AC170"/>
  <c r="AB170"/>
  <c r="AI170"/>
  <c r="AH170"/>
  <c r="AG261"/>
  <c r="AF261"/>
  <c r="AH261"/>
  <c r="AE261"/>
  <c r="AD261"/>
  <c r="AI261"/>
  <c r="AC261"/>
  <c r="AB261"/>
  <c r="AE183"/>
  <c r="AB183"/>
  <c r="AI183"/>
  <c r="AH183"/>
  <c r="AG183"/>
  <c r="AF183"/>
  <c r="AD183"/>
  <c r="AC183"/>
  <c r="AB300"/>
  <c r="AH300"/>
  <c r="AG300"/>
  <c r="AF300"/>
  <c r="AC300"/>
  <c r="AI300"/>
  <c r="AE300"/>
  <c r="AD300"/>
  <c r="AE132"/>
  <c r="AG132"/>
  <c r="AF132"/>
  <c r="AD132"/>
  <c r="AI132"/>
  <c r="AH132"/>
  <c r="AC132"/>
  <c r="AB132"/>
  <c r="AG473"/>
  <c r="AF473"/>
  <c r="AD473"/>
  <c r="AC473"/>
  <c r="AE473"/>
  <c r="AI473"/>
  <c r="AB473"/>
  <c r="AH473"/>
  <c r="AB369"/>
  <c r="AH369"/>
  <c r="AG369"/>
  <c r="AE369"/>
  <c r="AD369"/>
  <c r="AC369"/>
  <c r="AI369"/>
  <c r="AF369"/>
  <c r="AB315"/>
  <c r="AH315"/>
  <c r="AG315"/>
  <c r="AF315"/>
  <c r="AC315"/>
  <c r="AI315"/>
  <c r="AE315"/>
  <c r="AD315"/>
  <c r="AD422"/>
  <c r="AE422"/>
  <c r="AC422"/>
  <c r="AI422"/>
  <c r="AH422"/>
  <c r="AB422"/>
  <c r="AG422"/>
  <c r="AF422"/>
  <c r="AB366"/>
  <c r="AH366"/>
  <c r="AG366"/>
  <c r="AC366"/>
  <c r="AF366"/>
  <c r="AI366"/>
  <c r="AE366"/>
  <c r="AD366"/>
  <c r="AD290"/>
  <c r="AC290"/>
  <c r="AI290"/>
  <c r="AB290"/>
  <c r="AH290"/>
  <c r="AG290"/>
  <c r="AF290"/>
  <c r="AE290"/>
  <c r="AB381"/>
  <c r="AH381"/>
  <c r="AG381"/>
  <c r="AI381"/>
  <c r="AF381"/>
  <c r="AE381"/>
  <c r="AD381"/>
  <c r="AC381"/>
  <c r="AB450"/>
  <c r="AH450"/>
  <c r="AD450"/>
  <c r="AC450"/>
  <c r="AG450"/>
  <c r="AF450"/>
  <c r="AI450"/>
  <c r="AE450"/>
  <c r="AG476"/>
  <c r="AE476"/>
  <c r="AD476"/>
  <c r="AC476"/>
  <c r="AF476"/>
  <c r="AI476"/>
  <c r="AB476"/>
  <c r="AH476"/>
  <c r="AD356"/>
  <c r="AC356"/>
  <c r="AI356"/>
  <c r="AH356"/>
  <c r="AF356"/>
  <c r="AG356"/>
  <c r="AE356"/>
  <c r="AB356"/>
  <c r="AC266"/>
  <c r="AI266"/>
  <c r="AH266"/>
  <c r="AG266"/>
  <c r="AF266"/>
  <c r="AE266"/>
  <c r="AD266"/>
  <c r="AB266"/>
  <c r="AB294"/>
  <c r="AH294"/>
  <c r="AG294"/>
  <c r="AF294"/>
  <c r="AC294"/>
  <c r="AI294"/>
  <c r="AE294"/>
  <c r="AD294"/>
  <c r="AD311"/>
  <c r="AC311"/>
  <c r="AI311"/>
  <c r="AB311"/>
  <c r="AH311"/>
  <c r="AG311"/>
  <c r="AF311"/>
  <c r="AE311"/>
  <c r="AE229"/>
  <c r="AD229"/>
  <c r="AB229"/>
  <c r="AI229"/>
  <c r="AH229"/>
  <c r="AG229"/>
  <c r="AF229"/>
  <c r="AC229"/>
  <c r="AC202"/>
  <c r="AI202"/>
  <c r="AH202"/>
  <c r="AG202"/>
  <c r="AF202"/>
  <c r="AE202"/>
  <c r="AD202"/>
  <c r="AB202"/>
  <c r="AE168"/>
  <c r="AG168"/>
  <c r="AF168"/>
  <c r="AI168"/>
  <c r="AH168"/>
  <c r="AD168"/>
  <c r="AC168"/>
  <c r="AB168"/>
  <c r="AC112"/>
  <c r="AI112"/>
  <c r="AB112"/>
  <c r="AH112"/>
  <c r="AE112"/>
  <c r="AD112"/>
  <c r="AG112"/>
  <c r="AF112"/>
  <c r="AG77"/>
  <c r="AF77"/>
  <c r="AE77"/>
  <c r="AD77"/>
  <c r="AC77"/>
  <c r="AB77"/>
  <c r="AI77"/>
  <c r="AH77"/>
  <c r="AG479"/>
  <c r="AF479"/>
  <c r="AE479"/>
  <c r="AC479"/>
  <c r="AD479"/>
  <c r="AI479"/>
  <c r="AB479"/>
  <c r="AH479"/>
  <c r="AC499"/>
  <c r="AI499"/>
  <c r="AB499"/>
  <c r="AG499"/>
  <c r="AE499"/>
  <c r="AH499"/>
  <c r="AF499"/>
  <c r="AD499"/>
  <c r="AE72"/>
  <c r="AD72"/>
  <c r="AI72"/>
  <c r="AH72"/>
  <c r="AG72"/>
  <c r="AF72"/>
  <c r="AC72"/>
  <c r="AB72"/>
  <c r="AE186"/>
  <c r="AG186"/>
  <c r="AF186"/>
  <c r="AH186"/>
  <c r="AD186"/>
  <c r="AC186"/>
  <c r="AB186"/>
  <c r="AI186"/>
  <c r="AE198"/>
  <c r="AD198"/>
  <c r="AC198"/>
  <c r="AH198"/>
  <c r="AG198"/>
  <c r="AF198"/>
  <c r="AB198"/>
  <c r="AI198"/>
  <c r="AF319"/>
  <c r="AE319"/>
  <c r="AD319"/>
  <c r="AG319"/>
  <c r="AC319"/>
  <c r="AB319"/>
  <c r="AI319"/>
  <c r="AH319"/>
  <c r="AC151"/>
  <c r="AI151"/>
  <c r="AF151"/>
  <c r="AE151"/>
  <c r="AG151"/>
  <c r="AD151"/>
  <c r="AB151"/>
  <c r="AH151"/>
  <c r="AG212"/>
  <c r="AH212"/>
  <c r="AF212"/>
  <c r="AD212"/>
  <c r="AC212"/>
  <c r="AB212"/>
  <c r="AI212"/>
  <c r="AE212"/>
  <c r="AE489"/>
  <c r="AD489"/>
  <c r="AI489"/>
  <c r="AH489"/>
  <c r="AC489"/>
  <c r="AG489"/>
  <c r="AB489"/>
  <c r="AF489"/>
  <c r="AB456"/>
  <c r="AH456"/>
  <c r="AF456"/>
  <c r="AE456"/>
  <c r="AD456"/>
  <c r="AC456"/>
  <c r="AI456"/>
  <c r="AG456"/>
  <c r="AD359"/>
  <c r="AC359"/>
  <c r="AI359"/>
  <c r="AE359"/>
  <c r="AB359"/>
  <c r="AH359"/>
  <c r="AG359"/>
  <c r="AF359"/>
  <c r="AF325"/>
  <c r="AE325"/>
  <c r="AD325"/>
  <c r="AG325"/>
  <c r="AC325"/>
  <c r="AB325"/>
  <c r="AI325"/>
  <c r="AH325"/>
  <c r="AE250"/>
  <c r="AD250"/>
  <c r="AF250"/>
  <c r="AC250"/>
  <c r="AB250"/>
  <c r="AI250"/>
  <c r="AG250"/>
  <c r="AH250"/>
  <c r="AE204"/>
  <c r="AG204"/>
  <c r="AF204"/>
  <c r="AC204"/>
  <c r="AB204"/>
  <c r="AI204"/>
  <c r="AH204"/>
  <c r="AD204"/>
  <c r="AC148"/>
  <c r="AI148"/>
  <c r="AH148"/>
  <c r="AG148"/>
  <c r="AF148"/>
  <c r="AE148"/>
  <c r="AD148"/>
  <c r="AB148"/>
  <c r="AG113"/>
  <c r="AF113"/>
  <c r="AE113"/>
  <c r="AD113"/>
  <c r="AC113"/>
  <c r="AB113"/>
  <c r="AI113"/>
  <c r="AH113"/>
  <c r="AE87"/>
  <c r="AD87"/>
  <c r="AG87"/>
  <c r="AF87"/>
  <c r="AC87"/>
  <c r="AI87"/>
  <c r="AH87"/>
  <c r="AB87"/>
  <c r="AB318"/>
  <c r="AH318"/>
  <c r="AG318"/>
  <c r="AF318"/>
  <c r="AC318"/>
  <c r="AI318"/>
  <c r="AE318"/>
  <c r="AD318"/>
  <c r="AC169"/>
  <c r="AI169"/>
  <c r="AF169"/>
  <c r="AE169"/>
  <c r="AB169"/>
  <c r="AH169"/>
  <c r="AG169"/>
  <c r="AD169"/>
  <c r="AE495"/>
  <c r="AD495"/>
  <c r="AI495"/>
  <c r="AC495"/>
  <c r="AH495"/>
  <c r="AB495"/>
  <c r="AG495"/>
  <c r="AF495"/>
  <c r="AC484"/>
  <c r="AI484"/>
  <c r="AH484"/>
  <c r="AF484"/>
  <c r="AB484"/>
  <c r="AG484"/>
  <c r="AE484"/>
  <c r="AD484"/>
  <c r="AD332"/>
  <c r="AC332"/>
  <c r="AI332"/>
  <c r="AB332"/>
  <c r="AH332"/>
  <c r="AG332"/>
  <c r="AF332"/>
  <c r="AE332"/>
  <c r="AB384"/>
  <c r="AH384"/>
  <c r="AG384"/>
  <c r="AC384"/>
  <c r="AF384"/>
  <c r="AI384"/>
  <c r="AE384"/>
  <c r="AD384"/>
  <c r="AF394"/>
  <c r="AE394"/>
  <c r="AC394"/>
  <c r="AB394"/>
  <c r="AI394"/>
  <c r="AH394"/>
  <c r="AG394"/>
  <c r="AD394"/>
  <c r="AG71"/>
  <c r="AF71"/>
  <c r="AI71"/>
  <c r="AH71"/>
  <c r="AE71"/>
  <c r="AD71"/>
  <c r="AC71"/>
  <c r="AB71"/>
  <c r="AF307"/>
  <c r="AE307"/>
  <c r="AD307"/>
  <c r="AG307"/>
  <c r="AC307"/>
  <c r="AB307"/>
  <c r="AI307"/>
  <c r="AH307"/>
  <c r="AG35"/>
  <c r="AF35"/>
  <c r="AI35"/>
  <c r="AH35"/>
  <c r="AE35"/>
  <c r="AD35"/>
  <c r="AC35"/>
  <c r="AB35"/>
  <c r="AG206"/>
  <c r="AE206"/>
  <c r="AD206"/>
  <c r="AI206"/>
  <c r="AH206"/>
  <c r="AF206"/>
  <c r="AC206"/>
  <c r="AB206"/>
  <c r="AF457"/>
  <c r="AE457"/>
  <c r="AD457"/>
  <c r="AH457"/>
  <c r="AC457"/>
  <c r="AI457"/>
  <c r="AB457"/>
  <c r="AG457"/>
  <c r="AF421"/>
  <c r="AE421"/>
  <c r="AC421"/>
  <c r="AB421"/>
  <c r="AD421"/>
  <c r="AI421"/>
  <c r="AH421"/>
  <c r="AG421"/>
  <c r="AB444"/>
  <c r="AH444"/>
  <c r="AI444"/>
  <c r="AG444"/>
  <c r="AD444"/>
  <c r="AF444"/>
  <c r="AE444"/>
  <c r="AC444"/>
  <c r="AF370"/>
  <c r="AE370"/>
  <c r="AG370"/>
  <c r="AD370"/>
  <c r="AB370"/>
  <c r="AC370"/>
  <c r="AI370"/>
  <c r="AH370"/>
  <c r="AD335"/>
  <c r="AC335"/>
  <c r="AI335"/>
  <c r="AB335"/>
  <c r="AH335"/>
  <c r="AG335"/>
  <c r="AF335"/>
  <c r="AE335"/>
  <c r="AL17"/>
  <c r="AP21"/>
  <c r="AL26"/>
  <c r="AP30"/>
  <c r="AL35"/>
  <c r="AP39"/>
  <c r="AL44"/>
  <c r="AP48"/>
  <c r="AL53"/>
  <c r="AP57"/>
  <c r="AL62"/>
  <c r="AP66"/>
  <c r="AL71"/>
  <c r="AP75"/>
  <c r="AL80"/>
  <c r="AP84"/>
  <c r="AL89"/>
  <c r="AP93"/>
  <c r="AL98"/>
  <c r="AP102"/>
  <c r="AL107"/>
  <c r="AP111"/>
  <c r="AL116"/>
  <c r="AP120"/>
  <c r="AL125"/>
  <c r="AP129"/>
  <c r="AL134"/>
  <c r="AP138"/>
  <c r="AL143"/>
  <c r="AP147"/>
  <c r="AL152"/>
  <c r="AP156"/>
  <c r="AL161"/>
  <c r="AP165"/>
  <c r="AL170"/>
  <c r="AP174"/>
  <c r="AL179"/>
  <c r="AP183"/>
  <c r="AL188"/>
  <c r="AP192"/>
  <c r="AL197"/>
  <c r="AP201"/>
  <c r="AK14"/>
  <c r="AO18"/>
  <c r="AK23"/>
  <c r="AO27"/>
  <c r="AK32"/>
  <c r="AO36"/>
  <c r="AK41"/>
  <c r="AO45"/>
  <c r="AK50"/>
  <c r="AO54"/>
  <c r="AK59"/>
  <c r="AO63"/>
  <c r="AK68"/>
  <c r="AO72"/>
  <c r="AK77"/>
  <c r="AO81"/>
  <c r="AK86"/>
  <c r="AO90"/>
  <c r="AK95"/>
  <c r="AO99"/>
  <c r="AK104"/>
  <c r="AO108"/>
  <c r="AK113"/>
  <c r="AO117"/>
  <c r="AK122"/>
  <c r="AO126"/>
  <c r="AK131"/>
  <c r="AO135"/>
  <c r="AK140"/>
  <c r="AO144"/>
  <c r="AK149"/>
  <c r="AO153"/>
  <c r="AK158"/>
  <c r="AO162"/>
  <c r="AK167"/>
  <c r="AO171"/>
  <c r="AK176"/>
  <c r="AO180"/>
  <c r="AK185"/>
  <c r="AO189"/>
  <c r="AK194"/>
  <c r="AO198"/>
  <c r="AK203"/>
  <c r="AN15"/>
  <c r="AJ20"/>
  <c r="AN24"/>
  <c r="AJ29"/>
  <c r="AN33"/>
  <c r="AJ38"/>
  <c r="AN42"/>
  <c r="AJ47"/>
  <c r="AN51"/>
  <c r="AJ56"/>
  <c r="AN60"/>
  <c r="AJ65"/>
  <c r="AN69"/>
  <c r="AJ74"/>
  <c r="AN78"/>
  <c r="AJ83"/>
  <c r="AN87"/>
  <c r="AJ92"/>
  <c r="AN96"/>
  <c r="AJ101"/>
  <c r="AN105"/>
  <c r="AJ110"/>
  <c r="AN114"/>
  <c r="AJ119"/>
  <c r="AN123"/>
  <c r="AJ128"/>
  <c r="AN132"/>
  <c r="AJ137"/>
  <c r="AN141"/>
  <c r="AJ146"/>
  <c r="AN150"/>
  <c r="AJ155"/>
  <c r="AN159"/>
  <c r="AJ164"/>
  <c r="AN168"/>
  <c r="AJ173"/>
  <c r="AN177"/>
  <c r="AJ182"/>
  <c r="AN186"/>
  <c r="AJ191"/>
  <c r="AN195"/>
  <c r="AJ200"/>
  <c r="AN204"/>
  <c r="AQ16"/>
  <c r="AM21"/>
  <c r="AQ25"/>
  <c r="AM30"/>
  <c r="AQ34"/>
  <c r="AM39"/>
  <c r="AQ43"/>
  <c r="AM48"/>
  <c r="AQ52"/>
  <c r="AM57"/>
  <c r="AQ61"/>
  <c r="AM66"/>
  <c r="AQ70"/>
  <c r="AM75"/>
  <c r="AQ79"/>
  <c r="AM84"/>
  <c r="AQ88"/>
  <c r="AM93"/>
  <c r="AQ97"/>
  <c r="AM102"/>
  <c r="AQ106"/>
  <c r="AM111"/>
  <c r="AQ115"/>
  <c r="AM120"/>
  <c r="AQ124"/>
  <c r="AM129"/>
  <c r="AQ133"/>
  <c r="AM138"/>
  <c r="AQ142"/>
  <c r="AM147"/>
  <c r="AQ151"/>
  <c r="AM156"/>
  <c r="AQ160"/>
  <c r="AM165"/>
  <c r="AQ169"/>
  <c r="AM174"/>
  <c r="AQ178"/>
  <c r="AM183"/>
  <c r="AQ187"/>
  <c r="AM192"/>
  <c r="AQ196"/>
  <c r="AM201"/>
  <c r="AN14"/>
  <c r="AJ19"/>
  <c r="AN23"/>
  <c r="AJ28"/>
  <c r="AN32"/>
  <c r="AJ37"/>
  <c r="AN41"/>
  <c r="AJ46"/>
  <c r="AN50"/>
  <c r="AJ55"/>
  <c r="AN59"/>
  <c r="AJ64"/>
  <c r="AN68"/>
  <c r="AJ73"/>
  <c r="AN77"/>
  <c r="AJ82"/>
  <c r="AN86"/>
  <c r="AJ91"/>
  <c r="AN95"/>
  <c r="AJ100"/>
  <c r="AN104"/>
  <c r="AJ109"/>
  <c r="AN113"/>
  <c r="AJ118"/>
  <c r="AN122"/>
  <c r="AJ127"/>
  <c r="AN131"/>
  <c r="AJ136"/>
  <c r="AN140"/>
  <c r="AJ145"/>
  <c r="AN149"/>
  <c r="AJ154"/>
  <c r="AN158"/>
  <c r="AJ163"/>
  <c r="AN167"/>
  <c r="AJ172"/>
  <c r="AN176"/>
  <c r="AJ181"/>
  <c r="AN185"/>
  <c r="AJ190"/>
  <c r="AN194"/>
  <c r="AJ199"/>
  <c r="AN203"/>
  <c r="AO16"/>
  <c r="AK21"/>
  <c r="AO25"/>
  <c r="AK30"/>
  <c r="AO34"/>
  <c r="AK39"/>
  <c r="AO58"/>
  <c r="AO85"/>
  <c r="AO112"/>
  <c r="AO139"/>
  <c r="AO166"/>
  <c r="AO193"/>
  <c r="AM207"/>
  <c r="AQ211"/>
  <c r="AM216"/>
  <c r="AQ220"/>
  <c r="AM225"/>
  <c r="AQ229"/>
  <c r="AM234"/>
  <c r="AQ238"/>
  <c r="AM243"/>
  <c r="AQ247"/>
  <c r="AM252"/>
  <c r="AQ256"/>
  <c r="AM261"/>
  <c r="AQ265"/>
  <c r="AM270"/>
  <c r="AQ274"/>
  <c r="AM279"/>
  <c r="AQ283"/>
  <c r="AM288"/>
  <c r="AQ292"/>
  <c r="AM297"/>
  <c r="AM44"/>
  <c r="AM71"/>
  <c r="AM98"/>
  <c r="AM125"/>
  <c r="AM152"/>
  <c r="AM179"/>
  <c r="AJ205"/>
  <c r="AN209"/>
  <c r="AJ214"/>
  <c r="AN218"/>
  <c r="AN16"/>
  <c r="AJ21"/>
  <c r="AN25"/>
  <c r="AJ30"/>
  <c r="AN34"/>
  <c r="AJ39"/>
  <c r="AN43"/>
  <c r="AJ48"/>
  <c r="AN52"/>
  <c r="AJ57"/>
  <c r="AN61"/>
  <c r="AJ66"/>
  <c r="AN70"/>
  <c r="AJ75"/>
  <c r="AN79"/>
  <c r="AJ84"/>
  <c r="AN88"/>
  <c r="AJ93"/>
  <c r="AN97"/>
  <c r="AJ102"/>
  <c r="AN106"/>
  <c r="AJ111"/>
  <c r="AN115"/>
  <c r="AJ120"/>
  <c r="AN124"/>
  <c r="AJ129"/>
  <c r="AN133"/>
  <c r="AJ138"/>
  <c r="AN142"/>
  <c r="AJ147"/>
  <c r="AN151"/>
  <c r="AJ156"/>
  <c r="AN160"/>
  <c r="AJ165"/>
  <c r="AN169"/>
  <c r="AJ174"/>
  <c r="AN178"/>
  <c r="AJ183"/>
  <c r="AN187"/>
  <c r="AJ192"/>
  <c r="AN196"/>
  <c r="AJ201"/>
  <c r="AM13"/>
  <c r="AQ17"/>
  <c r="AM22"/>
  <c r="AQ26"/>
  <c r="AM31"/>
  <c r="AQ35"/>
  <c r="AM40"/>
  <c r="AQ44"/>
  <c r="AM49"/>
  <c r="AQ53"/>
  <c r="AM58"/>
  <c r="AQ62"/>
  <c r="AM67"/>
  <c r="AQ71"/>
  <c r="AM76"/>
  <c r="AQ80"/>
  <c r="AM85"/>
  <c r="AQ89"/>
  <c r="AM94"/>
  <c r="AQ98"/>
  <c r="AM103"/>
  <c r="AQ107"/>
  <c r="AM112"/>
  <c r="AQ116"/>
  <c r="AM121"/>
  <c r="AQ125"/>
  <c r="AM130"/>
  <c r="AQ134"/>
  <c r="AM139"/>
  <c r="AQ143"/>
  <c r="AM148"/>
  <c r="AP18"/>
  <c r="AP24"/>
  <c r="AL32"/>
  <c r="AL38"/>
  <c r="AP45"/>
  <c r="AP51"/>
  <c r="AL59"/>
  <c r="AL65"/>
  <c r="AP72"/>
  <c r="AP78"/>
  <c r="AL86"/>
  <c r="AL92"/>
  <c r="AP99"/>
  <c r="AP105"/>
  <c r="AL113"/>
  <c r="AL119"/>
  <c r="AP126"/>
  <c r="AP132"/>
  <c r="AL140"/>
  <c r="AL146"/>
  <c r="AP153"/>
  <c r="AP159"/>
  <c r="AL167"/>
  <c r="AL173"/>
  <c r="AP180"/>
  <c r="AP186"/>
  <c r="AL194"/>
  <c r="AL200"/>
  <c r="AO15"/>
  <c r="AO21"/>
  <c r="AK29"/>
  <c r="AK35"/>
  <c r="AO42"/>
  <c r="AO48"/>
  <c r="AK56"/>
  <c r="AK62"/>
  <c r="AO69"/>
  <c r="AO75"/>
  <c r="AK83"/>
  <c r="AK89"/>
  <c r="AO96"/>
  <c r="AO102"/>
  <c r="AK110"/>
  <c r="AK116"/>
  <c r="AO123"/>
  <c r="AO129"/>
  <c r="AK137"/>
  <c r="AK143"/>
  <c r="AO150"/>
  <c r="AQ155"/>
  <c r="AK161"/>
  <c r="AM166"/>
  <c r="AM172"/>
  <c r="AO177"/>
  <c r="AQ182"/>
  <c r="AK188"/>
  <c r="AM193"/>
  <c r="AM199"/>
  <c r="AO204"/>
  <c r="AP17"/>
  <c r="AJ23"/>
  <c r="AL28"/>
  <c r="AL34"/>
  <c r="AN39"/>
  <c r="AP44"/>
  <c r="AJ50"/>
  <c r="AL55"/>
  <c r="AL61"/>
  <c r="AN66"/>
  <c r="AP71"/>
  <c r="AJ77"/>
  <c r="AL82"/>
  <c r="AL88"/>
  <c r="AN93"/>
  <c r="AP98"/>
  <c r="AJ104"/>
  <c r="AL109"/>
  <c r="AL115"/>
  <c r="AN120"/>
  <c r="AP125"/>
  <c r="AJ131"/>
  <c r="AL136"/>
  <c r="AL142"/>
  <c r="AN147"/>
  <c r="AP152"/>
  <c r="AJ158"/>
  <c r="AL163"/>
  <c r="AL169"/>
  <c r="AN174"/>
  <c r="AP179"/>
  <c r="AJ185"/>
  <c r="AL190"/>
  <c r="AL196"/>
  <c r="AN201"/>
  <c r="AO14"/>
  <c r="AQ19"/>
  <c r="AK25"/>
  <c r="AK31"/>
  <c r="AM36"/>
  <c r="AO41"/>
  <c r="AQ46"/>
  <c r="AK52"/>
  <c r="AK58"/>
  <c r="AM63"/>
  <c r="AO68"/>
  <c r="AQ73"/>
  <c r="AK79"/>
  <c r="AK85"/>
  <c r="AM90"/>
  <c r="AO95"/>
  <c r="AQ100"/>
  <c r="AK106"/>
  <c r="AK112"/>
  <c r="AM117"/>
  <c r="AO122"/>
  <c r="AQ127"/>
  <c r="AK133"/>
  <c r="AK139"/>
  <c r="AM144"/>
  <c r="AO149"/>
  <c r="AQ154"/>
  <c r="AK160"/>
  <c r="AK166"/>
  <c r="AM171"/>
  <c r="AO176"/>
  <c r="AQ181"/>
  <c r="AK187"/>
  <c r="AK193"/>
  <c r="AM198"/>
  <c r="AO203"/>
  <c r="AN17"/>
  <c r="AP22"/>
  <c r="AP28"/>
  <c r="AJ34"/>
  <c r="AL39"/>
  <c r="AN44"/>
  <c r="AP49"/>
  <c r="AP55"/>
  <c r="AJ61"/>
  <c r="AL66"/>
  <c r="AN71"/>
  <c r="AP76"/>
  <c r="AP82"/>
  <c r="AJ88"/>
  <c r="AL93"/>
  <c r="AN98"/>
  <c r="AP103"/>
  <c r="AP109"/>
  <c r="AJ115"/>
  <c r="AL120"/>
  <c r="AN125"/>
  <c r="AP130"/>
  <c r="AP136"/>
  <c r="AJ142"/>
  <c r="AL147"/>
  <c r="AN152"/>
  <c r="AP157"/>
  <c r="AP163"/>
  <c r="AJ169"/>
  <c r="AL174"/>
  <c r="AN179"/>
  <c r="AP184"/>
  <c r="AP190"/>
  <c r="AJ196"/>
  <c r="AL201"/>
  <c r="AK15"/>
  <c r="AM20"/>
  <c r="AM26"/>
  <c r="AO31"/>
  <c r="AQ36"/>
  <c r="AO49"/>
  <c r="AK81"/>
  <c r="AK117"/>
  <c r="AO148"/>
  <c r="AK180"/>
  <c r="AQ205"/>
  <c r="AK211"/>
  <c r="AK217"/>
  <c r="AM222"/>
  <c r="AO227"/>
  <c r="AQ232"/>
  <c r="AK238"/>
  <c r="AK244"/>
  <c r="AM249"/>
  <c r="AO254"/>
  <c r="AQ259"/>
  <c r="AK265"/>
  <c r="AK271"/>
  <c r="AM276"/>
  <c r="AO281"/>
  <c r="AQ286"/>
  <c r="AK292"/>
  <c r="AK298"/>
  <c r="AM53"/>
  <c r="AQ84"/>
  <c r="AM116"/>
  <c r="AQ147"/>
  <c r="AQ183"/>
  <c r="AN206"/>
  <c r="AP211"/>
  <c r="AJ217"/>
  <c r="AL222"/>
  <c r="AP226"/>
  <c r="AL231"/>
  <c r="AP235"/>
  <c r="AL240"/>
  <c r="AP244"/>
  <c r="AL249"/>
  <c r="AP253"/>
  <c r="AL258"/>
  <c r="AP262"/>
  <c r="AL267"/>
  <c r="AP271"/>
  <c r="AL276"/>
  <c r="AP280"/>
  <c r="AL285"/>
  <c r="AP289"/>
  <c r="AL294"/>
  <c r="AO61"/>
  <c r="AO88"/>
  <c r="AO115"/>
  <c r="AO142"/>
  <c r="AO169"/>
  <c r="AO196"/>
  <c r="AQ207"/>
  <c r="AM212"/>
  <c r="AQ216"/>
  <c r="AM221"/>
  <c r="AQ225"/>
  <c r="AM230"/>
  <c r="AQ234"/>
  <c r="AM239"/>
  <c r="AQ243"/>
  <c r="AM248"/>
  <c r="AQ252"/>
  <c r="AM257"/>
  <c r="AQ261"/>
  <c r="AM266"/>
  <c r="AQ270"/>
  <c r="AM275"/>
  <c r="AQ279"/>
  <c r="AM284"/>
  <c r="AQ288"/>
  <c r="AM293"/>
  <c r="AM56"/>
  <c r="AM83"/>
  <c r="AM110"/>
  <c r="AM137"/>
  <c r="AM164"/>
  <c r="AM191"/>
  <c r="AJ207"/>
  <c r="AN211"/>
  <c r="AJ216"/>
  <c r="AN220"/>
  <c r="AJ225"/>
  <c r="AN229"/>
  <c r="AJ234"/>
  <c r="AN238"/>
  <c r="AJ243"/>
  <c r="AN247"/>
  <c r="AJ252"/>
  <c r="AN256"/>
  <c r="AJ261"/>
  <c r="AN265"/>
  <c r="AJ270"/>
  <c r="AN274"/>
  <c r="AJ279"/>
  <c r="AN283"/>
  <c r="AJ288"/>
  <c r="AN292"/>
  <c r="AQ54"/>
  <c r="AQ81"/>
  <c r="AQ108"/>
  <c r="AQ135"/>
  <c r="AQ162"/>
  <c r="AQ189"/>
  <c r="AP206"/>
  <c r="AL211"/>
  <c r="AP215"/>
  <c r="AL220"/>
  <c r="AP224"/>
  <c r="AL229"/>
  <c r="AP233"/>
  <c r="AL238"/>
  <c r="AP242"/>
  <c r="AL247"/>
  <c r="AP251"/>
  <c r="AL256"/>
  <c r="AP260"/>
  <c r="AL265"/>
  <c r="AP269"/>
  <c r="AL274"/>
  <c r="AP278"/>
  <c r="AL283"/>
  <c r="AP287"/>
  <c r="AL292"/>
  <c r="AP296"/>
  <c r="AL301"/>
  <c r="AP305"/>
  <c r="AL310"/>
  <c r="AP314"/>
  <c r="AL319"/>
  <c r="AP323"/>
  <c r="AL328"/>
  <c r="AP332"/>
  <c r="AL337"/>
  <c r="AP341"/>
  <c r="AL346"/>
  <c r="AP350"/>
  <c r="AL355"/>
  <c r="AP359"/>
  <c r="AL364"/>
  <c r="AP368"/>
  <c r="AO199"/>
  <c r="AQ230"/>
  <c r="AQ257"/>
  <c r="AQ284"/>
  <c r="AL299"/>
  <c r="AK305"/>
  <c r="AN310"/>
  <c r="AQ315"/>
  <c r="AL321"/>
  <c r="AO326"/>
  <c r="AK332"/>
  <c r="AN337"/>
  <c r="AQ342"/>
  <c r="AL348"/>
  <c r="AO353"/>
  <c r="AK359"/>
  <c r="AN364"/>
  <c r="AP369"/>
  <c r="AL374"/>
  <c r="AP378"/>
  <c r="AL383"/>
  <c r="AP387"/>
  <c r="AL392"/>
  <c r="AP396"/>
  <c r="AL401"/>
  <c r="AP405"/>
  <c r="AL410"/>
  <c r="AP414"/>
  <c r="AL419"/>
  <c r="AP423"/>
  <c r="AL428"/>
  <c r="AP432"/>
  <c r="AJ438"/>
  <c r="AN442"/>
  <c r="AJ447"/>
  <c r="AL452"/>
  <c r="AL461"/>
  <c r="AL470"/>
  <c r="AJ480"/>
  <c r="AP489"/>
  <c r="AN499"/>
  <c r="AL509"/>
  <c r="AK141"/>
  <c r="AK221"/>
  <c r="AK248"/>
  <c r="AK275"/>
  <c r="AQ296"/>
  <c r="AK303"/>
  <c r="AN308"/>
  <c r="AQ313"/>
  <c r="AM319"/>
  <c r="AP324"/>
  <c r="AK330"/>
  <c r="AN335"/>
  <c r="AQ340"/>
  <c r="AM346"/>
  <c r="AP351"/>
  <c r="AK357"/>
  <c r="AN362"/>
  <c r="AQ367"/>
  <c r="AO372"/>
  <c r="AK377"/>
  <c r="AO381"/>
  <c r="AK386"/>
  <c r="AO390"/>
  <c r="AK395"/>
  <c r="AO399"/>
  <c r="AK404"/>
  <c r="AO408"/>
  <c r="AK413"/>
  <c r="AO417"/>
  <c r="AK422"/>
  <c r="AO426"/>
  <c r="AK431"/>
  <c r="AO435"/>
  <c r="AK440"/>
  <c r="AO444"/>
  <c r="AK449"/>
  <c r="AO453"/>
  <c r="AK458"/>
  <c r="AO462"/>
  <c r="AK467"/>
  <c r="AO471"/>
  <c r="AK476"/>
  <c r="AO480"/>
  <c r="AO486"/>
  <c r="AO190"/>
  <c r="AM229"/>
  <c r="AM256"/>
  <c r="AM283"/>
  <c r="AP298"/>
  <c r="AP304"/>
  <c r="AK310"/>
  <c r="AO315"/>
  <c r="AJ321"/>
  <c r="AM326"/>
  <c r="AP331"/>
  <c r="AK337"/>
  <c r="AO342"/>
  <c r="AJ348"/>
  <c r="AM353"/>
  <c r="AP358"/>
  <c r="AK364"/>
  <c r="AN369"/>
  <c r="AJ374"/>
  <c r="AN378"/>
  <c r="AJ383"/>
  <c r="AN387"/>
  <c r="AJ392"/>
  <c r="AN396"/>
  <c r="AJ401"/>
  <c r="AN405"/>
  <c r="AJ410"/>
  <c r="AN414"/>
  <c r="AJ419"/>
  <c r="AN423"/>
  <c r="AJ428"/>
  <c r="AN432"/>
  <c r="AJ437"/>
  <c r="AN441"/>
  <c r="AJ446"/>
  <c r="AN450"/>
  <c r="AJ455"/>
  <c r="AN459"/>
  <c r="AJ464"/>
  <c r="AN468"/>
  <c r="AJ473"/>
  <c r="AN477"/>
  <c r="AJ482"/>
  <c r="AN486"/>
  <c r="AJ491"/>
  <c r="AK186"/>
  <c r="AO228"/>
  <c r="AO255"/>
  <c r="AO282"/>
  <c r="AO298"/>
  <c r="AO304"/>
  <c r="AJ310"/>
  <c r="AM315"/>
  <c r="AQ320"/>
  <c r="AL326"/>
  <c r="AO331"/>
  <c r="AJ337"/>
  <c r="AM342"/>
  <c r="AQ347"/>
  <c r="AL353"/>
  <c r="AO358"/>
  <c r="AJ364"/>
  <c r="AM369"/>
  <c r="AQ373"/>
  <c r="AM378"/>
  <c r="AQ382"/>
  <c r="AM387"/>
  <c r="AQ391"/>
  <c r="AM396"/>
  <c r="AQ400"/>
  <c r="AM405"/>
  <c r="AQ409"/>
  <c r="AM414"/>
  <c r="AQ418"/>
  <c r="AM423"/>
  <c r="AQ427"/>
  <c r="AM432"/>
  <c r="AQ436"/>
  <c r="AM441"/>
  <c r="AQ445"/>
  <c r="AM450"/>
  <c r="AQ454"/>
  <c r="AM459"/>
  <c r="AQ463"/>
  <c r="AM468"/>
  <c r="AQ472"/>
  <c r="AM477"/>
  <c r="AK69"/>
  <c r="AK209"/>
  <c r="AK236"/>
  <c r="AK263"/>
  <c r="AK290"/>
  <c r="AO300"/>
  <c r="AK306"/>
  <c r="AN311"/>
  <c r="AQ316"/>
  <c r="AM322"/>
  <c r="AP327"/>
  <c r="AK333"/>
  <c r="AN338"/>
  <c r="AQ343"/>
  <c r="AM349"/>
  <c r="AP354"/>
  <c r="AK360"/>
  <c r="AN365"/>
  <c r="AO370"/>
  <c r="AK375"/>
  <c r="AO379"/>
  <c r="AK384"/>
  <c r="AO388"/>
  <c r="AK393"/>
  <c r="AO397"/>
  <c r="AK402"/>
  <c r="AJ18"/>
  <c r="AJ24"/>
  <c r="AN31"/>
  <c r="AN37"/>
  <c r="AJ45"/>
  <c r="AJ51"/>
  <c r="AN58"/>
  <c r="AN64"/>
  <c r="AJ72"/>
  <c r="AJ78"/>
  <c r="AN85"/>
  <c r="AN91"/>
  <c r="AJ99"/>
  <c r="AJ105"/>
  <c r="AN112"/>
  <c r="AN118"/>
  <c r="AJ126"/>
  <c r="AJ132"/>
  <c r="AN139"/>
  <c r="AN145"/>
  <c r="AJ153"/>
  <c r="AJ159"/>
  <c r="AN166"/>
  <c r="AN172"/>
  <c r="AJ180"/>
  <c r="AJ186"/>
  <c r="AN193"/>
  <c r="AN199"/>
  <c r="AQ14"/>
  <c r="AQ20"/>
  <c r="AM28"/>
  <c r="AM34"/>
  <c r="AQ41"/>
  <c r="AQ47"/>
  <c r="AM55"/>
  <c r="AM61"/>
  <c r="AQ68"/>
  <c r="AQ74"/>
  <c r="AM82"/>
  <c r="AM88"/>
  <c r="AQ95"/>
  <c r="AQ101"/>
  <c r="AM109"/>
  <c r="AM115"/>
  <c r="AQ122"/>
  <c r="AQ128"/>
  <c r="AM136"/>
  <c r="AM142"/>
  <c r="AQ149"/>
  <c r="AK155"/>
  <c r="AM160"/>
  <c r="AO165"/>
  <c r="AQ170"/>
  <c r="AQ176"/>
  <c r="AK182"/>
  <c r="AM187"/>
  <c r="AO192"/>
  <c r="AQ197"/>
  <c r="AQ203"/>
  <c r="AJ17"/>
  <c r="AL22"/>
  <c r="AN27"/>
  <c r="AP32"/>
  <c r="AP38"/>
  <c r="AJ44"/>
  <c r="AL49"/>
  <c r="AN54"/>
  <c r="AP59"/>
  <c r="AP65"/>
  <c r="AJ71"/>
  <c r="AL76"/>
  <c r="AN81"/>
  <c r="AP86"/>
  <c r="AP92"/>
  <c r="AJ98"/>
  <c r="AL103"/>
  <c r="AN108"/>
  <c r="AP113"/>
  <c r="AP119"/>
  <c r="AJ125"/>
  <c r="AL130"/>
  <c r="AN135"/>
  <c r="AP140"/>
  <c r="AP146"/>
  <c r="AJ152"/>
  <c r="AL157"/>
  <c r="AN162"/>
  <c r="AP167"/>
  <c r="AP173"/>
  <c r="AJ179"/>
  <c r="AL184"/>
  <c r="AN189"/>
  <c r="AP194"/>
  <c r="AP200"/>
  <c r="AQ13"/>
  <c r="AK19"/>
  <c r="AM24"/>
  <c r="AO29"/>
  <c r="AO35"/>
  <c r="AQ40"/>
  <c r="AK46"/>
  <c r="AM51"/>
  <c r="AO56"/>
  <c r="AO62"/>
  <c r="AQ67"/>
  <c r="AK73"/>
  <c r="AM78"/>
  <c r="AO83"/>
  <c r="AO89"/>
  <c r="AQ94"/>
  <c r="AK100"/>
  <c r="AM105"/>
  <c r="AO110"/>
  <c r="AO116"/>
  <c r="AQ121"/>
  <c r="AK127"/>
  <c r="AM132"/>
  <c r="AO137"/>
  <c r="AO143"/>
  <c r="AQ148"/>
  <c r="AK154"/>
  <c r="AM159"/>
  <c r="AO164"/>
  <c r="AO170"/>
  <c r="AQ175"/>
  <c r="AK181"/>
  <c r="AM186"/>
  <c r="AO191"/>
  <c r="AO197"/>
  <c r="AQ202"/>
  <c r="AP16"/>
  <c r="AJ22"/>
  <c r="AL27"/>
  <c r="AL33"/>
  <c r="AN38"/>
  <c r="AP43"/>
  <c r="AJ49"/>
  <c r="AL54"/>
  <c r="AL60"/>
  <c r="AN65"/>
  <c r="AP70"/>
  <c r="AJ76"/>
  <c r="AL81"/>
  <c r="AL87"/>
  <c r="AN92"/>
  <c r="AP97"/>
  <c r="AJ103"/>
  <c r="AL108"/>
  <c r="AL114"/>
  <c r="AN119"/>
  <c r="AP124"/>
  <c r="AJ130"/>
  <c r="AL135"/>
  <c r="AL141"/>
  <c r="AN146"/>
  <c r="AP151"/>
  <c r="AJ157"/>
  <c r="AL162"/>
  <c r="AL168"/>
  <c r="AN173"/>
  <c r="AP178"/>
  <c r="AJ184"/>
  <c r="AL189"/>
  <c r="AL195"/>
  <c r="AN200"/>
  <c r="AM14"/>
  <c r="AO19"/>
  <c r="AQ24"/>
  <c r="AQ30"/>
  <c r="AK36"/>
  <c r="AK45"/>
  <c r="AO76"/>
  <c r="AK108"/>
  <c r="AK144"/>
  <c r="AO175"/>
  <c r="AK205"/>
  <c r="AM210"/>
  <c r="AO215"/>
  <c r="AO221"/>
  <c r="AQ226"/>
  <c r="AK232"/>
  <c r="AM237"/>
  <c r="AO242"/>
  <c r="AO248"/>
  <c r="AQ253"/>
  <c r="AK259"/>
  <c r="AM264"/>
  <c r="AO269"/>
  <c r="AO275"/>
  <c r="AQ280"/>
  <c r="AK286"/>
  <c r="AM291"/>
  <c r="AO296"/>
  <c r="AQ48"/>
  <c r="AM80"/>
  <c r="AQ111"/>
  <c r="AM143"/>
  <c r="AQ174"/>
  <c r="AP205"/>
  <c r="AJ211"/>
  <c r="AL216"/>
  <c r="AN221"/>
  <c r="AJ226"/>
  <c r="AN230"/>
  <c r="AJ235"/>
  <c r="AN239"/>
  <c r="AJ244"/>
  <c r="AN248"/>
  <c r="AJ253"/>
  <c r="AN257"/>
  <c r="AJ262"/>
  <c r="AN266"/>
  <c r="AJ271"/>
  <c r="AN275"/>
  <c r="AJ280"/>
  <c r="AN284"/>
  <c r="AJ289"/>
  <c r="AN293"/>
  <c r="AK57"/>
  <c r="AK84"/>
  <c r="AK111"/>
  <c r="AK138"/>
  <c r="AK165"/>
  <c r="AK192"/>
  <c r="AK207"/>
  <c r="AO211"/>
  <c r="AK216"/>
  <c r="AO220"/>
  <c r="AK225"/>
  <c r="AO229"/>
  <c r="AK234"/>
  <c r="AO238"/>
  <c r="AK243"/>
  <c r="AO247"/>
  <c r="AK252"/>
  <c r="AO256"/>
  <c r="AK261"/>
  <c r="AO265"/>
  <c r="AK270"/>
  <c r="AO274"/>
  <c r="AK279"/>
  <c r="AO283"/>
  <c r="AK288"/>
  <c r="AO292"/>
  <c r="AQ51"/>
  <c r="AQ78"/>
  <c r="AQ105"/>
  <c r="AQ132"/>
  <c r="AQ159"/>
  <c r="AQ186"/>
  <c r="AL206"/>
  <c r="AP210"/>
  <c r="AL215"/>
  <c r="AP219"/>
  <c r="AL224"/>
  <c r="AP228"/>
  <c r="AP15"/>
  <c r="AL23"/>
  <c r="AL29"/>
  <c r="AP36"/>
  <c r="AP42"/>
  <c r="AL50"/>
  <c r="AL56"/>
  <c r="AP63"/>
  <c r="AP69"/>
  <c r="AL77"/>
  <c r="AL83"/>
  <c r="AP90"/>
  <c r="AP96"/>
  <c r="AL104"/>
  <c r="AL110"/>
  <c r="AP117"/>
  <c r="AP123"/>
  <c r="AL131"/>
  <c r="AL137"/>
  <c r="AP144"/>
  <c r="AP150"/>
  <c r="AL158"/>
  <c r="AL164"/>
  <c r="AP171"/>
  <c r="AP177"/>
  <c r="AL185"/>
  <c r="AL191"/>
  <c r="AP198"/>
  <c r="AP204"/>
  <c r="AK20"/>
  <c r="AK26"/>
  <c r="AO33"/>
  <c r="AO39"/>
  <c r="AK47"/>
  <c r="AK53"/>
  <c r="AO60"/>
  <c r="AO66"/>
  <c r="AK74"/>
  <c r="AK80"/>
  <c r="AO87"/>
  <c r="AO93"/>
  <c r="AK101"/>
  <c r="AK107"/>
  <c r="AO114"/>
  <c r="AO120"/>
  <c r="AK128"/>
  <c r="AK134"/>
  <c r="AO141"/>
  <c r="AO147"/>
  <c r="AM154"/>
  <c r="AO159"/>
  <c r="AQ164"/>
  <c r="AK170"/>
  <c r="AM175"/>
  <c r="AM181"/>
  <c r="AO186"/>
  <c r="AQ191"/>
  <c r="AK197"/>
  <c r="AM202"/>
  <c r="AL16"/>
  <c r="AN21"/>
  <c r="AP26"/>
  <c r="AN22"/>
  <c r="AJ36"/>
  <c r="AN49"/>
  <c r="AJ63"/>
  <c r="AN76"/>
  <c r="AJ90"/>
  <c r="AN103"/>
  <c r="AJ117"/>
  <c r="AN130"/>
  <c r="AJ144"/>
  <c r="AN157"/>
  <c r="AJ171"/>
  <c r="AN184"/>
  <c r="AJ198"/>
  <c r="AM19"/>
  <c r="AQ32"/>
  <c r="AM46"/>
  <c r="AQ59"/>
  <c r="AM73"/>
  <c r="AQ86"/>
  <c r="AM100"/>
  <c r="AQ113"/>
  <c r="AM127"/>
  <c r="AQ140"/>
  <c r="AQ152"/>
  <c r="AK164"/>
  <c r="AO174"/>
  <c r="AQ185"/>
  <c r="AM196"/>
  <c r="AP14"/>
  <c r="AJ26"/>
  <c r="AP35"/>
  <c r="AL43"/>
  <c r="AL52"/>
  <c r="AJ59"/>
  <c r="AJ68"/>
  <c r="AN75"/>
  <c r="AN84"/>
  <c r="AL91"/>
  <c r="AL100"/>
  <c r="AP107"/>
  <c r="AP116"/>
  <c r="AL124"/>
  <c r="AL133"/>
  <c r="AJ140"/>
  <c r="AJ149"/>
  <c r="AN156"/>
  <c r="AN165"/>
  <c r="AL172"/>
  <c r="AL181"/>
  <c r="AP188"/>
  <c r="AP197"/>
  <c r="AK13"/>
  <c r="AK22"/>
  <c r="AQ28"/>
  <c r="AQ37"/>
  <c r="AM45"/>
  <c r="AM54"/>
  <c r="AK61"/>
  <c r="AK70"/>
  <c r="AO77"/>
  <c r="AO86"/>
  <c r="AK94"/>
  <c r="AK103"/>
  <c r="AQ109"/>
  <c r="AQ118"/>
  <c r="AM126"/>
  <c r="AM135"/>
  <c r="AK142"/>
  <c r="AK151"/>
  <c r="AO158"/>
  <c r="AO167"/>
  <c r="AK175"/>
  <c r="AK184"/>
  <c r="AQ190"/>
  <c r="AQ199"/>
  <c r="AJ16"/>
  <c r="AJ25"/>
  <c r="AP31"/>
  <c r="AP40"/>
  <c r="AL48"/>
  <c r="AL57"/>
  <c r="AP64"/>
  <c r="AP73"/>
  <c r="AN80"/>
  <c r="AN89"/>
  <c r="AJ97"/>
  <c r="AJ106"/>
  <c r="AP112"/>
  <c r="AP121"/>
  <c r="AL129"/>
  <c r="AL138"/>
  <c r="AP145"/>
  <c r="AP154"/>
  <c r="AN161"/>
  <c r="AN170"/>
  <c r="AJ178"/>
  <c r="AJ187"/>
  <c r="AP193"/>
  <c r="AP202"/>
  <c r="AQ18"/>
  <c r="AQ27"/>
  <c r="AM35"/>
  <c r="AK63"/>
  <c r="AO103"/>
  <c r="AO157"/>
  <c r="AO202"/>
  <c r="AM213"/>
  <c r="AK220"/>
  <c r="AK229"/>
  <c r="AO236"/>
  <c r="AO245"/>
  <c r="AK253"/>
  <c r="AK262"/>
  <c r="AQ268"/>
  <c r="AQ277"/>
  <c r="AM285"/>
  <c r="AM294"/>
  <c r="AK301"/>
  <c r="AQ93"/>
  <c r="AQ138"/>
  <c r="AQ192"/>
  <c r="AL210"/>
  <c r="AL219"/>
  <c r="AL225"/>
  <c r="AP232"/>
  <c r="AP238"/>
  <c r="AL246"/>
  <c r="AL252"/>
  <c r="AP259"/>
  <c r="AP265"/>
  <c r="AL273"/>
  <c r="AL279"/>
  <c r="AP286"/>
  <c r="AP292"/>
  <c r="AO70"/>
  <c r="AO106"/>
  <c r="AO151"/>
  <c r="AO187"/>
  <c r="AM209"/>
  <c r="AM215"/>
  <c r="AQ222"/>
  <c r="AQ228"/>
  <c r="AM236"/>
  <c r="AM242"/>
  <c r="AQ249"/>
  <c r="AQ255"/>
  <c r="AM263"/>
  <c r="AM269"/>
  <c r="AQ276"/>
  <c r="AQ282"/>
  <c r="AM290"/>
  <c r="AM47"/>
  <c r="AM92"/>
  <c r="AM128"/>
  <c r="AM173"/>
  <c r="AN205"/>
  <c r="AJ213"/>
  <c r="AJ219"/>
  <c r="AN226"/>
  <c r="AN232"/>
  <c r="AP237"/>
  <c r="AP243"/>
  <c r="AJ249"/>
  <c r="AL254"/>
  <c r="AN259"/>
  <c r="AP264"/>
  <c r="AP270"/>
  <c r="AJ276"/>
  <c r="AL281"/>
  <c r="AN286"/>
  <c r="AP291"/>
  <c r="AM59"/>
  <c r="AQ90"/>
  <c r="AM122"/>
  <c r="AQ153"/>
  <c r="AM185"/>
  <c r="AN207"/>
  <c r="AP212"/>
  <c r="AJ218"/>
  <c r="AL223"/>
  <c r="AN228"/>
  <c r="AN234"/>
  <c r="AP239"/>
  <c r="AJ245"/>
  <c r="AL250"/>
  <c r="AN255"/>
  <c r="AN261"/>
  <c r="AP266"/>
  <c r="AJ272"/>
  <c r="AL277"/>
  <c r="AN282"/>
  <c r="AN288"/>
  <c r="AP293"/>
  <c r="AJ299"/>
  <c r="AL304"/>
  <c r="AN309"/>
  <c r="AN315"/>
  <c r="AP320"/>
  <c r="AJ326"/>
  <c r="AL331"/>
  <c r="AN336"/>
  <c r="AN342"/>
  <c r="AP347"/>
  <c r="AJ353"/>
  <c r="AL358"/>
  <c r="AN363"/>
  <c r="AO64"/>
  <c r="AQ212"/>
  <c r="AM244"/>
  <c r="AQ275"/>
  <c r="AJ298"/>
  <c r="AJ306"/>
  <c r="AL312"/>
  <c r="AO318"/>
  <c r="AQ324"/>
  <c r="AK331"/>
  <c r="AM338"/>
  <c r="AO344"/>
  <c r="AJ351"/>
  <c r="AL357"/>
  <c r="AO363"/>
  <c r="AN370"/>
  <c r="AP375"/>
  <c r="AJ381"/>
  <c r="AL386"/>
  <c r="AN391"/>
  <c r="AN397"/>
  <c r="AP402"/>
  <c r="AJ408"/>
  <c r="AL413"/>
  <c r="AN418"/>
  <c r="AN424"/>
  <c r="AP429"/>
  <c r="AP435"/>
  <c r="AJ441"/>
  <c r="AL446"/>
  <c r="AP453"/>
  <c r="AL464"/>
  <c r="AN475"/>
  <c r="AP486"/>
  <c r="AJ498"/>
  <c r="AP510"/>
  <c r="AK195"/>
  <c r="AO234"/>
  <c r="AK266"/>
  <c r="AO295"/>
  <c r="AJ304"/>
  <c r="AM310"/>
  <c r="AO316"/>
  <c r="AQ322"/>
  <c r="AL329"/>
  <c r="AM336"/>
  <c r="AP342"/>
  <c r="AJ349"/>
  <c r="AM355"/>
  <c r="AO361"/>
  <c r="AQ368"/>
  <c r="AK374"/>
  <c r="AM379"/>
  <c r="AO384"/>
  <c r="AQ389"/>
  <c r="AQ395"/>
  <c r="AK401"/>
  <c r="AM406"/>
  <c r="AO411"/>
  <c r="AQ416"/>
  <c r="AQ422"/>
  <c r="AK428"/>
  <c r="AM433"/>
  <c r="AO438"/>
  <c r="AQ443"/>
  <c r="AQ449"/>
  <c r="AK455"/>
  <c r="AM460"/>
  <c r="AO465"/>
  <c r="AQ470"/>
  <c r="AQ476"/>
  <c r="AQ482"/>
  <c r="AO109"/>
  <c r="AM220"/>
  <c r="AQ251"/>
  <c r="AQ287"/>
  <c r="AJ301"/>
  <c r="AN307"/>
  <c r="AP313"/>
  <c r="AK320"/>
  <c r="AL327"/>
  <c r="AO333"/>
  <c r="AQ339"/>
  <c r="AK346"/>
  <c r="AN352"/>
  <c r="AO359"/>
  <c r="AJ366"/>
  <c r="AP371"/>
  <c r="AJ377"/>
  <c r="AL382"/>
  <c r="AL388"/>
  <c r="AN393"/>
  <c r="AP398"/>
  <c r="AJ404"/>
  <c r="AL409"/>
  <c r="AL415"/>
  <c r="AN420"/>
  <c r="AP425"/>
  <c r="AJ431"/>
  <c r="AL436"/>
  <c r="AL442"/>
  <c r="AN447"/>
  <c r="AP452"/>
  <c r="AJ458"/>
  <c r="AL463"/>
  <c r="AL469"/>
  <c r="AN474"/>
  <c r="AP479"/>
  <c r="AJ485"/>
  <c r="AL490"/>
  <c r="AK206"/>
  <c r="AO237"/>
  <c r="AK269"/>
  <c r="AM296"/>
  <c r="AP303"/>
  <c r="AQ310"/>
  <c r="AL317"/>
  <c r="AN323"/>
  <c r="AQ329"/>
  <c r="AK336"/>
  <c r="AM343"/>
  <c r="AO349"/>
  <c r="AQ355"/>
  <c r="AL362"/>
  <c r="AN368"/>
  <c r="AO374"/>
  <c r="AQ379"/>
  <c r="AK385"/>
  <c r="AM390"/>
  <c r="AO395"/>
  <c r="AO401"/>
  <c r="AQ406"/>
  <c r="AK412"/>
  <c r="AM417"/>
  <c r="AO422"/>
  <c r="AO428"/>
  <c r="AQ433"/>
  <c r="AK439"/>
  <c r="AM444"/>
  <c r="AO449"/>
  <c r="AO455"/>
  <c r="AQ460"/>
  <c r="AK466"/>
  <c r="AM471"/>
  <c r="AO476"/>
  <c r="AK96"/>
  <c r="AK218"/>
  <c r="AO249"/>
  <c r="AK281"/>
  <c r="AM299"/>
  <c r="AJ307"/>
  <c r="AM313"/>
  <c r="AO319"/>
  <c r="AQ325"/>
  <c r="AL332"/>
  <c r="AM339"/>
  <c r="AP345"/>
  <c r="AJ352"/>
  <c r="AM358"/>
  <c r="AO364"/>
  <c r="AM371"/>
  <c r="AO376"/>
  <c r="AQ381"/>
  <c r="AK387"/>
  <c r="AM392"/>
  <c r="AM398"/>
  <c r="AO403"/>
  <c r="AK408"/>
  <c r="AO412"/>
  <c r="AK417"/>
  <c r="AO421"/>
  <c r="AK426"/>
  <c r="AO430"/>
  <c r="AK435"/>
  <c r="AO439"/>
  <c r="AK444"/>
  <c r="AO448"/>
  <c r="AK453"/>
  <c r="AO457"/>
  <c r="AK462"/>
  <c r="AO466"/>
  <c r="AK471"/>
  <c r="AO475"/>
  <c r="AK480"/>
  <c r="AO484"/>
  <c r="AK489"/>
  <c r="AO493"/>
  <c r="AK498"/>
  <c r="AO502"/>
  <c r="AK507"/>
  <c r="AO511"/>
  <c r="AJ456"/>
  <c r="AJ465"/>
  <c r="AL473"/>
  <c r="AL482"/>
  <c r="AN490"/>
  <c r="AP498"/>
  <c r="AJ507"/>
  <c r="AQ227"/>
  <c r="AL315"/>
  <c r="AK353"/>
  <c r="AP400"/>
  <c r="AP454"/>
  <c r="AJ511"/>
  <c r="AP512"/>
  <c r="AQ497"/>
  <c r="AN322"/>
  <c r="AP433"/>
  <c r="AN504"/>
  <c r="AM277"/>
  <c r="AK325"/>
  <c r="AO357"/>
  <c r="AN386"/>
  <c r="AN413"/>
  <c r="AN440"/>
  <c r="AN467"/>
  <c r="AK487"/>
  <c r="AQ494"/>
  <c r="AQ502"/>
  <c r="AN479"/>
  <c r="AM510"/>
  <c r="AO365"/>
  <c r="AQ490"/>
  <c r="AQ218"/>
  <c r="AN313"/>
  <c r="AQ345"/>
  <c r="AP376"/>
  <c r="AP403"/>
  <c r="AP430"/>
  <c r="AP457"/>
  <c r="AO482"/>
  <c r="AN492"/>
  <c r="AL499"/>
  <c r="AJ506"/>
  <c r="AP484"/>
  <c r="AO512"/>
  <c r="AP388"/>
  <c r="AL492"/>
  <c r="AM241"/>
  <c r="AJ318"/>
  <c r="AM350"/>
  <c r="AN380"/>
  <c r="AN407"/>
  <c r="AN434"/>
  <c r="AQ496"/>
  <c r="AL447"/>
  <c r="AO46"/>
  <c r="AM305"/>
  <c r="AP337"/>
  <c r="AJ370"/>
  <c r="AJ397"/>
  <c r="AJ424"/>
  <c r="AJ451"/>
  <c r="AJ478"/>
  <c r="AP490"/>
  <c r="AO497"/>
  <c r="AM504"/>
  <c r="AK511"/>
  <c r="AL396"/>
  <c r="AL450"/>
  <c r="AM487"/>
  <c r="AL496"/>
  <c r="AL504"/>
  <c r="AJ512"/>
  <c r="AQ236"/>
  <c r="AQ487"/>
  <c r="AM427"/>
  <c r="AM407"/>
  <c r="AL20"/>
  <c r="AP33"/>
  <c r="AL47"/>
  <c r="AP60"/>
  <c r="AL74"/>
  <c r="AP87"/>
  <c r="AL101"/>
  <c r="AP114"/>
  <c r="AL128"/>
  <c r="AP141"/>
  <c r="AL155"/>
  <c r="AP168"/>
  <c r="AL182"/>
  <c r="AP195"/>
  <c r="AK17"/>
  <c r="AO30"/>
  <c r="AK44"/>
  <c r="AO57"/>
  <c r="AK71"/>
  <c r="AO84"/>
  <c r="AK98"/>
  <c r="AO111"/>
  <c r="AK125"/>
  <c r="AO138"/>
  <c r="AK152"/>
  <c r="AM163"/>
  <c r="AQ173"/>
  <c r="AM184"/>
  <c r="AO195"/>
  <c r="AJ14"/>
  <c r="AL25"/>
  <c r="AJ35"/>
  <c r="AP41"/>
  <c r="AP50"/>
  <c r="AL58"/>
  <c r="AL67"/>
  <c r="AP74"/>
  <c r="AP83"/>
  <c r="AN90"/>
  <c r="AN99"/>
  <c r="AJ107"/>
  <c r="AJ116"/>
  <c r="AP122"/>
  <c r="AP131"/>
  <c r="AL139"/>
  <c r="AL148"/>
  <c r="AP155"/>
  <c r="AP164"/>
  <c r="AN171"/>
  <c r="AN180"/>
  <c r="AJ188"/>
  <c r="AJ197"/>
  <c r="AP203"/>
  <c r="AO20"/>
  <c r="AK28"/>
  <c r="AK37"/>
  <c r="AO44"/>
  <c r="AO53"/>
  <c r="AM60"/>
  <c r="AM69"/>
  <c r="AQ76"/>
  <c r="AQ85"/>
  <c r="AO92"/>
  <c r="AO101"/>
  <c r="AK109"/>
  <c r="AK118"/>
  <c r="AO125"/>
  <c r="AO134"/>
  <c r="AM141"/>
  <c r="AM150"/>
  <c r="AQ157"/>
  <c r="AQ166"/>
  <c r="AO173"/>
  <c r="AO182"/>
  <c r="AK190"/>
  <c r="AK199"/>
  <c r="AL15"/>
  <c r="AL24"/>
  <c r="AJ31"/>
  <c r="AJ40"/>
  <c r="AN47"/>
  <c r="AN56"/>
  <c r="AL63"/>
  <c r="AL72"/>
  <c r="AP79"/>
  <c r="AP88"/>
  <c r="AL96"/>
  <c r="AL105"/>
  <c r="AJ112"/>
  <c r="AJ121"/>
  <c r="AN128"/>
  <c r="AN137"/>
  <c r="AL144"/>
  <c r="AL153"/>
  <c r="AP160"/>
  <c r="AP169"/>
  <c r="AL177"/>
  <c r="AL186"/>
  <c r="AJ193"/>
  <c r="AJ202"/>
  <c r="AK18"/>
  <c r="AK27"/>
  <c r="AQ33"/>
  <c r="AK54"/>
  <c r="AK99"/>
  <c r="AK153"/>
  <c r="AK198"/>
  <c r="AO212"/>
  <c r="AM219"/>
  <c r="AM228"/>
  <c r="AQ235"/>
  <c r="AQ244"/>
  <c r="AO251"/>
  <c r="AO260"/>
  <c r="AK268"/>
  <c r="AK277"/>
  <c r="AO284"/>
  <c r="AO293"/>
  <c r="AM300"/>
  <c r="AM89"/>
  <c r="AM134"/>
  <c r="AM188"/>
  <c r="AP208"/>
  <c r="AP217"/>
  <c r="AN224"/>
  <c r="AJ232"/>
  <c r="AJ238"/>
  <c r="AN245"/>
  <c r="AN251"/>
  <c r="AJ259"/>
  <c r="AJ265"/>
  <c r="AN272"/>
  <c r="AN278"/>
  <c r="AJ286"/>
  <c r="AJ292"/>
  <c r="AK66"/>
  <c r="AK102"/>
  <c r="AK147"/>
  <c r="AK183"/>
  <c r="AO208"/>
  <c r="AO214"/>
  <c r="AK222"/>
  <c r="AK228"/>
  <c r="AO235"/>
  <c r="AO241"/>
  <c r="AK249"/>
  <c r="AK255"/>
  <c r="AO262"/>
  <c r="AO268"/>
  <c r="AK276"/>
  <c r="AK282"/>
  <c r="AO289"/>
  <c r="AQ42"/>
  <c r="AQ87"/>
  <c r="AQ123"/>
  <c r="AQ168"/>
  <c r="AM204"/>
  <c r="AL212"/>
  <c r="AL218"/>
  <c r="AP225"/>
  <c r="AP231"/>
  <c r="AJ237"/>
  <c r="AL242"/>
  <c r="AL248"/>
  <c r="AN253"/>
  <c r="AP258"/>
  <c r="AJ264"/>
  <c r="AL269"/>
  <c r="AL275"/>
  <c r="AN280"/>
  <c r="AP285"/>
  <c r="AJ291"/>
  <c r="AM50"/>
  <c r="AM86"/>
  <c r="AQ117"/>
  <c r="AM149"/>
  <c r="AQ180"/>
  <c r="AJ206"/>
  <c r="AJ212"/>
  <c r="AL217"/>
  <c r="AN222"/>
  <c r="AP227"/>
  <c r="AJ233"/>
  <c r="AJ239"/>
  <c r="AL244"/>
  <c r="AN249"/>
  <c r="AP254"/>
  <c r="AJ260"/>
  <c r="AJ266"/>
  <c r="AL271"/>
  <c r="AN276"/>
  <c r="AP281"/>
  <c r="AJ287"/>
  <c r="AJ293"/>
  <c r="AL298"/>
  <c r="AN303"/>
  <c r="AP308"/>
  <c r="AJ314"/>
  <c r="AJ320"/>
  <c r="AL325"/>
  <c r="AN330"/>
  <c r="AP335"/>
  <c r="AJ341"/>
  <c r="AJ347"/>
  <c r="AL352"/>
  <c r="AN357"/>
  <c r="AP362"/>
  <c r="AJ368"/>
  <c r="AM208"/>
  <c r="AQ239"/>
  <c r="AM271"/>
  <c r="AJ297"/>
  <c r="AK304"/>
  <c r="AM311"/>
  <c r="AO317"/>
  <c r="AJ324"/>
  <c r="AL330"/>
  <c r="AO336"/>
  <c r="AP343"/>
  <c r="AK350"/>
  <c r="AM356"/>
  <c r="AO362"/>
  <c r="AJ369"/>
  <c r="AJ375"/>
  <c r="AL380"/>
  <c r="AN385"/>
  <c r="AP390"/>
  <c r="AJ396"/>
  <c r="AJ402"/>
  <c r="AL407"/>
  <c r="AN412"/>
  <c r="AP417"/>
  <c r="AJ423"/>
  <c r="AJ429"/>
  <c r="AJ435"/>
  <c r="AL440"/>
  <c r="AN445"/>
  <c r="AN451"/>
  <c r="AP462"/>
  <c r="AJ474"/>
  <c r="AL485"/>
  <c r="AN496"/>
  <c r="AP507"/>
  <c r="AK168"/>
  <c r="AK230"/>
  <c r="AO261"/>
  <c r="AK293"/>
  <c r="AL302"/>
  <c r="AM309"/>
  <c r="AP315"/>
  <c r="AJ322"/>
  <c r="AM328"/>
  <c r="AO334"/>
  <c r="AQ341"/>
  <c r="AK348"/>
  <c r="AM354"/>
  <c r="AP360"/>
  <c r="AJ367"/>
  <c r="AM373"/>
  <c r="AO378"/>
  <c r="AQ383"/>
  <c r="AK389"/>
  <c r="AM394"/>
  <c r="AM400"/>
  <c r="AO405"/>
  <c r="AQ410"/>
  <c r="AK416"/>
  <c r="AM421"/>
  <c r="AO432"/>
  <c r="AQ437"/>
  <c r="AK443"/>
  <c r="AM448"/>
  <c r="AM454"/>
  <c r="AO459"/>
  <c r="AQ464"/>
  <c r="AK470"/>
  <c r="AM475"/>
  <c r="AM481"/>
  <c r="AO82"/>
  <c r="AQ215"/>
  <c r="AM247"/>
  <c r="AQ278"/>
  <c r="AJ300"/>
  <c r="AO306"/>
  <c r="AQ312"/>
  <c r="AK319"/>
  <c r="AN325"/>
  <c r="AO332"/>
  <c r="AJ339"/>
  <c r="AL345"/>
  <c r="AO351"/>
  <c r="AQ357"/>
  <c r="AK365"/>
  <c r="AJ371"/>
  <c r="AL376"/>
  <c r="AN381"/>
  <c r="AP386"/>
  <c r="AP392"/>
  <c r="AJ398"/>
  <c r="AL403"/>
  <c r="AN408"/>
  <c r="AP413"/>
  <c r="AP419"/>
  <c r="AJ425"/>
  <c r="AL430"/>
  <c r="AN435"/>
  <c r="AP440"/>
  <c r="AP446"/>
  <c r="AJ452"/>
  <c r="AL457"/>
  <c r="AN462"/>
  <c r="AP467"/>
  <c r="AP473"/>
  <c r="AJ479"/>
  <c r="AL484"/>
  <c r="AN489"/>
  <c r="AK159"/>
  <c r="AK233"/>
  <c r="AO264"/>
  <c r="AM295"/>
  <c r="AQ302"/>
  <c r="AK309"/>
  <c r="AM316"/>
  <c r="AO322"/>
  <c r="AQ328"/>
  <c r="AL335"/>
  <c r="AN341"/>
  <c r="AP348"/>
  <c r="AJ355"/>
  <c r="AM361"/>
  <c r="AO367"/>
  <c r="AK373"/>
  <c r="AK379"/>
  <c r="AM384"/>
  <c r="AO389"/>
  <c r="AQ394"/>
  <c r="AK400"/>
  <c r="AK406"/>
  <c r="AM411"/>
  <c r="AO416"/>
  <c r="AQ421"/>
  <c r="AK427"/>
  <c r="AK433"/>
  <c r="AM438"/>
  <c r="AO443"/>
  <c r="AQ448"/>
  <c r="AK454"/>
  <c r="AK460"/>
  <c r="AM465"/>
  <c r="AO470"/>
  <c r="AQ475"/>
  <c r="AK42"/>
  <c r="AO213"/>
  <c r="AK245"/>
  <c r="AO276"/>
  <c r="AM298"/>
  <c r="AL305"/>
  <c r="AM312"/>
  <c r="AP318"/>
  <c r="AJ325"/>
  <c r="AM331"/>
  <c r="AO337"/>
  <c r="AQ344"/>
  <c r="AK351"/>
  <c r="AM357"/>
  <c r="AP363"/>
  <c r="AQ369"/>
  <c r="AQ375"/>
  <c r="AK381"/>
  <c r="AM386"/>
  <c r="AO391"/>
  <c r="AQ396"/>
  <c r="AQ402"/>
  <c r="AQ411"/>
  <c r="AM416"/>
  <c r="AQ420"/>
  <c r="AM425"/>
  <c r="AQ429"/>
  <c r="AM434"/>
  <c r="AQ438"/>
  <c r="AM443"/>
  <c r="AQ447"/>
  <c r="AM452"/>
  <c r="AQ456"/>
  <c r="AM461"/>
  <c r="AQ465"/>
  <c r="AM470"/>
  <c r="AQ474"/>
  <c r="AM479"/>
  <c r="AQ483"/>
  <c r="AM488"/>
  <c r="AQ492"/>
  <c r="AM497"/>
  <c r="AQ501"/>
  <c r="AM506"/>
  <c r="AQ510"/>
  <c r="AN454"/>
  <c r="AN463"/>
  <c r="AP471"/>
  <c r="AP480"/>
  <c r="AJ489"/>
  <c r="AL497"/>
  <c r="AN505"/>
  <c r="AO181"/>
  <c r="AQ309"/>
  <c r="AO347"/>
  <c r="AP391"/>
  <c r="AP445"/>
  <c r="AJ502"/>
  <c r="AN510"/>
  <c r="AM492"/>
  <c r="AL306"/>
  <c r="AP415"/>
  <c r="AL501"/>
  <c r="AM250"/>
  <c r="AP319"/>
  <c r="AK352"/>
  <c r="AJ409"/>
  <c r="AJ436"/>
  <c r="AJ463"/>
  <c r="AN485"/>
  <c r="AQ493"/>
  <c r="AO501"/>
  <c r="AN19"/>
  <c r="AJ33"/>
  <c r="AN46"/>
  <c r="AJ60"/>
  <c r="AN73"/>
  <c r="AJ87"/>
  <c r="AN100"/>
  <c r="AJ114"/>
  <c r="AN127"/>
  <c r="AJ141"/>
  <c r="AN154"/>
  <c r="AJ168"/>
  <c r="AN181"/>
  <c r="AJ195"/>
  <c r="AM16"/>
  <c r="AQ29"/>
  <c r="AM43"/>
  <c r="AQ56"/>
  <c r="AM70"/>
  <c r="AQ83"/>
  <c r="AM97"/>
  <c r="AQ110"/>
  <c r="AM124"/>
  <c r="AQ137"/>
  <c r="AM151"/>
  <c r="AQ161"/>
  <c r="AK173"/>
  <c r="AO183"/>
  <c r="AQ194"/>
  <c r="AL13"/>
  <c r="AP23"/>
  <c r="AJ32"/>
  <c r="AJ41"/>
  <c r="AN48"/>
  <c r="AN57"/>
  <c r="AL64"/>
  <c r="AL73"/>
  <c r="AP80"/>
  <c r="AP89"/>
  <c r="AL97"/>
  <c r="AL106"/>
  <c r="AJ113"/>
  <c r="AJ122"/>
  <c r="AN129"/>
  <c r="AN138"/>
  <c r="AL145"/>
  <c r="AL154"/>
  <c r="AP161"/>
  <c r="AP170"/>
  <c r="AL178"/>
  <c r="AL187"/>
  <c r="AJ194"/>
  <c r="AJ203"/>
  <c r="AM18"/>
  <c r="AM27"/>
  <c r="AK34"/>
  <c r="AK43"/>
  <c r="AO50"/>
  <c r="AO59"/>
  <c r="AK67"/>
  <c r="AK76"/>
  <c r="AQ82"/>
  <c r="AQ91"/>
  <c r="AM99"/>
  <c r="AM108"/>
  <c r="AK115"/>
  <c r="AK124"/>
  <c r="AO131"/>
  <c r="AO140"/>
  <c r="AK148"/>
  <c r="AK157"/>
  <c r="AQ163"/>
  <c r="AQ172"/>
  <c r="AM180"/>
  <c r="AM189"/>
  <c r="AK196"/>
  <c r="AP13"/>
  <c r="AL21"/>
  <c r="AL30"/>
  <c r="AP37"/>
  <c r="AP46"/>
  <c r="AN53"/>
  <c r="AN62"/>
  <c r="AJ70"/>
  <c r="AJ79"/>
  <c r="AP85"/>
  <c r="AP94"/>
  <c r="AL102"/>
  <c r="AL111"/>
  <c r="AP118"/>
  <c r="AP127"/>
  <c r="AN134"/>
  <c r="AN143"/>
  <c r="AJ151"/>
  <c r="AJ160"/>
  <c r="AP166"/>
  <c r="AP175"/>
  <c r="AL183"/>
  <c r="AL192"/>
  <c r="AP199"/>
  <c r="AM17"/>
  <c r="AK24"/>
  <c r="AK33"/>
  <c r="AO40"/>
  <c r="AO94"/>
  <c r="AK135"/>
  <c r="AK189"/>
  <c r="AO209"/>
  <c r="AO218"/>
  <c r="AK226"/>
  <c r="AK235"/>
  <c r="AQ241"/>
  <c r="AQ250"/>
  <c r="AM258"/>
  <c r="AM267"/>
  <c r="AK274"/>
  <c r="AK283"/>
  <c r="AO290"/>
  <c r="AO299"/>
  <c r="AQ75"/>
  <c r="AQ129"/>
  <c r="AM170"/>
  <c r="AJ208"/>
  <c r="AN215"/>
  <c r="AP223"/>
  <c r="AP229"/>
  <c r="AL237"/>
  <c r="AL243"/>
  <c r="AP250"/>
  <c r="AP256"/>
  <c r="AL264"/>
  <c r="AL270"/>
  <c r="AP277"/>
  <c r="AP283"/>
  <c r="AL291"/>
  <c r="AO52"/>
  <c r="AO97"/>
  <c r="AO133"/>
  <c r="AO178"/>
  <c r="AM206"/>
  <c r="AQ213"/>
  <c r="AQ219"/>
  <c r="AM227"/>
  <c r="AM233"/>
  <c r="AQ240"/>
  <c r="AQ246"/>
  <c r="AM254"/>
  <c r="AM260"/>
  <c r="AQ267"/>
  <c r="AQ273"/>
  <c r="AM281"/>
  <c r="AM287"/>
  <c r="AQ294"/>
  <c r="AM74"/>
  <c r="AM119"/>
  <c r="AM155"/>
  <c r="AM200"/>
  <c r="AJ210"/>
  <c r="AN217"/>
  <c r="AN223"/>
  <c r="AJ231"/>
  <c r="AL236"/>
  <c r="AN241"/>
  <c r="AP246"/>
  <c r="AP252"/>
  <c r="AJ258"/>
  <c r="AL263"/>
  <c r="AN268"/>
  <c r="AP273"/>
  <c r="AP279"/>
  <c r="AJ285"/>
  <c r="AL290"/>
  <c r="AQ45"/>
  <c r="AM77"/>
  <c r="AM113"/>
  <c r="AQ144"/>
  <c r="AM176"/>
  <c r="AL205"/>
  <c r="AN210"/>
  <c r="AN216"/>
  <c r="AP221"/>
  <c r="AJ227"/>
  <c r="AL232"/>
  <c r="AN237"/>
  <c r="AN243"/>
  <c r="AP248"/>
  <c r="AJ254"/>
  <c r="AL259"/>
  <c r="AN264"/>
  <c r="AN270"/>
  <c r="AP275"/>
  <c r="AJ281"/>
  <c r="AL286"/>
  <c r="AN291"/>
  <c r="AN297"/>
  <c r="AP302"/>
  <c r="AJ308"/>
  <c r="AL313"/>
  <c r="AN318"/>
  <c r="AN324"/>
  <c r="AP329"/>
  <c r="AJ335"/>
  <c r="AL340"/>
  <c r="AN345"/>
  <c r="AN351"/>
  <c r="AP356"/>
  <c r="AJ362"/>
  <c r="AL367"/>
  <c r="AO172"/>
  <c r="AM235"/>
  <c r="AQ266"/>
  <c r="AP295"/>
  <c r="AL303"/>
  <c r="AO309"/>
  <c r="AP316"/>
  <c r="AK323"/>
  <c r="AM329"/>
  <c r="AO335"/>
  <c r="AJ342"/>
  <c r="AK349"/>
  <c r="AN355"/>
  <c r="AP361"/>
  <c r="AK368"/>
  <c r="AN373"/>
  <c r="AN379"/>
  <c r="AP384"/>
  <c r="AJ390"/>
  <c r="AL395"/>
  <c r="AN400"/>
  <c r="AN406"/>
  <c r="AP411"/>
  <c r="AJ417"/>
  <c r="AL422"/>
  <c r="AN427"/>
  <c r="AN433"/>
  <c r="AN439"/>
  <c r="AP444"/>
  <c r="AP450"/>
  <c r="AP459"/>
  <c r="AN472"/>
  <c r="AP483"/>
  <c r="AJ495"/>
  <c r="AL506"/>
  <c r="AK114"/>
  <c r="AO225"/>
  <c r="AK257"/>
  <c r="AO288"/>
  <c r="AM301"/>
  <c r="AO307"/>
  <c r="AQ314"/>
  <c r="AK321"/>
  <c r="AM327"/>
  <c r="AP333"/>
  <c r="AJ340"/>
  <c r="AL347"/>
  <c r="AN353"/>
  <c r="AJ15"/>
  <c r="AN28"/>
  <c r="AJ42"/>
  <c r="AN55"/>
  <c r="AJ69"/>
  <c r="AN82"/>
  <c r="AJ96"/>
  <c r="AN109"/>
  <c r="AJ123"/>
  <c r="AN136"/>
  <c r="AJ150"/>
  <c r="AN163"/>
  <c r="AJ177"/>
  <c r="AN190"/>
  <c r="AJ204"/>
  <c r="AM25"/>
  <c r="AQ38"/>
  <c r="AM52"/>
  <c r="AQ65"/>
  <c r="AM79"/>
  <c r="AQ92"/>
  <c r="AM106"/>
  <c r="AQ119"/>
  <c r="AM133"/>
  <c r="AQ146"/>
  <c r="AQ158"/>
  <c r="AM169"/>
  <c r="AQ179"/>
  <c r="AK191"/>
  <c r="AO201"/>
  <c r="AP20"/>
  <c r="AL31"/>
  <c r="AL40"/>
  <c r="AL14"/>
  <c r="AP27"/>
  <c r="AL41"/>
  <c r="AP54"/>
  <c r="AL68"/>
  <c r="AP81"/>
  <c r="AL95"/>
  <c r="AP108"/>
  <c r="AL122"/>
  <c r="AN13"/>
  <c r="AJ27"/>
  <c r="AN40"/>
  <c r="AJ54"/>
  <c r="AN67"/>
  <c r="AJ81"/>
  <c r="AN94"/>
  <c r="AJ108"/>
  <c r="AN121"/>
  <c r="AJ135"/>
  <c r="AN148"/>
  <c r="AJ162"/>
  <c r="AN175"/>
  <c r="AJ189"/>
  <c r="AN202"/>
  <c r="AQ23"/>
  <c r="AM37"/>
  <c r="AQ50"/>
  <c r="AM64"/>
  <c r="AQ77"/>
  <c r="AM91"/>
  <c r="AQ104"/>
  <c r="AM118"/>
  <c r="AQ131"/>
  <c r="AM145"/>
  <c r="AO156"/>
  <c r="AQ167"/>
  <c r="AM178"/>
  <c r="AQ188"/>
  <c r="AK200"/>
  <c r="AN18"/>
  <c r="AP29"/>
  <c r="AN36"/>
  <c r="AN45"/>
  <c r="AJ53"/>
  <c r="AJ62"/>
  <c r="AP68"/>
  <c r="AP77"/>
  <c r="AL85"/>
  <c r="AL94"/>
  <c r="AP101"/>
  <c r="AP110"/>
  <c r="AN117"/>
  <c r="AN126"/>
  <c r="AJ134"/>
  <c r="AJ143"/>
  <c r="AP149"/>
  <c r="AP158"/>
  <c r="AL166"/>
  <c r="AL175"/>
  <c r="AP182"/>
  <c r="AP191"/>
  <c r="AN198"/>
  <c r="AL203"/>
  <c r="AK92"/>
  <c r="AO168"/>
  <c r="AL37"/>
  <c r="AN63"/>
  <c r="AJ89"/>
  <c r="AL112"/>
  <c r="AP137"/>
  <c r="AJ161"/>
  <c r="AP185"/>
  <c r="AK16"/>
  <c r="AO32"/>
  <c r="AK49"/>
  <c r="AQ64"/>
  <c r="AM81"/>
  <c r="AK97"/>
  <c r="AO113"/>
  <c r="AK130"/>
  <c r="AQ145"/>
  <c r="AM162"/>
  <c r="AK178"/>
  <c r="AO194"/>
  <c r="AP19"/>
  <c r="AN35"/>
  <c r="AJ52"/>
  <c r="AP67"/>
  <c r="AL84"/>
  <c r="AP100"/>
  <c r="AN116"/>
  <c r="AJ133"/>
  <c r="AP148"/>
  <c r="AL165"/>
  <c r="AP181"/>
  <c r="AN197"/>
  <c r="AO22"/>
  <c r="AM38"/>
  <c r="AK126"/>
  <c r="AK208"/>
  <c r="AQ223"/>
  <c r="AM240"/>
  <c r="AK256"/>
  <c r="AO272"/>
  <c r="AK289"/>
  <c r="AM62"/>
  <c r="AM161"/>
  <c r="AL213"/>
  <c r="AL228"/>
  <c r="AP241"/>
  <c r="AL255"/>
  <c r="AP268"/>
  <c r="AL282"/>
  <c r="AO43"/>
  <c r="AO124"/>
  <c r="AQ204"/>
  <c r="AM218"/>
  <c r="AQ231"/>
  <c r="AM245"/>
  <c r="AQ258"/>
  <c r="AM272"/>
  <c r="AQ285"/>
  <c r="AM65"/>
  <c r="AM146"/>
  <c r="AN208"/>
  <c r="AJ222"/>
  <c r="AP234"/>
  <c r="AL245"/>
  <c r="AP255"/>
  <c r="AJ267"/>
  <c r="AN277"/>
  <c r="AP288"/>
  <c r="AM68"/>
  <c r="AM131"/>
  <c r="AQ198"/>
  <c r="AL214"/>
  <c r="AN225"/>
  <c r="AJ236"/>
  <c r="AN246"/>
  <c r="AP257"/>
  <c r="AL268"/>
  <c r="AN279"/>
  <c r="AJ290"/>
  <c r="AN300"/>
  <c r="AP311"/>
  <c r="AL322"/>
  <c r="AN333"/>
  <c r="AJ344"/>
  <c r="AN354"/>
  <c r="AP365"/>
  <c r="AQ221"/>
  <c r="AM289"/>
  <c r="AP307"/>
  <c r="AM320"/>
  <c r="AQ333"/>
  <c r="AN346"/>
  <c r="AJ360"/>
  <c r="AJ372"/>
  <c r="AN382"/>
  <c r="AP393"/>
  <c r="AL404"/>
  <c r="AN415"/>
  <c r="AJ426"/>
  <c r="AL437"/>
  <c r="AN448"/>
  <c r="AL467"/>
  <c r="AL491"/>
  <c r="AK60"/>
  <c r="AO243"/>
  <c r="AK299"/>
  <c r="AK312"/>
  <c r="AO325"/>
  <c r="AL338"/>
  <c r="AQ350"/>
  <c r="AM363"/>
  <c r="AK371"/>
  <c r="AK380"/>
  <c r="AO387"/>
  <c r="AO396"/>
  <c r="AM403"/>
  <c r="AM412"/>
  <c r="AQ419"/>
  <c r="AQ428"/>
  <c r="AM436"/>
  <c r="AM445"/>
  <c r="AK452"/>
  <c r="AK461"/>
  <c r="AO468"/>
  <c r="AO477"/>
  <c r="AK485"/>
  <c r="AQ224"/>
  <c r="AQ269"/>
  <c r="AK302"/>
  <c r="AK311"/>
  <c r="AQ321"/>
  <c r="AJ330"/>
  <c r="AP340"/>
  <c r="AP349"/>
  <c r="AO360"/>
  <c r="AO368"/>
  <c r="AP377"/>
  <c r="AL385"/>
  <c r="AL394"/>
  <c r="AP401"/>
  <c r="AP410"/>
  <c r="AN417"/>
  <c r="AN426"/>
  <c r="AJ434"/>
  <c r="AJ443"/>
  <c r="AP449"/>
  <c r="AP458"/>
  <c r="AL466"/>
  <c r="AL475"/>
  <c r="AP482"/>
  <c r="AK51"/>
  <c r="AO219"/>
  <c r="AO273"/>
  <c r="AQ300"/>
  <c r="AQ311"/>
  <c r="AQ319"/>
  <c r="AP330"/>
  <c r="AP339"/>
  <c r="AN350"/>
  <c r="AN359"/>
  <c r="AK370"/>
  <c r="AQ376"/>
  <c r="AQ385"/>
  <c r="AM393"/>
  <c r="AM402"/>
  <c r="AK409"/>
  <c r="AK418"/>
  <c r="AO425"/>
  <c r="AO434"/>
  <c r="AK442"/>
  <c r="AK451"/>
  <c r="AQ457"/>
  <c r="AQ466"/>
  <c r="AM474"/>
  <c r="AK123"/>
  <c r="AO231"/>
  <c r="AO285"/>
  <c r="AM303"/>
  <c r="AL314"/>
  <c r="AL323"/>
  <c r="AJ334"/>
  <c r="AK342"/>
  <c r="AQ352"/>
  <c r="AQ361"/>
  <c r="AK372"/>
  <c r="AQ378"/>
  <c r="AQ387"/>
  <c r="AM395"/>
  <c r="AM404"/>
  <c r="AM410"/>
  <c r="AQ417"/>
  <c r="AQ423"/>
  <c r="AM431"/>
  <c r="AM437"/>
  <c r="AQ444"/>
  <c r="AQ450"/>
  <c r="AM458"/>
  <c r="AM464"/>
  <c r="AQ471"/>
  <c r="AQ477"/>
  <c r="AM485"/>
  <c r="AM491"/>
  <c r="AQ498"/>
  <c r="AQ504"/>
  <c r="AM512"/>
  <c r="AN460"/>
  <c r="AP474"/>
  <c r="AJ486"/>
  <c r="AL500"/>
  <c r="AN511"/>
  <c r="AO320"/>
  <c r="AL378"/>
  <c r="AP463"/>
  <c r="AO509"/>
  <c r="AM501"/>
  <c r="AP379"/>
  <c r="AJ508"/>
  <c r="AJ309"/>
  <c r="AJ363"/>
  <c r="AN395"/>
  <c r="AN431"/>
  <c r="AN476"/>
  <c r="AO492"/>
  <c r="AK506"/>
  <c r="AK499"/>
  <c r="AL333"/>
  <c r="AQ481"/>
  <c r="AQ245"/>
  <c r="AL324"/>
  <c r="AK362"/>
  <c r="AP394"/>
  <c r="AL426"/>
  <c r="AL462"/>
  <c r="AJ487"/>
  <c r="AJ496"/>
  <c r="AP503"/>
  <c r="AN461"/>
  <c r="AQ263"/>
  <c r="AP424"/>
  <c r="AL510"/>
  <c r="AK307"/>
  <c r="AJ345"/>
  <c r="AJ385"/>
  <c r="AN416"/>
  <c r="AJ466"/>
  <c r="AL393"/>
  <c r="AP506"/>
  <c r="AP310"/>
  <c r="AO348"/>
  <c r="AN383"/>
  <c r="AJ415"/>
  <c r="AN446"/>
  <c r="AP481"/>
  <c r="AK493"/>
  <c r="AQ500"/>
  <c r="AQ508"/>
  <c r="AP382"/>
  <c r="AL459"/>
  <c r="AM490"/>
  <c r="AP499"/>
  <c r="AP508"/>
  <c r="AQ506"/>
  <c r="AN494"/>
  <c r="AL425"/>
  <c r="AO431"/>
  <c r="AO409"/>
  <c r="AK510"/>
  <c r="AP436"/>
  <c r="AP346"/>
  <c r="AQ503"/>
  <c r="AK317"/>
  <c r="AO127"/>
  <c r="AO356"/>
  <c r="AP421"/>
  <c r="AL453"/>
  <c r="AP494"/>
  <c r="AP502"/>
  <c r="AK508"/>
  <c r="AP406"/>
  <c r="AP301"/>
  <c r="AO339"/>
  <c r="AJ412"/>
  <c r="AN452"/>
  <c r="AJ500"/>
  <c r="AN299"/>
  <c r="AJ379"/>
  <c r="AN410"/>
  <c r="AN473"/>
  <c r="AQ491"/>
  <c r="AO507"/>
  <c r="AP373"/>
  <c r="AQ488"/>
  <c r="AN498"/>
  <c r="AO495"/>
  <c r="AJ411"/>
  <c r="AQ384"/>
  <c r="AK308"/>
  <c r="AN358"/>
  <c r="AM101"/>
  <c r="AP189"/>
  <c r="AO78"/>
  <c r="AM157"/>
  <c r="AN30"/>
  <c r="AP62"/>
  <c r="AJ86"/>
  <c r="AN111"/>
  <c r="AP134"/>
  <c r="AL160"/>
  <c r="AN183"/>
  <c r="AM15"/>
  <c r="AQ31"/>
  <c r="AO47"/>
  <c r="AK64"/>
  <c r="AO80"/>
  <c r="AM96"/>
  <c r="AQ112"/>
  <c r="AO128"/>
  <c r="AK145"/>
  <c r="AO161"/>
  <c r="AM177"/>
  <c r="AQ193"/>
  <c r="AL18"/>
  <c r="AP34"/>
  <c r="AL51"/>
  <c r="AJ67"/>
  <c r="AN83"/>
  <c r="AL99"/>
  <c r="AP115"/>
  <c r="AL132"/>
  <c r="AJ148"/>
  <c r="AN164"/>
  <c r="AL180"/>
  <c r="AP196"/>
  <c r="AQ21"/>
  <c r="AO37"/>
  <c r="AO121"/>
  <c r="AO206"/>
  <c r="AK223"/>
  <c r="AO239"/>
  <c r="AM255"/>
  <c r="AQ271"/>
  <c r="AO287"/>
  <c r="AQ57"/>
  <c r="AQ156"/>
  <c r="AN212"/>
  <c r="AN227"/>
  <c r="AJ241"/>
  <c r="AN254"/>
  <c r="AJ268"/>
  <c r="AN281"/>
  <c r="AJ295"/>
  <c r="AK120"/>
  <c r="AK201"/>
  <c r="AO217"/>
  <c r="AK231"/>
  <c r="AO244"/>
  <c r="AK258"/>
  <c r="AO271"/>
  <c r="AK285"/>
  <c r="AQ60"/>
  <c r="AQ141"/>
  <c r="AP207"/>
  <c r="AL221"/>
  <c r="AL233"/>
  <c r="AN244"/>
  <c r="AJ255"/>
  <c r="AL266"/>
  <c r="AP276"/>
  <c r="AL287"/>
  <c r="AQ63"/>
  <c r="AQ126"/>
  <c r="AM194"/>
  <c r="AN213"/>
  <c r="AJ224"/>
  <c r="AL235"/>
  <c r="AP245"/>
  <c r="AJ257"/>
  <c r="AN267"/>
  <c r="AJ278"/>
  <c r="AL289"/>
  <c r="AP299"/>
  <c r="AJ311"/>
  <c r="AN321"/>
  <c r="AJ332"/>
  <c r="AL343"/>
  <c r="AP353"/>
  <c r="AJ365"/>
  <c r="AM217"/>
  <c r="AM280"/>
  <c r="AQ306"/>
  <c r="AN319"/>
  <c r="AJ333"/>
  <c r="AO345"/>
  <c r="AK358"/>
  <c r="AL371"/>
  <c r="AP381"/>
  <c r="AJ393"/>
  <c r="AN403"/>
  <c r="AJ414"/>
  <c r="AN436"/>
  <c r="AP447"/>
  <c r="AP465"/>
  <c r="AL488"/>
  <c r="AL512"/>
  <c r="AK239"/>
  <c r="AQ297"/>
  <c r="AL311"/>
  <c r="AQ323"/>
  <c r="AM337"/>
  <c r="AQ349"/>
  <c r="AQ359"/>
  <c r="AM370"/>
  <c r="AQ377"/>
  <c r="AQ386"/>
  <c r="AO393"/>
  <c r="AO402"/>
  <c r="AK410"/>
  <c r="AK419"/>
  <c r="AQ425"/>
  <c r="AQ434"/>
  <c r="AM442"/>
  <c r="AM451"/>
  <c r="AQ458"/>
  <c r="AQ467"/>
  <c r="AO474"/>
  <c r="AM484"/>
  <c r="AM211"/>
  <c r="AM265"/>
  <c r="AP297"/>
  <c r="AL309"/>
  <c r="AL318"/>
  <c r="AK329"/>
  <c r="AK338"/>
  <c r="AQ348"/>
  <c r="AJ357"/>
  <c r="AP367"/>
  <c r="AN375"/>
  <c r="AN384"/>
  <c r="AL391"/>
  <c r="AL400"/>
  <c r="AP407"/>
  <c r="AP416"/>
  <c r="AL424"/>
  <c r="AL433"/>
  <c r="AJ440"/>
  <c r="AJ449"/>
  <c r="AN456"/>
  <c r="AN465"/>
  <c r="AL472"/>
  <c r="AL481"/>
  <c r="AP488"/>
  <c r="AK215"/>
  <c r="AK260"/>
  <c r="AQ299"/>
  <c r="AL308"/>
  <c r="AJ319"/>
  <c r="AJ328"/>
  <c r="AQ338"/>
  <c r="AQ346"/>
  <c r="AP357"/>
  <c r="AP366"/>
  <c r="AK376"/>
  <c r="AO383"/>
  <c r="AO392"/>
  <c r="AM399"/>
  <c r="AM408"/>
  <c r="AQ415"/>
  <c r="AQ424"/>
  <c r="AO440"/>
  <c r="AK448"/>
  <c r="AK457"/>
  <c r="AO464"/>
  <c r="AO473"/>
  <c r="AM480"/>
  <c r="AK227"/>
  <c r="AK272"/>
  <c r="AN302"/>
  <c r="AO310"/>
  <c r="AM321"/>
  <c r="AM330"/>
  <c r="AL341"/>
  <c r="AL350"/>
  <c r="AJ361"/>
  <c r="AK369"/>
  <c r="AK378"/>
  <c r="AO385"/>
  <c r="AO394"/>
  <c r="AM401"/>
  <c r="AO415"/>
  <c r="AK423"/>
  <c r="AK429"/>
  <c r="AO436"/>
  <c r="AO442"/>
  <c r="AK450"/>
  <c r="AK456"/>
  <c r="AO463"/>
  <c r="AO469"/>
  <c r="AK477"/>
  <c r="AK483"/>
  <c r="AO490"/>
  <c r="AO496"/>
  <c r="AK504"/>
  <c r="AJ459"/>
  <c r="AJ471"/>
  <c r="AN484"/>
  <c r="AP495"/>
  <c r="AJ510"/>
  <c r="AN304"/>
  <c r="AL369"/>
  <c r="AM507"/>
  <c r="AK488"/>
  <c r="AQ354"/>
  <c r="AP496"/>
  <c r="AO303"/>
  <c r="AJ391"/>
  <c r="AJ427"/>
  <c r="AJ472"/>
  <c r="AO491"/>
  <c r="AM493"/>
  <c r="AL456"/>
  <c r="AQ318"/>
  <c r="AL390"/>
  <c r="AQ484"/>
  <c r="AP511"/>
  <c r="AN503"/>
  <c r="AJ376"/>
  <c r="AL360"/>
  <c r="AK343"/>
  <c r="AJ442"/>
  <c r="AQ499"/>
  <c r="AL441"/>
  <c r="AN507"/>
  <c r="AP478"/>
  <c r="AJ444"/>
  <c r="AQ408"/>
  <c r="AP493"/>
  <c r="AN214"/>
  <c r="AL176"/>
  <c r="AK65"/>
  <c r="AK146"/>
  <c r="AL19"/>
  <c r="AP56"/>
  <c r="AJ80"/>
  <c r="AP104"/>
  <c r="AP128"/>
  <c r="AN153"/>
  <c r="AP176"/>
  <c r="AL202"/>
  <c r="AO26"/>
  <c r="AM42"/>
  <c r="AQ58"/>
  <c r="AO74"/>
  <c r="AK91"/>
  <c r="AO107"/>
  <c r="AM123"/>
  <c r="AQ139"/>
  <c r="AO155"/>
  <c r="AK172"/>
  <c r="AO188"/>
  <c r="AJ13"/>
  <c r="AN29"/>
  <c r="AL45"/>
  <c r="AP61"/>
  <c r="AL78"/>
  <c r="AJ94"/>
  <c r="AN110"/>
  <c r="AL126"/>
  <c r="AP142"/>
  <c r="AL159"/>
  <c r="AJ175"/>
  <c r="AN191"/>
  <c r="AQ15"/>
  <c r="AM32"/>
  <c r="AK90"/>
  <c r="AO184"/>
  <c r="AQ217"/>
  <c r="AO233"/>
  <c r="AK250"/>
  <c r="AO266"/>
  <c r="AM282"/>
  <c r="AQ298"/>
  <c r="AQ120"/>
  <c r="AL207"/>
  <c r="AJ223"/>
  <c r="AN236"/>
  <c r="AJ250"/>
  <c r="AN263"/>
  <c r="AJ277"/>
  <c r="AN290"/>
  <c r="AK93"/>
  <c r="AK174"/>
  <c r="AK213"/>
  <c r="AO226"/>
  <c r="AK240"/>
  <c r="AO253"/>
  <c r="AK267"/>
  <c r="AO280"/>
  <c r="AK294"/>
  <c r="AQ114"/>
  <c r="AQ195"/>
  <c r="AP216"/>
  <c r="AL230"/>
  <c r="AP240"/>
  <c r="AL251"/>
  <c r="AN262"/>
  <c r="AJ273"/>
  <c r="AL284"/>
  <c r="AM41"/>
  <c r="AM104"/>
  <c r="AQ171"/>
  <c r="AP209"/>
  <c r="AJ221"/>
  <c r="AN231"/>
  <c r="AJ242"/>
  <c r="AL253"/>
  <c r="AP263"/>
  <c r="AJ275"/>
  <c r="AN285"/>
  <c r="AJ296"/>
  <c r="AL307"/>
  <c r="AP317"/>
  <c r="AJ329"/>
  <c r="AN339"/>
  <c r="AJ350"/>
  <c r="AL361"/>
  <c r="AO145"/>
  <c r="AM262"/>
  <c r="AM302"/>
  <c r="AJ315"/>
  <c r="AN328"/>
  <c r="AK341"/>
  <c r="AO354"/>
  <c r="AK367"/>
  <c r="AJ378"/>
  <c r="AL389"/>
  <c r="AP399"/>
  <c r="AN421"/>
  <c r="AJ432"/>
  <c r="AL458"/>
  <c r="AN481"/>
  <c r="AP504"/>
  <c r="AO216"/>
  <c r="AK284"/>
  <c r="AP306"/>
  <c r="AL320"/>
  <c r="AQ332"/>
  <c r="AM345"/>
  <c r="AQ358"/>
  <c r="AO369"/>
  <c r="AM376"/>
  <c r="AM385"/>
  <c r="AQ392"/>
  <c r="AQ401"/>
  <c r="AM409"/>
  <c r="AM418"/>
  <c r="AK425"/>
  <c r="AK434"/>
  <c r="AO441"/>
  <c r="AO450"/>
  <c r="AM457"/>
  <c r="AM466"/>
  <c r="AQ473"/>
  <c r="AO483"/>
  <c r="AQ206"/>
  <c r="AQ260"/>
  <c r="AN296"/>
  <c r="AM308"/>
  <c r="AM317"/>
  <c r="AK328"/>
  <c r="AL336"/>
  <c r="AK347"/>
  <c r="AK356"/>
  <c r="AQ366"/>
  <c r="AP374"/>
  <c r="AP383"/>
  <c r="AN390"/>
  <c r="AN399"/>
  <c r="AJ407"/>
  <c r="AJ416"/>
  <c r="AP422"/>
  <c r="AP431"/>
  <c r="AL439"/>
  <c r="AL448"/>
  <c r="AP455"/>
  <c r="AP464"/>
  <c r="AN471"/>
  <c r="AN480"/>
  <c r="AJ488"/>
  <c r="AO210"/>
  <c r="AK251"/>
  <c r="AO297"/>
  <c r="AM307"/>
  <c r="AK318"/>
  <c r="AK327"/>
  <c r="AQ337"/>
  <c r="AJ346"/>
  <c r="AQ356"/>
  <c r="AQ365"/>
  <c r="AM375"/>
  <c r="AK382"/>
  <c r="AK391"/>
  <c r="AO398"/>
  <c r="AO407"/>
  <c r="AK415"/>
  <c r="AK424"/>
  <c r="AQ430"/>
  <c r="AQ439"/>
  <c r="AM447"/>
  <c r="AM456"/>
  <c r="AK463"/>
  <c r="AK472"/>
  <c r="AO479"/>
  <c r="AO222"/>
  <c r="AO267"/>
  <c r="AO301"/>
  <c r="AP309"/>
  <c r="AN320"/>
  <c r="AN329"/>
  <c r="AM340"/>
  <c r="AM348"/>
  <c r="AL359"/>
  <c r="AL368"/>
  <c r="AM377"/>
  <c r="AQ393"/>
  <c r="AO400"/>
  <c r="AQ414"/>
  <c r="AM422"/>
  <c r="AM428"/>
  <c r="AQ435"/>
  <c r="AQ441"/>
  <c r="AM449"/>
  <c r="AM455"/>
  <c r="AQ462"/>
  <c r="AQ468"/>
  <c r="AM476"/>
  <c r="AM482"/>
  <c r="AQ489"/>
  <c r="AQ495"/>
  <c r="AM503"/>
  <c r="AM509"/>
  <c r="AN457"/>
  <c r="AN469"/>
  <c r="AJ483"/>
  <c r="AL494"/>
  <c r="AN508"/>
  <c r="AN298"/>
  <c r="AQ363"/>
  <c r="AP427"/>
  <c r="AK505"/>
  <c r="AN482"/>
  <c r="AO338"/>
  <c r="AM489"/>
  <c r="AL297"/>
  <c r="AM341"/>
  <c r="AJ382"/>
  <c r="AN422"/>
  <c r="AN458"/>
  <c r="AK490"/>
  <c r="AO500"/>
  <c r="AO489"/>
  <c r="AP300"/>
  <c r="AL429"/>
  <c r="AN512"/>
  <c r="AL351"/>
  <c r="AP385"/>
  <c r="AL417"/>
  <c r="AP448"/>
  <c r="AL480"/>
  <c r="AN501"/>
  <c r="AN509"/>
  <c r="AO503"/>
  <c r="AP370"/>
  <c r="AP497"/>
  <c r="AP294"/>
  <c r="AK334"/>
  <c r="AN371"/>
  <c r="AJ403"/>
  <c r="AJ439"/>
  <c r="AQ290"/>
  <c r="AL493"/>
  <c r="AM286"/>
  <c r="AM332"/>
  <c r="AN374"/>
  <c r="AJ406"/>
  <c r="AN437"/>
  <c r="AJ469"/>
  <c r="AL489"/>
  <c r="AO498"/>
  <c r="AO506"/>
  <c r="AL432"/>
  <c r="AO485"/>
  <c r="AN497"/>
  <c r="AN506"/>
  <c r="AN443"/>
  <c r="AP460"/>
  <c r="AL234"/>
  <c r="AP162"/>
  <c r="AO51"/>
  <c r="AO132"/>
  <c r="AQ200"/>
  <c r="AP53"/>
  <c r="AL79"/>
  <c r="AN102"/>
  <c r="AL127"/>
  <c r="AL151"/>
  <c r="AJ176"/>
  <c r="AL199"/>
  <c r="AO23"/>
  <c r="AK40"/>
  <c r="AQ55"/>
  <c r="AM72"/>
  <c r="AK88"/>
  <c r="AO104"/>
  <c r="AK121"/>
  <c r="AQ136"/>
  <c r="AM153"/>
  <c r="AK169"/>
  <c r="AO185"/>
  <c r="AK202"/>
  <c r="AN26"/>
  <c r="AJ43"/>
  <c r="AP58"/>
  <c r="AL75"/>
  <c r="AP91"/>
  <c r="AN107"/>
  <c r="AJ124"/>
  <c r="AP139"/>
  <c r="AL156"/>
  <c r="AP172"/>
  <c r="AN188"/>
  <c r="AO13"/>
  <c r="AM29"/>
  <c r="AK72"/>
  <c r="AK171"/>
  <c r="AQ214"/>
  <c r="AM231"/>
  <c r="AK247"/>
  <c r="AO263"/>
  <c r="AK280"/>
  <c r="AQ295"/>
  <c r="AM107"/>
  <c r="AQ201"/>
  <c r="AP220"/>
  <c r="AP247"/>
  <c r="AL261"/>
  <c r="AP274"/>
  <c r="AL288"/>
  <c r="AO79"/>
  <c r="AO160"/>
  <c r="AQ210"/>
  <c r="AM224"/>
  <c r="AQ237"/>
  <c r="AM251"/>
  <c r="AQ264"/>
  <c r="AM278"/>
  <c r="AQ291"/>
  <c r="AM182"/>
  <c r="AJ228"/>
  <c r="AJ240"/>
  <c r="AN250"/>
  <c r="AP261"/>
  <c r="AL272"/>
  <c r="AP282"/>
  <c r="AJ294"/>
  <c r="AQ99"/>
  <c r="AM167"/>
  <c r="AJ209"/>
  <c r="AN219"/>
  <c r="AP230"/>
  <c r="AL241"/>
  <c r="AN252"/>
  <c r="AJ263"/>
  <c r="AN273"/>
  <c r="AP284"/>
  <c r="AL295"/>
  <c r="AN306"/>
  <c r="AJ317"/>
  <c r="AN327"/>
  <c r="AP338"/>
  <c r="AL349"/>
  <c r="AN360"/>
  <c r="AO118"/>
  <c r="AM253"/>
  <c r="AN301"/>
  <c r="AK314"/>
  <c r="AO327"/>
  <c r="AK340"/>
  <c r="AP352"/>
  <c r="AL366"/>
  <c r="AL377"/>
  <c r="AN388"/>
  <c r="AJ399"/>
  <c r="AN409"/>
  <c r="AP420"/>
  <c r="AL431"/>
  <c r="AL443"/>
  <c r="AP456"/>
  <c r="AN478"/>
  <c r="AN502"/>
  <c r="AK212"/>
  <c r="AO279"/>
  <c r="AQ305"/>
  <c r="AM318"/>
  <c r="AQ331"/>
  <c r="AN344"/>
  <c r="AJ358"/>
  <c r="AK366"/>
  <c r="AO375"/>
  <c r="AK383"/>
  <c r="AK392"/>
  <c r="AQ398"/>
  <c r="AQ407"/>
  <c r="AM415"/>
  <c r="AM424"/>
  <c r="AQ431"/>
  <c r="AQ440"/>
  <c r="AO447"/>
  <c r="AO456"/>
  <c r="AK464"/>
  <c r="AK473"/>
  <c r="AQ479"/>
  <c r="AO163"/>
  <c r="AQ242"/>
  <c r="AN295"/>
  <c r="AO305"/>
  <c r="AN316"/>
  <c r="AO324"/>
  <c r="AM335"/>
  <c r="AM344"/>
  <c r="AK355"/>
  <c r="AL363"/>
  <c r="AL373"/>
  <c r="AP380"/>
  <c r="AP389"/>
  <c r="AL397"/>
  <c r="AL406"/>
  <c r="AJ413"/>
  <c r="AJ422"/>
  <c r="AN429"/>
  <c r="AN438"/>
  <c r="AL445"/>
  <c r="AL454"/>
  <c r="AP461"/>
  <c r="AP470"/>
  <c r="AL478"/>
  <c r="AL487"/>
  <c r="AK132"/>
  <c r="AO246"/>
  <c r="AO291"/>
  <c r="AM306"/>
  <c r="AN314"/>
  <c r="AM325"/>
  <c r="AM334"/>
  <c r="AK345"/>
  <c r="AK354"/>
  <c r="AQ364"/>
  <c r="AM372"/>
  <c r="AM381"/>
  <c r="AQ388"/>
  <c r="AQ397"/>
  <c r="AO404"/>
  <c r="AO413"/>
  <c r="AK421"/>
  <c r="AK430"/>
  <c r="AO437"/>
  <c r="AM453"/>
  <c r="AQ478"/>
  <c r="AK204"/>
  <c r="AO258"/>
  <c r="AK297"/>
  <c r="AQ308"/>
  <c r="AQ317"/>
  <c r="AO328"/>
  <c r="AP336"/>
  <c r="AN347"/>
  <c r="AN356"/>
  <c r="AM367"/>
  <c r="AM374"/>
  <c r="AM383"/>
  <c r="AQ390"/>
  <c r="AQ399"/>
  <c r="AO406"/>
  <c r="AK414"/>
  <c r="AK420"/>
  <c r="AO427"/>
  <c r="AO433"/>
  <c r="AK441"/>
  <c r="AK447"/>
  <c r="AL149"/>
  <c r="AK38"/>
  <c r="AK119"/>
  <c r="AM190"/>
  <c r="AP47"/>
  <c r="AN72"/>
  <c r="AP95"/>
  <c r="AL121"/>
  <c r="AN144"/>
  <c r="AJ170"/>
  <c r="AL193"/>
  <c r="AQ22"/>
  <c r="AO38"/>
  <c r="AK55"/>
  <c r="AO71"/>
  <c r="AM87"/>
  <c r="AQ103"/>
  <c r="AO119"/>
  <c r="AK136"/>
  <c r="AO152"/>
  <c r="AM168"/>
  <c r="AQ184"/>
  <c r="AO200"/>
  <c r="AP25"/>
  <c r="AL42"/>
  <c r="AJ58"/>
  <c r="AN74"/>
  <c r="AL90"/>
  <c r="AP106"/>
  <c r="AL123"/>
  <c r="AJ139"/>
  <c r="AN155"/>
  <c r="AL171"/>
  <c r="AP187"/>
  <c r="AL204"/>
  <c r="AO28"/>
  <c r="AO67"/>
  <c r="AK162"/>
  <c r="AK214"/>
  <c r="AO230"/>
  <c r="AM246"/>
  <c r="AQ262"/>
  <c r="AO278"/>
  <c r="AK295"/>
  <c r="AQ102"/>
  <c r="AM197"/>
  <c r="AJ220"/>
  <c r="AN233"/>
  <c r="AJ247"/>
  <c r="AN260"/>
  <c r="AJ274"/>
  <c r="AN287"/>
  <c r="AK75"/>
  <c r="AK156"/>
  <c r="AK210"/>
  <c r="AO223"/>
  <c r="AK237"/>
  <c r="AO250"/>
  <c r="AK264"/>
  <c r="AO277"/>
  <c r="AK291"/>
  <c r="AQ96"/>
  <c r="AQ177"/>
  <c r="AP213"/>
  <c r="AL227"/>
  <c r="AL239"/>
  <c r="AP249"/>
  <c r="AL260"/>
  <c r="AN271"/>
  <c r="AJ282"/>
  <c r="AL293"/>
  <c r="AM95"/>
  <c r="AM158"/>
  <c r="AL208"/>
  <c r="AP218"/>
  <c r="AJ230"/>
  <c r="AN240"/>
  <c r="AJ251"/>
  <c r="AL262"/>
  <c r="AP272"/>
  <c r="AJ284"/>
  <c r="AN294"/>
  <c r="AJ305"/>
  <c r="AL316"/>
  <c r="AP326"/>
  <c r="AJ338"/>
  <c r="AN348"/>
  <c r="AJ359"/>
  <c r="AO91"/>
  <c r="AQ248"/>
  <c r="AL300"/>
  <c r="AK313"/>
  <c r="AP325"/>
  <c r="AL339"/>
  <c r="AQ351"/>
  <c r="AM365"/>
  <c r="AN376"/>
  <c r="AJ387"/>
  <c r="AL398"/>
  <c r="AP408"/>
  <c r="AJ420"/>
  <c r="AN430"/>
  <c r="AP441"/>
  <c r="AL455"/>
  <c r="AJ477"/>
  <c r="AJ501"/>
  <c r="AO207"/>
  <c r="AO270"/>
  <c r="AQ304"/>
  <c r="AN317"/>
  <c r="AJ331"/>
  <c r="AO343"/>
  <c r="AL356"/>
  <c r="AL365"/>
  <c r="AQ374"/>
  <c r="AM382"/>
  <c r="AM391"/>
  <c r="AK398"/>
  <c r="AK407"/>
  <c r="AO414"/>
  <c r="AO423"/>
  <c r="AM430"/>
  <c r="AM439"/>
  <c r="AQ446"/>
  <c r="AQ455"/>
  <c r="AM463"/>
  <c r="AM472"/>
  <c r="AK479"/>
  <c r="AO136"/>
  <c r="AM238"/>
  <c r="AM292"/>
  <c r="AQ303"/>
  <c r="AO314"/>
  <c r="AO323"/>
  <c r="AN334"/>
  <c r="AN343"/>
  <c r="AL354"/>
  <c r="AM362"/>
  <c r="AN372"/>
  <c r="AJ380"/>
  <c r="AJ389"/>
  <c r="AP395"/>
  <c r="AP404"/>
  <c r="AL412"/>
  <c r="AL421"/>
  <c r="AP428"/>
  <c r="AP437"/>
  <c r="AN444"/>
  <c r="AN453"/>
  <c r="AJ461"/>
  <c r="AJ470"/>
  <c r="AP476"/>
  <c r="AP485"/>
  <c r="AK105"/>
  <c r="AK242"/>
  <c r="AK287"/>
  <c r="AN305"/>
  <c r="AO313"/>
  <c r="AM324"/>
  <c r="AM333"/>
  <c r="AL344"/>
  <c r="AM352"/>
  <c r="AK363"/>
  <c r="AO371"/>
  <c r="AO380"/>
  <c r="AK388"/>
  <c r="AK397"/>
  <c r="AQ403"/>
  <c r="AQ412"/>
  <c r="AM420"/>
  <c r="AM429"/>
  <c r="AK436"/>
  <c r="AK445"/>
  <c r="AO452"/>
  <c r="AO461"/>
  <c r="AK469"/>
  <c r="AP135"/>
  <c r="AO24"/>
  <c r="AO105"/>
  <c r="AK179"/>
  <c r="AL46"/>
  <c r="AL70"/>
  <c r="AJ95"/>
  <c r="AL118"/>
  <c r="AP143"/>
  <c r="AJ167"/>
  <c r="AN192"/>
  <c r="AO17"/>
  <c r="AM33"/>
  <c r="AQ49"/>
  <c r="AO65"/>
  <c r="AK82"/>
  <c r="AO98"/>
  <c r="AM114"/>
  <c r="AQ130"/>
  <c r="AO146"/>
  <c r="AK163"/>
  <c r="AO179"/>
  <c r="AM195"/>
  <c r="AN20"/>
  <c r="AL36"/>
  <c r="AP52"/>
  <c r="AL69"/>
  <c r="AJ85"/>
  <c r="AN101"/>
  <c r="AL117"/>
  <c r="AP133"/>
  <c r="AL150"/>
  <c r="AJ166"/>
  <c r="AN182"/>
  <c r="AL198"/>
  <c r="AM23"/>
  <c r="AQ39"/>
  <c r="AO130"/>
  <c r="AQ208"/>
  <c r="AO224"/>
  <c r="AK241"/>
  <c r="AO257"/>
  <c r="AM273"/>
  <c r="AQ289"/>
  <c r="AQ66"/>
  <c r="AQ165"/>
  <c r="AP214"/>
  <c r="AJ229"/>
  <c r="AN242"/>
  <c r="AJ256"/>
  <c r="AN269"/>
  <c r="AJ283"/>
  <c r="AK48"/>
  <c r="AK129"/>
  <c r="AO205"/>
  <c r="AK219"/>
  <c r="AO232"/>
  <c r="AK246"/>
  <c r="AO259"/>
  <c r="AK273"/>
  <c r="AO286"/>
  <c r="AQ69"/>
  <c r="AQ150"/>
  <c r="AL209"/>
  <c r="AP222"/>
  <c r="AN235"/>
  <c r="AJ246"/>
  <c r="AL257"/>
  <c r="AP267"/>
  <c r="AL278"/>
  <c r="AN289"/>
  <c r="AQ72"/>
  <c r="AM140"/>
  <c r="AM203"/>
  <c r="AJ215"/>
  <c r="AL226"/>
  <c r="AP236"/>
  <c r="AJ248"/>
  <c r="AN258"/>
  <c r="AJ269"/>
  <c r="AL280"/>
  <c r="AP290"/>
  <c r="AJ302"/>
  <c r="AN312"/>
  <c r="AJ323"/>
  <c r="AL334"/>
  <c r="AP344"/>
  <c r="AJ356"/>
  <c r="AN366"/>
  <c r="AM226"/>
  <c r="AQ293"/>
  <c r="AO308"/>
  <c r="AK322"/>
  <c r="AP334"/>
  <c r="AM347"/>
  <c r="AQ360"/>
  <c r="AP372"/>
  <c r="AJ384"/>
  <c r="AN394"/>
  <c r="AJ405"/>
  <c r="AL416"/>
  <c r="AP426"/>
  <c r="AP438"/>
  <c r="AJ450"/>
  <c r="AP468"/>
  <c r="AN493"/>
  <c r="AK87"/>
  <c r="AO252"/>
  <c r="AK300"/>
  <c r="AJ313"/>
  <c r="AN326"/>
  <c r="AK339"/>
  <c r="AO352"/>
  <c r="AM364"/>
  <c r="AQ371"/>
  <c r="AQ380"/>
  <c r="AM388"/>
  <c r="AM397"/>
  <c r="AQ404"/>
  <c r="AQ413"/>
  <c r="AO420"/>
  <c r="AO429"/>
  <c r="AK437"/>
  <c r="AK446"/>
  <c r="AQ452"/>
  <c r="AQ461"/>
  <c r="AM469"/>
  <c r="AM478"/>
  <c r="AO55"/>
  <c r="AQ233"/>
  <c r="AM274"/>
  <c r="AJ303"/>
  <c r="AJ312"/>
  <c r="AP322"/>
  <c r="AQ330"/>
  <c r="AO341"/>
  <c r="AO350"/>
  <c r="AN361"/>
  <c r="AL370"/>
  <c r="AL379"/>
  <c r="AJ386"/>
  <c r="AJ395"/>
  <c r="AN402"/>
  <c r="AN411"/>
  <c r="AL418"/>
  <c r="AL427"/>
  <c r="AP434"/>
  <c r="AP443"/>
  <c r="AL451"/>
  <c r="AL460"/>
  <c r="AJ467"/>
  <c r="AJ476"/>
  <c r="AN483"/>
  <c r="AK78"/>
  <c r="AK224"/>
  <c r="AK278"/>
  <c r="AQ301"/>
  <c r="AP312"/>
  <c r="AP321"/>
  <c r="AN332"/>
  <c r="AO340"/>
  <c r="AM351"/>
  <c r="AM360"/>
  <c r="AQ370"/>
  <c r="AO377"/>
  <c r="AO386"/>
  <c r="AK394"/>
  <c r="AK403"/>
  <c r="AO410"/>
  <c r="AO419"/>
  <c r="AM426"/>
  <c r="AM435"/>
  <c r="AQ442"/>
  <c r="AQ451"/>
  <c r="AO458"/>
  <c r="AO467"/>
  <c r="AK475"/>
  <c r="AK150"/>
  <c r="AO240"/>
  <c r="AO294"/>
  <c r="AM304"/>
  <c r="AK315"/>
  <c r="AK324"/>
  <c r="AQ334"/>
  <c r="AJ343"/>
  <c r="AQ353"/>
  <c r="AQ362"/>
  <c r="AQ372"/>
  <c r="AM380"/>
  <c r="AM389"/>
  <c r="AK396"/>
  <c r="AK405"/>
  <c r="AK411"/>
  <c r="AO418"/>
  <c r="AO424"/>
  <c r="AK432"/>
  <c r="AK438"/>
  <c r="AO445"/>
  <c r="AO451"/>
  <c r="AK459"/>
  <c r="AK465"/>
  <c r="AO472"/>
  <c r="AO478"/>
  <c r="AK486"/>
  <c r="AK492"/>
  <c r="AO499"/>
  <c r="AO505"/>
  <c r="AL434"/>
  <c r="AJ462"/>
  <c r="AL476"/>
  <c r="AN487"/>
  <c r="AP501"/>
  <c r="AK482"/>
  <c r="AK326"/>
  <c r="AL387"/>
  <c r="AP472"/>
  <c r="AQ511"/>
  <c r="AO504"/>
  <c r="AP397"/>
  <c r="AL511"/>
  <c r="AM314"/>
  <c r="AM368"/>
  <c r="AJ400"/>
  <c r="AJ445"/>
  <c r="AJ481"/>
  <c r="AK496"/>
  <c r="AM508"/>
  <c r="AM502"/>
  <c r="AN349"/>
  <c r="AN495"/>
  <c r="AQ272"/>
  <c r="AO329"/>
  <c r="AN367"/>
  <c r="AL399"/>
  <c r="AL435"/>
  <c r="AP466"/>
  <c r="AN488"/>
  <c r="AJ497"/>
  <c r="AJ505"/>
  <c r="AK491"/>
  <c r="AO311"/>
  <c r="AP442"/>
  <c r="AO100"/>
  <c r="AO312"/>
  <c r="AP355"/>
  <c r="AN389"/>
  <c r="AJ421"/>
  <c r="AJ475"/>
  <c r="AL420"/>
  <c r="AM205"/>
  <c r="AK316"/>
  <c r="AJ354"/>
  <c r="AJ388"/>
  <c r="AN419"/>
  <c r="AN455"/>
  <c r="AJ484"/>
  <c r="AK254"/>
  <c r="AO346"/>
  <c r="AK399"/>
  <c r="AM440"/>
  <c r="AM467"/>
  <c r="AQ486"/>
  <c r="AQ507"/>
  <c r="AP477"/>
  <c r="AQ254"/>
  <c r="AK481"/>
  <c r="AP451"/>
  <c r="AJ373"/>
  <c r="AL483"/>
  <c r="AQ505"/>
  <c r="AL296"/>
  <c r="AL408"/>
  <c r="AJ490"/>
  <c r="AO494"/>
  <c r="AM214"/>
  <c r="AJ394"/>
  <c r="AP469"/>
  <c r="AM359"/>
  <c r="AJ460"/>
  <c r="AM496"/>
  <c r="AN331"/>
  <c r="AM483"/>
  <c r="AL505"/>
  <c r="AL438"/>
  <c r="AL465"/>
  <c r="AO321"/>
  <c r="AK494"/>
  <c r="AQ509"/>
  <c r="AP500"/>
  <c r="AK177"/>
  <c r="AQ335"/>
  <c r="AK390"/>
  <c r="AQ432"/>
  <c r="AO460"/>
  <c r="AO481"/>
  <c r="AK501"/>
  <c r="AJ468"/>
  <c r="AJ504"/>
  <c r="AP418"/>
  <c r="AQ209"/>
  <c r="AJ336"/>
  <c r="AJ454"/>
  <c r="AJ457"/>
  <c r="AP505"/>
  <c r="AL381"/>
  <c r="AP475"/>
  <c r="AL508"/>
  <c r="AK484"/>
  <c r="AO366"/>
  <c r="AK509"/>
  <c r="AJ327"/>
  <c r="AJ433"/>
  <c r="AM495"/>
  <c r="AK512"/>
  <c r="AL477"/>
  <c r="AJ503"/>
  <c r="AL411"/>
  <c r="AM486"/>
  <c r="AL468"/>
  <c r="AK478"/>
  <c r="AQ326"/>
  <c r="AO382"/>
  <c r="AQ426"/>
  <c r="AQ459"/>
  <c r="AQ480"/>
  <c r="AM500"/>
  <c r="AN466"/>
  <c r="AL503"/>
  <c r="AP409"/>
  <c r="AM511"/>
  <c r="AO330"/>
  <c r="AN449"/>
  <c r="AO510"/>
  <c r="AJ499"/>
  <c r="AL372"/>
  <c r="AL471"/>
  <c r="AL507"/>
  <c r="AK361"/>
  <c r="AN428"/>
  <c r="AL375"/>
  <c r="AQ469"/>
  <c r="AJ316"/>
  <c r="AO373"/>
  <c r="AM419"/>
  <c r="AO454"/>
  <c r="AK474"/>
  <c r="AK495"/>
  <c r="AJ453"/>
  <c r="AP492"/>
  <c r="AL342"/>
  <c r="AN470"/>
  <c r="AM223"/>
  <c r="AJ418"/>
  <c r="AM498"/>
  <c r="AL402"/>
  <c r="AN340"/>
  <c r="AL444"/>
  <c r="AN500"/>
  <c r="AK344"/>
  <c r="AP328"/>
  <c r="AJ430"/>
  <c r="AM259"/>
  <c r="AN401"/>
  <c r="AP487"/>
  <c r="AM505"/>
  <c r="AL423"/>
  <c r="AL495"/>
  <c r="AQ512"/>
  <c r="AM462"/>
  <c r="AQ307"/>
  <c r="AM366"/>
  <c r="AM413"/>
  <c r="AQ453"/>
  <c r="AM473"/>
  <c r="AM494"/>
  <c r="AL449"/>
  <c r="AJ492"/>
  <c r="AQ336"/>
  <c r="AJ448"/>
  <c r="AO154"/>
  <c r="AN404"/>
  <c r="AK497"/>
  <c r="AL384"/>
  <c r="AK335"/>
  <c r="AP439"/>
  <c r="AL498"/>
  <c r="AQ327"/>
  <c r="AM323"/>
  <c r="AN425"/>
  <c r="AM232"/>
  <c r="AN392"/>
  <c r="AQ485"/>
  <c r="AK503"/>
  <c r="AL414"/>
  <c r="AJ494"/>
  <c r="AM499"/>
  <c r="AJ509"/>
  <c r="AO446"/>
  <c r="AK296"/>
  <c r="AO355"/>
  <c r="AQ405"/>
  <c r="AM446"/>
  <c r="AK468"/>
  <c r="AO487"/>
  <c r="AO508"/>
  <c r="AL479"/>
  <c r="AQ281"/>
  <c r="AP491"/>
  <c r="AL474"/>
  <c r="AN377"/>
  <c r="AO488"/>
  <c r="AO73"/>
  <c r="AO302"/>
  <c r="AP412"/>
  <c r="AN491"/>
  <c r="AK500"/>
  <c r="AM268"/>
  <c r="AN398"/>
  <c r="AL486"/>
  <c r="AP364"/>
  <c r="AN464"/>
  <c r="AK502"/>
  <c r="AL405"/>
  <c r="AJ493"/>
  <c r="AP509"/>
  <c r="AL502"/>
  <c r="Z28"/>
  <c r="U345"/>
  <c r="Q344"/>
  <c r="U492"/>
  <c r="Q491"/>
  <c r="U193"/>
  <c r="Q192"/>
  <c r="U306"/>
  <c r="Q305"/>
  <c r="U428"/>
  <c r="Q427"/>
  <c r="U43"/>
  <c r="Q42"/>
  <c r="U129"/>
  <c r="Q128"/>
  <c r="U196"/>
  <c r="Q195"/>
  <c r="U263"/>
  <c r="Q262"/>
  <c r="U205"/>
  <c r="Q204"/>
  <c r="U318"/>
  <c r="Q317"/>
  <c r="U440"/>
  <c r="Q439"/>
  <c r="U60"/>
  <c r="Q59"/>
  <c r="U135"/>
  <c r="Q134"/>
  <c r="U202"/>
  <c r="Q201"/>
  <c r="U269"/>
  <c r="Q268"/>
  <c r="U109"/>
  <c r="Q108"/>
  <c r="U222"/>
  <c r="Q221"/>
  <c r="U344"/>
  <c r="Q343"/>
  <c r="Q19"/>
  <c r="U87"/>
  <c r="Q86"/>
  <c r="U154"/>
  <c r="Q153"/>
  <c r="U221"/>
  <c r="Q220"/>
  <c r="U458"/>
  <c r="Q457"/>
  <c r="U90"/>
  <c r="Q89"/>
  <c r="U212"/>
  <c r="Q211"/>
  <c r="U453"/>
  <c r="Q452"/>
  <c r="Q20"/>
  <c r="U88"/>
  <c r="Q87"/>
  <c r="U155"/>
  <c r="Q154"/>
  <c r="U326"/>
  <c r="Q325"/>
  <c r="U451"/>
  <c r="Q450"/>
  <c r="U80"/>
  <c r="Q79"/>
  <c r="U387"/>
  <c r="Q386"/>
  <c r="U454"/>
  <c r="Q453"/>
  <c r="Q21"/>
  <c r="U89"/>
  <c r="Q88"/>
  <c r="U374"/>
  <c r="Q373"/>
  <c r="U499"/>
  <c r="Q498"/>
  <c r="U128"/>
  <c r="Q127"/>
  <c r="U411"/>
  <c r="Q410"/>
  <c r="U478"/>
  <c r="Q477"/>
  <c r="U46"/>
  <c r="Q45"/>
  <c r="U113"/>
  <c r="Q112"/>
  <c r="U217"/>
  <c r="Q216"/>
  <c r="U266"/>
  <c r="Q265"/>
  <c r="U330"/>
  <c r="Q329"/>
  <c r="U391"/>
  <c r="Q390"/>
  <c r="U452"/>
  <c r="Q451"/>
  <c r="U504"/>
  <c r="Q503"/>
  <c r="U72"/>
  <c r="Q71"/>
  <c r="U357"/>
  <c r="Q356"/>
  <c r="U141"/>
  <c r="Q140"/>
  <c r="U424"/>
  <c r="Q423"/>
  <c r="U208"/>
  <c r="Q207"/>
  <c r="U491"/>
  <c r="Q490"/>
  <c r="U275"/>
  <c r="Q274"/>
  <c r="U59"/>
  <c r="Q58"/>
  <c r="U157"/>
  <c r="Q156"/>
  <c r="U206"/>
  <c r="Q205"/>
  <c r="U270"/>
  <c r="Q269"/>
  <c r="U331"/>
  <c r="Q330"/>
  <c r="U392"/>
  <c r="Q391"/>
  <c r="U444"/>
  <c r="Q443"/>
  <c r="U44"/>
  <c r="Q43"/>
  <c r="U327"/>
  <c r="Q326"/>
  <c r="U111"/>
  <c r="Q110"/>
  <c r="U394"/>
  <c r="Q393"/>
  <c r="U178"/>
  <c r="Q177"/>
  <c r="U461"/>
  <c r="Q460"/>
  <c r="U245"/>
  <c r="Q244"/>
  <c r="Q28"/>
  <c r="U97"/>
  <c r="Q96"/>
  <c r="U146"/>
  <c r="Q145"/>
  <c r="U210"/>
  <c r="Q209"/>
  <c r="U271"/>
  <c r="Q270"/>
  <c r="U332"/>
  <c r="Q331"/>
  <c r="U384"/>
  <c r="Q383"/>
  <c r="Q13"/>
  <c r="U297"/>
  <c r="Q296"/>
  <c r="U81"/>
  <c r="Q80"/>
  <c r="U364"/>
  <c r="Q363"/>
  <c r="U148"/>
  <c r="Q147"/>
  <c r="U431"/>
  <c r="Q430"/>
  <c r="U215"/>
  <c r="Q214"/>
  <c r="U337"/>
  <c r="Q336"/>
  <c r="U450"/>
  <c r="Q449"/>
  <c r="U79"/>
  <c r="Q78"/>
  <c r="U192"/>
  <c r="Q191"/>
  <c r="U201"/>
  <c r="Q200"/>
  <c r="U268"/>
  <c r="Q267"/>
  <c r="U335"/>
  <c r="Q334"/>
  <c r="U349"/>
  <c r="Q348"/>
  <c r="U462"/>
  <c r="Q461"/>
  <c r="U91"/>
  <c r="Q90"/>
  <c r="U204"/>
  <c r="Q203"/>
  <c r="U207"/>
  <c r="Q206"/>
  <c r="U274"/>
  <c r="Q273"/>
  <c r="U341"/>
  <c r="Q340"/>
  <c r="U253"/>
  <c r="Q252"/>
  <c r="U366"/>
  <c r="Q365"/>
  <c r="U488"/>
  <c r="Q487"/>
  <c r="U108"/>
  <c r="Q107"/>
  <c r="U159"/>
  <c r="Q158"/>
  <c r="U226"/>
  <c r="Q225"/>
  <c r="U293"/>
  <c r="Q292"/>
  <c r="U121"/>
  <c r="Q120"/>
  <c r="U234"/>
  <c r="Q233"/>
  <c r="U356"/>
  <c r="Q355"/>
  <c r="Q25"/>
  <c r="U93"/>
  <c r="Q92"/>
  <c r="U160"/>
  <c r="Q159"/>
  <c r="U227"/>
  <c r="Q226"/>
  <c r="U470"/>
  <c r="Q469"/>
  <c r="U102"/>
  <c r="Q101"/>
  <c r="U224"/>
  <c r="Q223"/>
  <c r="U459"/>
  <c r="Q458"/>
  <c r="Q26"/>
  <c r="U94"/>
  <c r="Q93"/>
  <c r="U161"/>
  <c r="Q160"/>
  <c r="Q29"/>
  <c r="U150"/>
  <c r="Q149"/>
  <c r="U272"/>
  <c r="Q271"/>
  <c r="U483"/>
  <c r="Q482"/>
  <c r="U51"/>
  <c r="Q50"/>
  <c r="U118"/>
  <c r="Q117"/>
  <c r="U185"/>
  <c r="Q184"/>
  <c r="U289"/>
  <c r="Q288"/>
  <c r="U338"/>
  <c r="Q337"/>
  <c r="U402"/>
  <c r="Q401"/>
  <c r="U463"/>
  <c r="Q462"/>
  <c r="Q18"/>
  <c r="U92"/>
  <c r="Q91"/>
  <c r="U144"/>
  <c r="Q143"/>
  <c r="U393"/>
  <c r="Q392"/>
  <c r="U177"/>
  <c r="Q176"/>
  <c r="U460"/>
  <c r="Q459"/>
  <c r="U244"/>
  <c r="Q243"/>
  <c r="Q27"/>
  <c r="U311"/>
  <c r="Q310"/>
  <c r="U95"/>
  <c r="Q94"/>
  <c r="U229"/>
  <c r="Q228"/>
  <c r="U278"/>
  <c r="Q277"/>
  <c r="U342"/>
  <c r="Q341"/>
  <c r="U403"/>
  <c r="Q402"/>
  <c r="U464"/>
  <c r="Q463"/>
  <c r="Q23"/>
  <c r="U84"/>
  <c r="Q83"/>
  <c r="U363"/>
  <c r="Q362"/>
  <c r="U147"/>
  <c r="Q146"/>
  <c r="U430"/>
  <c r="Q429"/>
  <c r="U214"/>
  <c r="Q213"/>
  <c r="U497"/>
  <c r="Q496"/>
  <c r="U281"/>
  <c r="Q280"/>
  <c r="U65"/>
  <c r="Q64"/>
  <c r="U169"/>
  <c r="Q168"/>
  <c r="U218"/>
  <c r="Q217"/>
  <c r="U282"/>
  <c r="Q281"/>
  <c r="U343"/>
  <c r="Q342"/>
  <c r="U404"/>
  <c r="Q403"/>
  <c r="U456"/>
  <c r="Q455"/>
  <c r="U50"/>
  <c r="Q49"/>
  <c r="U333"/>
  <c r="Q332"/>
  <c r="U117"/>
  <c r="Q116"/>
  <c r="U400"/>
  <c r="Q399"/>
  <c r="U184"/>
  <c r="Q183"/>
  <c r="U467"/>
  <c r="Q466"/>
  <c r="U251"/>
  <c r="Q250"/>
  <c r="U35"/>
  <c r="Q34"/>
  <c r="U481"/>
  <c r="Q480"/>
  <c r="U223"/>
  <c r="Q222"/>
  <c r="U336"/>
  <c r="Q335"/>
  <c r="U273"/>
  <c r="Q272"/>
  <c r="U340"/>
  <c r="Q339"/>
  <c r="U407"/>
  <c r="Q406"/>
  <c r="U493"/>
  <c r="Q492"/>
  <c r="U110"/>
  <c r="Q109"/>
  <c r="U235"/>
  <c r="Q234"/>
  <c r="U348"/>
  <c r="Q347"/>
  <c r="U279"/>
  <c r="Q278"/>
  <c r="U346"/>
  <c r="Q345"/>
  <c r="U413"/>
  <c r="Q412"/>
  <c r="U397"/>
  <c r="Q396"/>
  <c r="U510"/>
  <c r="Q509"/>
  <c r="U139"/>
  <c r="Q138"/>
  <c r="U252"/>
  <c r="Q251"/>
  <c r="U231"/>
  <c r="Q230"/>
  <c r="U298"/>
  <c r="Q297"/>
  <c r="U365"/>
  <c r="Q364"/>
  <c r="U265"/>
  <c r="Q264"/>
  <c r="U378"/>
  <c r="Q377"/>
  <c r="U500"/>
  <c r="Q499"/>
  <c r="U120"/>
  <c r="Q119"/>
  <c r="U165"/>
  <c r="Q164"/>
  <c r="U232"/>
  <c r="Q231"/>
  <c r="U299"/>
  <c r="Q298"/>
  <c r="U133"/>
  <c r="Q132"/>
  <c r="U246"/>
  <c r="Q245"/>
  <c r="U368"/>
  <c r="Q367"/>
  <c r="Q31"/>
  <c r="U99"/>
  <c r="Q98"/>
  <c r="U166"/>
  <c r="Q165"/>
  <c r="U233"/>
  <c r="Q232"/>
  <c r="U181"/>
  <c r="Q180"/>
  <c r="U294"/>
  <c r="Q293"/>
  <c r="U416"/>
  <c r="Q415"/>
  <c r="Q24"/>
  <c r="U123"/>
  <c r="Q122"/>
  <c r="U190"/>
  <c r="Q189"/>
  <c r="U257"/>
  <c r="Q256"/>
  <c r="U361"/>
  <c r="Q360"/>
  <c r="U410"/>
  <c r="Q409"/>
  <c r="U474"/>
  <c r="Q473"/>
  <c r="U36"/>
  <c r="Q35"/>
  <c r="U103"/>
  <c r="Q102"/>
  <c r="U164"/>
  <c r="Q163"/>
  <c r="U216"/>
  <c r="Q215"/>
  <c r="U429"/>
  <c r="Q428"/>
  <c r="U213"/>
  <c r="Q212"/>
  <c r="U496"/>
  <c r="Q495"/>
  <c r="U280"/>
  <c r="Q279"/>
  <c r="U64"/>
  <c r="Q63"/>
  <c r="U347"/>
  <c r="Q346"/>
  <c r="U131"/>
  <c r="Q130"/>
  <c r="U301"/>
  <c r="Q300"/>
  <c r="U350"/>
  <c r="Q349"/>
  <c r="U414"/>
  <c r="Q413"/>
  <c r="U475"/>
  <c r="Q474"/>
  <c r="U37"/>
  <c r="Q36"/>
  <c r="U104"/>
  <c r="Q103"/>
  <c r="U156"/>
  <c r="Q155"/>
  <c r="U399"/>
  <c r="Q398"/>
  <c r="U183"/>
  <c r="Q182"/>
  <c r="U466"/>
  <c r="Q465"/>
  <c r="U250"/>
  <c r="Q249"/>
  <c r="Q33"/>
  <c r="U317"/>
  <c r="Q316"/>
  <c r="U101"/>
  <c r="Q100"/>
  <c r="U241"/>
  <c r="Q240"/>
  <c r="U290"/>
  <c r="Q289"/>
  <c r="U354"/>
  <c r="Q353"/>
  <c r="U415"/>
  <c r="Q414"/>
  <c r="U476"/>
  <c r="Q475"/>
  <c r="U42"/>
  <c r="Q41"/>
  <c r="U96"/>
  <c r="Q95"/>
  <c r="U369"/>
  <c r="Q368"/>
  <c r="U153"/>
  <c r="Q152"/>
  <c r="U436"/>
  <c r="Q435"/>
  <c r="U220"/>
  <c r="Q219"/>
  <c r="U503"/>
  <c r="Q502"/>
  <c r="U287"/>
  <c r="Q286"/>
  <c r="U71"/>
  <c r="Q70"/>
  <c r="U242"/>
  <c r="Q241"/>
  <c r="U480"/>
  <c r="Q479"/>
  <c r="U412"/>
  <c r="Q411"/>
  <c r="U47"/>
  <c r="Q46"/>
  <c r="U379"/>
  <c r="Q378"/>
  <c r="U418"/>
  <c r="Q417"/>
  <c r="U485"/>
  <c r="Q484"/>
  <c r="U53"/>
  <c r="Q52"/>
  <c r="U158"/>
  <c r="Q157"/>
  <c r="U283"/>
  <c r="Q282"/>
  <c r="U396"/>
  <c r="Q395"/>
  <c r="U303"/>
  <c r="Q302"/>
  <c r="U370"/>
  <c r="Q369"/>
  <c r="U437"/>
  <c r="Q436"/>
  <c r="U151"/>
  <c r="Q150"/>
  <c r="U237"/>
  <c r="Q236"/>
  <c r="U304"/>
  <c r="Q303"/>
  <c r="U371"/>
  <c r="Q370"/>
  <c r="U277"/>
  <c r="Q276"/>
  <c r="U390"/>
  <c r="Q389"/>
  <c r="U512"/>
  <c r="Q511"/>
  <c r="U132"/>
  <c r="Q131"/>
  <c r="U171"/>
  <c r="Q170"/>
  <c r="U238"/>
  <c r="Q237"/>
  <c r="U305"/>
  <c r="Q304"/>
  <c r="U325"/>
  <c r="Q324"/>
  <c r="U438"/>
  <c r="Q437"/>
  <c r="U67"/>
  <c r="Q66"/>
  <c r="U180"/>
  <c r="Q179"/>
  <c r="U195"/>
  <c r="Q194"/>
  <c r="U262"/>
  <c r="Q261"/>
  <c r="U329"/>
  <c r="Q328"/>
  <c r="U433"/>
  <c r="Q432"/>
  <c r="U482"/>
  <c r="Q481"/>
  <c r="U49"/>
  <c r="Q48"/>
  <c r="U114"/>
  <c r="Q113"/>
  <c r="U175"/>
  <c r="Q174"/>
  <c r="U236"/>
  <c r="Q235"/>
  <c r="U288"/>
  <c r="Q287"/>
  <c r="U465"/>
  <c r="Q464"/>
  <c r="U249"/>
  <c r="Q248"/>
  <c r="Q32"/>
  <c r="U316"/>
  <c r="Q315"/>
  <c r="U100"/>
  <c r="Q99"/>
  <c r="U383"/>
  <c r="Q382"/>
  <c r="U167"/>
  <c r="Q166"/>
  <c r="U373"/>
  <c r="Q372"/>
  <c r="U422"/>
  <c r="Q421"/>
  <c r="U486"/>
  <c r="Q485"/>
  <c r="U54"/>
  <c r="Q53"/>
  <c r="U115"/>
  <c r="Q114"/>
  <c r="U176"/>
  <c r="Q175"/>
  <c r="U228"/>
  <c r="Q227"/>
  <c r="U435"/>
  <c r="Q434"/>
  <c r="U219"/>
  <c r="Q218"/>
  <c r="U502"/>
  <c r="Q501"/>
  <c r="U286"/>
  <c r="Q285"/>
  <c r="U70"/>
  <c r="Q69"/>
  <c r="U353"/>
  <c r="Q352"/>
  <c r="U137"/>
  <c r="Q136"/>
  <c r="U313"/>
  <c r="Q312"/>
  <c r="U362"/>
  <c r="Q361"/>
  <c r="U426"/>
  <c r="Q425"/>
  <c r="U487"/>
  <c r="Q486"/>
  <c r="U55"/>
  <c r="Q54"/>
  <c r="U116"/>
  <c r="Q115"/>
  <c r="U168"/>
  <c r="Q167"/>
  <c r="U405"/>
  <c r="Q404"/>
  <c r="U189"/>
  <c r="Q188"/>
  <c r="U472"/>
  <c r="Q471"/>
  <c r="U256"/>
  <c r="Q255"/>
  <c r="U40"/>
  <c r="Q39"/>
  <c r="U323"/>
  <c r="Q322"/>
  <c r="U107"/>
  <c r="Q106"/>
  <c r="U254"/>
  <c r="Q253"/>
  <c r="U264"/>
  <c r="Q263"/>
  <c r="U386"/>
  <c r="Q385"/>
  <c r="U511"/>
  <c r="Q510"/>
  <c r="U140"/>
  <c r="Q139"/>
  <c r="U417"/>
  <c r="Q416"/>
  <c r="U52"/>
  <c r="Q51"/>
  <c r="U119"/>
  <c r="Q118"/>
  <c r="U398"/>
  <c r="Q397"/>
  <c r="Q17"/>
  <c r="U152"/>
  <c r="Q151"/>
  <c r="U490"/>
  <c r="Q489"/>
  <c r="U58"/>
  <c r="Q57"/>
  <c r="U125"/>
  <c r="Q124"/>
  <c r="U302"/>
  <c r="Q301"/>
  <c r="U427"/>
  <c r="Q426"/>
  <c r="U56"/>
  <c r="Q55"/>
  <c r="U375"/>
  <c r="Q374"/>
  <c r="U442"/>
  <c r="Q441"/>
  <c r="U509"/>
  <c r="Q508"/>
  <c r="U77"/>
  <c r="Q76"/>
  <c r="U170"/>
  <c r="Q169"/>
  <c r="U295"/>
  <c r="Q294"/>
  <c r="U309"/>
  <c r="Q308"/>
  <c r="U376"/>
  <c r="Q375"/>
  <c r="U443"/>
  <c r="Q442"/>
  <c r="U421"/>
  <c r="Q420"/>
  <c r="Q30"/>
  <c r="U163"/>
  <c r="Q162"/>
  <c r="U276"/>
  <c r="Q275"/>
  <c r="U243"/>
  <c r="Q242"/>
  <c r="U310"/>
  <c r="Q309"/>
  <c r="U377"/>
  <c r="Q376"/>
  <c r="U469"/>
  <c r="Q468"/>
  <c r="U86"/>
  <c r="Q85"/>
  <c r="U211"/>
  <c r="Q210"/>
  <c r="U324"/>
  <c r="Q323"/>
  <c r="U267"/>
  <c r="Q266"/>
  <c r="U334"/>
  <c r="Q333"/>
  <c r="U401"/>
  <c r="Q400"/>
  <c r="U505"/>
  <c r="Q504"/>
  <c r="U73"/>
  <c r="Q72"/>
  <c r="U122"/>
  <c r="Q121"/>
  <c r="U186"/>
  <c r="Q185"/>
  <c r="U247"/>
  <c r="Q246"/>
  <c r="U308"/>
  <c r="Q307"/>
  <c r="U360"/>
  <c r="Q359"/>
  <c r="U501"/>
  <c r="Q500"/>
  <c r="U285"/>
  <c r="Q284"/>
  <c r="U69"/>
  <c r="Q68"/>
  <c r="U352"/>
  <c r="Q351"/>
  <c r="U136"/>
  <c r="Q135"/>
  <c r="U419"/>
  <c r="Q418"/>
  <c r="U203"/>
  <c r="Q202"/>
  <c r="U445"/>
  <c r="Q444"/>
  <c r="U494"/>
  <c r="Q493"/>
  <c r="U62"/>
  <c r="Q61"/>
  <c r="U126"/>
  <c r="Q125"/>
  <c r="U187"/>
  <c r="Q186"/>
  <c r="U248"/>
  <c r="Q247"/>
  <c r="U300"/>
  <c r="Q299"/>
  <c r="U471"/>
  <c r="Q470"/>
  <c r="U255"/>
  <c r="Q254"/>
  <c r="U39"/>
  <c r="Q38"/>
  <c r="U322"/>
  <c r="Q321"/>
  <c r="U106"/>
  <c r="Q105"/>
  <c r="U389"/>
  <c r="Q388"/>
  <c r="U173"/>
  <c r="Q172"/>
  <c r="U385"/>
  <c r="Q384"/>
  <c r="U434"/>
  <c r="Q433"/>
  <c r="U498"/>
  <c r="Q497"/>
  <c r="U66"/>
  <c r="Q65"/>
  <c r="U127"/>
  <c r="Q126"/>
  <c r="U188"/>
  <c r="Q187"/>
  <c r="U240"/>
  <c r="Q239"/>
  <c r="U441"/>
  <c r="Q440"/>
  <c r="U225"/>
  <c r="Q224"/>
  <c r="U508"/>
  <c r="Q507"/>
  <c r="U292"/>
  <c r="Q291"/>
  <c r="U76"/>
  <c r="Q75"/>
  <c r="U359"/>
  <c r="Q358"/>
  <c r="U143"/>
  <c r="Q142"/>
  <c r="U98"/>
  <c r="Q97"/>
  <c r="U367"/>
  <c r="Q366"/>
  <c r="U479"/>
  <c r="Q478"/>
  <c r="U351"/>
  <c r="Q350"/>
  <c r="U409"/>
  <c r="Q408"/>
  <c r="U484"/>
  <c r="Q483"/>
  <c r="U423"/>
  <c r="Q422"/>
  <c r="U408"/>
  <c r="Q407"/>
  <c r="U48"/>
  <c r="Q47"/>
  <c r="U162"/>
  <c r="Q161"/>
  <c r="U284"/>
  <c r="Q283"/>
  <c r="U489"/>
  <c r="Q488"/>
  <c r="U57"/>
  <c r="Q56"/>
  <c r="U124"/>
  <c r="Q123"/>
  <c r="U191"/>
  <c r="Q190"/>
  <c r="U61"/>
  <c r="Q60"/>
  <c r="U174"/>
  <c r="Q173"/>
  <c r="U296"/>
  <c r="Q295"/>
  <c r="U495"/>
  <c r="Q494"/>
  <c r="U63"/>
  <c r="Q62"/>
  <c r="U130"/>
  <c r="Q129"/>
  <c r="U197"/>
  <c r="Q196"/>
  <c r="U446"/>
  <c r="Q445"/>
  <c r="U78"/>
  <c r="Q77"/>
  <c r="U200"/>
  <c r="Q199"/>
  <c r="U447"/>
  <c r="Q446"/>
  <c r="Q14"/>
  <c r="U82"/>
  <c r="Q81"/>
  <c r="U149"/>
  <c r="Q148"/>
  <c r="U314"/>
  <c r="Q313"/>
  <c r="U439"/>
  <c r="Q438"/>
  <c r="U68"/>
  <c r="Q67"/>
  <c r="U381"/>
  <c r="Q380"/>
  <c r="U448"/>
  <c r="Q447"/>
  <c r="Q15"/>
  <c r="U83"/>
  <c r="Q82"/>
  <c r="U182"/>
  <c r="Q181"/>
  <c r="U307"/>
  <c r="Q306"/>
  <c r="U420"/>
  <c r="Q419"/>
  <c r="U315"/>
  <c r="Q314"/>
  <c r="U382"/>
  <c r="Q381"/>
  <c r="U449"/>
  <c r="Q448"/>
  <c r="Q16"/>
  <c r="U230"/>
  <c r="Q229"/>
  <c r="U355"/>
  <c r="Q354"/>
  <c r="U468"/>
  <c r="Q467"/>
  <c r="U339"/>
  <c r="Q338"/>
  <c r="U406"/>
  <c r="Q405"/>
  <c r="U473"/>
  <c r="Q472"/>
  <c r="U41"/>
  <c r="Q40"/>
  <c r="U145"/>
  <c r="Q144"/>
  <c r="U194"/>
  <c r="Q193"/>
  <c r="U258"/>
  <c r="Q257"/>
  <c r="U319"/>
  <c r="Q318"/>
  <c r="U380"/>
  <c r="Q379"/>
  <c r="U432"/>
  <c r="Q431"/>
  <c r="U38"/>
  <c r="Q37"/>
  <c r="U321"/>
  <c r="Q320"/>
  <c r="U105"/>
  <c r="Q104"/>
  <c r="U388"/>
  <c r="Q387"/>
  <c r="U172"/>
  <c r="Q171"/>
  <c r="U455"/>
  <c r="Q454"/>
  <c r="U239"/>
  <c r="Q238"/>
  <c r="Q22"/>
  <c r="U85"/>
  <c r="Q84"/>
  <c r="U134"/>
  <c r="Q133"/>
  <c r="U198"/>
  <c r="Q197"/>
  <c r="U259"/>
  <c r="Q258"/>
  <c r="U320"/>
  <c r="Q319"/>
  <c r="U372"/>
  <c r="Q371"/>
  <c r="U507"/>
  <c r="Q506"/>
  <c r="U291"/>
  <c r="Q290"/>
  <c r="U75"/>
  <c r="Q74"/>
  <c r="U358"/>
  <c r="Q357"/>
  <c r="U142"/>
  <c r="Q141"/>
  <c r="U425"/>
  <c r="Q424"/>
  <c r="U209"/>
  <c r="Q208"/>
  <c r="U457"/>
  <c r="Q456"/>
  <c r="U506"/>
  <c r="Q505"/>
  <c r="U74"/>
  <c r="Q73"/>
  <c r="U138"/>
  <c r="Q137"/>
  <c r="U199"/>
  <c r="Q198"/>
  <c r="U260"/>
  <c r="Q259"/>
  <c r="U312"/>
  <c r="Q311"/>
  <c r="U477"/>
  <c r="Q476"/>
  <c r="U261"/>
  <c r="Q260"/>
  <c r="U45"/>
  <c r="Q44"/>
  <c r="U328"/>
  <c r="Q327"/>
  <c r="U112"/>
  <c r="Q111"/>
  <c r="U395"/>
  <c r="Q394"/>
  <c r="U179"/>
  <c r="Q178"/>
  <c r="BK114"/>
  <c r="BL114"/>
  <c r="Y113"/>
  <c r="Z113"/>
  <c r="BL362"/>
  <c r="BK362"/>
  <c r="Z361"/>
  <c r="Y361"/>
  <c r="BK502"/>
  <c r="BL502"/>
  <c r="Z501"/>
  <c r="Y501"/>
  <c r="BK70"/>
  <c r="BL70"/>
  <c r="Z69"/>
  <c r="Y69"/>
  <c r="BK266"/>
  <c r="BL266"/>
  <c r="Z265"/>
  <c r="Y265"/>
  <c r="BL419"/>
  <c r="BK419"/>
  <c r="Z418"/>
  <c r="Y418"/>
  <c r="BL312"/>
  <c r="BK312"/>
  <c r="Y311"/>
  <c r="Z311"/>
  <c r="BK445"/>
  <c r="BL445"/>
  <c r="Z444"/>
  <c r="Y444"/>
  <c r="BL80"/>
  <c r="BK80"/>
  <c r="Z79"/>
  <c r="Y79"/>
  <c r="BK364"/>
  <c r="BL364"/>
  <c r="Z363"/>
  <c r="Y363"/>
  <c r="BK343"/>
  <c r="BL343"/>
  <c r="Z342"/>
  <c r="Y342"/>
  <c r="BL483"/>
  <c r="BK483"/>
  <c r="Z482"/>
  <c r="Y482"/>
  <c r="BL233"/>
  <c r="BK233"/>
  <c r="Z232"/>
  <c r="Y232"/>
  <c r="BL288"/>
  <c r="BK288"/>
  <c r="Y287"/>
  <c r="Z287"/>
  <c r="BK205"/>
  <c r="BL205"/>
  <c r="Y204"/>
  <c r="Z204"/>
  <c r="BK345"/>
  <c r="BL345"/>
  <c r="Z344"/>
  <c r="Y344"/>
  <c r="BK244"/>
  <c r="BL244"/>
  <c r="Z243"/>
  <c r="Y243"/>
  <c r="BK109"/>
  <c r="BL109"/>
  <c r="Y108"/>
  <c r="Z108"/>
  <c r="BK237"/>
  <c r="BL237"/>
  <c r="Z236"/>
  <c r="Y236"/>
  <c r="BL53"/>
  <c r="BK53"/>
  <c r="Y52"/>
  <c r="Z52"/>
  <c r="BK150"/>
  <c r="BL150"/>
  <c r="Z149"/>
  <c r="Y149"/>
  <c r="BL434"/>
  <c r="BK434"/>
  <c r="Z433"/>
  <c r="Y433"/>
  <c r="BK75"/>
  <c r="BL75"/>
  <c r="Z74"/>
  <c r="Y74"/>
  <c r="BK106"/>
  <c r="BL106"/>
  <c r="Z105"/>
  <c r="Y105"/>
  <c r="BK338"/>
  <c r="BL338"/>
  <c r="Z337"/>
  <c r="Y337"/>
  <c r="BL485"/>
  <c r="BK485"/>
  <c r="Z484"/>
  <c r="Y484"/>
  <c r="BL318"/>
  <c r="BK318"/>
  <c r="Z317"/>
  <c r="Y317"/>
  <c r="BK373"/>
  <c r="BL373"/>
  <c r="Z372"/>
  <c r="Y372"/>
  <c r="BL20"/>
  <c r="Y19"/>
  <c r="BK328"/>
  <c r="BL328"/>
  <c r="Z327"/>
  <c r="Y327"/>
  <c r="BK271"/>
  <c r="BL271"/>
  <c r="Z270"/>
  <c r="Y270"/>
  <c r="BL411"/>
  <c r="BK411"/>
  <c r="Z410"/>
  <c r="Y410"/>
  <c r="BL167"/>
  <c r="BK167"/>
  <c r="Y166"/>
  <c r="Z166"/>
  <c r="BL180"/>
  <c r="BK180"/>
  <c r="Z179"/>
  <c r="Y179"/>
  <c r="BK494"/>
  <c r="BL494"/>
  <c r="Z493"/>
  <c r="Y493"/>
  <c r="BK135"/>
  <c r="BL135"/>
  <c r="Z134"/>
  <c r="Y134"/>
  <c r="BK136"/>
  <c r="BL136"/>
  <c r="Z135"/>
  <c r="Y135"/>
  <c r="BK392"/>
  <c r="BL392"/>
  <c r="Z391"/>
  <c r="Y391"/>
  <c r="BL27"/>
  <c r="Y26"/>
  <c r="BL461"/>
  <c r="BK461"/>
  <c r="Z460"/>
  <c r="Y460"/>
  <c r="BL245"/>
  <c r="BK245"/>
  <c r="Z244"/>
  <c r="Y244"/>
  <c r="BK336"/>
  <c r="BL336"/>
  <c r="Z335"/>
  <c r="Y335"/>
  <c r="BK270"/>
  <c r="BL270"/>
  <c r="Y269"/>
  <c r="Z269"/>
  <c r="BK54"/>
  <c r="BL54"/>
  <c r="Y53"/>
  <c r="Z53"/>
  <c r="BK169"/>
  <c r="BL169"/>
  <c r="Y168"/>
  <c r="Z168"/>
  <c r="BK236"/>
  <c r="BL236"/>
  <c r="Z235"/>
  <c r="Y235"/>
  <c r="BK309"/>
  <c r="BL309"/>
  <c r="Z308"/>
  <c r="Y308"/>
  <c r="BK442"/>
  <c r="BL442"/>
  <c r="Y441"/>
  <c r="Z441"/>
  <c r="BK226"/>
  <c r="BL226"/>
  <c r="Z225"/>
  <c r="Y225"/>
  <c r="BL505"/>
  <c r="BK505"/>
  <c r="Y504"/>
  <c r="Z504"/>
  <c r="BK73"/>
  <c r="BL73"/>
  <c r="Z72"/>
  <c r="Y72"/>
  <c r="BL146"/>
  <c r="BK146"/>
  <c r="Z145"/>
  <c r="Y145"/>
  <c r="BK201"/>
  <c r="BL201"/>
  <c r="Z200"/>
  <c r="Y200"/>
  <c r="BL395"/>
  <c r="BK395"/>
  <c r="Z394"/>
  <c r="Y394"/>
  <c r="BL179"/>
  <c r="BK179"/>
  <c r="Y178"/>
  <c r="Z178"/>
  <c r="BK378"/>
  <c r="BL378"/>
  <c r="Z377"/>
  <c r="Y377"/>
  <c r="BL240"/>
  <c r="BK240"/>
  <c r="Z239"/>
  <c r="Y239"/>
  <c r="BL24"/>
  <c r="Y23"/>
  <c r="BK103"/>
  <c r="BL103"/>
  <c r="Z102"/>
  <c r="Y102"/>
  <c r="BK176"/>
  <c r="BL176"/>
  <c r="Z175"/>
  <c r="Y175"/>
  <c r="BK255"/>
  <c r="BL255"/>
  <c r="Z254"/>
  <c r="Y254"/>
  <c r="BL412"/>
  <c r="BK412"/>
  <c r="Z411"/>
  <c r="Y411"/>
  <c r="BL196"/>
  <c r="BK196"/>
  <c r="Z195"/>
  <c r="Y195"/>
  <c r="BK439"/>
  <c r="BL439"/>
  <c r="Z438"/>
  <c r="Y438"/>
  <c r="BL512"/>
  <c r="BK512"/>
  <c r="BK86"/>
  <c r="BL86"/>
  <c r="Z85"/>
  <c r="Y85"/>
  <c r="BK141"/>
  <c r="BL141"/>
  <c r="Z140"/>
  <c r="Y140"/>
  <c r="BL365"/>
  <c r="BK365"/>
  <c r="Z364"/>
  <c r="Y364"/>
  <c r="BL149"/>
  <c r="BK149"/>
  <c r="Z148"/>
  <c r="Y148"/>
  <c r="BL420"/>
  <c r="BK420"/>
  <c r="Z419"/>
  <c r="Y419"/>
  <c r="BL210"/>
  <c r="BK210"/>
  <c r="Z209"/>
  <c r="Y209"/>
  <c r="BK475"/>
  <c r="BL475"/>
  <c r="Z474"/>
  <c r="Y474"/>
  <c r="BK43"/>
  <c r="BL43"/>
  <c r="Z42"/>
  <c r="Y42"/>
  <c r="BL116"/>
  <c r="BK116"/>
  <c r="Z115"/>
  <c r="Y115"/>
  <c r="BL195"/>
  <c r="BK195"/>
  <c r="Z194"/>
  <c r="Y194"/>
  <c r="BL382"/>
  <c r="BK382"/>
  <c r="Y381"/>
  <c r="Z381"/>
  <c r="BL166"/>
  <c r="BK166"/>
  <c r="Z165"/>
  <c r="Y165"/>
  <c r="BK379"/>
  <c r="BL379"/>
  <c r="Y378"/>
  <c r="Z378"/>
  <c r="BK452"/>
  <c r="BL452"/>
  <c r="Z451"/>
  <c r="Y451"/>
  <c r="BL14"/>
  <c r="Y13"/>
  <c r="BL81"/>
  <c r="BK81"/>
  <c r="Z80"/>
  <c r="Y80"/>
  <c r="BL335"/>
  <c r="BK335"/>
  <c r="Z334"/>
  <c r="Y334"/>
  <c r="BL119"/>
  <c r="BK119"/>
  <c r="Z118"/>
  <c r="Y118"/>
  <c r="BK186"/>
  <c r="BL186"/>
  <c r="Z185"/>
  <c r="Y185"/>
  <c r="BL506"/>
  <c r="BK506"/>
  <c r="Z505"/>
  <c r="Y505"/>
  <c r="BK147"/>
  <c r="BL147"/>
  <c r="Z146"/>
  <c r="Y146"/>
  <c r="BK142"/>
  <c r="BL142"/>
  <c r="Z141"/>
  <c r="Y141"/>
  <c r="BL404"/>
  <c r="BK404"/>
  <c r="Z403"/>
  <c r="Y403"/>
  <c r="BL33"/>
  <c r="Y32"/>
  <c r="BK300"/>
  <c r="BL300"/>
  <c r="Y299"/>
  <c r="Z299"/>
  <c r="BK48"/>
  <c r="BL48"/>
  <c r="Y47"/>
  <c r="Z47"/>
  <c r="BL224"/>
  <c r="BK224"/>
  <c r="Z223"/>
  <c r="Y223"/>
  <c r="BK436"/>
  <c r="BL436"/>
  <c r="Y435"/>
  <c r="Z435"/>
  <c r="BK493"/>
  <c r="BL493"/>
  <c r="Z492"/>
  <c r="Y492"/>
  <c r="BK134"/>
  <c r="BL134"/>
  <c r="Z133"/>
  <c r="Y133"/>
  <c r="BL341"/>
  <c r="BK341"/>
  <c r="Z340"/>
  <c r="Y340"/>
  <c r="BL468"/>
  <c r="BK468"/>
  <c r="Y467"/>
  <c r="Z467"/>
  <c r="BK349"/>
  <c r="BL349"/>
  <c r="Z348"/>
  <c r="Y348"/>
  <c r="BK489"/>
  <c r="BL489"/>
  <c r="Y488"/>
  <c r="Z488"/>
  <c r="BK316"/>
  <c r="BL316"/>
  <c r="Z315"/>
  <c r="Y315"/>
  <c r="BK247"/>
  <c r="BL247"/>
  <c r="Z246"/>
  <c r="Y246"/>
  <c r="BK387"/>
  <c r="BL387"/>
  <c r="Z386"/>
  <c r="Y386"/>
  <c r="BL131"/>
  <c r="BK131"/>
  <c r="Y130"/>
  <c r="Z130"/>
  <c r="BK222"/>
  <c r="BL222"/>
  <c r="Z221"/>
  <c r="Y221"/>
  <c r="BK67"/>
  <c r="BL67"/>
  <c r="Y66"/>
  <c r="Z66"/>
  <c r="BK219"/>
  <c r="BL219"/>
  <c r="Z218"/>
  <c r="Y218"/>
  <c r="BK178"/>
  <c r="BL178"/>
  <c r="Z177"/>
  <c r="Y177"/>
  <c r="BL476"/>
  <c r="BK476"/>
  <c r="Z475"/>
  <c r="Y475"/>
  <c r="BK105"/>
  <c r="BL105"/>
  <c r="Z104"/>
  <c r="Y104"/>
  <c r="BK306"/>
  <c r="BL306"/>
  <c r="Z305"/>
  <c r="Y305"/>
  <c r="BL511"/>
  <c r="BK511"/>
  <c r="Z510"/>
  <c r="Y510"/>
  <c r="BL152"/>
  <c r="BK152"/>
  <c r="Z151"/>
  <c r="Y151"/>
  <c r="BK400"/>
  <c r="BL400"/>
  <c r="Z399"/>
  <c r="Y399"/>
  <c r="BK415"/>
  <c r="BL415"/>
  <c r="Z414"/>
  <c r="Y414"/>
  <c r="BK62"/>
  <c r="BL62"/>
  <c r="Z61"/>
  <c r="Y61"/>
  <c r="BL275"/>
  <c r="BK275"/>
  <c r="Y274"/>
  <c r="Z274"/>
  <c r="BL252"/>
  <c r="BK252"/>
  <c r="Z251"/>
  <c r="Y251"/>
  <c r="BK127"/>
  <c r="BL127"/>
  <c r="Y126"/>
  <c r="Z126"/>
  <c r="BK279"/>
  <c r="BL279"/>
  <c r="Z278"/>
  <c r="Y278"/>
  <c r="BK208"/>
  <c r="BL208"/>
  <c r="Z207"/>
  <c r="Y207"/>
  <c r="BK37"/>
  <c r="BL37"/>
  <c r="Y36"/>
  <c r="Z36"/>
  <c r="BK165"/>
  <c r="BL165"/>
  <c r="Z164"/>
  <c r="Y164"/>
  <c r="BL497"/>
  <c r="BK497"/>
  <c r="Z496"/>
  <c r="Y496"/>
  <c r="BL281"/>
  <c r="BK281"/>
  <c r="Y280"/>
  <c r="Z280"/>
  <c r="BL29"/>
  <c r="Y28"/>
  <c r="BK366"/>
  <c r="BL366"/>
  <c r="Z365"/>
  <c r="Y365"/>
  <c r="BK90"/>
  <c r="BL90"/>
  <c r="Y89"/>
  <c r="Z89"/>
  <c r="BK241"/>
  <c r="BL241"/>
  <c r="Y240"/>
  <c r="Z240"/>
  <c r="BK308"/>
  <c r="BL308"/>
  <c r="Z307"/>
  <c r="Y307"/>
  <c r="BK381"/>
  <c r="BL381"/>
  <c r="Z380"/>
  <c r="Y380"/>
  <c r="BK478"/>
  <c r="BL478"/>
  <c r="Y477"/>
  <c r="Z477"/>
  <c r="BK262"/>
  <c r="BL262"/>
  <c r="Z261"/>
  <c r="Y261"/>
  <c r="BK46"/>
  <c r="BL46"/>
  <c r="Z45"/>
  <c r="Y45"/>
  <c r="BK145"/>
  <c r="BL145"/>
  <c r="Z144"/>
  <c r="Y144"/>
  <c r="BL218"/>
  <c r="BK218"/>
  <c r="Z217"/>
  <c r="Y217"/>
  <c r="BK273"/>
  <c r="BL273"/>
  <c r="Z272"/>
  <c r="Y272"/>
  <c r="BL431"/>
  <c r="BK431"/>
  <c r="Z430"/>
  <c r="Y430"/>
  <c r="BL215"/>
  <c r="BK215"/>
  <c r="Z214"/>
  <c r="Y214"/>
  <c r="BK372"/>
  <c r="BL372"/>
  <c r="Z371"/>
  <c r="Y371"/>
  <c r="BL276"/>
  <c r="BK276"/>
  <c r="Z275"/>
  <c r="Y275"/>
  <c r="BL60"/>
  <c r="BK60"/>
  <c r="Y59"/>
  <c r="Z59"/>
  <c r="BK181"/>
  <c r="BL181"/>
  <c r="Y180"/>
  <c r="Z180"/>
  <c r="BK248"/>
  <c r="BL248"/>
  <c r="Z247"/>
  <c r="Y247"/>
  <c r="BK321"/>
  <c r="BL321"/>
  <c r="Z320"/>
  <c r="Y320"/>
  <c r="BL448"/>
  <c r="BK448"/>
  <c r="Z447"/>
  <c r="Y447"/>
  <c r="BL232"/>
  <c r="BK232"/>
  <c r="Y231"/>
  <c r="Z231"/>
  <c r="BL16"/>
  <c r="Y15"/>
  <c r="BK85"/>
  <c r="BL85"/>
  <c r="Y84"/>
  <c r="Z84"/>
  <c r="BK158"/>
  <c r="BL158"/>
  <c r="Z157"/>
  <c r="Y157"/>
  <c r="BK213"/>
  <c r="BL213"/>
  <c r="Z212"/>
  <c r="Y212"/>
  <c r="BL401"/>
  <c r="BK401"/>
  <c r="Z400"/>
  <c r="Y400"/>
  <c r="BL185"/>
  <c r="BK185"/>
  <c r="Z184"/>
  <c r="Y184"/>
  <c r="BK414"/>
  <c r="BL414"/>
  <c r="Z413"/>
  <c r="Y413"/>
  <c r="BL246"/>
  <c r="BK246"/>
  <c r="Y245"/>
  <c r="Z245"/>
  <c r="BL30"/>
  <c r="Y29"/>
  <c r="BK115"/>
  <c r="BL115"/>
  <c r="Y114"/>
  <c r="Z114"/>
  <c r="BL188"/>
  <c r="BK188"/>
  <c r="Z187"/>
  <c r="Y187"/>
  <c r="BL267"/>
  <c r="BK267"/>
  <c r="Z266"/>
  <c r="Y266"/>
  <c r="BL418"/>
  <c r="BK418"/>
  <c r="Y417"/>
  <c r="Z417"/>
  <c r="BL202"/>
  <c r="BK202"/>
  <c r="Z201"/>
  <c r="Y201"/>
  <c r="BK451"/>
  <c r="BL451"/>
  <c r="Y450"/>
  <c r="Z450"/>
  <c r="BK98"/>
  <c r="BL98"/>
  <c r="Z97"/>
  <c r="Y97"/>
  <c r="BL153"/>
  <c r="BK153"/>
  <c r="Z152"/>
  <c r="Y152"/>
  <c r="BL371"/>
  <c r="BK371"/>
  <c r="Z370"/>
  <c r="Y370"/>
  <c r="BL155"/>
  <c r="BK155"/>
  <c r="Z154"/>
  <c r="Y154"/>
  <c r="BK258"/>
  <c r="BL258"/>
  <c r="Y257"/>
  <c r="Z257"/>
  <c r="BK139"/>
  <c r="BL139"/>
  <c r="Y138"/>
  <c r="Z138"/>
  <c r="BK291"/>
  <c r="BL291"/>
  <c r="Z290"/>
  <c r="Y290"/>
  <c r="BK214"/>
  <c r="BL214"/>
  <c r="Z213"/>
  <c r="Y213"/>
  <c r="BK49"/>
  <c r="BL49"/>
  <c r="Y48"/>
  <c r="Z48"/>
  <c r="BK177"/>
  <c r="BL177"/>
  <c r="Z176"/>
  <c r="Y176"/>
  <c r="BL17"/>
  <c r="Y16"/>
  <c r="BK120"/>
  <c r="BL120"/>
  <c r="Z119"/>
  <c r="Y119"/>
  <c r="BK374"/>
  <c r="BL374"/>
  <c r="Z373"/>
  <c r="Y373"/>
  <c r="BK508"/>
  <c r="BL508"/>
  <c r="Y507"/>
  <c r="Z507"/>
  <c r="BK76"/>
  <c r="BL76"/>
  <c r="Z75"/>
  <c r="Y75"/>
  <c r="BK278"/>
  <c r="BL278"/>
  <c r="Z277"/>
  <c r="Y277"/>
  <c r="BL449"/>
  <c r="BK449"/>
  <c r="Z448"/>
  <c r="Y448"/>
  <c r="BL456"/>
  <c r="BK456"/>
  <c r="Z455"/>
  <c r="Y455"/>
  <c r="BK487"/>
  <c r="BL487"/>
  <c r="Y486"/>
  <c r="Z486"/>
  <c r="BK128"/>
  <c r="BL128"/>
  <c r="Z127"/>
  <c r="Y127"/>
  <c r="BK388"/>
  <c r="BL388"/>
  <c r="Z387"/>
  <c r="Y387"/>
  <c r="BK391"/>
  <c r="BL391"/>
  <c r="Z390"/>
  <c r="Y390"/>
  <c r="BL38"/>
  <c r="BK38"/>
  <c r="Z37"/>
  <c r="Y37"/>
  <c r="BL239"/>
  <c r="BK239"/>
  <c r="Z238"/>
  <c r="Y238"/>
  <c r="BK294"/>
  <c r="BL294"/>
  <c r="Z293"/>
  <c r="Y293"/>
  <c r="BK217"/>
  <c r="BL217"/>
  <c r="Y216"/>
  <c r="Z216"/>
  <c r="BK357"/>
  <c r="BL357"/>
  <c r="Z356"/>
  <c r="Y356"/>
  <c r="BK250"/>
  <c r="BL250"/>
  <c r="Z249"/>
  <c r="Y249"/>
  <c r="BK121"/>
  <c r="BL121"/>
  <c r="Y120"/>
  <c r="Z120"/>
  <c r="BK249"/>
  <c r="BL249"/>
  <c r="Z248"/>
  <c r="Y248"/>
  <c r="BL59"/>
  <c r="BK59"/>
  <c r="Z58"/>
  <c r="Y58"/>
  <c r="BK84"/>
  <c r="BL84"/>
  <c r="Y83"/>
  <c r="Z83"/>
  <c r="BL296"/>
  <c r="BK296"/>
  <c r="Z295"/>
  <c r="Y295"/>
  <c r="BK472"/>
  <c r="BL472"/>
  <c r="Y471"/>
  <c r="Z471"/>
  <c r="BK40"/>
  <c r="BL40"/>
  <c r="Z39"/>
  <c r="Y39"/>
  <c r="BK206"/>
  <c r="BL206"/>
  <c r="Z205"/>
  <c r="Y205"/>
  <c r="BL383"/>
  <c r="BK383"/>
  <c r="Z382"/>
  <c r="Y382"/>
  <c r="BK474"/>
  <c r="BL474"/>
  <c r="Z473"/>
  <c r="Y473"/>
  <c r="BK277"/>
  <c r="BL277"/>
  <c r="Z276"/>
  <c r="Y276"/>
  <c r="BK417"/>
  <c r="BL417"/>
  <c r="Z416"/>
  <c r="Y416"/>
  <c r="BK280"/>
  <c r="BL280"/>
  <c r="Z279"/>
  <c r="Y279"/>
  <c r="BK175"/>
  <c r="BL175"/>
  <c r="Y174"/>
  <c r="Z174"/>
  <c r="BK315"/>
  <c r="BL315"/>
  <c r="Z314"/>
  <c r="Y314"/>
  <c r="BL89"/>
  <c r="BK89"/>
  <c r="Y88"/>
  <c r="Z88"/>
  <c r="BL317"/>
  <c r="BK317"/>
  <c r="Z316"/>
  <c r="Y316"/>
  <c r="BL101"/>
  <c r="BK101"/>
  <c r="Z100"/>
  <c r="Y100"/>
  <c r="BL360"/>
  <c r="BK360"/>
  <c r="Y359"/>
  <c r="Z359"/>
  <c r="BK126"/>
  <c r="BL126"/>
  <c r="Y125"/>
  <c r="Z125"/>
  <c r="BK313"/>
  <c r="BL313"/>
  <c r="Y312"/>
  <c r="Z312"/>
  <c r="BK386"/>
  <c r="BL386"/>
  <c r="Z385"/>
  <c r="Y385"/>
  <c r="BK453"/>
  <c r="BL453"/>
  <c r="Y452"/>
  <c r="Z452"/>
  <c r="BL21"/>
  <c r="Y20"/>
  <c r="BK298"/>
  <c r="BL298"/>
  <c r="Z297"/>
  <c r="Y297"/>
  <c r="BK82"/>
  <c r="BL82"/>
  <c r="Z81"/>
  <c r="Y81"/>
  <c r="BK211"/>
  <c r="BL211"/>
  <c r="Y210"/>
  <c r="Z210"/>
  <c r="BL290"/>
  <c r="BK290"/>
  <c r="Z289"/>
  <c r="Y289"/>
  <c r="BK351"/>
  <c r="BL351"/>
  <c r="Z350"/>
  <c r="Y350"/>
  <c r="BL467"/>
  <c r="BK467"/>
  <c r="Z466"/>
  <c r="Y466"/>
  <c r="BL251"/>
  <c r="BK251"/>
  <c r="Z250"/>
  <c r="Y250"/>
  <c r="BL35"/>
  <c r="BK35"/>
  <c r="Z34"/>
  <c r="Y34"/>
  <c r="BK402"/>
  <c r="BL402"/>
  <c r="Z401"/>
  <c r="Y401"/>
  <c r="BL96"/>
  <c r="BK96"/>
  <c r="Z95"/>
  <c r="Y95"/>
  <c r="BK253"/>
  <c r="BL253"/>
  <c r="Y252"/>
  <c r="Z252"/>
  <c r="BK320"/>
  <c r="BL320"/>
  <c r="Z319"/>
  <c r="Y319"/>
  <c r="BK393"/>
  <c r="BL393"/>
  <c r="Z392"/>
  <c r="Y392"/>
  <c r="BL484"/>
  <c r="BK484"/>
  <c r="Z483"/>
  <c r="Y483"/>
  <c r="BL268"/>
  <c r="BK268"/>
  <c r="Y267"/>
  <c r="Z267"/>
  <c r="BL52"/>
  <c r="BK52"/>
  <c r="Z51"/>
  <c r="Y51"/>
  <c r="BK157"/>
  <c r="BL157"/>
  <c r="Y156"/>
  <c r="Z156"/>
  <c r="BK230"/>
  <c r="BL230"/>
  <c r="Z229"/>
  <c r="Y229"/>
  <c r="BK285"/>
  <c r="BL285"/>
  <c r="Z284"/>
  <c r="Y284"/>
  <c r="BL437"/>
  <c r="BK437"/>
  <c r="Z436"/>
  <c r="Y436"/>
  <c r="BL221"/>
  <c r="BK221"/>
  <c r="Y220"/>
  <c r="Z220"/>
  <c r="BK408"/>
  <c r="BL408"/>
  <c r="Z407"/>
  <c r="Y407"/>
  <c r="BL282"/>
  <c r="BK282"/>
  <c r="Y281"/>
  <c r="Z281"/>
  <c r="BL66"/>
  <c r="BK66"/>
  <c r="Y65"/>
  <c r="Z65"/>
  <c r="BK193"/>
  <c r="BL193"/>
  <c r="Y192"/>
  <c r="Z192"/>
  <c r="BL260"/>
  <c r="BK260"/>
  <c r="Z259"/>
  <c r="Y259"/>
  <c r="BL333"/>
  <c r="BK333"/>
  <c r="Z332"/>
  <c r="Y332"/>
  <c r="BL454"/>
  <c r="BK454"/>
  <c r="Y453"/>
  <c r="Z453"/>
  <c r="BL238"/>
  <c r="BK238"/>
  <c r="Y237"/>
  <c r="Z237"/>
  <c r="Y21"/>
  <c r="BK97"/>
  <c r="BL97"/>
  <c r="Z96"/>
  <c r="Y96"/>
  <c r="BK170"/>
  <c r="BL170"/>
  <c r="Z169"/>
  <c r="Y169"/>
  <c r="BL225"/>
  <c r="BK225"/>
  <c r="Z224"/>
  <c r="Y224"/>
  <c r="BL407"/>
  <c r="BK407"/>
  <c r="Z406"/>
  <c r="Y406"/>
  <c r="BL191"/>
  <c r="BK191"/>
  <c r="Z190"/>
  <c r="Y190"/>
  <c r="BL510"/>
  <c r="BK510"/>
  <c r="Z509"/>
  <c r="Y509"/>
  <c r="BK289"/>
  <c r="BL289"/>
  <c r="Z288"/>
  <c r="Y288"/>
  <c r="BK429"/>
  <c r="BL429"/>
  <c r="Z428"/>
  <c r="Y428"/>
  <c r="BK286"/>
  <c r="BL286"/>
  <c r="Y285"/>
  <c r="Z285"/>
  <c r="BK187"/>
  <c r="BL187"/>
  <c r="Z186"/>
  <c r="Y186"/>
  <c r="BK327"/>
  <c r="BL327"/>
  <c r="Z326"/>
  <c r="Y326"/>
  <c r="BL95"/>
  <c r="BK95"/>
  <c r="Y94"/>
  <c r="Z94"/>
  <c r="BK192"/>
  <c r="BL192"/>
  <c r="Z191"/>
  <c r="Y191"/>
  <c r="BL19"/>
  <c r="Y18"/>
  <c r="BL159"/>
  <c r="BK159"/>
  <c r="Z158"/>
  <c r="Y158"/>
  <c r="BK148"/>
  <c r="BL148"/>
  <c r="Z147"/>
  <c r="Y147"/>
  <c r="BK416"/>
  <c r="BL416"/>
  <c r="Z415"/>
  <c r="Y415"/>
  <c r="BL45"/>
  <c r="BK45"/>
  <c r="Z44"/>
  <c r="Y44"/>
  <c r="BK444"/>
  <c r="BL444"/>
  <c r="Z443"/>
  <c r="Y443"/>
  <c r="BL72"/>
  <c r="BK72"/>
  <c r="Y71"/>
  <c r="Z71"/>
  <c r="BK272"/>
  <c r="BL272"/>
  <c r="Z271"/>
  <c r="Y271"/>
  <c r="BK460"/>
  <c r="BL460"/>
  <c r="Z459"/>
  <c r="Y459"/>
  <c r="BL28"/>
  <c r="Y27"/>
  <c r="BL182"/>
  <c r="BK182"/>
  <c r="Z181"/>
  <c r="Y181"/>
  <c r="BL347"/>
  <c r="BK347"/>
  <c r="Z346"/>
  <c r="Y346"/>
  <c r="BL504"/>
  <c r="BK504"/>
  <c r="Y503"/>
  <c r="Z503"/>
  <c r="BK361"/>
  <c r="BL361"/>
  <c r="Y360"/>
  <c r="Z360"/>
  <c r="BK501"/>
  <c r="BL501"/>
  <c r="Z500"/>
  <c r="Y500"/>
  <c r="BK322"/>
  <c r="BL322"/>
  <c r="Y321"/>
  <c r="Z321"/>
  <c r="BK259"/>
  <c r="BL259"/>
  <c r="Z258"/>
  <c r="Y258"/>
  <c r="BK399"/>
  <c r="BL399"/>
  <c r="Z398"/>
  <c r="Y398"/>
  <c r="BL161"/>
  <c r="BK161"/>
  <c r="Z160"/>
  <c r="Y160"/>
  <c r="BK156"/>
  <c r="BL156"/>
  <c r="Z155"/>
  <c r="Y155"/>
  <c r="BK446"/>
  <c r="BL446"/>
  <c r="Z445"/>
  <c r="Y445"/>
  <c r="BL87"/>
  <c r="BK87"/>
  <c r="Z86"/>
  <c r="Y86"/>
  <c r="BK112"/>
  <c r="BL112"/>
  <c r="Z111"/>
  <c r="Y111"/>
  <c r="BK344"/>
  <c r="BL344"/>
  <c r="Z343"/>
  <c r="Y343"/>
  <c r="BL491"/>
  <c r="BK491"/>
  <c r="Z490"/>
  <c r="Y490"/>
  <c r="BL462"/>
  <c r="BK462"/>
  <c r="Z461"/>
  <c r="Y461"/>
  <c r="BK421"/>
  <c r="BL421"/>
  <c r="Z420"/>
  <c r="Y420"/>
  <c r="BK56"/>
  <c r="BL56"/>
  <c r="Z55"/>
  <c r="Y55"/>
  <c r="BK352"/>
  <c r="BL352"/>
  <c r="Z351"/>
  <c r="Y351"/>
  <c r="BK319"/>
  <c r="BL319"/>
  <c r="Z318"/>
  <c r="Y318"/>
  <c r="BK459"/>
  <c r="BL459"/>
  <c r="Z458"/>
  <c r="Y458"/>
  <c r="BL197"/>
  <c r="BK197"/>
  <c r="Z196"/>
  <c r="Y196"/>
  <c r="BL353"/>
  <c r="BK353"/>
  <c r="Z352"/>
  <c r="Y352"/>
  <c r="BL137"/>
  <c r="BK137"/>
  <c r="Z136"/>
  <c r="Y136"/>
  <c r="BL354"/>
  <c r="BK354"/>
  <c r="Y353"/>
  <c r="Z353"/>
  <c r="BK162"/>
  <c r="BL162"/>
  <c r="Z161"/>
  <c r="Y161"/>
  <c r="BK385"/>
  <c r="BL385"/>
  <c r="Z384"/>
  <c r="Y384"/>
  <c r="BK458"/>
  <c r="BL458"/>
  <c r="Z457"/>
  <c r="Y457"/>
  <c r="BL26"/>
  <c r="Y25"/>
  <c r="BK99"/>
  <c r="BL99"/>
  <c r="Z98"/>
  <c r="Y98"/>
  <c r="BK334"/>
  <c r="BL334"/>
  <c r="Z333"/>
  <c r="Y333"/>
  <c r="BK118"/>
  <c r="BL118"/>
  <c r="Z117"/>
  <c r="Y117"/>
  <c r="BK283"/>
  <c r="BL283"/>
  <c r="Y282"/>
  <c r="Z282"/>
  <c r="BK356"/>
  <c r="BL356"/>
  <c r="Z355"/>
  <c r="Y355"/>
  <c r="BK423"/>
  <c r="BL423"/>
  <c r="Z422"/>
  <c r="Y422"/>
  <c r="BL503"/>
  <c r="BK503"/>
  <c r="Z502"/>
  <c r="Y502"/>
  <c r="BL287"/>
  <c r="BK287"/>
  <c r="Z286"/>
  <c r="Y286"/>
  <c r="BL71"/>
  <c r="BK71"/>
  <c r="Y70"/>
  <c r="Z70"/>
  <c r="BL396"/>
  <c r="BK396"/>
  <c r="Y395"/>
  <c r="Z395"/>
  <c r="BL132"/>
  <c r="BK132"/>
  <c r="Z131"/>
  <c r="Y131"/>
  <c r="BK325"/>
  <c r="BL325"/>
  <c r="Y324"/>
  <c r="Z324"/>
  <c r="BL398"/>
  <c r="BK398"/>
  <c r="Z397"/>
  <c r="Y397"/>
  <c r="BK465"/>
  <c r="BL465"/>
  <c r="Z464"/>
  <c r="Y464"/>
  <c r="BK39"/>
  <c r="BL39"/>
  <c r="Z38"/>
  <c r="Y38"/>
  <c r="BL304"/>
  <c r="BK304"/>
  <c r="Y303"/>
  <c r="Z303"/>
  <c r="BL88"/>
  <c r="BK88"/>
  <c r="Z87"/>
  <c r="Y87"/>
  <c r="BK223"/>
  <c r="BL223"/>
  <c r="Z222"/>
  <c r="Y222"/>
  <c r="BK302"/>
  <c r="BL302"/>
  <c r="Z301"/>
  <c r="Y301"/>
  <c r="BK363"/>
  <c r="BL363"/>
  <c r="Z362"/>
  <c r="Y362"/>
  <c r="BL473"/>
  <c r="BK473"/>
  <c r="Z472"/>
  <c r="Y472"/>
  <c r="BL257"/>
  <c r="BK257"/>
  <c r="Y256"/>
  <c r="Z256"/>
  <c r="BL41"/>
  <c r="BK41"/>
  <c r="Y40"/>
  <c r="Z40"/>
  <c r="BK438"/>
  <c r="BL438"/>
  <c r="Z437"/>
  <c r="Y437"/>
  <c r="BL102"/>
  <c r="BK102"/>
  <c r="Y101"/>
  <c r="Z101"/>
  <c r="BK265"/>
  <c r="BL265"/>
  <c r="Y264"/>
  <c r="Z264"/>
  <c r="BL332"/>
  <c r="BK332"/>
  <c r="Z331"/>
  <c r="Y331"/>
  <c r="BL405"/>
  <c r="BK405"/>
  <c r="Z404"/>
  <c r="Y404"/>
  <c r="BL490"/>
  <c r="BK490"/>
  <c r="Y489"/>
  <c r="Z489"/>
  <c r="BL274"/>
  <c r="BK274"/>
  <c r="Y273"/>
  <c r="Z273"/>
  <c r="BL58"/>
  <c r="BK58"/>
  <c r="Z57"/>
  <c r="Y57"/>
  <c r="BK163"/>
  <c r="BL163"/>
  <c r="Y162"/>
  <c r="Z162"/>
  <c r="BK242"/>
  <c r="BL242"/>
  <c r="Z241"/>
  <c r="Y241"/>
  <c r="BL297"/>
  <c r="BK297"/>
  <c r="Z296"/>
  <c r="Y296"/>
  <c r="BL443"/>
  <c r="BK443"/>
  <c r="Z442"/>
  <c r="Y442"/>
  <c r="BL227"/>
  <c r="BK227"/>
  <c r="Z226"/>
  <c r="Y226"/>
  <c r="BL498"/>
  <c r="BK498"/>
  <c r="Z497"/>
  <c r="Y497"/>
  <c r="BK433"/>
  <c r="BL433"/>
  <c r="Z432"/>
  <c r="Y432"/>
  <c r="BK68"/>
  <c r="BL68"/>
  <c r="Z67"/>
  <c r="Y67"/>
  <c r="BK358"/>
  <c r="BL358"/>
  <c r="Y357"/>
  <c r="Z357"/>
  <c r="BK331"/>
  <c r="BL331"/>
  <c r="Z330"/>
  <c r="Y330"/>
  <c r="BK471"/>
  <c r="BL471"/>
  <c r="Z470"/>
  <c r="Y470"/>
  <c r="BL203"/>
  <c r="BK203"/>
  <c r="Z202"/>
  <c r="Y202"/>
  <c r="BK264"/>
  <c r="BL264"/>
  <c r="Z263"/>
  <c r="Y263"/>
  <c r="BK151"/>
  <c r="BL151"/>
  <c r="Y150"/>
  <c r="Z150"/>
  <c r="BL303"/>
  <c r="BK303"/>
  <c r="Z302"/>
  <c r="Y302"/>
  <c r="BK220"/>
  <c r="BL220"/>
  <c r="Z219"/>
  <c r="Y219"/>
  <c r="BK61"/>
  <c r="BL61"/>
  <c r="Y60"/>
  <c r="Z60"/>
  <c r="BL189"/>
  <c r="BK189"/>
  <c r="Z188"/>
  <c r="Y188"/>
  <c r="BL23"/>
  <c r="Y22"/>
  <c r="BL144"/>
  <c r="BK144"/>
  <c r="Z143"/>
  <c r="Y143"/>
  <c r="BK422"/>
  <c r="BL422"/>
  <c r="Z421"/>
  <c r="Y421"/>
  <c r="BK63"/>
  <c r="BL63"/>
  <c r="Z62"/>
  <c r="Y62"/>
  <c r="BK100"/>
  <c r="BL100"/>
  <c r="Z99"/>
  <c r="Y99"/>
  <c r="BL326"/>
  <c r="BK326"/>
  <c r="Z325"/>
  <c r="Y325"/>
  <c r="BL455"/>
  <c r="BK455"/>
  <c r="Z454"/>
  <c r="Y454"/>
  <c r="BL492"/>
  <c r="BK492"/>
  <c r="Z491"/>
  <c r="Y491"/>
  <c r="BL499"/>
  <c r="BK499"/>
  <c r="Z498"/>
  <c r="Y498"/>
  <c r="BK140"/>
  <c r="BL140"/>
  <c r="Z139"/>
  <c r="Y139"/>
  <c r="BK394"/>
  <c r="BL394"/>
  <c r="Y393"/>
  <c r="Z393"/>
  <c r="BK403"/>
  <c r="BL403"/>
  <c r="Z402"/>
  <c r="Y402"/>
  <c r="BK50"/>
  <c r="BL50"/>
  <c r="Z49"/>
  <c r="Y49"/>
  <c r="BL269"/>
  <c r="BK269"/>
  <c r="Z268"/>
  <c r="Y268"/>
  <c r="BK228"/>
  <c r="BL228"/>
  <c r="Z227"/>
  <c r="Y227"/>
  <c r="BK79"/>
  <c r="BL79"/>
  <c r="Y78"/>
  <c r="Z78"/>
  <c r="BL231"/>
  <c r="BK231"/>
  <c r="Z230"/>
  <c r="Y230"/>
  <c r="BK184"/>
  <c r="BL184"/>
  <c r="Z183"/>
  <c r="Y183"/>
  <c r="BK488"/>
  <c r="BL488"/>
  <c r="Z487"/>
  <c r="Y487"/>
  <c r="BL117"/>
  <c r="BK117"/>
  <c r="Z116"/>
  <c r="Y116"/>
  <c r="BK450"/>
  <c r="BL450"/>
  <c r="Z449"/>
  <c r="Y449"/>
  <c r="BL36"/>
  <c r="BK36"/>
  <c r="Y35"/>
  <c r="Z35"/>
  <c r="BK200"/>
  <c r="BL200"/>
  <c r="Z199"/>
  <c r="Y199"/>
  <c r="BK424"/>
  <c r="BL424"/>
  <c r="Z423"/>
  <c r="Y423"/>
  <c r="BK463"/>
  <c r="BL463"/>
  <c r="Z462"/>
  <c r="Y462"/>
  <c r="BL110"/>
  <c r="BK110"/>
  <c r="Z109"/>
  <c r="Y109"/>
  <c r="BL305"/>
  <c r="BK305"/>
  <c r="Z304"/>
  <c r="Y304"/>
  <c r="BL389"/>
  <c r="BK389"/>
  <c r="Z388"/>
  <c r="Y388"/>
  <c r="BL173"/>
  <c r="BK173"/>
  <c r="Y172"/>
  <c r="Z172"/>
  <c r="BL348"/>
  <c r="BK348"/>
  <c r="Z347"/>
  <c r="Y347"/>
  <c r="BK198"/>
  <c r="BL198"/>
  <c r="Y197"/>
  <c r="Z197"/>
  <c r="BK457"/>
  <c r="BL457"/>
  <c r="Z456"/>
  <c r="Y456"/>
  <c r="BL25"/>
  <c r="Y24"/>
  <c r="BK92"/>
  <c r="BL92"/>
  <c r="Z91"/>
  <c r="Y91"/>
  <c r="BK171"/>
  <c r="BL171"/>
  <c r="Z170"/>
  <c r="Y170"/>
  <c r="BK370"/>
  <c r="BL370"/>
  <c r="Z369"/>
  <c r="Y369"/>
  <c r="BK154"/>
  <c r="BL154"/>
  <c r="Z153"/>
  <c r="Y153"/>
  <c r="BK355"/>
  <c r="BL355"/>
  <c r="Z354"/>
  <c r="Y354"/>
  <c r="BK428"/>
  <c r="BL428"/>
  <c r="Z427"/>
  <c r="Y427"/>
  <c r="BK495"/>
  <c r="BL495"/>
  <c r="Z494"/>
  <c r="Y494"/>
  <c r="BK57"/>
  <c r="BL57"/>
  <c r="Z56"/>
  <c r="Y56"/>
  <c r="BL323"/>
  <c r="BK323"/>
  <c r="Z322"/>
  <c r="Y322"/>
  <c r="BL107"/>
  <c r="BK107"/>
  <c r="Y106"/>
  <c r="Z106"/>
  <c r="BL390"/>
  <c r="BK390"/>
  <c r="Z389"/>
  <c r="Y389"/>
  <c r="BL168"/>
  <c r="BK168"/>
  <c r="Y167"/>
  <c r="Z167"/>
  <c r="BK397"/>
  <c r="BL397"/>
  <c r="Z396"/>
  <c r="Y396"/>
  <c r="BL470"/>
  <c r="BK470"/>
  <c r="Z469"/>
  <c r="Y469"/>
  <c r="BL32"/>
  <c r="Y31"/>
  <c r="BK111"/>
  <c r="BL111"/>
  <c r="Z110"/>
  <c r="Y110"/>
  <c r="BL340"/>
  <c r="BK340"/>
  <c r="Y339"/>
  <c r="Z339"/>
  <c r="BL124"/>
  <c r="BK124"/>
  <c r="Z123"/>
  <c r="Y123"/>
  <c r="BK295"/>
  <c r="BL295"/>
  <c r="Z294"/>
  <c r="Y294"/>
  <c r="BL368"/>
  <c r="BK368"/>
  <c r="Z367"/>
  <c r="Y367"/>
  <c r="BK435"/>
  <c r="BL435"/>
  <c r="Z434"/>
  <c r="Y434"/>
  <c r="BL509"/>
  <c r="BK509"/>
  <c r="Z508"/>
  <c r="Y508"/>
  <c r="BL293"/>
  <c r="BK293"/>
  <c r="Z292"/>
  <c r="Y292"/>
  <c r="BL77"/>
  <c r="BK77"/>
  <c r="Z76"/>
  <c r="Y76"/>
  <c r="BL432"/>
  <c r="BK432"/>
  <c r="Y431"/>
  <c r="Z431"/>
  <c r="BL138"/>
  <c r="BK138"/>
  <c r="Y137"/>
  <c r="Z137"/>
  <c r="BK337"/>
  <c r="BL337"/>
  <c r="Z336"/>
  <c r="Y336"/>
  <c r="BK410"/>
  <c r="BL410"/>
  <c r="Z409"/>
  <c r="Y409"/>
  <c r="BL477"/>
  <c r="BK477"/>
  <c r="Y476"/>
  <c r="Z476"/>
  <c r="BL51"/>
  <c r="BK51"/>
  <c r="Z50"/>
  <c r="Y50"/>
  <c r="BL310"/>
  <c r="BK310"/>
  <c r="Z309"/>
  <c r="Y309"/>
  <c r="BL94"/>
  <c r="BK94"/>
  <c r="Z93"/>
  <c r="Y93"/>
  <c r="BK235"/>
  <c r="BL235"/>
  <c r="Z234"/>
  <c r="Y234"/>
  <c r="BK314"/>
  <c r="BL314"/>
  <c r="Z313"/>
  <c r="Y313"/>
  <c r="BL375"/>
  <c r="BK375"/>
  <c r="Z374"/>
  <c r="Y374"/>
  <c r="BL479"/>
  <c r="BK479"/>
  <c r="Z478"/>
  <c r="Y478"/>
  <c r="BL263"/>
  <c r="BK263"/>
  <c r="Z262"/>
  <c r="Y262"/>
  <c r="BL47"/>
  <c r="BK47"/>
  <c r="Z46"/>
  <c r="Y46"/>
  <c r="BK486"/>
  <c r="BL486"/>
  <c r="Z485"/>
  <c r="Y485"/>
  <c r="BK42"/>
  <c r="BL42"/>
  <c r="Z41"/>
  <c r="Y41"/>
  <c r="BK212"/>
  <c r="BL212"/>
  <c r="Z211"/>
  <c r="Y211"/>
  <c r="BK430"/>
  <c r="BL430"/>
  <c r="Z429"/>
  <c r="Y429"/>
  <c r="BK481"/>
  <c r="BL481"/>
  <c r="Z480"/>
  <c r="Y480"/>
  <c r="BK122"/>
  <c r="BL122"/>
  <c r="Z121"/>
  <c r="Y121"/>
  <c r="BL311"/>
  <c r="BK311"/>
  <c r="Z310"/>
  <c r="Y310"/>
  <c r="BL324"/>
  <c r="BK324"/>
  <c r="Y323"/>
  <c r="Z323"/>
  <c r="BK301"/>
  <c r="BL301"/>
  <c r="Z300"/>
  <c r="Y300"/>
  <c r="BL441"/>
  <c r="BK441"/>
  <c r="Y440"/>
  <c r="Z440"/>
  <c r="BK292"/>
  <c r="BL292"/>
  <c r="Z291"/>
  <c r="Y291"/>
  <c r="BK199"/>
  <c r="BL199"/>
  <c r="Y198"/>
  <c r="Z198"/>
  <c r="BL339"/>
  <c r="BK339"/>
  <c r="Z338"/>
  <c r="Y338"/>
  <c r="BL125"/>
  <c r="BK125"/>
  <c r="Z124"/>
  <c r="Y124"/>
  <c r="BL216"/>
  <c r="BK216"/>
  <c r="Y215"/>
  <c r="Z215"/>
  <c r="BK55"/>
  <c r="BL55"/>
  <c r="Y54"/>
  <c r="Z54"/>
  <c r="BK207"/>
  <c r="BL207"/>
  <c r="Z206"/>
  <c r="Y206"/>
  <c r="BK172"/>
  <c r="BL172"/>
  <c r="Z171"/>
  <c r="Y171"/>
  <c r="BK464"/>
  <c r="BL464"/>
  <c r="Z463"/>
  <c r="Y463"/>
  <c r="BK93"/>
  <c r="BL93"/>
  <c r="Z92"/>
  <c r="Y92"/>
  <c r="BK480"/>
  <c r="BL480"/>
  <c r="Z479"/>
  <c r="Y479"/>
  <c r="BK78"/>
  <c r="BL78"/>
  <c r="Y77"/>
  <c r="Z77"/>
  <c r="BK284"/>
  <c r="BL284"/>
  <c r="Z283"/>
  <c r="Y283"/>
  <c r="BK466"/>
  <c r="BL466"/>
  <c r="Z465"/>
  <c r="Y465"/>
  <c r="Y33"/>
  <c r="BK194"/>
  <c r="BL194"/>
  <c r="Z193"/>
  <c r="Y193"/>
  <c r="BL377"/>
  <c r="BK377"/>
  <c r="Z376"/>
  <c r="Y376"/>
  <c r="BK330"/>
  <c r="BL330"/>
  <c r="Z329"/>
  <c r="Y329"/>
  <c r="BK229"/>
  <c r="BL229"/>
  <c r="Y228"/>
  <c r="Z228"/>
  <c r="BL369"/>
  <c r="BK369"/>
  <c r="Z368"/>
  <c r="Y368"/>
  <c r="BK256"/>
  <c r="BL256"/>
  <c r="Y255"/>
  <c r="Z255"/>
  <c r="BK133"/>
  <c r="BL133"/>
  <c r="Y132"/>
  <c r="Z132"/>
  <c r="BL261"/>
  <c r="BK261"/>
  <c r="Z260"/>
  <c r="Y260"/>
  <c r="BL65"/>
  <c r="BK65"/>
  <c r="Y64"/>
  <c r="Z64"/>
  <c r="BL108"/>
  <c r="BK108"/>
  <c r="Z107"/>
  <c r="Y107"/>
  <c r="BK350"/>
  <c r="BL350"/>
  <c r="Z349"/>
  <c r="Y349"/>
  <c r="BK496"/>
  <c r="BL496"/>
  <c r="Z495"/>
  <c r="Y495"/>
  <c r="BK64"/>
  <c r="BL64"/>
  <c r="Z63"/>
  <c r="Y63"/>
  <c r="BL254"/>
  <c r="BK254"/>
  <c r="Z253"/>
  <c r="Y253"/>
  <c r="BL413"/>
  <c r="BK413"/>
  <c r="Z412"/>
  <c r="Y412"/>
  <c r="BL425"/>
  <c r="BK425"/>
  <c r="Z424"/>
  <c r="Y424"/>
  <c r="BL209"/>
  <c r="BK209"/>
  <c r="Y208"/>
  <c r="Z208"/>
  <c r="BK342"/>
  <c r="BL342"/>
  <c r="Z341"/>
  <c r="Y341"/>
  <c r="BK234"/>
  <c r="BL234"/>
  <c r="Y233"/>
  <c r="Z233"/>
  <c r="BL18"/>
  <c r="Y17"/>
  <c r="BK91"/>
  <c r="BL91"/>
  <c r="Y90"/>
  <c r="Z90"/>
  <c r="BK164"/>
  <c r="BL164"/>
  <c r="Z163"/>
  <c r="Y163"/>
  <c r="BK243"/>
  <c r="BL243"/>
  <c r="Z242"/>
  <c r="Y242"/>
  <c r="BK406"/>
  <c r="BL406"/>
  <c r="Z405"/>
  <c r="Y405"/>
  <c r="BK190"/>
  <c r="BL190"/>
  <c r="Z189"/>
  <c r="Y189"/>
  <c r="BK427"/>
  <c r="BL427"/>
  <c r="Y426"/>
  <c r="Z426"/>
  <c r="BK500"/>
  <c r="BL500"/>
  <c r="Z499"/>
  <c r="Y499"/>
  <c r="BL74"/>
  <c r="BK74"/>
  <c r="Z73"/>
  <c r="Y73"/>
  <c r="BK129"/>
  <c r="BL129"/>
  <c r="Z128"/>
  <c r="Y128"/>
  <c r="BL359"/>
  <c r="BK359"/>
  <c r="Z358"/>
  <c r="Y358"/>
  <c r="BL143"/>
  <c r="BK143"/>
  <c r="Z142"/>
  <c r="Y142"/>
  <c r="BL384"/>
  <c r="BK384"/>
  <c r="Z383"/>
  <c r="Y383"/>
  <c r="BL204"/>
  <c r="BK204"/>
  <c r="Y203"/>
  <c r="Z203"/>
  <c r="BK469"/>
  <c r="BL469"/>
  <c r="Y468"/>
  <c r="Z468"/>
  <c r="BL31"/>
  <c r="Y30"/>
  <c r="BK104"/>
  <c r="BL104"/>
  <c r="Z103"/>
  <c r="Y103"/>
  <c r="BK183"/>
  <c r="BL183"/>
  <c r="Z182"/>
  <c r="Y182"/>
  <c r="BL376"/>
  <c r="BK376"/>
  <c r="Z375"/>
  <c r="Y375"/>
  <c r="BL160"/>
  <c r="BK160"/>
  <c r="Z159"/>
  <c r="Y159"/>
  <c r="BK367"/>
  <c r="BL367"/>
  <c r="Z366"/>
  <c r="Y366"/>
  <c r="BL440"/>
  <c r="BK440"/>
  <c r="Z439"/>
  <c r="Y439"/>
  <c r="BK507"/>
  <c r="BL507"/>
  <c r="Z506"/>
  <c r="Y506"/>
  <c r="BK69"/>
  <c r="BL69"/>
  <c r="Z68"/>
  <c r="Y68"/>
  <c r="BL329"/>
  <c r="BK329"/>
  <c r="Z328"/>
  <c r="Y328"/>
  <c r="BL113"/>
  <c r="BK113"/>
  <c r="Z112"/>
  <c r="Y112"/>
  <c r="BL426"/>
  <c r="BK426"/>
  <c r="Z425"/>
  <c r="Y425"/>
  <c r="BL174"/>
  <c r="BK174"/>
  <c r="Z173"/>
  <c r="Y173"/>
  <c r="BK409"/>
  <c r="BL409"/>
  <c r="Y408"/>
  <c r="Z408"/>
  <c r="BK482"/>
  <c r="BL482"/>
  <c r="Z481"/>
  <c r="Y481"/>
  <c r="BL44"/>
  <c r="BK44"/>
  <c r="Z43"/>
  <c r="Y43"/>
  <c r="BL123"/>
  <c r="BK123"/>
  <c r="Z122"/>
  <c r="Y122"/>
  <c r="BL346"/>
  <c r="BK346"/>
  <c r="Y345"/>
  <c r="Z345"/>
  <c r="BL130"/>
  <c r="BK130"/>
  <c r="Z129"/>
  <c r="Y129"/>
  <c r="BK307"/>
  <c r="BL307"/>
  <c r="Z306"/>
  <c r="Y306"/>
  <c r="BK380"/>
  <c r="BL380"/>
  <c r="Z379"/>
  <c r="Y379"/>
  <c r="BL447"/>
  <c r="BK447"/>
  <c r="Z446"/>
  <c r="Y446"/>
  <c r="BL15"/>
  <c r="Y14"/>
  <c r="BL299"/>
  <c r="BK299"/>
  <c r="Y298"/>
  <c r="Z298"/>
  <c r="BL83"/>
  <c r="BK83"/>
  <c r="Z82"/>
  <c r="Y82"/>
  <c r="EP37" i="1"/>
  <c r="EN38"/>
  <c r="EQ38" s="1"/>
  <c r="J25" i="7"/>
  <c r="AF37" i="5"/>
  <c r="J33" i="7"/>
  <c r="J29"/>
  <c r="AF34" i="5"/>
  <c r="AF30"/>
  <c r="AF35"/>
  <c r="AF33"/>
  <c r="AF32"/>
  <c r="AF29"/>
  <c r="AF36"/>
  <c r="Z33" i="7"/>
  <c r="AC26"/>
  <c r="AB26"/>
  <c r="AG26"/>
  <c r="AI26"/>
  <c r="AH26"/>
  <c r="AE26"/>
  <c r="AD26"/>
  <c r="AF26"/>
  <c r="AG22"/>
  <c r="AD17"/>
  <c r="AB22"/>
  <c r="Z21"/>
  <c r="AG18"/>
  <c r="AE17"/>
  <c r="AC16"/>
  <c r="AC17"/>
  <c r="BH13" a="1"/>
  <c r="BL22" l="1"/>
  <c r="BH47"/>
  <c r="BH83"/>
  <c r="BH119"/>
  <c r="BH155"/>
  <c r="BH191"/>
  <c r="BH227"/>
  <c r="BH263"/>
  <c r="BH299"/>
  <c r="BH335"/>
  <c r="BH371"/>
  <c r="BH407"/>
  <c r="BH443"/>
  <c r="BH479"/>
  <c r="BH16"/>
  <c r="BH52"/>
  <c r="BH88"/>
  <c r="BH124"/>
  <c r="BH160"/>
  <c r="BH196"/>
  <c r="BH232"/>
  <c r="BH268"/>
  <c r="BH304"/>
  <c r="BH340"/>
  <c r="BH376"/>
  <c r="BH412"/>
  <c r="BH448"/>
  <c r="BH484"/>
  <c r="BH21"/>
  <c r="BH57"/>
  <c r="BH93"/>
  <c r="BH129"/>
  <c r="BH165"/>
  <c r="BH201"/>
  <c r="BH237"/>
  <c r="BH273"/>
  <c r="BH309"/>
  <c r="BH345"/>
  <c r="BH381"/>
  <c r="BH417"/>
  <c r="BH453"/>
  <c r="BH489"/>
  <c r="BH32"/>
  <c r="BH42"/>
  <c r="BH120"/>
  <c r="BH192"/>
  <c r="BH264"/>
  <c r="BH336"/>
  <c r="BH408"/>
  <c r="BH480"/>
  <c r="BH68"/>
  <c r="BH140"/>
  <c r="BH212"/>
  <c r="BH284"/>
  <c r="BH356"/>
  <c r="BH428"/>
  <c r="BH500"/>
  <c r="BH79"/>
  <c r="BH151"/>
  <c r="BH223"/>
  <c r="BH295"/>
  <c r="BH367"/>
  <c r="BH439"/>
  <c r="BH511"/>
  <c r="BH90"/>
  <c r="BH162"/>
  <c r="BH234"/>
  <c r="BH306"/>
  <c r="BH378"/>
  <c r="BH450"/>
  <c r="BH13"/>
  <c r="BH98"/>
  <c r="BH170"/>
  <c r="BH242"/>
  <c r="BH314"/>
  <c r="BH386"/>
  <c r="BH458"/>
  <c r="BH43"/>
  <c r="BH121"/>
  <c r="BH193"/>
  <c r="BH265"/>
  <c r="BH337"/>
  <c r="BH409"/>
  <c r="BH481"/>
  <c r="BH41"/>
  <c r="BH77"/>
  <c r="BH113"/>
  <c r="BH149"/>
  <c r="BH185"/>
  <c r="BH221"/>
  <c r="BH257"/>
  <c r="BH293"/>
  <c r="BH329"/>
  <c r="BH365"/>
  <c r="BH401"/>
  <c r="BH437"/>
  <c r="BH473"/>
  <c r="BH509"/>
  <c r="BH46"/>
  <c r="BH82"/>
  <c r="BH118"/>
  <c r="BH154"/>
  <c r="BH190"/>
  <c r="BH226"/>
  <c r="BH262"/>
  <c r="BH298"/>
  <c r="BH334"/>
  <c r="BH370"/>
  <c r="BH406"/>
  <c r="BH442"/>
  <c r="BH478"/>
  <c r="BH15"/>
  <c r="BH51"/>
  <c r="BH87"/>
  <c r="BH123"/>
  <c r="BH159"/>
  <c r="BH195"/>
  <c r="BH231"/>
  <c r="BH267"/>
  <c r="BH303"/>
  <c r="BH339"/>
  <c r="BH375"/>
  <c r="BH411"/>
  <c r="BH447"/>
  <c r="BH483"/>
  <c r="BH26"/>
  <c r="BH24"/>
  <c r="BH108"/>
  <c r="BH180"/>
  <c r="BH252"/>
  <c r="BH324"/>
  <c r="BH396"/>
  <c r="BH468"/>
  <c r="BH55"/>
  <c r="BH128"/>
  <c r="BH200"/>
  <c r="BH272"/>
  <c r="BH344"/>
  <c r="BH416"/>
  <c r="BH488"/>
  <c r="BH67"/>
  <c r="BH139"/>
  <c r="BH211"/>
  <c r="BH283"/>
  <c r="BH355"/>
  <c r="BH427"/>
  <c r="BH499"/>
  <c r="BH78"/>
  <c r="BH150"/>
  <c r="BH222"/>
  <c r="BH294"/>
  <c r="BH366"/>
  <c r="BH438"/>
  <c r="BH510"/>
  <c r="BH86"/>
  <c r="BH158"/>
  <c r="BH230"/>
  <c r="BH302"/>
  <c r="BH374"/>
  <c r="BH446"/>
  <c r="BH25"/>
  <c r="BH109"/>
  <c r="BH181"/>
  <c r="BH253"/>
  <c r="BH325"/>
  <c r="BH397"/>
  <c r="BH469"/>
  <c r="BH35"/>
  <c r="BH71"/>
  <c r="BH107"/>
  <c r="BH143"/>
  <c r="BH179"/>
  <c r="BH215"/>
  <c r="BH251"/>
  <c r="BH287"/>
  <c r="BH323"/>
  <c r="BH359"/>
  <c r="BH395"/>
  <c r="BH431"/>
  <c r="BH467"/>
  <c r="BH503"/>
  <c r="BH40"/>
  <c r="BH76"/>
  <c r="BH112"/>
  <c r="BH148"/>
  <c r="BH184"/>
  <c r="BH220"/>
  <c r="BH256"/>
  <c r="BH292"/>
  <c r="BH328"/>
  <c r="BH364"/>
  <c r="BH400"/>
  <c r="BH436"/>
  <c r="BH472"/>
  <c r="BH508"/>
  <c r="BH45"/>
  <c r="BH81"/>
  <c r="BH117"/>
  <c r="BH153"/>
  <c r="BH189"/>
  <c r="BH225"/>
  <c r="BH261"/>
  <c r="BH297"/>
  <c r="BH333"/>
  <c r="BH369"/>
  <c r="BH405"/>
  <c r="BH441"/>
  <c r="BH477"/>
  <c r="BH14"/>
  <c r="BH56"/>
  <c r="BH96"/>
  <c r="BH168"/>
  <c r="BH240"/>
  <c r="BH312"/>
  <c r="BH384"/>
  <c r="BH456"/>
  <c r="BH37"/>
  <c r="BH116"/>
  <c r="BH188"/>
  <c r="BH260"/>
  <c r="BH332"/>
  <c r="BH404"/>
  <c r="BH476"/>
  <c r="BH54"/>
  <c r="BH127"/>
  <c r="BH199"/>
  <c r="BH271"/>
  <c r="BH343"/>
  <c r="BH415"/>
  <c r="BH487"/>
  <c r="BH66"/>
  <c r="BH138"/>
  <c r="BH210"/>
  <c r="BH282"/>
  <c r="BH354"/>
  <c r="BH426"/>
  <c r="BH498"/>
  <c r="BH74"/>
  <c r="BH146"/>
  <c r="BH218"/>
  <c r="BH290"/>
  <c r="BH362"/>
  <c r="BH434"/>
  <c r="BH506"/>
  <c r="BH97"/>
  <c r="BH169"/>
  <c r="BH241"/>
  <c r="BH313"/>
  <c r="BH385"/>
  <c r="BH457"/>
  <c r="BH29"/>
  <c r="BH65"/>
  <c r="BH101"/>
  <c r="BH137"/>
  <c r="BH173"/>
  <c r="BH209"/>
  <c r="BH245"/>
  <c r="BH95"/>
  <c r="BH203"/>
  <c r="BH305"/>
  <c r="BH377"/>
  <c r="BH449"/>
  <c r="BH22"/>
  <c r="BH94"/>
  <c r="BH166"/>
  <c r="BH238"/>
  <c r="BH310"/>
  <c r="BH382"/>
  <c r="BH454"/>
  <c r="BH27"/>
  <c r="BH99"/>
  <c r="BH171"/>
  <c r="BH243"/>
  <c r="BH315"/>
  <c r="BH387"/>
  <c r="BH459"/>
  <c r="BH38"/>
  <c r="BH132"/>
  <c r="BH276"/>
  <c r="BH420"/>
  <c r="BH80"/>
  <c r="BH224"/>
  <c r="BH368"/>
  <c r="BH512"/>
  <c r="BH163"/>
  <c r="BH307"/>
  <c r="BH451"/>
  <c r="BH102"/>
  <c r="BH246"/>
  <c r="BH390"/>
  <c r="BH30"/>
  <c r="BH182"/>
  <c r="BH326"/>
  <c r="BH470"/>
  <c r="BH133"/>
  <c r="BH277"/>
  <c r="BH421"/>
  <c r="BH89"/>
  <c r="BH197"/>
  <c r="BH281"/>
  <c r="BH353"/>
  <c r="BH425"/>
  <c r="BH497"/>
  <c r="BH70"/>
  <c r="BH142"/>
  <c r="BH214"/>
  <c r="BH286"/>
  <c r="BH358"/>
  <c r="BH430"/>
  <c r="BH502"/>
  <c r="BH75"/>
  <c r="BH147"/>
  <c r="BH219"/>
  <c r="BH291"/>
  <c r="BH363"/>
  <c r="BH435"/>
  <c r="BH507"/>
  <c r="BH84"/>
  <c r="BH228"/>
  <c r="BH372"/>
  <c r="BH20"/>
  <c r="BH176"/>
  <c r="BH320"/>
  <c r="BH464"/>
  <c r="BH115"/>
  <c r="BH259"/>
  <c r="BH403"/>
  <c r="BH49"/>
  <c r="BH198"/>
  <c r="BH342"/>
  <c r="BH486"/>
  <c r="BH134"/>
  <c r="BH278"/>
  <c r="BH422"/>
  <c r="BH85"/>
  <c r="BH229"/>
  <c r="BH373"/>
  <c r="BH59"/>
  <c r="BH167"/>
  <c r="BH275"/>
  <c r="BH347"/>
  <c r="BH419"/>
  <c r="BH491"/>
  <c r="BH64"/>
  <c r="BH136"/>
  <c r="BH208"/>
  <c r="BH280"/>
  <c r="BH352"/>
  <c r="BH424"/>
  <c r="BH496"/>
  <c r="BH69"/>
  <c r="BH141"/>
  <c r="BH213"/>
  <c r="BH285"/>
  <c r="BH357"/>
  <c r="BH429"/>
  <c r="BH501"/>
  <c r="BH72"/>
  <c r="BH216"/>
  <c r="BH360"/>
  <c r="BH504"/>
  <c r="BH164"/>
  <c r="BH308"/>
  <c r="BH452"/>
  <c r="BH103"/>
  <c r="BH247"/>
  <c r="BH391"/>
  <c r="BH31"/>
  <c r="BH186"/>
  <c r="BH330"/>
  <c r="BH474"/>
  <c r="BH122"/>
  <c r="BH266"/>
  <c r="BH410"/>
  <c r="BH73"/>
  <c r="BH217"/>
  <c r="BH361"/>
  <c r="BH505"/>
  <c r="BH53"/>
  <c r="BH161"/>
  <c r="BH269"/>
  <c r="BH341"/>
  <c r="BH413"/>
  <c r="BH485"/>
  <c r="BH58"/>
  <c r="BH130"/>
  <c r="BH202"/>
  <c r="BH274"/>
  <c r="BH346"/>
  <c r="BH418"/>
  <c r="BH490"/>
  <c r="BH63"/>
  <c r="BH135"/>
  <c r="BH207"/>
  <c r="BH279"/>
  <c r="BH351"/>
  <c r="BH423"/>
  <c r="BH495"/>
  <c r="BH60"/>
  <c r="BH204"/>
  <c r="BH348"/>
  <c r="BH492"/>
  <c r="BH152"/>
  <c r="BH296"/>
  <c r="BH440"/>
  <c r="BH91"/>
  <c r="BH235"/>
  <c r="BH379"/>
  <c r="BH18"/>
  <c r="BH174"/>
  <c r="BH318"/>
  <c r="BH462"/>
  <c r="BH110"/>
  <c r="BH254"/>
  <c r="BH398"/>
  <c r="BH61"/>
  <c r="BH205"/>
  <c r="BH349"/>
  <c r="BH493"/>
  <c r="BH23"/>
  <c r="BH131"/>
  <c r="BH239"/>
  <c r="BH317"/>
  <c r="BH389"/>
  <c r="BH461"/>
  <c r="BH34"/>
  <c r="BH106"/>
  <c r="BH178"/>
  <c r="BH250"/>
  <c r="BH322"/>
  <c r="BH394"/>
  <c r="BH466"/>
  <c r="BH39"/>
  <c r="BH111"/>
  <c r="BH183"/>
  <c r="BH255"/>
  <c r="BH327"/>
  <c r="BH399"/>
  <c r="BH471"/>
  <c r="BH50"/>
  <c r="BH156"/>
  <c r="BH300"/>
  <c r="BH444"/>
  <c r="BH104"/>
  <c r="BH248"/>
  <c r="BH392"/>
  <c r="BH36"/>
  <c r="BH187"/>
  <c r="BH331"/>
  <c r="BH475"/>
  <c r="BH126"/>
  <c r="BH270"/>
  <c r="BH414"/>
  <c r="BH62"/>
  <c r="BH206"/>
  <c r="BH350"/>
  <c r="BH494"/>
  <c r="BH157"/>
  <c r="BH301"/>
  <c r="BH445"/>
  <c r="BH17"/>
  <c r="BH125"/>
  <c r="BH233"/>
  <c r="BH311"/>
  <c r="BH383"/>
  <c r="BH455"/>
  <c r="BH28"/>
  <c r="BH100"/>
  <c r="BH172"/>
  <c r="BH244"/>
  <c r="BH316"/>
  <c r="BH388"/>
  <c r="BH460"/>
  <c r="BH33"/>
  <c r="BH105"/>
  <c r="BH177"/>
  <c r="BH249"/>
  <c r="BH321"/>
  <c r="BH393"/>
  <c r="BH465"/>
  <c r="BH44"/>
  <c r="BH144"/>
  <c r="BH288"/>
  <c r="BH432"/>
  <c r="BH92"/>
  <c r="BH236"/>
  <c r="BH380"/>
  <c r="BH19"/>
  <c r="BH175"/>
  <c r="BH319"/>
  <c r="BH463"/>
  <c r="BH114"/>
  <c r="BH258"/>
  <c r="BH402"/>
  <c r="BH48"/>
  <c r="BH194"/>
  <c r="BH338"/>
  <c r="BH482"/>
  <c r="BH145"/>
  <c r="BH289"/>
  <c r="BH433"/>
  <c r="BL34"/>
  <c r="BM365"/>
  <c r="BM131"/>
  <c r="BM152"/>
  <c r="BM149"/>
  <c r="BM209"/>
  <c r="BM425"/>
  <c r="BM413"/>
  <c r="BM254"/>
  <c r="BM261"/>
  <c r="BM369"/>
  <c r="BM377"/>
  <c r="BM288"/>
  <c r="BM233"/>
  <c r="BM362"/>
  <c r="BM392"/>
  <c r="BM494"/>
  <c r="BM271"/>
  <c r="BM328"/>
  <c r="BM512"/>
  <c r="BM65"/>
  <c r="BM45"/>
  <c r="BM414"/>
  <c r="BM116"/>
  <c r="BM386"/>
  <c r="BM313"/>
  <c r="BM175"/>
  <c r="BM277"/>
  <c r="BM206"/>
  <c r="BM472"/>
  <c r="BM84"/>
  <c r="BM249"/>
  <c r="BM121"/>
  <c r="BM155"/>
  <c r="BM379"/>
  <c r="BM213"/>
  <c r="BM457"/>
  <c r="BM198"/>
  <c r="BM463"/>
  <c r="BM450"/>
  <c r="BM184"/>
  <c r="BM79"/>
  <c r="BM403"/>
  <c r="BM422"/>
  <c r="BM357"/>
  <c r="BM217"/>
  <c r="BM391"/>
  <c r="BM487"/>
  <c r="BM278"/>
  <c r="BM508"/>
  <c r="BM120"/>
  <c r="BM43"/>
  <c r="BM475"/>
  <c r="BM141"/>
  <c r="BM439"/>
  <c r="BM255"/>
  <c r="BM176"/>
  <c r="BM103"/>
  <c r="BM143"/>
  <c r="BM359"/>
  <c r="BM107"/>
  <c r="BM323"/>
  <c r="BM36"/>
  <c r="BM221"/>
  <c r="BM437"/>
  <c r="BM35"/>
  <c r="BM251"/>
  <c r="BM467"/>
  <c r="BM185"/>
  <c r="BM401"/>
  <c r="BM85"/>
  <c r="BM470"/>
  <c r="BM390"/>
  <c r="BM238"/>
  <c r="BM454"/>
  <c r="BM333"/>
  <c r="BM260"/>
  <c r="BM62"/>
  <c r="BM159"/>
  <c r="BM232"/>
  <c r="BM448"/>
  <c r="BM276"/>
  <c r="BM218"/>
  <c r="BM284"/>
  <c r="BM464"/>
  <c r="BM55"/>
  <c r="BM199"/>
  <c r="BM292"/>
  <c r="BM301"/>
  <c r="BM481"/>
  <c r="BM212"/>
  <c r="BM486"/>
  <c r="BM314"/>
  <c r="BM235"/>
  <c r="BM337"/>
  <c r="BM435"/>
  <c r="BM295"/>
  <c r="BM111"/>
  <c r="BM168"/>
  <c r="BM161"/>
  <c r="BM327"/>
  <c r="BM187"/>
  <c r="BM429"/>
  <c r="BM289"/>
  <c r="BM170"/>
  <c r="BM97"/>
  <c r="BM52"/>
  <c r="BM96"/>
  <c r="BM37"/>
  <c r="BM127"/>
  <c r="BM415"/>
  <c r="BM400"/>
  <c r="BM306"/>
  <c r="BM105"/>
  <c r="BM219"/>
  <c r="BM67"/>
  <c r="BM247"/>
  <c r="BM349"/>
  <c r="BM134"/>
  <c r="BM493"/>
  <c r="BM436"/>
  <c r="BM343"/>
  <c r="BM282"/>
  <c r="BM268"/>
  <c r="BM484"/>
  <c r="BM290"/>
  <c r="BM404"/>
  <c r="BM506"/>
  <c r="BM99"/>
  <c r="BM335"/>
  <c r="BM81"/>
  <c r="BM201"/>
  <c r="BM309"/>
  <c r="BM236"/>
  <c r="BM336"/>
  <c r="BM447"/>
  <c r="BM130"/>
  <c r="BM346"/>
  <c r="BM123"/>
  <c r="BM426"/>
  <c r="BM440"/>
  <c r="BM160"/>
  <c r="BM376"/>
  <c r="BM63"/>
  <c r="BM189"/>
  <c r="BM303"/>
  <c r="BM203"/>
  <c r="BM498"/>
  <c r="BM227"/>
  <c r="BM443"/>
  <c r="BM297"/>
  <c r="BM274"/>
  <c r="BM490"/>
  <c r="BM405"/>
  <c r="BM332"/>
  <c r="BM304"/>
  <c r="BM398"/>
  <c r="BM396"/>
  <c r="BM503"/>
  <c r="BM40"/>
  <c r="BM76"/>
  <c r="BM371"/>
  <c r="BM153"/>
  <c r="BM202"/>
  <c r="BM418"/>
  <c r="BM267"/>
  <c r="BM188"/>
  <c r="BM372"/>
  <c r="BM273"/>
  <c r="BM381"/>
  <c r="BM308"/>
  <c r="BM366"/>
  <c r="BM240"/>
  <c r="BM146"/>
  <c r="BM505"/>
  <c r="BM54"/>
  <c r="BM245"/>
  <c r="BM461"/>
  <c r="BM338"/>
  <c r="BM106"/>
  <c r="BM150"/>
  <c r="BM266"/>
  <c r="BM70"/>
  <c r="BM44"/>
  <c r="BM125"/>
  <c r="BM47"/>
  <c r="BM94"/>
  <c r="BM51"/>
  <c r="BM140"/>
  <c r="BM58"/>
  <c r="BM88"/>
  <c r="BM132"/>
  <c r="BM95"/>
  <c r="BM46"/>
  <c r="BM90"/>
  <c r="BM142"/>
  <c r="BM186"/>
  <c r="BM469"/>
  <c r="BM500"/>
  <c r="BM427"/>
  <c r="BM190"/>
  <c r="BM406"/>
  <c r="BM91"/>
  <c r="BM458"/>
  <c r="BM385"/>
  <c r="BM319"/>
  <c r="BM56"/>
  <c r="BM421"/>
  <c r="BM112"/>
  <c r="BM156"/>
  <c r="BM399"/>
  <c r="BM259"/>
  <c r="BM501"/>
  <c r="BM361"/>
  <c r="BM60"/>
  <c r="BM82"/>
  <c r="BM113"/>
  <c r="BM329"/>
  <c r="BM104"/>
  <c r="BM78"/>
  <c r="BM42"/>
  <c r="BM77"/>
  <c r="BM293"/>
  <c r="BM41"/>
  <c r="BM257"/>
  <c r="BM473"/>
  <c r="BM39"/>
  <c r="BM71"/>
  <c r="BM287"/>
  <c r="BM180"/>
  <c r="BM167"/>
  <c r="BM83"/>
  <c r="BM380"/>
  <c r="BM482"/>
  <c r="BM69"/>
  <c r="BM64"/>
  <c r="BM496"/>
  <c r="BM330"/>
  <c r="BM194"/>
  <c r="BM138"/>
  <c r="BM495"/>
  <c r="BM171"/>
  <c r="BM92"/>
  <c r="BM173"/>
  <c r="BM144"/>
  <c r="BM264"/>
  <c r="BM358"/>
  <c r="BM68"/>
  <c r="BM438"/>
  <c r="BM302"/>
  <c r="BM423"/>
  <c r="BM137"/>
  <c r="BM460"/>
  <c r="BM272"/>
  <c r="BM444"/>
  <c r="BM416"/>
  <c r="BM408"/>
  <c r="BM230"/>
  <c r="BM402"/>
  <c r="BM351"/>
  <c r="BM101"/>
  <c r="BM89"/>
  <c r="BM59"/>
  <c r="BM214"/>
  <c r="BM258"/>
  <c r="BM237"/>
  <c r="BM244"/>
  <c r="BM345"/>
  <c r="BM502"/>
  <c r="BM114"/>
  <c r="BM307"/>
  <c r="BM409"/>
  <c r="BM507"/>
  <c r="BM367"/>
  <c r="BM183"/>
  <c r="BM234"/>
  <c r="BM342"/>
  <c r="BM350"/>
  <c r="BM133"/>
  <c r="BM256"/>
  <c r="BM229"/>
  <c r="BM397"/>
  <c r="BM57"/>
  <c r="BM428"/>
  <c r="BM355"/>
  <c r="BM154"/>
  <c r="BM370"/>
  <c r="BM61"/>
  <c r="BM220"/>
  <c r="BM151"/>
  <c r="BM471"/>
  <c r="BM331"/>
  <c r="BM433"/>
  <c r="BM242"/>
  <c r="BM163"/>
  <c r="BM265"/>
  <c r="BM363"/>
  <c r="BM223"/>
  <c r="BM465"/>
  <c r="BM325"/>
  <c r="BM356"/>
  <c r="BM283"/>
  <c r="BM118"/>
  <c r="BM334"/>
  <c r="BM148"/>
  <c r="BM193"/>
  <c r="BM285"/>
  <c r="BM157"/>
  <c r="BM393"/>
  <c r="BM320"/>
  <c r="BM253"/>
  <c r="BM211"/>
  <c r="BM298"/>
  <c r="BM177"/>
  <c r="BM49"/>
  <c r="BM291"/>
  <c r="BM139"/>
  <c r="BM98"/>
  <c r="BM451"/>
  <c r="BM115"/>
  <c r="BM321"/>
  <c r="BM248"/>
  <c r="BM181"/>
  <c r="BM215"/>
  <c r="BM431"/>
  <c r="BM145"/>
  <c r="BM262"/>
  <c r="BM478"/>
  <c r="BM241"/>
  <c r="BM147"/>
  <c r="BM378"/>
  <c r="BM179"/>
  <c r="BM395"/>
  <c r="BM73"/>
  <c r="BM226"/>
  <c r="BM442"/>
  <c r="BM169"/>
  <c r="BM270"/>
  <c r="BM373"/>
  <c r="BM75"/>
  <c r="BM109"/>
  <c r="BM205"/>
  <c r="BM364"/>
  <c r="BM445"/>
  <c r="BM318"/>
  <c r="BM485"/>
  <c r="BM434"/>
  <c r="BM483"/>
  <c r="BM312"/>
  <c r="BM419"/>
  <c r="BM174"/>
  <c r="BM129"/>
  <c r="BM243"/>
  <c r="BM164"/>
  <c r="BM108"/>
  <c r="BM466"/>
  <c r="BM480"/>
  <c r="BM93"/>
  <c r="BM172"/>
  <c r="BM207"/>
  <c r="BM122"/>
  <c r="BM430"/>
  <c r="BM410"/>
  <c r="BM424"/>
  <c r="BM200"/>
  <c r="BM488"/>
  <c r="BM228"/>
  <c r="BM50"/>
  <c r="BM394"/>
  <c r="BM100"/>
  <c r="BM102"/>
  <c r="BM459"/>
  <c r="BM352"/>
  <c r="BM344"/>
  <c r="BM446"/>
  <c r="BM322"/>
  <c r="BM72"/>
  <c r="BM192"/>
  <c r="BM286"/>
  <c r="BM66"/>
  <c r="BM453"/>
  <c r="BM315"/>
  <c r="BM280"/>
  <c r="BM417"/>
  <c r="BM474"/>
  <c r="BM250"/>
  <c r="BM294"/>
  <c r="BM388"/>
  <c r="BM128"/>
  <c r="BM374"/>
  <c r="BM158"/>
  <c r="BM165"/>
  <c r="BM208"/>
  <c r="BM279"/>
  <c r="BM178"/>
  <c r="BM222"/>
  <c r="BM387"/>
  <c r="BM316"/>
  <c r="BM489"/>
  <c r="BM300"/>
  <c r="BM119"/>
  <c r="BM452"/>
  <c r="BM86"/>
  <c r="BM136"/>
  <c r="BM135"/>
  <c r="BM53"/>
  <c r="BM80"/>
  <c r="BM299"/>
  <c r="BM204"/>
  <c r="BM384"/>
  <c r="BM74"/>
  <c r="BM216"/>
  <c r="BM339"/>
  <c r="BM441"/>
  <c r="BM324"/>
  <c r="BM311"/>
  <c r="BM263"/>
  <c r="BM479"/>
  <c r="BM375"/>
  <c r="BM310"/>
  <c r="BM477"/>
  <c r="BM432"/>
  <c r="BM509"/>
  <c r="BM368"/>
  <c r="BM124"/>
  <c r="BM340"/>
  <c r="BM348"/>
  <c r="BM389"/>
  <c r="BM305"/>
  <c r="BM110"/>
  <c r="BM117"/>
  <c r="BM231"/>
  <c r="BM269"/>
  <c r="BM499"/>
  <c r="BM492"/>
  <c r="BM455"/>
  <c r="BM326"/>
  <c r="BM162"/>
  <c r="BM354"/>
  <c r="BM353"/>
  <c r="BM197"/>
  <c r="BM462"/>
  <c r="BM491"/>
  <c r="BM87"/>
  <c r="BM504"/>
  <c r="BM347"/>
  <c r="BM182"/>
  <c r="BM510"/>
  <c r="BM191"/>
  <c r="BM407"/>
  <c r="BM225"/>
  <c r="BM126"/>
  <c r="BM360"/>
  <c r="BM317"/>
  <c r="BM383"/>
  <c r="BM296"/>
  <c r="BM239"/>
  <c r="BM38"/>
  <c r="BM456"/>
  <c r="BM449"/>
  <c r="BM246"/>
  <c r="BM281"/>
  <c r="BM497"/>
  <c r="BM252"/>
  <c r="BM275"/>
  <c r="BM511"/>
  <c r="BM476"/>
  <c r="BM468"/>
  <c r="BM341"/>
  <c r="BM224"/>
  <c r="BM48"/>
  <c r="BM166"/>
  <c r="BM382"/>
  <c r="BM195"/>
  <c r="BM210"/>
  <c r="BM420"/>
  <c r="BM196"/>
  <c r="BM412"/>
  <c r="BM411"/>
  <c r="EP38" i="1"/>
  <c r="EN39"/>
  <c r="EQ39" s="1"/>
  <c r="EP39" l="1"/>
  <c r="EN40"/>
  <c r="EQ40" s="1"/>
  <c r="BD30" i="5"/>
  <c r="BD29"/>
  <c r="EP40" i="1" l="1"/>
  <c r="EN41"/>
  <c r="EQ41" s="1"/>
  <c r="AR39" i="5"/>
  <c r="EP41" i="1" l="1"/>
  <c r="EN42"/>
  <c r="EQ42" s="1"/>
  <c r="AR41" i="5"/>
  <c r="AR38"/>
  <c r="AR40"/>
  <c r="G16" l="1" a="1"/>
  <c r="W15" a="1"/>
  <c r="W24" s="1"/>
  <c r="EP42" i="1"/>
  <c r="EN43"/>
  <c r="EQ43" s="1"/>
  <c r="AR35" i="5"/>
  <c r="G20" l="1"/>
  <c r="G21"/>
  <c r="G27"/>
  <c r="G24"/>
  <c r="G17"/>
  <c r="G23"/>
  <c r="G26"/>
  <c r="G16"/>
  <c r="G19"/>
  <c r="G22"/>
  <c r="G25"/>
  <c r="G18"/>
  <c r="W23"/>
  <c r="W20"/>
  <c r="W17"/>
  <c r="W19"/>
  <c r="W22"/>
  <c r="W26"/>
  <c r="W16"/>
  <c r="W18"/>
  <c r="W15"/>
  <c r="W25"/>
  <c r="W21"/>
  <c r="EP43" i="1"/>
  <c r="EN44"/>
  <c r="EQ44" s="1"/>
  <c r="AR32" i="5"/>
  <c r="EP44" i="1" l="1"/>
  <c r="EN45"/>
  <c r="EQ45" s="1"/>
  <c r="BD31" i="5"/>
  <c r="AR30"/>
  <c r="AR33"/>
  <c r="BP29"/>
  <c r="AR31"/>
  <c r="AR34"/>
  <c r="EP45" i="1" l="1"/>
  <c r="EN46"/>
  <c r="EQ46" s="1"/>
  <c r="BD22" i="5"/>
  <c r="EP46" i="1" l="1"/>
  <c r="EN47"/>
  <c r="EQ47" s="1"/>
  <c r="BD20" i="5"/>
  <c r="BD23"/>
  <c r="BD24"/>
  <c r="BD21"/>
  <c r="BD19"/>
  <c r="EP47" i="1" l="1"/>
  <c r="EN48"/>
  <c r="EQ48" s="1"/>
  <c r="EP48" l="1"/>
  <c r="EN49"/>
  <c r="EQ49" s="1"/>
  <c r="EP49" l="1"/>
  <c r="EN50"/>
  <c r="EQ50" s="1"/>
  <c r="AF15" i="5"/>
  <c r="AC16" s="1" a="1"/>
  <c r="AP15"/>
  <c r="AD16" l="1"/>
  <c r="AC16"/>
  <c r="EP50" i="1"/>
  <c r="EN51"/>
  <c r="EQ51" s="1"/>
  <c r="AQ15" i="5"/>
  <c r="AR15" s="1"/>
  <c r="AF16" l="1"/>
  <c r="AC17" s="1" a="1"/>
  <c r="EP51" i="1"/>
  <c r="EN52"/>
  <c r="EQ52" s="1"/>
  <c r="AP16" i="5"/>
  <c r="AD17" l="1"/>
  <c r="AC17"/>
  <c r="AQ16"/>
  <c r="AR16" s="1"/>
  <c r="EP52" i="1"/>
  <c r="EN53"/>
  <c r="EQ53" s="1"/>
  <c r="BD14" i="5"/>
  <c r="BP13"/>
  <c r="AF17" l="1"/>
  <c r="EP53" i="1"/>
  <c r="EN54"/>
  <c r="EQ54" s="1"/>
  <c r="BP12" i="5"/>
  <c r="BD12"/>
  <c r="BD10"/>
  <c r="BD13"/>
  <c r="BP15"/>
  <c r="BD15"/>
  <c r="BP11"/>
  <c r="BP14"/>
  <c r="BD11"/>
  <c r="BP10"/>
  <c r="AP17"/>
  <c r="AQ17" l="1"/>
  <c r="AR17" s="1"/>
  <c r="AC18" a="1"/>
  <c r="EP54" i="1"/>
  <c r="EN55"/>
  <c r="EQ55" s="1"/>
  <c r="AI24" i="5"/>
  <c r="AI23"/>
  <c r="AI25"/>
  <c r="AI26"/>
  <c r="AI15"/>
  <c r="AD18" l="1"/>
  <c r="AC18"/>
  <c r="EP55" i="1"/>
  <c r="EN56"/>
  <c r="EQ56" s="1"/>
  <c r="AI16" i="5"/>
  <c r="AI21"/>
  <c r="AI17"/>
  <c r="AI18"/>
  <c r="AI19"/>
  <c r="AI20"/>
  <c r="AI22"/>
  <c r="AF18" l="1"/>
  <c r="AQ18" s="1"/>
  <c r="EP56" i="1"/>
  <c r="EN57"/>
  <c r="EQ57" s="1"/>
  <c r="BJ18"/>
  <c r="BJ19"/>
  <c r="BJ20"/>
  <c r="BJ21"/>
  <c r="BJ22"/>
  <c r="BJ23"/>
  <c r="BJ24"/>
  <c r="BJ25"/>
  <c r="AP18" i="5"/>
  <c r="AC19" l="1" a="1"/>
  <c r="AR18"/>
  <c r="EP57" i="1"/>
  <c r="EN58"/>
  <c r="EQ58" s="1"/>
  <c r="AD19" i="5" l="1"/>
  <c r="AC19"/>
  <c r="BS18" i="1"/>
  <c r="BP19" s="1" a="1"/>
  <c r="EP58"/>
  <c r="EN59"/>
  <c r="EQ59" s="1"/>
  <c r="BG23"/>
  <c r="AF19" i="5" l="1"/>
  <c r="BQ19" i="1"/>
  <c r="BP19"/>
  <c r="EP59"/>
  <c r="EN60"/>
  <c r="EQ60" s="1"/>
  <c r="AP19" i="5"/>
  <c r="BS19" i="1" l="1"/>
  <c r="BP20" s="1" a="1"/>
  <c r="BP20" s="1"/>
  <c r="AC20" i="5" a="1"/>
  <c r="AQ19"/>
  <c r="AR19" s="1"/>
  <c r="EP60" i="1"/>
  <c r="EN61"/>
  <c r="EQ61" s="1"/>
  <c r="BQ20" l="1"/>
  <c r="BS20" s="1"/>
  <c r="BP21" s="1" a="1"/>
  <c r="BP21" s="1"/>
  <c r="AD20" i="5"/>
  <c r="AC20"/>
  <c r="EP61" i="1"/>
  <c r="EN62"/>
  <c r="EQ62" s="1"/>
  <c r="AF20" i="5" l="1"/>
  <c r="BQ21" i="1"/>
  <c r="BS21" s="1"/>
  <c r="BP22" s="1" a="1"/>
  <c r="BP22" s="1"/>
  <c r="EP62"/>
  <c r="EN63"/>
  <c r="EQ63" s="1"/>
  <c r="AP20" i="5"/>
  <c r="AC21" l="1" a="1"/>
  <c r="AQ20"/>
  <c r="AR20" s="1"/>
  <c r="BQ22" i="1"/>
  <c r="BS22" s="1"/>
  <c r="BP23" s="1" a="1"/>
  <c r="BP23" s="1"/>
  <c r="EP63"/>
  <c r="EN64"/>
  <c r="EQ64" s="1"/>
  <c r="AD21" i="5" l="1"/>
  <c r="AC21"/>
  <c r="BQ23" i="1"/>
  <c r="BS23" s="1"/>
  <c r="BP24" s="1" a="1"/>
  <c r="EP64"/>
  <c r="EN65"/>
  <c r="EQ65" s="1"/>
  <c r="AH9"/>
  <c r="AF21" i="5" l="1"/>
  <c r="BP24" i="1"/>
  <c r="BQ24"/>
  <c r="EP65"/>
  <c r="EN66"/>
  <c r="EQ66" s="1"/>
  <c r="BG30"/>
  <c r="BS30"/>
  <c r="BG20"/>
  <c r="AU37"/>
  <c r="BG12"/>
  <c r="BG34"/>
  <c r="BG33"/>
  <c r="AU33"/>
  <c r="AU29"/>
  <c r="AH12"/>
  <c r="BS12"/>
  <c r="AH6"/>
  <c r="AI6" s="1"/>
  <c r="AP21" i="5"/>
  <c r="AC22" l="1" a="1"/>
  <c r="AQ21"/>
  <c r="AR21" s="1"/>
  <c r="BS24" i="1"/>
  <c r="BP25" s="1" a="1"/>
  <c r="BP25" s="1"/>
  <c r="EP66"/>
  <c r="EN67"/>
  <c r="EQ67" s="1"/>
  <c r="BG28"/>
  <c r="BG32"/>
  <c r="BG29"/>
  <c r="BG31"/>
  <c r="BG15"/>
  <c r="BS33"/>
  <c r="AU30"/>
  <c r="AH14"/>
  <c r="AU28"/>
  <c r="AH5"/>
  <c r="AI5" s="1"/>
  <c r="BS35"/>
  <c r="AU31"/>
  <c r="BS28"/>
  <c r="BG10"/>
  <c r="BG21"/>
  <c r="BG18"/>
  <c r="BS34"/>
  <c r="BG13"/>
  <c r="AU35"/>
  <c r="AU36"/>
  <c r="BG22"/>
  <c r="BG19"/>
  <c r="BG14"/>
  <c r="BG11"/>
  <c r="BS10"/>
  <c r="BS37"/>
  <c r="AU32"/>
  <c r="BS36"/>
  <c r="BS29"/>
  <c r="BS32"/>
  <c r="AH15"/>
  <c r="BS31"/>
  <c r="AU34"/>
  <c r="AU38"/>
  <c r="BS13"/>
  <c r="BS11"/>
  <c r="AH10"/>
  <c r="BS14"/>
  <c r="AH11"/>
  <c r="BS15"/>
  <c r="AH13"/>
  <c r="AH18"/>
  <c r="AE19" s="1" a="1"/>
  <c r="AF32"/>
  <c r="AE32"/>
  <c r="AF38"/>
  <c r="AR18"/>
  <c r="AD22" i="5" l="1"/>
  <c r="AC22"/>
  <c r="AF19" i="1"/>
  <c r="AE19"/>
  <c r="BQ25"/>
  <c r="BS25" s="1"/>
  <c r="EP67"/>
  <c r="EN68"/>
  <c r="EQ68" s="1"/>
  <c r="AI18"/>
  <c r="AI9" a="1"/>
  <c r="AI15" s="1"/>
  <c r="AE36"/>
  <c r="AE34"/>
  <c r="AF37"/>
  <c r="AF41"/>
  <c r="AF40"/>
  <c r="AE42"/>
  <c r="AF43"/>
  <c r="AF34"/>
  <c r="AF36"/>
  <c r="AE30"/>
  <c r="AE28"/>
  <c r="AF30"/>
  <c r="AF31"/>
  <c r="AF33"/>
  <c r="AE38"/>
  <c r="AH38" s="1"/>
  <c r="AF29"/>
  <c r="AF35"/>
  <c r="AF42"/>
  <c r="AF28"/>
  <c r="AF39"/>
  <c r="AH32"/>
  <c r="AE43"/>
  <c r="AE37"/>
  <c r="AE35"/>
  <c r="AE39"/>
  <c r="AE31"/>
  <c r="AE29"/>
  <c r="AE33"/>
  <c r="AF22" i="5" l="1"/>
  <c r="AH19" i="1"/>
  <c r="EP68"/>
  <c r="EN69"/>
  <c r="EQ69" s="1"/>
  <c r="AI12"/>
  <c r="AI11"/>
  <c r="AI13"/>
  <c r="AI14"/>
  <c r="AI10"/>
  <c r="AI9"/>
  <c r="AH34"/>
  <c r="AH36"/>
  <c r="AH30"/>
  <c r="AH43"/>
  <c r="AH37"/>
  <c r="AH40"/>
  <c r="AH35"/>
  <c r="AI28"/>
  <c r="AH41"/>
  <c r="AH42"/>
  <c r="AH29"/>
  <c r="AH33"/>
  <c r="AH39"/>
  <c r="AH31"/>
  <c r="AR19"/>
  <c r="AP22" i="5"/>
  <c r="AC23" l="1" a="1"/>
  <c r="AQ22"/>
  <c r="AR22" s="1"/>
  <c r="AE20" i="1" a="1"/>
  <c r="AI19"/>
  <c r="EP69"/>
  <c r="EN70"/>
  <c r="EQ70" s="1"/>
  <c r="AI29" a="1"/>
  <c r="AI32" s="1"/>
  <c r="AI33" a="1"/>
  <c r="AI38" s="1"/>
  <c r="AC23" i="5" l="1"/>
  <c r="AD23"/>
  <c r="AF20" i="1"/>
  <c r="AE20"/>
  <c r="EP70"/>
  <c r="EN71"/>
  <c r="EQ71" s="1"/>
  <c r="AI41"/>
  <c r="AI33"/>
  <c r="AI39"/>
  <c r="AI35"/>
  <c r="AI36"/>
  <c r="AI29"/>
  <c r="AI37"/>
  <c r="AI40"/>
  <c r="AI30"/>
  <c r="AI34"/>
  <c r="AI42"/>
  <c r="AI31"/>
  <c r="AI43"/>
  <c r="AH20" l="1"/>
  <c r="AI20" s="1"/>
  <c r="AF23" i="5"/>
  <c r="AQ23" s="1"/>
  <c r="EP71" i="1"/>
  <c r="EN72"/>
  <c r="EQ72" s="1"/>
  <c r="AL18"/>
  <c r="AL19"/>
  <c r="AL20"/>
  <c r="AL21"/>
  <c r="AL22"/>
  <c r="AL23"/>
  <c r="AL24"/>
  <c r="AL25"/>
  <c r="AP23" i="5"/>
  <c r="AR20" i="1"/>
  <c r="AE21" l="1" a="1"/>
  <c r="AF21" s="1"/>
  <c r="AC24" i="5" a="1"/>
  <c r="AD24" s="1"/>
  <c r="AR23"/>
  <c r="EP72" i="1"/>
  <c r="EN73"/>
  <c r="EQ73" s="1"/>
  <c r="AE21" l="1"/>
  <c r="AH21" s="1"/>
  <c r="AC24" i="5"/>
  <c r="AF24" s="1"/>
  <c r="EP73" i="1"/>
  <c r="EN74"/>
  <c r="EQ74" s="1"/>
  <c r="AR21"/>
  <c r="AP24" i="5"/>
  <c r="AC25" l="1" a="1"/>
  <c r="AQ24"/>
  <c r="AR24" s="1"/>
  <c r="AE22" i="1" a="1"/>
  <c r="AI21"/>
  <c r="CB18" i="10"/>
  <c r="EP74" i="1"/>
  <c r="EN75"/>
  <c r="EQ75" s="1"/>
  <c r="AU18"/>
  <c r="AC25" i="5" l="1"/>
  <c r="AD25"/>
  <c r="AF22" i="1"/>
  <c r="AE22"/>
  <c r="EP75"/>
  <c r="EN76"/>
  <c r="EQ76" s="1"/>
  <c r="AH22" l="1"/>
  <c r="AF25" i="5"/>
  <c r="AQ25" s="1"/>
  <c r="EP76" i="1"/>
  <c r="EN77"/>
  <c r="EQ77" s="1"/>
  <c r="AR22"/>
  <c r="AP25" i="5"/>
  <c r="AC26" l="1" a="1"/>
  <c r="AD26" s="1"/>
  <c r="AE23" i="1" a="1"/>
  <c r="AF23" s="1"/>
  <c r="AI22"/>
  <c r="AR25" i="5"/>
  <c r="EP77" i="1"/>
  <c r="EN78"/>
  <c r="EQ78" s="1"/>
  <c r="AE23" l="1"/>
  <c r="AH23" s="1"/>
  <c r="AC26" i="5"/>
  <c r="AF26" s="1"/>
  <c r="EP78" i="1"/>
  <c r="EN79"/>
  <c r="EQ79" s="1"/>
  <c r="AR23"/>
  <c r="AP26" i="5"/>
  <c r="AE24" i="1" l="1" a="1"/>
  <c r="AF24" s="1"/>
  <c r="AQ26" i="5"/>
  <c r="AR26" s="1"/>
  <c r="AI23" i="1"/>
  <c r="EP79"/>
  <c r="EN80"/>
  <c r="EQ80" s="1"/>
  <c r="AE24" l="1"/>
  <c r="AH24" s="1"/>
  <c r="AI24" s="1"/>
  <c r="EP80"/>
  <c r="EN81"/>
  <c r="EQ81" s="1"/>
  <c r="AR24"/>
  <c r="AE25" l="1" a="1"/>
  <c r="AE25" s="1"/>
  <c r="EP81"/>
  <c r="EN82"/>
  <c r="EQ82" s="1"/>
  <c r="AF25" l="1"/>
  <c r="AH25" s="1"/>
  <c r="AI25" s="1"/>
  <c r="EP82"/>
  <c r="EN83"/>
  <c r="EQ83" s="1"/>
  <c r="AR25"/>
  <c r="EP83" l="1"/>
  <c r="EN84"/>
  <c r="EQ84" s="1"/>
  <c r="EP84" l="1"/>
  <c r="EN85"/>
  <c r="EQ85" s="1"/>
  <c r="EP85" l="1"/>
  <c r="EN86"/>
  <c r="EQ86" s="1"/>
  <c r="EP86" l="1"/>
  <c r="EN87"/>
  <c r="EQ87" s="1"/>
  <c r="AU25"/>
  <c r="AU24"/>
  <c r="AU23"/>
  <c r="AU22"/>
  <c r="AU21"/>
  <c r="AU20"/>
  <c r="AU19"/>
  <c r="EP87" l="1"/>
  <c r="EN88"/>
  <c r="EQ88" s="1"/>
  <c r="EP88" l="1"/>
  <c r="EN89"/>
  <c r="EQ89" s="1"/>
  <c r="EP89" l="1"/>
  <c r="EN90"/>
  <c r="EQ90" s="1"/>
  <c r="EP90" l="1"/>
  <c r="EN91"/>
  <c r="EQ91" s="1"/>
  <c r="EP91" l="1"/>
  <c r="EN92"/>
  <c r="EQ92" s="1"/>
  <c r="EP92" l="1"/>
  <c r="EN93"/>
  <c r="EQ93" s="1"/>
  <c r="EP93" l="1"/>
  <c r="EN94"/>
  <c r="EQ94" s="1"/>
  <c r="EP94" l="1"/>
  <c r="EN95"/>
  <c r="EQ95" s="1"/>
  <c r="EP95" l="1"/>
  <c r="EN96"/>
  <c r="EQ96" s="1"/>
  <c r="EP96" l="1"/>
  <c r="EN97"/>
  <c r="EQ97" s="1"/>
  <c r="EP97" l="1"/>
  <c r="EN98"/>
  <c r="EQ98" s="1"/>
  <c r="EP98" l="1"/>
  <c r="EN99"/>
  <c r="EQ99" s="1"/>
  <c r="EP99" l="1"/>
  <c r="EN100"/>
  <c r="EQ100" s="1"/>
  <c r="EP100" l="1"/>
  <c r="EN101"/>
  <c r="EQ101" s="1"/>
  <c r="EP101" l="1"/>
  <c r="EN102"/>
  <c r="EQ102" s="1"/>
  <c r="EP102" l="1"/>
  <c r="EN103"/>
  <c r="EQ103" s="1"/>
  <c r="EP103" l="1"/>
  <c r="EN104"/>
  <c r="EQ104" s="1"/>
  <c r="EP104" l="1"/>
  <c r="EN105"/>
  <c r="EQ105" s="1"/>
  <c r="EP105" l="1"/>
  <c r="EN106"/>
  <c r="EQ106" s="1"/>
  <c r="EP106" l="1"/>
  <c r="EN107"/>
  <c r="EQ107" s="1"/>
  <c r="EP107" l="1"/>
  <c r="EN108"/>
  <c r="EQ108" s="1"/>
  <c r="EP108" l="1"/>
  <c r="EN109"/>
  <c r="EQ109" s="1"/>
  <c r="EP109" l="1"/>
  <c r="EN110"/>
  <c r="EQ110" s="1"/>
  <c r="EP110" l="1"/>
  <c r="EN111"/>
  <c r="EQ111" s="1"/>
  <c r="EP111" l="1"/>
  <c r="EN112"/>
  <c r="EQ112" s="1"/>
  <c r="EP112" l="1"/>
  <c r="EN113"/>
  <c r="EQ113" s="1"/>
  <c r="EP113" l="1"/>
  <c r="EN114"/>
  <c r="EQ114" s="1"/>
  <c r="EP114" l="1"/>
  <c r="EN115"/>
  <c r="EQ115" s="1"/>
  <c r="EP115" l="1"/>
  <c r="EN116"/>
  <c r="EQ116" s="1"/>
  <c r="EP116" l="1"/>
  <c r="EN117"/>
  <c r="EQ117" s="1"/>
  <c r="EP117" l="1"/>
  <c r="EN118"/>
  <c r="EQ118" s="1"/>
  <c r="EP118" l="1"/>
  <c r="EN119"/>
  <c r="EQ119" s="1"/>
  <c r="EP119" l="1"/>
  <c r="EN120"/>
  <c r="EQ120" s="1"/>
  <c r="EP120" l="1"/>
  <c r="EN121"/>
  <c r="EQ121" s="1"/>
  <c r="EP121" l="1"/>
  <c r="EN122"/>
  <c r="EQ122" s="1"/>
  <c r="EP122" l="1"/>
  <c r="EN123"/>
  <c r="EQ123" s="1"/>
  <c r="EP123" l="1"/>
  <c r="EN124"/>
  <c r="EQ124" s="1"/>
  <c r="EP124" l="1"/>
  <c r="EN125"/>
  <c r="EQ125" s="1"/>
  <c r="EP125" l="1"/>
  <c r="EN126"/>
  <c r="EQ126" s="1"/>
  <c r="EP126" l="1"/>
  <c r="EN127"/>
  <c r="EQ127" s="1"/>
  <c r="EP127" l="1"/>
  <c r="EN128"/>
  <c r="EQ128" s="1"/>
  <c r="EP128" l="1"/>
  <c r="EN129"/>
  <c r="EQ129" s="1"/>
  <c r="EP129" l="1"/>
  <c r="EN130"/>
  <c r="EQ130" s="1"/>
  <c r="EP130" l="1"/>
  <c r="EN131"/>
  <c r="EQ131" s="1"/>
  <c r="EP131" l="1"/>
  <c r="EN132"/>
  <c r="EQ132" s="1"/>
  <c r="EP132" l="1"/>
  <c r="EN133"/>
  <c r="EQ133" s="1"/>
  <c r="EP133" l="1"/>
  <c r="EN134"/>
  <c r="EQ134" s="1"/>
  <c r="EP134" l="1"/>
  <c r="EN135"/>
  <c r="EQ135" s="1"/>
  <c r="EP135" l="1"/>
  <c r="EN136"/>
  <c r="EQ136" s="1"/>
  <c r="EP136" l="1"/>
  <c r="EN137"/>
  <c r="EQ137" s="1"/>
  <c r="EP137" l="1"/>
  <c r="EN138"/>
  <c r="EQ138" s="1"/>
  <c r="EP138" l="1"/>
  <c r="EN139"/>
  <c r="EQ139" s="1"/>
  <c r="EP139" l="1"/>
  <c r="EN140"/>
  <c r="EQ140" s="1"/>
  <c r="EP140" l="1"/>
  <c r="EN141"/>
  <c r="EQ141" s="1"/>
  <c r="EP141" l="1"/>
  <c r="EN142"/>
  <c r="EQ142" s="1"/>
  <c r="EP142" l="1"/>
  <c r="EN143"/>
  <c r="EQ143" s="1"/>
  <c r="EP143" l="1"/>
  <c r="EN144"/>
  <c r="EQ144" s="1"/>
  <c r="EP144" l="1"/>
  <c r="EN145"/>
  <c r="EQ145" s="1"/>
  <c r="EP145" l="1"/>
  <c r="EN146"/>
  <c r="EQ146" s="1"/>
  <c r="EP146" l="1"/>
  <c r="EN147"/>
  <c r="EQ147" s="1"/>
  <c r="EP147" l="1"/>
  <c r="EN148"/>
  <c r="EQ148" s="1"/>
  <c r="EP148" l="1"/>
  <c r="EN149"/>
  <c r="EQ149" s="1"/>
  <c r="EP149" l="1"/>
  <c r="EN150"/>
  <c r="EQ150" s="1"/>
  <c r="EP150" l="1"/>
  <c r="EN151"/>
  <c r="EQ151" s="1"/>
  <c r="EP151" l="1"/>
  <c r="EN152"/>
  <c r="EQ152" s="1"/>
  <c r="EP152" l="1"/>
  <c r="EN153"/>
  <c r="EQ153" s="1"/>
  <c r="EP153" l="1"/>
  <c r="EN154"/>
  <c r="EQ154" s="1"/>
  <c r="EP154" l="1"/>
  <c r="EN155"/>
  <c r="EQ155" s="1"/>
  <c r="EP155" l="1"/>
  <c r="EN156"/>
  <c r="EQ156" s="1"/>
  <c r="EP156" l="1"/>
  <c r="EN157"/>
  <c r="EQ157" s="1"/>
  <c r="EP157" l="1"/>
  <c r="EN158"/>
  <c r="EQ158" s="1"/>
  <c r="EP158" l="1"/>
  <c r="EN159"/>
  <c r="EQ159" s="1"/>
  <c r="EP159" l="1"/>
  <c r="EN160"/>
  <c r="EQ160" s="1"/>
  <c r="EP160" l="1"/>
  <c r="EN161"/>
  <c r="EQ161" s="1"/>
  <c r="EP161" l="1"/>
  <c r="EN162"/>
  <c r="EQ162" s="1"/>
  <c r="EP162" l="1"/>
  <c r="EN163"/>
  <c r="EQ163" s="1"/>
  <c r="EP163" l="1"/>
  <c r="EN164"/>
  <c r="EQ164" s="1"/>
  <c r="EP164" l="1"/>
  <c r="EN165"/>
  <c r="EQ165" s="1"/>
  <c r="EP165" l="1"/>
  <c r="EN166"/>
  <c r="EQ166" s="1"/>
  <c r="EP166" l="1"/>
  <c r="EN167"/>
  <c r="EQ167" s="1"/>
  <c r="EP167" l="1"/>
  <c r="EN168"/>
  <c r="EQ168" s="1"/>
  <c r="EP168" l="1"/>
  <c r="EN169"/>
  <c r="EQ169" s="1"/>
  <c r="EP169" l="1"/>
  <c r="EN170"/>
  <c r="EQ170" s="1"/>
  <c r="EP170" l="1"/>
  <c r="EN171"/>
  <c r="EQ171" s="1"/>
  <c r="EP171" l="1"/>
  <c r="EN172"/>
  <c r="EQ172" s="1"/>
  <c r="EP172" l="1"/>
  <c r="EN173"/>
  <c r="EQ173" s="1"/>
  <c r="EP173" l="1"/>
  <c r="EN174"/>
  <c r="EQ174" s="1"/>
  <c r="EP174" l="1"/>
  <c r="EN175"/>
  <c r="EQ175" s="1"/>
  <c r="EP175" l="1"/>
  <c r="EN176"/>
  <c r="EQ176" s="1"/>
  <c r="EP176" l="1"/>
  <c r="EN177"/>
  <c r="EQ177" s="1"/>
  <c r="EP177" l="1"/>
  <c r="EN178"/>
  <c r="EQ178" s="1"/>
  <c r="EP178" l="1"/>
  <c r="EN179"/>
  <c r="EQ179" s="1"/>
  <c r="EP179" l="1"/>
  <c r="EN180"/>
  <c r="EQ180" s="1"/>
  <c r="EP180" l="1"/>
  <c r="EN181"/>
  <c r="EQ181" s="1"/>
  <c r="EP181" l="1"/>
  <c r="EN182"/>
  <c r="EQ182" s="1"/>
  <c r="EP182" l="1"/>
  <c r="EN183"/>
  <c r="EQ183" s="1"/>
  <c r="EP183" l="1"/>
  <c r="EN184"/>
  <c r="EQ184" s="1"/>
  <c r="EP184" l="1"/>
  <c r="EN185"/>
  <c r="EQ185" s="1"/>
  <c r="EP185" l="1"/>
  <c r="EN186"/>
  <c r="EQ186" s="1"/>
  <c r="EP186" l="1"/>
  <c r="EN187"/>
  <c r="EQ187" s="1"/>
  <c r="EP187" l="1"/>
  <c r="EN188"/>
  <c r="EQ188" s="1"/>
  <c r="EP188" l="1"/>
  <c r="EN189"/>
  <c r="EQ189" s="1"/>
  <c r="EP189" l="1"/>
  <c r="EN190"/>
  <c r="EQ190" s="1"/>
  <c r="EP190" l="1"/>
  <c r="EN191"/>
  <c r="EQ191" s="1"/>
  <c r="EP191" l="1"/>
  <c r="EN192"/>
  <c r="EQ192" s="1"/>
  <c r="EP192" l="1"/>
  <c r="EN193"/>
  <c r="EQ193" s="1"/>
  <c r="EP193" l="1"/>
  <c r="EN194"/>
  <c r="EQ194" s="1"/>
  <c r="EP194" l="1"/>
  <c r="EN195"/>
  <c r="EQ195" s="1"/>
  <c r="EP195" l="1"/>
  <c r="EN196"/>
  <c r="EQ196" s="1"/>
  <c r="EP196" l="1"/>
  <c r="EN197"/>
  <c r="EQ197" s="1"/>
  <c r="EP197" l="1"/>
  <c r="EN198"/>
  <c r="EQ198" s="1"/>
  <c r="EP198" l="1"/>
  <c r="EN199"/>
  <c r="EQ199" s="1"/>
  <c r="EP199" l="1"/>
  <c r="EN200"/>
  <c r="EQ200" s="1"/>
  <c r="EP200" l="1"/>
  <c r="EN201"/>
  <c r="EQ201" s="1"/>
  <c r="EP201" l="1"/>
  <c r="EN202"/>
  <c r="EQ202" s="1"/>
  <c r="EP202" l="1"/>
  <c r="EN203"/>
  <c r="EQ203" s="1"/>
  <c r="EP203" l="1"/>
  <c r="EN204"/>
  <c r="EQ204" s="1"/>
  <c r="EP204" l="1"/>
  <c r="EN205"/>
  <c r="EQ205" s="1"/>
  <c r="EP205" l="1"/>
  <c r="EN206"/>
  <c r="EQ206" s="1"/>
  <c r="EP206" l="1"/>
  <c r="EN207"/>
  <c r="EQ207" s="1"/>
  <c r="EP207" l="1"/>
  <c r="EN208"/>
  <c r="EQ208" s="1"/>
  <c r="EP208" l="1"/>
  <c r="EN209"/>
  <c r="EQ209" s="1"/>
  <c r="EP209" l="1"/>
  <c r="EN210"/>
  <c r="EQ210" s="1"/>
  <c r="EP210" l="1"/>
  <c r="EN211"/>
  <c r="EQ211" s="1"/>
  <c r="EP211" l="1"/>
  <c r="EN212"/>
  <c r="EQ212" s="1"/>
  <c r="EP212" l="1"/>
  <c r="EN213"/>
  <c r="EQ213" s="1"/>
  <c r="EP213" l="1"/>
  <c r="EN214"/>
  <c r="EQ214" s="1"/>
  <c r="EP214" l="1"/>
  <c r="EN215"/>
  <c r="EQ215" s="1"/>
  <c r="EP215" l="1"/>
  <c r="EN216"/>
  <c r="EQ216" s="1"/>
  <c r="EP216" l="1"/>
  <c r="EN217"/>
  <c r="EQ217" s="1"/>
  <c r="EP217" l="1"/>
  <c r="EN218"/>
  <c r="EQ218" s="1"/>
  <c r="EP218" l="1"/>
  <c r="EN219"/>
  <c r="EQ219" s="1"/>
  <c r="EP219" l="1"/>
  <c r="EN220"/>
  <c r="EQ220" s="1"/>
  <c r="EP220" l="1"/>
  <c r="EN221"/>
  <c r="EQ221" s="1"/>
  <c r="EP221" l="1"/>
  <c r="EN222"/>
  <c r="EQ222" s="1"/>
  <c r="EP222" l="1"/>
  <c r="EN223"/>
  <c r="EQ223" s="1"/>
  <c r="EP223" l="1"/>
  <c r="EN224"/>
  <c r="EQ224" s="1"/>
  <c r="EP224" l="1"/>
  <c r="EO213"/>
  <c r="EO209"/>
  <c r="EO218"/>
  <c r="EO210"/>
  <c r="EO222"/>
  <c r="EO208"/>
  <c r="EO215"/>
  <c r="EO220"/>
  <c r="EO217"/>
  <c r="EO216"/>
  <c r="EO221"/>
  <c r="EO214"/>
  <c r="EO224"/>
  <c r="EO219"/>
  <c r="EO211"/>
  <c r="EO212"/>
  <c r="EO223"/>
  <c r="ER5" l="1"/>
  <c r="ER6" s="1"/>
  <c r="ER7" s="1"/>
  <c r="EO207"/>
  <c r="ES6" l="1"/>
  <c r="ET7"/>
  <c r="ES7"/>
  <c r="ER8"/>
  <c r="EO206"/>
  <c r="ER9" l="1"/>
  <c r="ET8"/>
  <c r="ES8"/>
  <c r="EO205"/>
  <c r="ER10" l="1"/>
  <c r="ET9"/>
  <c r="EU9"/>
  <c r="ES9"/>
  <c r="EO204"/>
  <c r="EU10" l="1"/>
  <c r="ES10"/>
  <c r="ER11"/>
  <c r="ET10"/>
  <c r="EO203"/>
  <c r="ET11" l="1"/>
  <c r="ES11"/>
  <c r="ER12"/>
  <c r="EU11"/>
  <c r="EO202"/>
  <c r="ER13" l="1"/>
  <c r="ES12"/>
  <c r="ET12"/>
  <c r="EU12"/>
  <c r="EO201"/>
  <c r="EU13" l="1"/>
  <c r="ER14"/>
  <c r="ET13"/>
  <c r="ES13"/>
  <c r="EO200"/>
  <c r="ES14" l="1"/>
  <c r="ET14"/>
  <c r="EU14"/>
  <c r="ER15"/>
  <c r="EO199"/>
  <c r="ER16" l="1"/>
  <c r="ES15"/>
  <c r="EU15"/>
  <c r="ET15"/>
  <c r="EO198"/>
  <c r="ET16" l="1"/>
  <c r="ES16"/>
  <c r="EU16"/>
  <c r="ER17"/>
  <c r="EO197"/>
  <c r="ET17" l="1"/>
  <c r="EU17"/>
  <c r="ES17"/>
  <c r="ER18"/>
  <c r="EO196"/>
  <c r="ET18" l="1"/>
  <c r="ER19"/>
  <c r="EU18"/>
  <c r="ES18"/>
  <c r="EO195"/>
  <c r="ER20" l="1"/>
  <c r="ES19"/>
  <c r="ET19"/>
  <c r="EU19"/>
  <c r="EO194"/>
  <c r="ET20" l="1"/>
  <c r="EU20"/>
  <c r="ER21"/>
  <c r="ES20"/>
  <c r="EO193"/>
  <c r="ES21" l="1"/>
  <c r="EU21"/>
  <c r="ET21"/>
  <c r="ER22"/>
  <c r="EO192"/>
  <c r="ES22" l="1"/>
  <c r="ET22"/>
  <c r="EU22"/>
  <c r="EO153"/>
  <c r="EO150"/>
  <c r="EO94"/>
  <c r="EO55"/>
  <c r="EO126"/>
  <c r="EO104"/>
  <c r="EO119"/>
  <c r="EO188"/>
  <c r="EO48"/>
  <c r="EO42"/>
  <c r="EO120"/>
  <c r="EO36"/>
  <c r="EO132"/>
  <c r="EO114"/>
  <c r="EO169"/>
  <c r="EO116"/>
  <c r="EO117"/>
  <c r="EO175"/>
  <c r="EO101"/>
  <c r="EO151"/>
  <c r="EO157"/>
  <c r="EO170"/>
  <c r="EO156"/>
  <c r="EO97"/>
  <c r="EO72"/>
  <c r="EO124"/>
  <c r="EO88"/>
  <c r="EO164"/>
  <c r="EO171"/>
  <c r="EO182"/>
  <c r="EO145"/>
  <c r="EO96"/>
  <c r="EO50"/>
  <c r="EO172"/>
  <c r="EO47"/>
  <c r="EO81"/>
  <c r="EO89"/>
  <c r="EO146"/>
  <c r="EO100"/>
  <c r="EO25"/>
  <c r="EO39"/>
  <c r="EO92"/>
  <c r="EO53"/>
  <c r="EO65"/>
  <c r="EO46"/>
  <c r="EO41"/>
  <c r="EO149"/>
  <c r="EO28"/>
  <c r="EO134"/>
  <c r="EO107"/>
  <c r="EO56"/>
  <c r="EO57"/>
  <c r="EO32"/>
  <c r="EO110"/>
  <c r="EO167"/>
  <c r="EO136"/>
  <c r="EO186"/>
  <c r="EO174"/>
  <c r="EO78"/>
  <c r="EO115"/>
  <c r="EO95"/>
  <c r="EO165"/>
  <c r="EO82"/>
  <c r="EO161"/>
  <c r="EO180"/>
  <c r="EO45"/>
  <c r="EO189"/>
  <c r="EO159"/>
  <c r="EO158"/>
  <c r="EO80"/>
  <c r="EO111"/>
  <c r="EO108"/>
  <c r="EO121"/>
  <c r="EO90"/>
  <c r="EO93"/>
  <c r="EO152"/>
  <c r="EO75"/>
  <c r="EO79"/>
  <c r="EO68"/>
  <c r="EO139"/>
  <c r="EO37"/>
  <c r="EO122"/>
  <c r="EO60"/>
  <c r="EO144"/>
  <c r="EO125"/>
  <c r="EO62"/>
  <c r="EO123"/>
  <c r="EO168"/>
  <c r="EO143"/>
  <c r="EO118"/>
  <c r="EO138"/>
  <c r="EO83"/>
  <c r="EO67"/>
  <c r="EO154"/>
  <c r="EO98"/>
  <c r="EO112"/>
  <c r="EO179"/>
  <c r="EO163"/>
  <c r="EO76"/>
  <c r="EO177"/>
  <c r="EO173"/>
  <c r="EO63"/>
  <c r="EO162"/>
  <c r="EO147"/>
  <c r="EO184"/>
  <c r="EO61"/>
  <c r="EO105"/>
  <c r="EO64"/>
  <c r="EO190"/>
  <c r="EO130"/>
  <c r="EO176"/>
  <c r="EO178"/>
  <c r="EO29"/>
  <c r="EO51"/>
  <c r="EO103"/>
  <c r="EO70"/>
  <c r="EO191"/>
  <c r="EO187"/>
  <c r="EO69"/>
  <c r="EO99"/>
  <c r="EO84"/>
  <c r="EO131"/>
  <c r="EO43"/>
  <c r="EO66"/>
  <c r="EO59"/>
  <c r="EO102"/>
  <c r="EO142"/>
  <c r="EO140"/>
  <c r="EO106"/>
  <c r="EO40"/>
  <c r="EO73"/>
  <c r="EO54"/>
  <c r="EO129"/>
  <c r="EO44"/>
  <c r="EO141"/>
  <c r="EO128"/>
  <c r="EO34"/>
  <c r="EO86"/>
  <c r="EO148"/>
  <c r="EO30"/>
  <c r="EO133"/>
  <c r="EO27"/>
  <c r="EO33"/>
  <c r="EO38"/>
  <c r="EO91"/>
  <c r="EO52"/>
  <c r="EO49"/>
  <c r="EO166"/>
  <c r="EO87"/>
  <c r="EO137"/>
  <c r="EO31"/>
  <c r="EO71"/>
  <c r="EO113"/>
  <c r="EO74"/>
  <c r="EO155"/>
  <c r="EO135"/>
  <c r="EO181"/>
  <c r="EO77"/>
  <c r="EO127"/>
  <c r="EO109"/>
  <c r="EO26"/>
  <c r="EO160"/>
  <c r="EO185"/>
  <c r="EO35"/>
  <c r="EO183"/>
  <c r="EO58"/>
  <c r="EO85"/>
  <c r="EO24" l="1"/>
  <c r="EO23" s="1"/>
  <c r="EO22" s="1"/>
  <c r="EO21" s="1"/>
  <c r="EO20" s="1"/>
  <c r="EO19" s="1"/>
  <c r="EO18" s="1"/>
  <c r="EO17" s="1"/>
  <c r="EO16" s="1"/>
  <c r="EO15" s="1"/>
  <c r="EO14" s="1"/>
  <c r="EO13" s="1"/>
  <c r="EO12" s="1"/>
  <c r="EO11" s="1"/>
  <c r="EO10" s="1"/>
  <c r="EO9" s="1"/>
  <c r="EO8" s="1"/>
  <c r="EO7" s="1"/>
  <c r="EO6" s="1"/>
  <c r="EO5" s="1"/>
  <c r="ER23"/>
  <c r="EU23" l="1"/>
  <c r="ER24"/>
  <c r="ES23"/>
  <c r="ET23"/>
  <c r="ET24" l="1"/>
  <c r="ES24"/>
  <c r="EU24"/>
  <c r="ER25"/>
  <c r="ER26" l="1"/>
  <c r="EU25"/>
  <c r="ET25"/>
  <c r="ES25"/>
  <c r="ER27" l="1"/>
  <c r="ET26"/>
  <c r="ES26"/>
  <c r="EU26"/>
  <c r="ER28" l="1"/>
  <c r="EU27"/>
  <c r="ET27"/>
  <c r="ES27"/>
  <c r="ER29" l="1"/>
  <c r="ET28"/>
  <c r="ES28"/>
  <c r="EU28"/>
  <c r="ER30" l="1"/>
  <c r="EU29"/>
  <c r="ET29"/>
  <c r="ES29"/>
  <c r="ER31" l="1"/>
  <c r="ET30"/>
  <c r="EU30"/>
  <c r="ES30"/>
  <c r="EU31" l="1"/>
  <c r="ET31"/>
  <c r="ES31"/>
  <c r="ER32"/>
  <c r="ET32" l="1"/>
  <c r="ES32"/>
  <c r="ER33"/>
  <c r="EU32"/>
  <c r="ES33" l="1"/>
  <c r="ER34"/>
  <c r="EU33"/>
  <c r="ET33"/>
  <c r="ES34" l="1"/>
  <c r="EU34"/>
  <c r="ER35"/>
  <c r="ET34"/>
  <c r="ES35" l="1"/>
  <c r="EU35"/>
  <c r="ET35"/>
  <c r="ER36"/>
  <c r="ET36" l="1"/>
  <c r="ES36"/>
  <c r="EU36"/>
  <c r="ER37"/>
  <c r="ES37" l="1"/>
  <c r="ET37"/>
  <c r="EU37"/>
  <c r="ER38"/>
  <c r="ES38" l="1"/>
  <c r="ET38"/>
  <c r="EU38"/>
  <c r="ER39"/>
  <c r="EU39" l="1"/>
  <c r="ER40"/>
  <c r="ET39"/>
  <c r="ES39"/>
  <c r="ES40" l="1"/>
  <c r="EU40"/>
  <c r="ET40"/>
  <c r="ER41"/>
  <c r="ET41" l="1"/>
  <c r="EU41"/>
  <c r="ES41"/>
  <c r="ER42"/>
  <c r="EU42" l="1"/>
  <c r="ET42"/>
  <c r="ES42"/>
  <c r="ER43"/>
  <c r="ET43" l="1"/>
  <c r="ES43"/>
  <c r="ER44"/>
  <c r="EU43"/>
  <c r="ER45" l="1"/>
  <c r="EU44"/>
  <c r="ET44"/>
  <c r="ES44"/>
  <c r="ER46" l="1"/>
  <c r="ET45"/>
  <c r="EU45"/>
  <c r="ES45"/>
  <c r="ER47" l="1"/>
  <c r="ES46"/>
  <c r="EU46"/>
  <c r="ET46"/>
  <c r="ER48" l="1"/>
  <c r="ET47"/>
  <c r="ES47"/>
  <c r="EU47"/>
  <c r="ER49" l="1"/>
  <c r="EU48"/>
  <c r="ET48"/>
  <c r="ES48"/>
  <c r="ES49" l="1"/>
  <c r="ER50"/>
  <c r="ET49"/>
  <c r="EU49"/>
  <c r="ET50" l="1"/>
  <c r="EU50"/>
  <c r="ES50"/>
  <c r="ER51"/>
  <c r="EU51" l="1"/>
  <c r="ET51"/>
  <c r="ES51"/>
  <c r="ER52"/>
  <c r="ER53" l="1"/>
  <c r="EU52"/>
  <c r="ET52"/>
  <c r="ES52"/>
  <c r="ET53" l="1"/>
  <c r="ER54"/>
  <c r="ES53"/>
  <c r="EU53"/>
  <c r="ES54" l="1"/>
  <c r="ER55"/>
  <c r="EU54"/>
  <c r="ET54"/>
  <c r="EU55" l="1"/>
  <c r="ES55"/>
  <c r="ER56"/>
  <c r="ET55"/>
  <c r="ER57" l="1"/>
  <c r="ET56"/>
  <c r="EU56"/>
  <c r="ES56"/>
  <c r="ET57" l="1"/>
  <c r="ES57"/>
  <c r="ER58"/>
  <c r="EU57"/>
  <c r="ES58" l="1"/>
  <c r="ER59"/>
  <c r="EU58"/>
  <c r="ET58"/>
  <c r="EU59" l="1"/>
  <c r="ET59"/>
  <c r="ES59"/>
  <c r="ER60"/>
  <c r="ES60" l="1"/>
  <c r="ER61"/>
  <c r="EU60"/>
  <c r="ET60"/>
  <c r="EU61" l="1"/>
  <c r="ET61"/>
  <c r="ES61"/>
  <c r="ER62"/>
  <c r="ER63" l="1"/>
  <c r="EU62"/>
  <c r="ET62"/>
  <c r="ES62"/>
  <c r="ER64" l="1"/>
  <c r="EU63"/>
  <c r="ET63"/>
  <c r="ES63"/>
  <c r="ER65" l="1"/>
  <c r="ET64"/>
  <c r="EU64"/>
  <c r="ES64"/>
  <c r="EU65" l="1"/>
  <c r="ES65"/>
  <c r="ET65"/>
  <c r="ER66"/>
  <c r="ER67" l="1"/>
  <c r="EU66"/>
  <c r="ET66"/>
  <c r="ES66"/>
  <c r="ET67" l="1"/>
  <c r="EU67"/>
  <c r="ES67"/>
  <c r="ER68"/>
  <c r="ET68" l="1"/>
  <c r="EU68"/>
  <c r="ES68"/>
  <c r="ER69"/>
  <c r="EU69" l="1"/>
  <c r="ET69"/>
  <c r="ES69"/>
  <c r="ER70"/>
  <c r="ER71" l="1"/>
  <c r="EU70"/>
  <c r="ET70"/>
  <c r="ES70"/>
  <c r="ER72" l="1"/>
  <c r="EU71"/>
  <c r="ET71"/>
  <c r="ES71"/>
  <c r="EU72" l="1"/>
  <c r="ES72"/>
  <c r="ET72"/>
  <c r="ER73"/>
  <c r="ES73" l="1"/>
  <c r="ER74"/>
  <c r="ET73"/>
  <c r="EU73"/>
  <c r="ET74" l="1"/>
  <c r="ES74"/>
  <c r="ER75"/>
  <c r="EU74"/>
  <c r="ES75" l="1"/>
  <c r="ER76"/>
  <c r="ET75"/>
  <c r="EU75"/>
  <c r="ES76" l="1"/>
  <c r="ER77"/>
  <c r="ET76"/>
  <c r="EU76"/>
  <c r="ER78" l="1"/>
  <c r="EU77"/>
  <c r="ET77"/>
  <c r="ES77"/>
  <c r="ER79" l="1"/>
  <c r="EU78"/>
  <c r="ET78"/>
  <c r="ES78"/>
  <c r="ES79" l="1"/>
  <c r="EU79"/>
  <c r="ET79"/>
  <c r="ER80"/>
  <c r="ER81" l="1"/>
  <c r="EU80"/>
  <c r="ET80"/>
  <c r="ES80"/>
  <c r="EU81" l="1"/>
  <c r="ER82"/>
  <c r="ET81"/>
  <c r="ES81"/>
  <c r="ER83" l="1"/>
  <c r="EU82"/>
  <c r="ET82"/>
  <c r="ES82"/>
  <c r="ER84" l="1"/>
  <c r="EU83"/>
  <c r="ET83"/>
  <c r="ES83"/>
  <c r="ER85" l="1"/>
  <c r="EU84"/>
  <c r="ET84"/>
  <c r="ES84"/>
  <c r="ER86" l="1"/>
  <c r="EU85"/>
  <c r="ET85"/>
  <c r="ES85"/>
  <c r="EU86" l="1"/>
  <c r="ET86"/>
  <c r="ES86"/>
  <c r="ER87"/>
  <c r="ER88" l="1"/>
  <c r="EU87"/>
  <c r="ET87"/>
  <c r="ES87"/>
  <c r="ER89" l="1"/>
  <c r="EU88"/>
  <c r="ET88"/>
  <c r="ES88"/>
  <c r="ER90" l="1"/>
  <c r="EU89"/>
  <c r="ET89"/>
  <c r="ES89"/>
  <c r="ER91" l="1"/>
  <c r="EU90"/>
  <c r="ET90"/>
  <c r="ES90"/>
  <c r="ER92" l="1"/>
  <c r="EU91"/>
  <c r="ET91"/>
  <c r="ES91"/>
  <c r="EU92" l="1"/>
  <c r="ES92"/>
  <c r="ER93"/>
  <c r="ET92"/>
  <c r="ER94" l="1"/>
  <c r="EU93"/>
  <c r="ET93"/>
  <c r="ES93"/>
  <c r="ES94" l="1"/>
  <c r="ER95"/>
  <c r="EU94"/>
  <c r="ET94"/>
  <c r="ES95" l="1"/>
  <c r="ER96"/>
  <c r="EU95"/>
  <c r="ET95"/>
  <c r="ES96" l="1"/>
  <c r="ET96"/>
  <c r="ER97"/>
  <c r="EU96"/>
  <c r="ER98" l="1"/>
  <c r="ET97"/>
  <c r="EU97"/>
  <c r="ES97"/>
  <c r="ER99" l="1"/>
  <c r="EU98"/>
  <c r="ET98"/>
  <c r="ES98"/>
  <c r="ES99" l="1"/>
  <c r="EU99"/>
  <c r="ET99"/>
  <c r="ER100"/>
  <c r="ES100" l="1"/>
  <c r="ER101"/>
  <c r="EU100"/>
  <c r="ET100"/>
  <c r="EU101" l="1"/>
  <c r="ET101"/>
  <c r="ES101"/>
  <c r="ER102"/>
  <c r="ER103" l="1"/>
  <c r="EU102"/>
  <c r="ET102"/>
  <c r="ES102"/>
  <c r="ER104" l="1"/>
  <c r="EU103"/>
  <c r="ET103"/>
  <c r="ES103"/>
  <c r="ET104" l="1"/>
  <c r="ES104"/>
  <c r="ER105"/>
  <c r="EU104"/>
  <c r="ER106" l="1"/>
  <c r="EU105"/>
  <c r="ET105"/>
  <c r="ES105"/>
  <c r="ER107" l="1"/>
  <c r="EU106"/>
  <c r="ET106"/>
  <c r="ES106"/>
  <c r="ER108" l="1"/>
  <c r="EU107"/>
  <c r="ET107"/>
  <c r="ES107"/>
  <c r="ER109" l="1"/>
  <c r="EU108"/>
  <c r="ET108"/>
  <c r="ES108"/>
  <c r="ER110" l="1"/>
  <c r="EU109"/>
  <c r="ET109"/>
  <c r="ES109"/>
  <c r="EU110" l="1"/>
  <c r="ET110"/>
  <c r="ES110"/>
  <c r="ER111"/>
  <c r="ES111" l="1"/>
  <c r="EU111"/>
  <c r="ET111"/>
  <c r="ER112"/>
  <c r="ER113" l="1"/>
  <c r="EU112"/>
  <c r="ET112"/>
  <c r="ES112"/>
  <c r="ER114" l="1"/>
  <c r="EU113"/>
  <c r="ET113"/>
  <c r="ES113"/>
  <c r="ER115" l="1"/>
  <c r="EU114"/>
  <c r="ET114"/>
  <c r="ES114"/>
  <c r="EU115" l="1"/>
  <c r="ES115"/>
  <c r="ER116"/>
  <c r="ET115"/>
  <c r="ES116" l="1"/>
  <c r="ER117"/>
  <c r="ET116"/>
  <c r="EU116"/>
  <c r="EU117" l="1"/>
  <c r="ET117"/>
  <c r="ES117"/>
  <c r="ER118"/>
  <c r="EU118" l="1"/>
  <c r="ES118"/>
  <c r="ET118"/>
  <c r="ER119"/>
  <c r="ES119" l="1"/>
  <c r="ER120"/>
  <c r="ET119"/>
  <c r="EU119"/>
  <c r="ES120" l="1"/>
  <c r="EU120"/>
  <c r="ET120"/>
  <c r="ER121"/>
  <c r="ER122" l="1"/>
  <c r="EU121"/>
  <c r="ET121"/>
  <c r="ES121"/>
  <c r="EU122" l="1"/>
  <c r="ET122"/>
  <c r="ES122"/>
  <c r="ER123"/>
  <c r="ER124" l="1"/>
  <c r="EU123"/>
  <c r="ET123"/>
  <c r="ES123"/>
  <c r="ER125" l="1"/>
  <c r="EU124"/>
  <c r="ET124"/>
  <c r="ES124"/>
  <c r="ER126" l="1"/>
  <c r="EU125"/>
  <c r="ET125"/>
  <c r="ES125"/>
  <c r="ER127" l="1"/>
  <c r="EU126"/>
  <c r="ET126"/>
  <c r="ES126"/>
  <c r="ER128" l="1"/>
  <c r="EU127"/>
  <c r="ET127"/>
  <c r="ES127"/>
  <c r="EU128" l="1"/>
  <c r="ER129"/>
  <c r="ES128"/>
  <c r="ET128"/>
  <c r="ER130" l="1"/>
  <c r="EU129"/>
  <c r="ET129"/>
  <c r="ES129"/>
  <c r="ER131" l="1"/>
  <c r="EU130"/>
  <c r="ET130"/>
  <c r="ES130"/>
  <c r="ET131" l="1"/>
  <c r="EU131"/>
  <c r="ER132"/>
  <c r="ES131"/>
  <c r="ER133" l="1"/>
  <c r="EU132"/>
  <c r="ET132"/>
  <c r="ES132"/>
  <c r="ER134" l="1"/>
  <c r="EU133"/>
  <c r="ET133"/>
  <c r="ES133"/>
  <c r="EU134" l="1"/>
  <c r="ER135"/>
  <c r="ET134"/>
  <c r="ES134"/>
  <c r="ER136" l="1"/>
  <c r="EU135"/>
  <c r="ES135"/>
  <c r="ET135"/>
  <c r="EU136" l="1"/>
  <c r="ET136"/>
  <c r="ES136"/>
  <c r="ER137"/>
  <c r="ER138" l="1"/>
  <c r="EU137"/>
  <c r="ET137"/>
  <c r="ES137"/>
  <c r="ER139" l="1"/>
  <c r="EU138"/>
  <c r="ET138"/>
  <c r="ES138"/>
  <c r="ER140" l="1"/>
  <c r="EU139"/>
  <c r="ET139"/>
  <c r="ES139"/>
  <c r="ET140" l="1"/>
  <c r="ER141"/>
  <c r="ES140"/>
  <c r="EU140"/>
  <c r="ER142" l="1"/>
  <c r="EU141"/>
  <c r="ET141"/>
  <c r="ES141"/>
  <c r="ER143" l="1"/>
  <c r="EU142"/>
  <c r="ET142"/>
  <c r="ES142"/>
  <c r="ER144" l="1"/>
  <c r="EU143"/>
  <c r="ET143"/>
  <c r="ES143"/>
  <c r="EU144" l="1"/>
  <c r="ER145"/>
  <c r="ES144"/>
  <c r="ET144"/>
  <c r="EU145" l="1"/>
  <c r="ES145"/>
  <c r="ET145"/>
  <c r="ER146"/>
  <c r="ER147" l="1"/>
  <c r="EU146"/>
  <c r="ET146"/>
  <c r="ES146"/>
  <c r="EU147" l="1"/>
  <c r="ER148"/>
  <c r="ET147"/>
  <c r="ES147"/>
  <c r="ET148" l="1"/>
  <c r="ES148"/>
  <c r="ER149"/>
  <c r="EU148"/>
  <c r="ER150" l="1"/>
  <c r="EU149"/>
  <c r="ES149"/>
  <c r="ET149"/>
  <c r="ER151" l="1"/>
  <c r="EU150"/>
  <c r="ET150"/>
  <c r="ES150"/>
  <c r="ER152" l="1"/>
  <c r="EU151"/>
  <c r="ET151"/>
  <c r="ES151"/>
  <c r="ES152" l="1"/>
  <c r="ER153"/>
  <c r="ET152"/>
  <c r="EU152"/>
  <c r="ES153" l="1"/>
  <c r="ER154"/>
  <c r="ET153"/>
  <c r="EU153"/>
  <c r="ER155" l="1"/>
  <c r="EU154"/>
  <c r="ET154"/>
  <c r="ES154"/>
  <c r="ES155" l="1"/>
  <c r="ER156"/>
  <c r="EU155"/>
  <c r="ET155"/>
  <c r="ER157" l="1"/>
  <c r="EU156"/>
  <c r="ET156"/>
  <c r="ES156"/>
  <c r="ER158" l="1"/>
  <c r="EU157"/>
  <c r="ET157"/>
  <c r="ES157"/>
  <c r="ET158" l="1"/>
  <c r="ES158"/>
  <c r="ER159"/>
  <c r="EU158"/>
  <c r="ER160" l="1"/>
  <c r="EU159"/>
  <c r="ET159"/>
  <c r="ES159"/>
  <c r="ER161" l="1"/>
  <c r="EU160"/>
  <c r="ET160"/>
  <c r="ES160"/>
  <c r="ER162" l="1"/>
  <c r="EU161"/>
  <c r="ET161"/>
  <c r="ES161"/>
  <c r="ES162" l="1"/>
  <c r="EU162"/>
  <c r="ET162"/>
  <c r="ER163"/>
  <c r="EU163" l="1"/>
  <c r="ET163"/>
  <c r="ES163"/>
  <c r="ER164"/>
  <c r="ER165" l="1"/>
  <c r="EU164"/>
  <c r="ET164"/>
  <c r="ES164"/>
  <c r="EU165" l="1"/>
  <c r="ET165"/>
  <c r="ER166"/>
  <c r="ES165"/>
  <c r="ER167" l="1"/>
  <c r="EU166"/>
  <c r="ET166"/>
  <c r="ES166"/>
  <c r="ET167" l="1"/>
  <c r="ES167"/>
  <c r="ER168"/>
  <c r="EU167"/>
  <c r="ER169" l="1"/>
  <c r="EU168"/>
  <c r="ET168"/>
  <c r="ES168"/>
  <c r="ER170" l="1"/>
  <c r="EU169"/>
  <c r="ET169"/>
  <c r="ES169"/>
  <c r="EU170" l="1"/>
  <c r="ET170"/>
  <c r="ES170"/>
  <c r="ER171"/>
  <c r="ES171" l="1"/>
  <c r="ER172"/>
  <c r="EU171"/>
  <c r="ET171"/>
  <c r="EU172" l="1"/>
  <c r="ET172"/>
  <c r="ES172"/>
  <c r="ER173"/>
  <c r="ER174" l="1"/>
  <c r="ES173"/>
  <c r="EU173"/>
  <c r="ET173"/>
  <c r="EU174" l="1"/>
  <c r="ES174"/>
  <c r="ET174"/>
  <c r="ER175"/>
  <c r="ES175" l="1"/>
  <c r="ER176"/>
  <c r="ET175"/>
  <c r="EU175"/>
  <c r="ET176" l="1"/>
  <c r="ES176"/>
  <c r="ER177"/>
  <c r="EU176"/>
  <c r="ER178" l="1"/>
  <c r="EU177"/>
  <c r="ET177"/>
  <c r="ES177"/>
  <c r="ET178" l="1"/>
  <c r="ES178"/>
  <c r="ER179"/>
  <c r="EU178"/>
  <c r="ER180" l="1"/>
  <c r="EU179"/>
  <c r="ET179"/>
  <c r="ES179"/>
  <c r="ET180" l="1"/>
  <c r="ES180"/>
  <c r="ER181"/>
  <c r="EU180"/>
  <c r="EU181" l="1"/>
  <c r="ET181"/>
  <c r="ES181"/>
  <c r="ER182"/>
  <c r="ET182" l="1"/>
  <c r="ES182"/>
  <c r="ER183"/>
  <c r="EU182"/>
  <c r="ET183" l="1"/>
  <c r="ES183"/>
  <c r="ER184"/>
  <c r="EU183"/>
  <c r="ER185" l="1"/>
  <c r="EU184"/>
  <c r="ES184"/>
  <c r="ET184"/>
  <c r="EU185" l="1"/>
  <c r="ES185"/>
  <c r="ET185"/>
  <c r="ER186"/>
  <c r="ES186" l="1"/>
  <c r="ER187"/>
  <c r="EU186"/>
  <c r="ET186"/>
  <c r="ES187" l="1"/>
  <c r="ER188"/>
  <c r="EU187"/>
  <c r="ET187"/>
  <c r="ER189" l="1"/>
  <c r="EU188"/>
  <c r="ET188"/>
  <c r="ES188"/>
  <c r="EU189" l="1"/>
  <c r="ET189"/>
  <c r="ES189"/>
  <c r="ER190"/>
  <c r="ER191" l="1"/>
  <c r="EU190"/>
  <c r="ET190"/>
  <c r="ES190"/>
  <c r="ET191" l="1"/>
  <c r="ES191"/>
  <c r="ER192"/>
  <c r="EU191"/>
  <c r="ES192" l="1"/>
  <c r="ER193"/>
  <c r="EU192"/>
  <c r="ET192"/>
  <c r="ER194" l="1"/>
  <c r="EU193"/>
  <c r="ES193"/>
  <c r="ET193"/>
  <c r="EU194" l="1"/>
  <c r="ET194"/>
  <c r="ES194"/>
  <c r="ER195"/>
  <c r="ET195" l="1"/>
  <c r="ES195"/>
  <c r="ER196"/>
  <c r="EU195"/>
  <c r="EU196" l="1"/>
  <c r="ET196"/>
  <c r="ES196"/>
  <c r="ER197"/>
  <c r="EU197" l="1"/>
  <c r="ES197"/>
  <c r="ER198"/>
  <c r="ET197"/>
  <c r="EU198" l="1"/>
  <c r="ES198"/>
  <c r="ER199"/>
  <c r="ET198"/>
  <c r="ER200" l="1"/>
  <c r="EU199"/>
  <c r="ET199"/>
  <c r="ES199"/>
  <c r="ES200" l="1"/>
  <c r="ER201"/>
  <c r="EU200"/>
  <c r="ET200"/>
  <c r="EU201" l="1"/>
  <c r="ET201"/>
  <c r="ES201"/>
  <c r="ER202"/>
  <c r="EU202" l="1"/>
  <c r="ES202"/>
  <c r="ER203"/>
  <c r="ET202"/>
  <c r="EU203" l="1"/>
  <c r="ET203"/>
  <c r="ES203"/>
  <c r="ER204"/>
  <c r="ET204" l="1"/>
  <c r="ER205"/>
  <c r="ES204"/>
  <c r="EU204"/>
  <c r="ES205" l="1"/>
  <c r="ER206"/>
  <c r="EU205"/>
  <c r="ET205"/>
  <c r="EU206" l="1"/>
  <c r="ET206"/>
  <c r="ES206"/>
  <c r="ER207"/>
  <c r="ES207" l="1"/>
  <c r="ER208"/>
  <c r="ET207"/>
  <c r="EU207"/>
  <c r="ET208" l="1"/>
  <c r="ES208"/>
  <c r="ER209"/>
  <c r="EU208"/>
  <c r="ER210" l="1"/>
  <c r="EU209"/>
  <c r="ET209"/>
  <c r="ES209"/>
  <c r="EU210" l="1"/>
  <c r="ET210"/>
  <c r="ER211"/>
  <c r="ES210"/>
  <c r="ER212" l="1"/>
  <c r="EU211"/>
  <c r="ET211"/>
  <c r="ES211"/>
  <c r="ER213" l="1"/>
  <c r="EU212"/>
  <c r="ET212"/>
  <c r="ES212"/>
  <c r="ES213" l="1"/>
  <c r="ER214"/>
  <c r="EU213"/>
  <c r="ET213"/>
  <c r="ER215" l="1"/>
  <c r="EU214"/>
  <c r="ET214"/>
  <c r="ES214"/>
  <c r="ES215" l="1"/>
  <c r="ER216"/>
  <c r="ET215"/>
  <c r="EU215"/>
  <c r="ER217" l="1"/>
  <c r="EU216"/>
  <c r="ET216"/>
  <c r="ES216"/>
  <c r="EU217" l="1"/>
  <c r="ET217"/>
  <c r="ES217"/>
  <c r="ER218"/>
  <c r="ES218" l="1"/>
  <c r="ET218"/>
  <c r="ER219"/>
  <c r="EU218"/>
  <c r="ET219" l="1"/>
  <c r="ES219"/>
  <c r="ER220"/>
  <c r="EU219"/>
  <c r="ET220" l="1"/>
  <c r="ES220"/>
  <c r="ER221"/>
  <c r="EU220"/>
  <c r="ER222" l="1"/>
  <c r="EU221"/>
  <c r="ET221"/>
  <c r="ES221"/>
  <c r="ER223" l="1"/>
  <c r="ES222"/>
  <c r="EU222"/>
  <c r="ET222"/>
  <c r="EU223" l="1"/>
  <c r="ES223"/>
  <c r="ER224"/>
  <c r="ET223"/>
  <c r="EU224" l="1"/>
  <c r="ET224"/>
  <c r="ES224"/>
  <c r="ES30" i="12" l="1"/>
  <c r="EO30" s="1"/>
  <c r="J6" i="10"/>
  <c r="J7" l="1"/>
  <c r="J5"/>
  <c r="BG52" i="1"/>
  <c r="BG55" l="1"/>
  <c r="BZ7" a="1"/>
  <c r="CA7" a="1"/>
  <c r="BY7" a="1"/>
  <c r="CA16" l="1"/>
  <c r="CA23"/>
  <c r="CA26"/>
  <c r="CA25"/>
  <c r="CA13"/>
  <c r="CA15"/>
  <c r="CA12"/>
  <c r="CA14"/>
  <c r="CA27"/>
  <c r="CA17"/>
  <c r="CA20"/>
  <c r="CA22"/>
  <c r="CA10"/>
  <c r="CA24"/>
  <c r="CA9"/>
  <c r="CA19"/>
  <c r="CA7"/>
  <c r="CA11"/>
  <c r="CA8"/>
  <c r="CA21"/>
  <c r="CA18"/>
  <c r="BY7"/>
  <c r="BY18"/>
  <c r="BY16"/>
  <c r="BY19"/>
  <c r="BY13"/>
  <c r="BY17"/>
  <c r="BY22"/>
  <c r="BY14"/>
  <c r="BY11"/>
  <c r="BY25"/>
  <c r="BY26"/>
  <c r="BY23"/>
  <c r="BY21"/>
  <c r="BY27"/>
  <c r="BY9"/>
  <c r="BY20"/>
  <c r="BY12"/>
  <c r="BY10"/>
  <c r="BY24"/>
  <c r="BY8"/>
  <c r="BY15"/>
  <c r="BZ8"/>
  <c r="BZ21"/>
  <c r="BZ18"/>
  <c r="BZ23"/>
  <c r="BZ26"/>
  <c r="BZ15"/>
  <c r="BZ22"/>
  <c r="BZ16"/>
  <c r="BZ25"/>
  <c r="BZ24"/>
  <c r="BZ9"/>
  <c r="BZ12"/>
  <c r="BZ14"/>
  <c r="BZ27"/>
  <c r="BZ17"/>
  <c r="BZ20"/>
  <c r="BZ10"/>
  <c r="BZ19"/>
  <c r="BZ7"/>
  <c r="BZ11"/>
  <c r="BZ13"/>
  <c r="BC48" i="5"/>
  <c r="BI15" i="12" s="1" a="1"/>
  <c r="BI256" l="1"/>
  <c r="BI263"/>
  <c r="BI475"/>
  <c r="BI234"/>
  <c r="BI73"/>
  <c r="BI134"/>
  <c r="BI213"/>
  <c r="BI436"/>
  <c r="BI437"/>
  <c r="BI119"/>
  <c r="BI324"/>
  <c r="BI127"/>
  <c r="BI188"/>
  <c r="BI321"/>
  <c r="BI123"/>
  <c r="BI106"/>
  <c r="BI299"/>
  <c r="BI414"/>
  <c r="BI253"/>
  <c r="BI314"/>
  <c r="BI494"/>
  <c r="BI303"/>
  <c r="BI286"/>
  <c r="BI479"/>
  <c r="BI504"/>
  <c r="BI307"/>
  <c r="BI66"/>
  <c r="BI446"/>
  <c r="BI487"/>
  <c r="BI357"/>
  <c r="BI161"/>
  <c r="BI348"/>
  <c r="BI403"/>
  <c r="BI162"/>
  <c r="BI392"/>
  <c r="BI62"/>
  <c r="BI69"/>
  <c r="BI292"/>
  <c r="BI293"/>
  <c r="BI407"/>
  <c r="BI353"/>
  <c r="BI30"/>
  <c r="BI415"/>
  <c r="BI95"/>
  <c r="BI312"/>
  <c r="BI151"/>
  <c r="BI212"/>
  <c r="BI369"/>
  <c r="BI99"/>
  <c r="BI82"/>
  <c r="BI269"/>
  <c r="BI402"/>
  <c r="BI241"/>
  <c r="BI302"/>
  <c r="BI422"/>
  <c r="BI207"/>
  <c r="BI190"/>
  <c r="BI260"/>
  <c r="BI400"/>
  <c r="BI401"/>
  <c r="BI83"/>
  <c r="BI306"/>
  <c r="BI145"/>
  <c r="BI206"/>
  <c r="BI362"/>
  <c r="BI366"/>
  <c r="BI421"/>
  <c r="BI180"/>
  <c r="BI44"/>
  <c r="BI383"/>
  <c r="BI456"/>
  <c r="BI295"/>
  <c r="BI54"/>
  <c r="BI374"/>
  <c r="BI387"/>
  <c r="BI370"/>
  <c r="BI76"/>
  <c r="BI385"/>
  <c r="BI495"/>
  <c r="BI326"/>
  <c r="BI203"/>
  <c r="BI49"/>
  <c r="BI300"/>
  <c r="BI354"/>
  <c r="BI311"/>
  <c r="BI420"/>
  <c r="BI259"/>
  <c r="BI18"/>
  <c r="BI344"/>
  <c r="BI315"/>
  <c r="BI298"/>
  <c r="BI491"/>
  <c r="BI510"/>
  <c r="BI349"/>
  <c r="BI108"/>
  <c r="BI512"/>
  <c r="BI423"/>
  <c r="BI406"/>
  <c r="BI184"/>
  <c r="BI191"/>
  <c r="BI439"/>
  <c r="BI198"/>
  <c r="BI37"/>
  <c r="BI98"/>
  <c r="BI141"/>
  <c r="BI364"/>
  <c r="BI365"/>
  <c r="BI47"/>
  <c r="BI288"/>
  <c r="BI91"/>
  <c r="BI152"/>
  <c r="BI249"/>
  <c r="BI55"/>
  <c r="BI177"/>
  <c r="BI373"/>
  <c r="BI132"/>
  <c r="BI434"/>
  <c r="BI248"/>
  <c r="BI441"/>
  <c r="BI171"/>
  <c r="BI154"/>
  <c r="BI347"/>
  <c r="BI438"/>
  <c r="BI493"/>
  <c r="BI468"/>
  <c r="BI279"/>
  <c r="BI215"/>
  <c r="BI337"/>
  <c r="BI96"/>
  <c r="BI440"/>
  <c r="BI471"/>
  <c r="BI454"/>
  <c r="BI160"/>
  <c r="BI167"/>
  <c r="BI427"/>
  <c r="BI186"/>
  <c r="BI25"/>
  <c r="BI86"/>
  <c r="BI117"/>
  <c r="BI268"/>
  <c r="BI275"/>
  <c r="BI196"/>
  <c r="BI455"/>
  <c r="BI492"/>
  <c r="BI331"/>
  <c r="BI90"/>
  <c r="BI404"/>
  <c r="BI459"/>
  <c r="BI442"/>
  <c r="BI150"/>
  <c r="BI320"/>
  <c r="BI266"/>
  <c r="BI245"/>
  <c r="BI481"/>
  <c r="BI240"/>
  <c r="BI79"/>
  <c r="BI140"/>
  <c r="BI225"/>
  <c r="BI448"/>
  <c r="BI449"/>
  <c r="BI131"/>
  <c r="BI330"/>
  <c r="BI169"/>
  <c r="BI230"/>
  <c r="BI405"/>
  <c r="BI63"/>
  <c r="BI125"/>
  <c r="BI477"/>
  <c r="BI71"/>
  <c r="BI75"/>
  <c r="BI445"/>
  <c r="BI204"/>
  <c r="BI43"/>
  <c r="BI104"/>
  <c r="BI153"/>
  <c r="BI376"/>
  <c r="BI377"/>
  <c r="BI59"/>
  <c r="BI294"/>
  <c r="BI133"/>
  <c r="BI194"/>
  <c r="BI333"/>
  <c r="BI484"/>
  <c r="BI485"/>
  <c r="BI233"/>
  <c r="BI384"/>
  <c r="BI223"/>
  <c r="BI284"/>
  <c r="BI513"/>
  <c r="BI243"/>
  <c r="BI226"/>
  <c r="BI419"/>
  <c r="BI474"/>
  <c r="BI313"/>
  <c r="BI72"/>
  <c r="BI482"/>
  <c r="BI351"/>
  <c r="BI334"/>
  <c r="BI189"/>
  <c r="BI341"/>
  <c r="BI157"/>
  <c r="BI218"/>
  <c r="BI381"/>
  <c r="BI32"/>
  <c r="BI21"/>
  <c r="BI232"/>
  <c r="BI239"/>
  <c r="BI463"/>
  <c r="BI222"/>
  <c r="BI277"/>
  <c r="BI36"/>
  <c r="BI395"/>
  <c r="BI391"/>
  <c r="BI121"/>
  <c r="BI182"/>
  <c r="BI309"/>
  <c r="BI33"/>
  <c r="BI28"/>
  <c r="BI209"/>
  <c r="BI372"/>
  <c r="BI211"/>
  <c r="BI272"/>
  <c r="BI489"/>
  <c r="BI219"/>
  <c r="BI202"/>
  <c r="BI323"/>
  <c r="BI426"/>
  <c r="BI45"/>
  <c r="BI23"/>
  <c r="BI276"/>
  <c r="BI115"/>
  <c r="BI176"/>
  <c r="BI297"/>
  <c r="BI15"/>
  <c r="BI16"/>
  <c r="BK16" s="1"/>
  <c r="BI20"/>
  <c r="BI417"/>
  <c r="BI50"/>
  <c r="BI500"/>
  <c r="BI265"/>
  <c r="BI24"/>
  <c r="BI380"/>
  <c r="BI327"/>
  <c r="BI310"/>
  <c r="BI503"/>
  <c r="BI17"/>
  <c r="BI114"/>
  <c r="BI124"/>
  <c r="BI110"/>
  <c r="BI200"/>
  <c r="BI229"/>
  <c r="BI290"/>
  <c r="BI350"/>
  <c r="BI255"/>
  <c r="BI238"/>
  <c r="BI431"/>
  <c r="BI480"/>
  <c r="BI319"/>
  <c r="BI78"/>
  <c r="BI332"/>
  <c r="BI435"/>
  <c r="BI418"/>
  <c r="BI52"/>
  <c r="BI53"/>
  <c r="BI409"/>
  <c r="BI168"/>
  <c r="BI428"/>
  <c r="BI68"/>
  <c r="BI81"/>
  <c r="BI304"/>
  <c r="BI305"/>
  <c r="BI499"/>
  <c r="BI258"/>
  <c r="BI97"/>
  <c r="BI158"/>
  <c r="BI261"/>
  <c r="BI412"/>
  <c r="BI413"/>
  <c r="BI252"/>
  <c r="BI246"/>
  <c r="BI236"/>
  <c r="BI483"/>
  <c r="BI466"/>
  <c r="BI111"/>
  <c r="BI94"/>
  <c r="BI281"/>
  <c r="BI408"/>
  <c r="BI247"/>
  <c r="BI308"/>
  <c r="BI61"/>
  <c r="BI122"/>
  <c r="BI271"/>
  <c r="BI416"/>
  <c r="BI118"/>
  <c r="BI411"/>
  <c r="BI394"/>
  <c r="BI100"/>
  <c r="BI101"/>
  <c r="BI397"/>
  <c r="BI156"/>
  <c r="BI356"/>
  <c r="BI56"/>
  <c r="BI57"/>
  <c r="BI280"/>
  <c r="BI287"/>
  <c r="BI451"/>
  <c r="BI210"/>
  <c r="BI148"/>
  <c r="BI301"/>
  <c r="BI60"/>
  <c r="BI410"/>
  <c r="BI399"/>
  <c r="BI382"/>
  <c r="BI88"/>
  <c r="BI89"/>
  <c r="BI87"/>
  <c r="BI388"/>
  <c r="BI58"/>
  <c r="BI74"/>
  <c r="BI93"/>
  <c r="BI316"/>
  <c r="BI317"/>
  <c r="BI505"/>
  <c r="BI264"/>
  <c r="BI103"/>
  <c r="BI164"/>
  <c r="BI273"/>
  <c r="BI496"/>
  <c r="BI497"/>
  <c r="BI107"/>
  <c r="BI318"/>
  <c r="BI193"/>
  <c r="BI254"/>
  <c r="BI453"/>
  <c r="BI183"/>
  <c r="BI166"/>
  <c r="BI359"/>
  <c r="BI444"/>
  <c r="BI283"/>
  <c r="BI42"/>
  <c r="BI488"/>
  <c r="BI363"/>
  <c r="BI346"/>
  <c r="BI467"/>
  <c r="BI498"/>
  <c r="BI129"/>
  <c r="BI116"/>
  <c r="BI464"/>
  <c r="BI51"/>
  <c r="BI34"/>
  <c r="BI172"/>
  <c r="BI179"/>
  <c r="BI433"/>
  <c r="BI192"/>
  <c r="BI31"/>
  <c r="BI92"/>
  <c r="BI458"/>
  <c r="BI291"/>
  <c r="BI452"/>
  <c r="BI262"/>
  <c r="BI174"/>
  <c r="BI472"/>
  <c r="BI473"/>
  <c r="BI149"/>
  <c r="BI342"/>
  <c r="BI181"/>
  <c r="BI242"/>
  <c r="BI429"/>
  <c r="BI159"/>
  <c r="BI142"/>
  <c r="BI335"/>
  <c r="BI432"/>
  <c r="BI235"/>
  <c r="BI296"/>
  <c r="BI386"/>
  <c r="BI85"/>
  <c r="BI146"/>
  <c r="BI237"/>
  <c r="BI460"/>
  <c r="BI461"/>
  <c r="BI137"/>
  <c r="BI336"/>
  <c r="BI197"/>
  <c r="BI70"/>
  <c r="BI208"/>
  <c r="BI130"/>
  <c r="BI465"/>
  <c r="BI267"/>
  <c r="BI250"/>
  <c r="BI443"/>
  <c r="BI486"/>
  <c r="BI325"/>
  <c r="BI84"/>
  <c r="BI368"/>
  <c r="BI447"/>
  <c r="BI430"/>
  <c r="BI136"/>
  <c r="BI143"/>
  <c r="BI379"/>
  <c r="BI138"/>
  <c r="BI470"/>
  <c r="BI178"/>
  <c r="BI371"/>
  <c r="BI450"/>
  <c r="BI289"/>
  <c r="BI48"/>
  <c r="BI338"/>
  <c r="BI375"/>
  <c r="BI358"/>
  <c r="BI64"/>
  <c r="BI65"/>
  <c r="BI343"/>
  <c r="BI102"/>
  <c r="BI476"/>
  <c r="BI27"/>
  <c r="BI244"/>
  <c r="BI251"/>
  <c r="BI469"/>
  <c r="BI228"/>
  <c r="BI67"/>
  <c r="BI128"/>
  <c r="BI201"/>
  <c r="BI424"/>
  <c r="BI425"/>
  <c r="BI35"/>
  <c r="BI282"/>
  <c r="BI187"/>
  <c r="BI340"/>
  <c r="BI199"/>
  <c r="BI112"/>
  <c r="BI113"/>
  <c r="BI221"/>
  <c r="BI378"/>
  <c r="BI217"/>
  <c r="BI278"/>
  <c r="BI501"/>
  <c r="BI214"/>
  <c r="BI352"/>
  <c r="BI274"/>
  <c r="BI462"/>
  <c r="BI135"/>
  <c r="BI40"/>
  <c r="BI41"/>
  <c r="BI367"/>
  <c r="BI126"/>
  <c r="BI398"/>
  <c r="BI26"/>
  <c r="BI514"/>
  <c r="BI220"/>
  <c r="BI227"/>
  <c r="BI457"/>
  <c r="BI216"/>
  <c r="BI19"/>
  <c r="BI80"/>
  <c r="BI105"/>
  <c r="BI39"/>
  <c r="BI339"/>
  <c r="BI22"/>
  <c r="BI29"/>
  <c r="BI361"/>
  <c r="BI120"/>
  <c r="BI175"/>
  <c r="BI155"/>
  <c r="BI257"/>
  <c r="BI396"/>
  <c r="BI390"/>
  <c r="BI328"/>
  <c r="BI329"/>
  <c r="BI270"/>
  <c r="BI109"/>
  <c r="BI170"/>
  <c r="BI285"/>
  <c r="BI508"/>
  <c r="BI185"/>
  <c r="BI360"/>
  <c r="BI224"/>
  <c r="BI77"/>
  <c r="BI506"/>
  <c r="BI46"/>
  <c r="BI507"/>
  <c r="BI502"/>
  <c r="BI165"/>
  <c r="BI139"/>
  <c r="BI173"/>
  <c r="BI195"/>
  <c r="BI38"/>
  <c r="BI231"/>
  <c r="BI322"/>
  <c r="BI511"/>
  <c r="BI509"/>
  <c r="BI163"/>
  <c r="BI393"/>
  <c r="BI144"/>
  <c r="BI478"/>
  <c r="BI355"/>
  <c r="BI490"/>
  <c r="BI147"/>
  <c r="BI389"/>
  <c r="BI345"/>
  <c r="BI205"/>
  <c r="BV7" i="5" a="1"/>
  <c r="BW7" a="1"/>
  <c r="BU7" a="1"/>
  <c r="BX7" a="1"/>
  <c r="BX16" l="1"/>
  <c r="BX32"/>
  <c r="BX23"/>
  <c r="BX14"/>
  <c r="BX13"/>
  <c r="BX10"/>
  <c r="BX21"/>
  <c r="BX31"/>
  <c r="BX28"/>
  <c r="BX8"/>
  <c r="BX22"/>
  <c r="BX29"/>
  <c r="BX26"/>
  <c r="BX7"/>
  <c r="BX18"/>
  <c r="BX15"/>
  <c r="BX25"/>
  <c r="BX11"/>
  <c r="BX20"/>
  <c r="BX27"/>
  <c r="BX12"/>
  <c r="BX9"/>
  <c r="BX19"/>
  <c r="BX24"/>
  <c r="BX17"/>
  <c r="BX30"/>
  <c r="BK17" i="12"/>
  <c r="BK18" s="1"/>
  <c r="BK19" s="1"/>
  <c r="BW21" i="5"/>
  <c r="BW31"/>
  <c r="BW8"/>
  <c r="BV29"/>
  <c r="BW18"/>
  <c r="BW25"/>
  <c r="BU15"/>
  <c r="BU27"/>
  <c r="BV14"/>
  <c r="BV25"/>
  <c r="BW7"/>
  <c r="BW20"/>
  <c r="BU29"/>
  <c r="BU30"/>
  <c r="BU32"/>
  <c r="BV8"/>
  <c r="BV27"/>
  <c r="BW27"/>
  <c r="BW9"/>
  <c r="BW24"/>
  <c r="BU19"/>
  <c r="BU24"/>
  <c r="BV32"/>
  <c r="BV30"/>
  <c r="BV9"/>
  <c r="BW12"/>
  <c r="BW19"/>
  <c r="BU9"/>
  <c r="BU21"/>
  <c r="BV18"/>
  <c r="BW16"/>
  <c r="BW32"/>
  <c r="BW23"/>
  <c r="BW14"/>
  <c r="BW13"/>
  <c r="BU23"/>
  <c r="BU14"/>
  <c r="BU13"/>
  <c r="BU10"/>
  <c r="BV16"/>
  <c r="BV31"/>
  <c r="BV22"/>
  <c r="BV20"/>
  <c r="BW28"/>
  <c r="BU31"/>
  <c r="BU28"/>
  <c r="BU8"/>
  <c r="BU18"/>
  <c r="BV24"/>
  <c r="BV21"/>
  <c r="BV17"/>
  <c r="BV19"/>
  <c r="BW10"/>
  <c r="BW26"/>
  <c r="BW17"/>
  <c r="BW22"/>
  <c r="BU26"/>
  <c r="BU17"/>
  <c r="BU22"/>
  <c r="BU7"/>
  <c r="BV7"/>
  <c r="BV13"/>
  <c r="BV26"/>
  <c r="BV11"/>
  <c r="BW15"/>
  <c r="BW11"/>
  <c r="BU25"/>
  <c r="BU11"/>
  <c r="BU12"/>
  <c r="BV10"/>
  <c r="BV12"/>
  <c r="BW29"/>
  <c r="BW30"/>
  <c r="BU20"/>
  <c r="BU16"/>
  <c r="BV23"/>
  <c r="BV15"/>
  <c r="BC51"/>
  <c r="BV28"/>
  <c r="BM16" i="12" l="1"/>
  <c r="BK20"/>
  <c r="BK21" s="1"/>
  <c r="BK22" s="1"/>
  <c r="BK23" s="1"/>
  <c r="BC49" i="5"/>
  <c r="BC50"/>
  <c r="BG53" i="1"/>
  <c r="BM17" i="12" l="1"/>
  <c r="BK24"/>
  <c r="BK25" s="1"/>
  <c r="BK26" s="1"/>
  <c r="BK27" s="1"/>
  <c r="BG54" i="1"/>
  <c r="BM18" i="12" l="1"/>
  <c r="BK28"/>
  <c r="BK29" s="1"/>
  <c r="BK30" s="1"/>
  <c r="BK31" s="1"/>
  <c r="BK32" s="1"/>
  <c r="BK33" s="1"/>
  <c r="BK34" s="1"/>
  <c r="BK35" s="1"/>
  <c r="BG56" i="1"/>
  <c r="BM19" i="12" l="1"/>
  <c r="BK36"/>
  <c r="BK37" s="1"/>
  <c r="BK38" s="1"/>
  <c r="BK39" s="1"/>
  <c r="BG57" i="1"/>
  <c r="BG60" s="1" a="1"/>
  <c r="BC52" i="5"/>
  <c r="BC53"/>
  <c r="BG62" i="1" l="1"/>
  <c r="BG60"/>
  <c r="BG61"/>
  <c r="BG63"/>
  <c r="BG64"/>
  <c r="BM20" i="12"/>
  <c r="BK40"/>
  <c r="BK41" s="1"/>
  <c r="BK42" s="1"/>
  <c r="BK43" s="1"/>
  <c r="BM21" l="1"/>
  <c r="BK44"/>
  <c r="BK45" s="1"/>
  <c r="BK46" s="1"/>
  <c r="BK47" s="1"/>
  <c r="BM22" l="1"/>
  <c r="BK48"/>
  <c r="BK49" s="1"/>
  <c r="BK50" s="1"/>
  <c r="BK51" s="1"/>
  <c r="BM23" l="1"/>
  <c r="BK52"/>
  <c r="BK53" s="1"/>
  <c r="BK54" s="1"/>
  <c r="BK55" s="1"/>
  <c r="BM24" l="1"/>
  <c r="BK56"/>
  <c r="BK57" s="1"/>
  <c r="BK58" s="1"/>
  <c r="BK59" s="1"/>
  <c r="BM25" l="1"/>
  <c r="BK60"/>
  <c r="BK61" s="1"/>
  <c r="BK62" s="1"/>
  <c r="BK63" s="1"/>
  <c r="BM26" l="1"/>
  <c r="BK64"/>
  <c r="BK65" s="1"/>
  <c r="BK66" s="1"/>
  <c r="BK67" s="1"/>
  <c r="BK68" s="1"/>
  <c r="BK69" s="1"/>
  <c r="BK70" s="1"/>
  <c r="BK71" s="1"/>
  <c r="BK72" s="1"/>
  <c r="BK73" s="1"/>
  <c r="BK74" s="1"/>
  <c r="BK75" s="1"/>
  <c r="BM27" l="1"/>
  <c r="BK76"/>
  <c r="BK77" s="1"/>
  <c r="BK78" s="1"/>
  <c r="BK79" s="1"/>
  <c r="BK80" s="1"/>
  <c r="BK81" s="1"/>
  <c r="BK82" s="1"/>
  <c r="BK83" s="1"/>
  <c r="BK84" s="1"/>
  <c r="BK85" s="1"/>
  <c r="BK86" s="1"/>
  <c r="BK87" s="1"/>
  <c r="BK88" s="1"/>
  <c r="BK89" s="1"/>
  <c r="BK90" s="1"/>
  <c r="BK91" s="1"/>
  <c r="BK92" s="1"/>
  <c r="BK93" s="1"/>
  <c r="BK94" s="1"/>
  <c r="BK95" s="1"/>
  <c r="BM28" l="1"/>
  <c r="BK96"/>
  <c r="BK97" s="1"/>
  <c r="BK98" s="1"/>
  <c r="BK99" s="1"/>
  <c r="BK100" s="1"/>
  <c r="BK101" s="1"/>
  <c r="BK102" s="1"/>
  <c r="BK103" s="1"/>
  <c r="BK104" s="1"/>
  <c r="BK105" s="1"/>
  <c r="BK106" s="1"/>
  <c r="BK107" s="1"/>
  <c r="BK108" s="1"/>
  <c r="BK109" s="1"/>
  <c r="BK110" s="1"/>
  <c r="BK111" s="1"/>
  <c r="BK112" s="1"/>
  <c r="BK113" s="1"/>
  <c r="BK114" s="1"/>
  <c r="BK115" s="1"/>
  <c r="BM29" l="1"/>
  <c r="BK116"/>
  <c r="BK117" s="1"/>
  <c r="BK118" s="1"/>
  <c r="BK119" s="1"/>
  <c r="BK120" s="1"/>
  <c r="BK121" s="1"/>
  <c r="BK122" s="1"/>
  <c r="BK123" s="1"/>
  <c r="BK124" s="1"/>
  <c r="BK125" s="1"/>
  <c r="BK126" s="1"/>
  <c r="BK127" s="1"/>
  <c r="BK128" s="1"/>
  <c r="BK129" s="1"/>
  <c r="BK130" s="1"/>
  <c r="BK131" s="1"/>
  <c r="BK132" s="1"/>
  <c r="BK133" s="1"/>
  <c r="BK134" s="1"/>
  <c r="BK135" s="1"/>
  <c r="BM30" l="1"/>
  <c r="BK136"/>
  <c r="BK137" s="1"/>
  <c r="BK138" s="1"/>
  <c r="BK139" s="1"/>
  <c r="BK140" s="1"/>
  <c r="BK141" s="1"/>
  <c r="BK142" s="1"/>
  <c r="BK143" s="1"/>
  <c r="BK144" s="1"/>
  <c r="BK145" s="1"/>
  <c r="BK146" s="1"/>
  <c r="BK147" s="1"/>
  <c r="BK148" s="1"/>
  <c r="BK149" s="1"/>
  <c r="BK150" s="1"/>
  <c r="BK151" s="1"/>
  <c r="BK152" s="1"/>
  <c r="BK153" s="1"/>
  <c r="BK154" s="1"/>
  <c r="BK155" s="1"/>
  <c r="BM31" l="1"/>
  <c r="BK156"/>
  <c r="BK157" s="1"/>
  <c r="BK158" s="1"/>
  <c r="BK159" s="1"/>
  <c r="BK160" s="1"/>
  <c r="BK161" s="1"/>
  <c r="BK162" s="1"/>
  <c r="BK163" s="1"/>
  <c r="BK164" s="1"/>
  <c r="BK165" s="1"/>
  <c r="BK166" s="1"/>
  <c r="BK167" s="1"/>
  <c r="BK168" s="1"/>
  <c r="BK169" s="1"/>
  <c r="BK170" s="1"/>
  <c r="BK171" s="1"/>
  <c r="BK172" s="1"/>
  <c r="BK173" s="1"/>
  <c r="BK174" s="1"/>
  <c r="BK175" s="1"/>
  <c r="BM32" l="1"/>
  <c r="BK176"/>
  <c r="BK177" s="1"/>
  <c r="BK178" s="1"/>
  <c r="BK179" s="1"/>
  <c r="BK180" s="1"/>
  <c r="BK181" s="1"/>
  <c r="BK182" s="1"/>
  <c r="BK183" s="1"/>
  <c r="BK184" s="1"/>
  <c r="BK185" s="1"/>
  <c r="BK186" s="1"/>
  <c r="BK187" s="1"/>
  <c r="BK188" s="1"/>
  <c r="BK189" s="1"/>
  <c r="BK190" s="1"/>
  <c r="BK191" s="1"/>
  <c r="BK192" s="1"/>
  <c r="BK193" s="1"/>
  <c r="BK194" s="1"/>
  <c r="BK195" s="1"/>
  <c r="BK196" s="1"/>
  <c r="BK197" s="1"/>
  <c r="BK198" s="1"/>
  <c r="BK199" s="1"/>
  <c r="BK200" s="1"/>
  <c r="BK201" s="1"/>
  <c r="BK202" s="1"/>
  <c r="BK203" s="1"/>
  <c r="BK204" s="1"/>
  <c r="BK205" s="1"/>
  <c r="BK206" s="1"/>
  <c r="BK207" s="1"/>
  <c r="BK208" s="1"/>
  <c r="BK209" s="1"/>
  <c r="BK210" s="1"/>
  <c r="BK211" s="1"/>
  <c r="BK212" s="1"/>
  <c r="BK213" s="1"/>
  <c r="BK214" s="1"/>
  <c r="BK215" s="1"/>
  <c r="BK216" s="1"/>
  <c r="BK217" s="1"/>
  <c r="BK218" s="1"/>
  <c r="BK219" s="1"/>
  <c r="BK220" s="1"/>
  <c r="BK221" s="1"/>
  <c r="BK222" s="1"/>
  <c r="BK223" s="1"/>
  <c r="BK224" s="1"/>
  <c r="BK225" s="1"/>
  <c r="BK226" s="1"/>
  <c r="BK227" s="1"/>
  <c r="BK228" s="1"/>
  <c r="BK229" s="1"/>
  <c r="BK230" s="1"/>
  <c r="BK231" s="1"/>
  <c r="BK232" s="1"/>
  <c r="BK233" s="1"/>
  <c r="BK234" s="1"/>
  <c r="BK235" s="1"/>
  <c r="BK236" s="1"/>
  <c r="BK237" s="1"/>
  <c r="BK238" s="1"/>
  <c r="BK239" s="1"/>
  <c r="BK240" s="1"/>
  <c r="BK241" s="1"/>
  <c r="BK242" s="1"/>
  <c r="BK243" s="1"/>
  <c r="BK244" s="1"/>
  <c r="BK245" s="1"/>
  <c r="BK246" s="1"/>
  <c r="BK247" s="1"/>
  <c r="BK248" s="1"/>
  <c r="BK249" s="1"/>
  <c r="BK250" s="1"/>
  <c r="BK251" s="1"/>
  <c r="BK252" s="1"/>
  <c r="BK253" s="1"/>
  <c r="BK254" s="1"/>
  <c r="BK255" s="1"/>
  <c r="BK256" s="1"/>
  <c r="BK257" s="1"/>
  <c r="BK258" s="1"/>
  <c r="BK259" s="1"/>
  <c r="BK260" s="1"/>
  <c r="BK261" s="1"/>
  <c r="BK262" s="1"/>
  <c r="BK263" s="1"/>
  <c r="BK264" s="1"/>
  <c r="BK265" s="1"/>
  <c r="BK266" s="1"/>
  <c r="BK267" s="1"/>
  <c r="BK268" s="1"/>
  <c r="BK269" s="1"/>
  <c r="BK270" s="1"/>
  <c r="BK271" s="1"/>
  <c r="BK272" s="1"/>
  <c r="BK273" s="1"/>
  <c r="BK274" s="1"/>
  <c r="BK275" s="1"/>
  <c r="BK276" s="1"/>
  <c r="BK277" s="1"/>
  <c r="BK278" s="1"/>
  <c r="BK279" s="1"/>
  <c r="BK280" s="1"/>
  <c r="BK281" s="1"/>
  <c r="BK282" s="1"/>
  <c r="BK283" s="1"/>
  <c r="BK284" s="1"/>
  <c r="BK285" s="1"/>
  <c r="BK286" s="1"/>
  <c r="BK287" s="1"/>
  <c r="BK288" s="1"/>
  <c r="BK289" s="1"/>
  <c r="BK290" s="1"/>
  <c r="BK291" s="1"/>
  <c r="BK292" s="1"/>
  <c r="BK293" s="1"/>
  <c r="BK294" s="1"/>
  <c r="BK295" s="1"/>
  <c r="BK296" s="1"/>
  <c r="BK297" s="1"/>
  <c r="BK298" s="1"/>
  <c r="BK299" s="1"/>
  <c r="BK300" s="1"/>
  <c r="BK301" s="1"/>
  <c r="BK302" s="1"/>
  <c r="BK303" s="1"/>
  <c r="BK304" s="1"/>
  <c r="BK305" s="1"/>
  <c r="BK306" s="1"/>
  <c r="BK307" s="1"/>
  <c r="BK308" s="1"/>
  <c r="BK309" s="1"/>
  <c r="BK310" s="1"/>
  <c r="BK311" s="1"/>
  <c r="BK312" s="1"/>
  <c r="BK313" s="1"/>
  <c r="BK314" s="1"/>
  <c r="BK315" s="1"/>
  <c r="BK316" s="1"/>
  <c r="BK317" s="1"/>
  <c r="BK318" s="1"/>
  <c r="BK319" s="1"/>
  <c r="BK320" s="1"/>
  <c r="BK321" s="1"/>
  <c r="BK322" s="1"/>
  <c r="BK323" s="1"/>
  <c r="BK324" s="1"/>
  <c r="BK325" s="1"/>
  <c r="BK326" s="1"/>
  <c r="BK327" s="1"/>
  <c r="BK328" s="1"/>
  <c r="BK329" s="1"/>
  <c r="BK330" s="1"/>
  <c r="BK331" s="1"/>
  <c r="BK332" s="1"/>
  <c r="BK333" s="1"/>
  <c r="BK334" s="1"/>
  <c r="BK335" s="1"/>
  <c r="BK336" s="1"/>
  <c r="BK337" s="1"/>
  <c r="BK338" s="1"/>
  <c r="BK339" s="1"/>
  <c r="BK340" s="1"/>
  <c r="BK341" s="1"/>
  <c r="BK342" s="1"/>
  <c r="BK343" s="1"/>
  <c r="BK344" s="1"/>
  <c r="BK345" s="1"/>
  <c r="BK346" s="1"/>
  <c r="BK347" s="1"/>
  <c r="BK348" s="1"/>
  <c r="BK349" s="1"/>
  <c r="BK350" s="1"/>
  <c r="BK351" s="1"/>
  <c r="BK352" s="1"/>
  <c r="BK353" s="1"/>
  <c r="BK354" s="1"/>
  <c r="BK355" s="1"/>
  <c r="BK356" s="1"/>
  <c r="BK357" s="1"/>
  <c r="BK358" s="1"/>
  <c r="BK359" s="1"/>
  <c r="BK360" s="1"/>
  <c r="BK361" s="1"/>
  <c r="BK362" s="1"/>
  <c r="BK363" s="1"/>
  <c r="BK364" s="1"/>
  <c r="BK365" s="1"/>
  <c r="BK366" s="1"/>
  <c r="BK367" s="1"/>
  <c r="BK368" s="1"/>
  <c r="BK369" s="1"/>
  <c r="BK370" s="1"/>
  <c r="BK371" s="1"/>
  <c r="BK372" s="1"/>
  <c r="BK373" s="1"/>
  <c r="BK374" s="1"/>
  <c r="BK375" s="1"/>
  <c r="BK376" s="1"/>
  <c r="BK377" s="1"/>
  <c r="BK378" s="1"/>
  <c r="BK379" s="1"/>
  <c r="BK380" s="1"/>
  <c r="BK381" s="1"/>
  <c r="BK382" s="1"/>
  <c r="BK383" s="1"/>
  <c r="BK384" s="1"/>
  <c r="BK385" s="1"/>
  <c r="BK386" s="1"/>
  <c r="BK387" s="1"/>
  <c r="BK388" s="1"/>
  <c r="BK389" s="1"/>
  <c r="BK390" s="1"/>
  <c r="BK391" s="1"/>
  <c r="BK392" s="1"/>
  <c r="BK393" s="1"/>
  <c r="BK394" s="1"/>
  <c r="BK395" s="1"/>
  <c r="BK396" s="1"/>
  <c r="BK397" s="1"/>
  <c r="BK398" s="1"/>
  <c r="BK399" s="1"/>
  <c r="BK400" s="1"/>
  <c r="BK401" s="1"/>
  <c r="BK402" s="1"/>
  <c r="BK403" s="1"/>
  <c r="BK404" s="1"/>
  <c r="BK405" s="1"/>
  <c r="BK406" s="1"/>
  <c r="BK407" s="1"/>
  <c r="BK408" s="1"/>
  <c r="BK409" s="1"/>
  <c r="BK410" s="1"/>
  <c r="BK411" s="1"/>
  <c r="BK412" s="1"/>
  <c r="BK413" s="1"/>
  <c r="BK414" s="1"/>
  <c r="BK415" s="1"/>
  <c r="BK416" s="1"/>
  <c r="BK417" s="1"/>
  <c r="BK418" s="1"/>
  <c r="BK419" s="1"/>
  <c r="BK420" s="1"/>
  <c r="BK421" s="1"/>
  <c r="BK422" s="1"/>
  <c r="BK423" s="1"/>
  <c r="BK424" s="1"/>
  <c r="BK425" s="1"/>
  <c r="BK426" s="1"/>
  <c r="BK427" s="1"/>
  <c r="BK428" s="1"/>
  <c r="BK429" s="1"/>
  <c r="BK430" s="1"/>
  <c r="BK431" s="1"/>
  <c r="BK432" s="1"/>
  <c r="BK433" s="1"/>
  <c r="BK434" s="1"/>
  <c r="BK435" s="1"/>
  <c r="BK436" s="1"/>
  <c r="BK437" s="1"/>
  <c r="BK438" s="1"/>
  <c r="BK439" s="1"/>
  <c r="BK440" s="1"/>
  <c r="BK441" s="1"/>
  <c r="BK442" s="1"/>
  <c r="BK443" s="1"/>
  <c r="BK444" s="1"/>
  <c r="BK445" s="1"/>
  <c r="BK446" s="1"/>
  <c r="BK447" s="1"/>
  <c r="BK448" s="1"/>
  <c r="BK449" s="1"/>
  <c r="BK450" s="1"/>
  <c r="BK451" s="1"/>
  <c r="BK452" s="1"/>
  <c r="BK453" s="1"/>
  <c r="BK454" s="1"/>
  <c r="BK455" s="1"/>
  <c r="BK456" s="1"/>
  <c r="BK457" s="1"/>
  <c r="BK458" s="1"/>
  <c r="BK459" s="1"/>
  <c r="BK460" s="1"/>
  <c r="BK461" s="1"/>
  <c r="BK462" s="1"/>
  <c r="BK463" s="1"/>
  <c r="BK464" s="1"/>
  <c r="BK465" s="1"/>
  <c r="BK466" s="1"/>
  <c r="BK467" s="1"/>
  <c r="BK468" s="1"/>
  <c r="BK469" s="1"/>
  <c r="BK470" s="1"/>
  <c r="BK471" s="1"/>
  <c r="BK472" s="1"/>
  <c r="BK473" s="1"/>
  <c r="BK474" s="1"/>
  <c r="BK475" s="1"/>
  <c r="BK476" s="1"/>
  <c r="BK477" s="1"/>
  <c r="BK478" s="1"/>
  <c r="BK479" s="1"/>
  <c r="BK480" s="1"/>
  <c r="BK481" s="1"/>
  <c r="BK482" s="1"/>
  <c r="BK483" s="1"/>
  <c r="BK484" s="1"/>
  <c r="BK485" s="1"/>
  <c r="BK486" s="1"/>
  <c r="BK487" s="1"/>
  <c r="BK488" s="1"/>
  <c r="BK489" s="1"/>
  <c r="BK490" s="1"/>
  <c r="BK491" s="1"/>
  <c r="BK492" s="1"/>
  <c r="BK493" s="1"/>
  <c r="BK494" s="1"/>
  <c r="BK495" s="1"/>
  <c r="BK496" s="1"/>
  <c r="BK497" s="1"/>
  <c r="BK498" s="1"/>
  <c r="BK499" s="1"/>
  <c r="BK500" s="1"/>
  <c r="BK501" s="1"/>
  <c r="BK502" s="1"/>
  <c r="BK503" s="1"/>
  <c r="BK504" s="1"/>
  <c r="BK505" s="1"/>
  <c r="BK506" s="1"/>
  <c r="BK507" s="1"/>
  <c r="BK508" s="1"/>
  <c r="BK509" s="1"/>
  <c r="BK510" s="1"/>
  <c r="BK511" s="1"/>
  <c r="BK512" s="1"/>
  <c r="BK513" s="1"/>
  <c r="BK514" s="1"/>
  <c r="DO15" a="1"/>
  <c r="DO251" l="1"/>
  <c r="DO159"/>
  <c r="DO20"/>
  <c r="DO343"/>
  <c r="DO178"/>
  <c r="DO510"/>
  <c r="DO161"/>
  <c r="DO129"/>
  <c r="DO67"/>
  <c r="DO147"/>
  <c r="DO450"/>
  <c r="DO468"/>
  <c r="DO503"/>
  <c r="DO19"/>
  <c r="DO447"/>
  <c r="DO138"/>
  <c r="DO384"/>
  <c r="DO403"/>
  <c r="DO324"/>
  <c r="DO182"/>
  <c r="DO216"/>
  <c r="DO230"/>
  <c r="DO293"/>
  <c r="DO174"/>
  <c r="DO125"/>
  <c r="DO250"/>
  <c r="DO140"/>
  <c r="DO286"/>
  <c r="DO220"/>
  <c r="DO412"/>
  <c r="DO28"/>
  <c r="DO228"/>
  <c r="DO168"/>
  <c r="DO301"/>
  <c r="DO119"/>
  <c r="DO256"/>
  <c r="DO24"/>
  <c r="DO75"/>
  <c r="DO448"/>
  <c r="DO439"/>
  <c r="DO405"/>
  <c r="DO361"/>
  <c r="DO375"/>
  <c r="DO442"/>
  <c r="DO302"/>
  <c r="DO453"/>
  <c r="DO121"/>
  <c r="DO340"/>
  <c r="DO410"/>
  <c r="DO186"/>
  <c r="DO267"/>
  <c r="DO127"/>
  <c r="DO248"/>
  <c r="DO342"/>
  <c r="DO169"/>
  <c r="DO383"/>
  <c r="DO309"/>
  <c r="DO69"/>
  <c r="DO93"/>
  <c r="DO88"/>
  <c r="DO137"/>
  <c r="DO402"/>
  <c r="DO64"/>
  <c r="DO299"/>
  <c r="DO433"/>
  <c r="DO388"/>
  <c r="DO421"/>
  <c r="DO201"/>
  <c r="DO131"/>
  <c r="DO475"/>
  <c r="DO305"/>
  <c r="DO172"/>
  <c r="DO175"/>
  <c r="DO289"/>
  <c r="DO482"/>
  <c r="DO368"/>
  <c r="DO379"/>
  <c r="DO90"/>
  <c r="DO217"/>
  <c r="DO206"/>
  <c r="DO142"/>
  <c r="DO46"/>
  <c r="DO417"/>
  <c r="DO369"/>
  <c r="DO431"/>
  <c r="DO53"/>
  <c r="DO354"/>
  <c r="DO327"/>
  <c r="DO362"/>
  <c r="DO489"/>
  <c r="DO33"/>
  <c r="DO234"/>
  <c r="DO241"/>
  <c r="DO109"/>
  <c r="DO158"/>
  <c r="DO458"/>
  <c r="DO133"/>
  <c r="DO366"/>
  <c r="DO244"/>
  <c r="DO149"/>
  <c r="DO38"/>
  <c r="DO350"/>
  <c r="DO284"/>
  <c r="DO385"/>
  <c r="DO420"/>
  <c r="DO401"/>
  <c r="DO331"/>
  <c r="DO424"/>
  <c r="DO429"/>
  <c r="DO456"/>
  <c r="DO313"/>
  <c r="DO108"/>
  <c r="DO457"/>
  <c r="DO445"/>
  <c r="DO170"/>
  <c r="DO334"/>
  <c r="DO183"/>
  <c r="DO71"/>
  <c r="DO224"/>
  <c r="DO441"/>
  <c r="DO254"/>
  <c r="DO180"/>
  <c r="DO315"/>
  <c r="DO164"/>
  <c r="DO372"/>
  <c r="DO404"/>
  <c r="DO128"/>
  <c r="DO44"/>
  <c r="DO506"/>
  <c r="DO449"/>
  <c r="DO333"/>
  <c r="DO68"/>
  <c r="DO199"/>
  <c r="DO483"/>
  <c r="DO23"/>
  <c r="DO349"/>
  <c r="DO122"/>
  <c r="DO211"/>
  <c r="DO167"/>
  <c r="DO61"/>
  <c r="DO378"/>
  <c r="DO359"/>
  <c r="DO187"/>
  <c r="DO451"/>
  <c r="DO154"/>
  <c r="DO488"/>
  <c r="DO463"/>
  <c r="DO509"/>
  <c r="DO130"/>
  <c r="DO22"/>
  <c r="DO18"/>
  <c r="DO25"/>
  <c r="DO73"/>
  <c r="DO389"/>
  <c r="DO491"/>
  <c r="DO319"/>
  <c r="DO210"/>
  <c r="DO259"/>
  <c r="DO355"/>
  <c r="DO508"/>
  <c r="DO184"/>
  <c r="DO500"/>
  <c r="DO425"/>
  <c r="DO338"/>
  <c r="DO107"/>
  <c r="DO65"/>
  <c r="DO462"/>
  <c r="DO335"/>
  <c r="DO486"/>
  <c r="DO45"/>
  <c r="DO163"/>
  <c r="DO222"/>
  <c r="DO330"/>
  <c r="DO195"/>
  <c r="DO41"/>
  <c r="DO80"/>
  <c r="DO288"/>
  <c r="DO214"/>
  <c r="DO386"/>
  <c r="DO436"/>
  <c r="DO502"/>
  <c r="DO262"/>
  <c r="DO381"/>
  <c r="DO155"/>
  <c r="DO151"/>
  <c r="DO181"/>
  <c r="DO39"/>
  <c r="DO323"/>
  <c r="DO62"/>
  <c r="DO296"/>
  <c r="DO332"/>
  <c r="DO162"/>
  <c r="DO272"/>
  <c r="DO285"/>
  <c r="DO320"/>
  <c r="DO390"/>
  <c r="DO269"/>
  <c r="DO238"/>
  <c r="DO27"/>
  <c r="DO277"/>
  <c r="DO467"/>
  <c r="DO34"/>
  <c r="DO113"/>
  <c r="DO79"/>
  <c r="DO179"/>
  <c r="DO415"/>
  <c r="DO329"/>
  <c r="DO484"/>
  <c r="DO294"/>
  <c r="DO398"/>
  <c r="DO504"/>
  <c r="DO265"/>
  <c r="DO242"/>
  <c r="DO322"/>
  <c r="DO268"/>
  <c r="DO476"/>
  <c r="DO367"/>
  <c r="DO487"/>
  <c r="DO472"/>
  <c r="DO473"/>
  <c r="DO352"/>
  <c r="DO281"/>
  <c r="DO297"/>
  <c r="DO444"/>
  <c r="DO21"/>
  <c r="DO193"/>
  <c r="DO89"/>
  <c r="DO236"/>
  <c r="DO177"/>
  <c r="DO43"/>
  <c r="DO31"/>
  <c r="DO396"/>
  <c r="DO292"/>
  <c r="DO465"/>
  <c r="DO16"/>
  <c r="DQ16" s="1"/>
  <c r="DO94"/>
  <c r="DO120"/>
  <c r="DO72"/>
  <c r="DO243"/>
  <c r="DO202"/>
  <c r="DO408"/>
  <c r="DO308"/>
  <c r="DO271"/>
  <c r="DO123"/>
  <c r="DO493"/>
  <c r="DO150"/>
  <c r="DO499"/>
  <c r="DO239"/>
  <c r="DO197"/>
  <c r="DO111"/>
  <c r="DO134"/>
  <c r="DO344"/>
  <c r="DO480"/>
  <c r="DO360"/>
  <c r="DO215"/>
  <c r="DO86"/>
  <c r="DO407"/>
  <c r="DO209"/>
  <c r="DO157"/>
  <c r="DO446"/>
  <c r="DO190"/>
  <c r="DO461"/>
  <c r="DO304"/>
  <c r="DO278"/>
  <c r="DO437"/>
  <c r="DO291"/>
  <c r="DO36"/>
  <c r="DO387"/>
  <c r="DO347"/>
  <c r="DO204"/>
  <c r="DO419"/>
  <c r="DO365"/>
  <c r="DO275"/>
  <c r="DO85"/>
  <c r="DO246"/>
  <c r="DO336"/>
  <c r="DO351"/>
  <c r="DO414"/>
  <c r="DO114"/>
  <c r="DO227"/>
  <c r="DO280"/>
  <c r="DO166"/>
  <c r="DO413"/>
  <c r="DO156"/>
  <c r="DO145"/>
  <c r="DO124"/>
  <c r="DO481"/>
  <c r="DO287"/>
  <c r="DO474"/>
  <c r="DO171"/>
  <c r="DO318"/>
  <c r="DO264"/>
  <c r="DO49"/>
  <c r="DO328"/>
  <c r="DO98"/>
  <c r="DO102"/>
  <c r="DO440"/>
  <c r="DO103"/>
  <c r="DO492"/>
  <c r="DO116"/>
  <c r="DO303"/>
  <c r="DO416"/>
  <c r="DO66"/>
  <c r="DO225"/>
  <c r="DO115"/>
  <c r="DO253"/>
  <c r="DO97"/>
  <c r="DO60"/>
  <c r="DO469"/>
  <c r="DO426"/>
  <c r="DO409"/>
  <c r="DO118"/>
  <c r="DO194"/>
  <c r="DO438"/>
  <c r="DO260"/>
  <c r="DO266"/>
  <c r="DO283"/>
  <c r="DO237"/>
  <c r="DO392"/>
  <c r="DO485"/>
  <c r="DO435"/>
  <c r="DO346"/>
  <c r="DO321"/>
  <c r="DO373"/>
  <c r="DO47"/>
  <c r="DO56"/>
  <c r="DO207"/>
  <c r="DO26"/>
  <c r="DO507"/>
  <c r="DO273"/>
  <c r="DO54"/>
  <c r="DO221"/>
  <c r="DO106"/>
  <c r="DO511"/>
  <c r="DO58"/>
  <c r="DO377"/>
  <c r="DO459"/>
  <c r="DO92"/>
  <c r="DO376"/>
  <c r="DO496"/>
  <c r="DO326"/>
  <c r="DO198"/>
  <c r="DO249"/>
  <c r="DO117"/>
  <c r="DO310"/>
  <c r="DO205"/>
  <c r="DO512"/>
  <c r="DO471"/>
  <c r="DO42"/>
  <c r="DO460"/>
  <c r="DO325"/>
  <c r="DO382"/>
  <c r="DO270"/>
  <c r="DO148"/>
  <c r="DO59"/>
  <c r="DO477"/>
  <c r="DO397"/>
  <c r="DO374"/>
  <c r="DO146"/>
  <c r="DO399"/>
  <c r="DO490"/>
  <c r="DO317"/>
  <c r="DO513"/>
  <c r="DO99"/>
  <c r="DO208"/>
  <c r="DO370"/>
  <c r="DO192"/>
  <c r="DO76"/>
  <c r="DO290"/>
  <c r="DO189"/>
  <c r="DO165"/>
  <c r="DO35"/>
  <c r="DO40"/>
  <c r="DO434"/>
  <c r="DO176"/>
  <c r="DO196"/>
  <c r="DO51"/>
  <c r="DO505"/>
  <c r="DO423"/>
  <c r="DO141"/>
  <c r="DO57"/>
  <c r="DO30"/>
  <c r="DO494"/>
  <c r="DO212"/>
  <c r="DO300"/>
  <c r="DO337"/>
  <c r="DO455"/>
  <c r="DO311"/>
  <c r="DO153"/>
  <c r="DO48"/>
  <c r="DO411"/>
  <c r="DO454"/>
  <c r="DO74"/>
  <c r="DO274"/>
  <c r="DO229"/>
  <c r="DO126"/>
  <c r="DO226"/>
  <c r="DO82"/>
  <c r="DO233"/>
  <c r="DO96"/>
  <c r="DO314"/>
  <c r="DO240"/>
  <c r="DO112"/>
  <c r="DO466"/>
  <c r="DO15"/>
  <c r="DO247"/>
  <c r="DO77"/>
  <c r="DO17"/>
  <c r="DO514"/>
  <c r="DO443"/>
  <c r="DO235"/>
  <c r="DO497"/>
  <c r="DO144"/>
  <c r="DO55"/>
  <c r="DO95"/>
  <c r="DO218"/>
  <c r="DO276"/>
  <c r="DO316"/>
  <c r="DO357"/>
  <c r="DO428"/>
  <c r="DO395"/>
  <c r="DO231"/>
  <c r="DO307"/>
  <c r="DO136"/>
  <c r="DO371"/>
  <c r="DO152"/>
  <c r="DO104"/>
  <c r="DO139"/>
  <c r="DO432"/>
  <c r="DO257"/>
  <c r="DO312"/>
  <c r="DO70"/>
  <c r="DO380"/>
  <c r="DO479"/>
  <c r="DO232"/>
  <c r="DO83"/>
  <c r="DO393"/>
  <c r="DO394"/>
  <c r="DO219"/>
  <c r="DO400"/>
  <c r="DO295"/>
  <c r="DO173"/>
  <c r="DO213"/>
  <c r="DO363"/>
  <c r="DO223"/>
  <c r="DO191"/>
  <c r="DO185"/>
  <c r="DO430"/>
  <c r="DO32"/>
  <c r="DO348"/>
  <c r="DO452"/>
  <c r="DO306"/>
  <c r="DO356"/>
  <c r="DO245"/>
  <c r="DO391"/>
  <c r="DO341"/>
  <c r="DO135"/>
  <c r="DO282"/>
  <c r="DO364"/>
  <c r="DO100"/>
  <c r="DO91"/>
  <c r="DO160"/>
  <c r="DO203"/>
  <c r="DO188"/>
  <c r="DO478"/>
  <c r="DO132"/>
  <c r="DO427"/>
  <c r="DO105"/>
  <c r="DO252"/>
  <c r="DO110"/>
  <c r="DO81"/>
  <c r="DO298"/>
  <c r="DO37"/>
  <c r="DO358"/>
  <c r="DO464"/>
  <c r="DO87"/>
  <c r="DO345"/>
  <c r="DO418"/>
  <c r="DO52"/>
  <c r="DO495"/>
  <c r="DO255"/>
  <c r="DO498"/>
  <c r="DO101"/>
  <c r="DO279"/>
  <c r="DO263"/>
  <c r="DO470"/>
  <c r="DO84"/>
  <c r="DO78"/>
  <c r="DO422"/>
  <c r="DO200"/>
  <c r="DO406"/>
  <c r="DO258"/>
  <c r="DO63"/>
  <c r="DO143"/>
  <c r="DO353"/>
  <c r="DO29"/>
  <c r="DO339"/>
  <c r="DO50"/>
  <c r="DO501"/>
  <c r="DO261"/>
  <c r="DQ17" l="1"/>
  <c r="DQ18" l="1"/>
  <c r="DQ19" s="1"/>
  <c r="DS16" s="1"/>
  <c r="DU16" s="1"/>
  <c r="DQ20" l="1"/>
  <c r="DQ21" s="1"/>
  <c r="DQ22" l="1"/>
  <c r="DQ23" s="1"/>
  <c r="DQ24" l="1"/>
  <c r="DQ25" s="1"/>
  <c r="DQ26" s="1"/>
  <c r="DQ27" s="1"/>
  <c r="DS18" s="1"/>
  <c r="DU18" s="1"/>
  <c r="DS17"/>
  <c r="DU17" s="1"/>
  <c r="DQ28" l="1"/>
  <c r="DQ29" s="1"/>
  <c r="DQ30" l="1"/>
  <c r="DQ31" s="1"/>
  <c r="DQ32" l="1"/>
  <c r="DQ33" s="1"/>
  <c r="DQ34" l="1"/>
  <c r="DQ35" s="1"/>
  <c r="DS19" s="1"/>
  <c r="DU19" s="1"/>
  <c r="DQ36" l="1"/>
  <c r="DQ37" s="1"/>
  <c r="DQ38" l="1"/>
  <c r="DQ39" s="1"/>
  <c r="DS20" s="1"/>
  <c r="DU20" s="1"/>
  <c r="DQ40" l="1"/>
  <c r="DQ41" s="1"/>
  <c r="DQ42" s="1"/>
  <c r="DQ43" s="1"/>
  <c r="DQ44" l="1"/>
  <c r="DQ45" s="1"/>
  <c r="DQ46" s="1"/>
  <c r="DQ47" s="1"/>
  <c r="DS21"/>
  <c r="DU21" s="1"/>
  <c r="DQ48" l="1"/>
  <c r="DQ49" s="1"/>
  <c r="DQ50" s="1"/>
  <c r="DQ51" s="1"/>
  <c r="DS22"/>
  <c r="DU22" s="1"/>
  <c r="DQ52" l="1"/>
  <c r="DQ53" s="1"/>
  <c r="DQ54" s="1"/>
  <c r="DQ55" s="1"/>
  <c r="DS23"/>
  <c r="DU23" s="1"/>
  <c r="DS24" l="1"/>
  <c r="DU24" s="1"/>
  <c r="DQ56"/>
  <c r="DQ57" s="1"/>
  <c r="DQ58" s="1"/>
  <c r="DQ59" s="1"/>
  <c r="DQ60" l="1"/>
  <c r="DQ61" s="1"/>
  <c r="DQ62" s="1"/>
  <c r="DQ63" s="1"/>
  <c r="DS25"/>
  <c r="DU25" s="1"/>
  <c r="DQ64" l="1"/>
  <c r="DQ65" s="1"/>
  <c r="DQ66" s="1"/>
  <c r="DQ67" s="1"/>
  <c r="DQ68" s="1"/>
  <c r="DQ69" s="1"/>
  <c r="DQ70" s="1"/>
  <c r="DQ71" s="1"/>
  <c r="DQ72" s="1"/>
  <c r="DQ73" s="1"/>
  <c r="DQ74" s="1"/>
  <c r="DQ75" s="1"/>
  <c r="DS26"/>
  <c r="DU26" s="1"/>
  <c r="DS27" l="1"/>
  <c r="DU27" s="1"/>
  <c r="DQ76"/>
  <c r="DQ77" s="1"/>
  <c r="DQ78" s="1"/>
  <c r="DQ79" s="1"/>
  <c r="DQ80" s="1"/>
  <c r="DQ81" s="1"/>
  <c r="DQ82" s="1"/>
  <c r="DQ83" s="1"/>
  <c r="DQ84" s="1"/>
  <c r="DQ85" s="1"/>
  <c r="DQ86" s="1"/>
  <c r="DQ87" s="1"/>
  <c r="DQ88" s="1"/>
  <c r="DQ89" s="1"/>
  <c r="DQ90" s="1"/>
  <c r="DQ91" s="1"/>
  <c r="DQ92" s="1"/>
  <c r="DQ93" s="1"/>
  <c r="DQ94" s="1"/>
  <c r="DQ95" s="1"/>
  <c r="J5" i="7" a="1"/>
  <c r="DS28" i="12" l="1"/>
  <c r="DU28" s="1"/>
  <c r="DQ96"/>
  <c r="DQ97" s="1"/>
  <c r="DQ98" s="1"/>
  <c r="DQ99" s="1"/>
  <c r="DQ100" s="1"/>
  <c r="DQ101" s="1"/>
  <c r="DQ102" s="1"/>
  <c r="DQ103" s="1"/>
  <c r="DQ104" s="1"/>
  <c r="DQ105" s="1"/>
  <c r="DQ106" s="1"/>
  <c r="DQ107" s="1"/>
  <c r="DQ108" s="1"/>
  <c r="DQ109" s="1"/>
  <c r="DQ110" s="1"/>
  <c r="DQ111" s="1"/>
  <c r="DQ112" s="1"/>
  <c r="DQ113" s="1"/>
  <c r="DQ114" s="1"/>
  <c r="DQ115" s="1"/>
  <c r="J5" i="7"/>
  <c r="J7"/>
  <c r="J6"/>
  <c r="J8"/>
  <c r="J9"/>
  <c r="J10"/>
  <c r="AY6" s="1"/>
  <c r="AA13" a="1"/>
  <c r="S13" a="1"/>
  <c r="AY13" a="1"/>
  <c r="AY507" l="1"/>
  <c r="AY501"/>
  <c r="AY495"/>
  <c r="AY489"/>
  <c r="AY483"/>
  <c r="AY477"/>
  <c r="AY471"/>
  <c r="AY465"/>
  <c r="AY459"/>
  <c r="AY453"/>
  <c r="AY447"/>
  <c r="AY441"/>
  <c r="AY435"/>
  <c r="AY429"/>
  <c r="AY423"/>
  <c r="AY417"/>
  <c r="AY411"/>
  <c r="AY405"/>
  <c r="AY399"/>
  <c r="AY393"/>
  <c r="AY387"/>
  <c r="AY381"/>
  <c r="AY375"/>
  <c r="AY369"/>
  <c r="AY363"/>
  <c r="AY357"/>
  <c r="AY351"/>
  <c r="AY345"/>
  <c r="AY339"/>
  <c r="AY333"/>
  <c r="AY327"/>
  <c r="AY321"/>
  <c r="AY315"/>
  <c r="AY309"/>
  <c r="AY303"/>
  <c r="AY297"/>
  <c r="AY291"/>
  <c r="AY285"/>
  <c r="AY279"/>
  <c r="AY273"/>
  <c r="AY267"/>
  <c r="AY261"/>
  <c r="AY255"/>
  <c r="AY249"/>
  <c r="AY243"/>
  <c r="AY237"/>
  <c r="AY231"/>
  <c r="AY225"/>
  <c r="AY219"/>
  <c r="AY213"/>
  <c r="AY207"/>
  <c r="AY201"/>
  <c r="AY195"/>
  <c r="AY189"/>
  <c r="AY183"/>
  <c r="AY177"/>
  <c r="AY171"/>
  <c r="AY165"/>
  <c r="AY159"/>
  <c r="AY153"/>
  <c r="AY147"/>
  <c r="AY141"/>
  <c r="AY135"/>
  <c r="AY129"/>
  <c r="AY123"/>
  <c r="AY117"/>
  <c r="AY111"/>
  <c r="AY105"/>
  <c r="AY99"/>
  <c r="AY93"/>
  <c r="AY87"/>
  <c r="AY81"/>
  <c r="AY75"/>
  <c r="AY69"/>
  <c r="AY63"/>
  <c r="AY57"/>
  <c r="AY51"/>
  <c r="AY45"/>
  <c r="AY39"/>
  <c r="AY33"/>
  <c r="AY27"/>
  <c r="AY21"/>
  <c r="BG21" s="1"/>
  <c r="AY15"/>
  <c r="BG15" s="1"/>
  <c r="AY508"/>
  <c r="AY502"/>
  <c r="AY496"/>
  <c r="AY490"/>
  <c r="AY484"/>
  <c r="AY478"/>
  <c r="AY472"/>
  <c r="AY466"/>
  <c r="AY460"/>
  <c r="AY454"/>
  <c r="AY448"/>
  <c r="AY442"/>
  <c r="AY436"/>
  <c r="AY430"/>
  <c r="AY424"/>
  <c r="AY418"/>
  <c r="AY412"/>
  <c r="AY406"/>
  <c r="AY400"/>
  <c r="AY394"/>
  <c r="AY388"/>
  <c r="AY382"/>
  <c r="AY376"/>
  <c r="AY370"/>
  <c r="AY364"/>
  <c r="AY358"/>
  <c r="AY352"/>
  <c r="AY346"/>
  <c r="AY340"/>
  <c r="AY334"/>
  <c r="AY328"/>
  <c r="AY322"/>
  <c r="AY316"/>
  <c r="AY310"/>
  <c r="AY304"/>
  <c r="AY298"/>
  <c r="AY292"/>
  <c r="AY286"/>
  <c r="AY280"/>
  <c r="AY274"/>
  <c r="AY268"/>
  <c r="AY262"/>
  <c r="AY256"/>
  <c r="AY250"/>
  <c r="AY244"/>
  <c r="AY238"/>
  <c r="AY232"/>
  <c r="AY226"/>
  <c r="AY220"/>
  <c r="AY214"/>
  <c r="AY208"/>
  <c r="AY202"/>
  <c r="AY196"/>
  <c r="AY190"/>
  <c r="AY184"/>
  <c r="AY178"/>
  <c r="AY172"/>
  <c r="AY166"/>
  <c r="AY160"/>
  <c r="AY154"/>
  <c r="AY148"/>
  <c r="AY142"/>
  <c r="AY136"/>
  <c r="AY130"/>
  <c r="AY124"/>
  <c r="AY118"/>
  <c r="AY112"/>
  <c r="AY106"/>
  <c r="AY100"/>
  <c r="AY94"/>
  <c r="AY88"/>
  <c r="AY82"/>
  <c r="AY76"/>
  <c r="AY70"/>
  <c r="AY64"/>
  <c r="AY58"/>
  <c r="AY52"/>
  <c r="AY46"/>
  <c r="AY40"/>
  <c r="AY34"/>
  <c r="AY28"/>
  <c r="AY22"/>
  <c r="BG22" s="1"/>
  <c r="AY16"/>
  <c r="BG16" s="1"/>
  <c r="AY509"/>
  <c r="AY503"/>
  <c r="AY497"/>
  <c r="AY491"/>
  <c r="AY485"/>
  <c r="AY479"/>
  <c r="AY473"/>
  <c r="AY467"/>
  <c r="AY461"/>
  <c r="AY455"/>
  <c r="AY449"/>
  <c r="AY443"/>
  <c r="AY437"/>
  <c r="AY431"/>
  <c r="AY425"/>
  <c r="AY419"/>
  <c r="AY413"/>
  <c r="AY407"/>
  <c r="AY401"/>
  <c r="AY395"/>
  <c r="AY389"/>
  <c r="AY383"/>
  <c r="AY377"/>
  <c r="AY371"/>
  <c r="AY365"/>
  <c r="AY359"/>
  <c r="AY353"/>
  <c r="AY347"/>
  <c r="AY341"/>
  <c r="AY335"/>
  <c r="AY329"/>
  <c r="AY323"/>
  <c r="AY317"/>
  <c r="AY311"/>
  <c r="AY305"/>
  <c r="AY299"/>
  <c r="AY293"/>
  <c r="AY287"/>
  <c r="AY281"/>
  <c r="AY275"/>
  <c r="AY269"/>
  <c r="AY263"/>
  <c r="AY257"/>
  <c r="AY251"/>
  <c r="AY245"/>
  <c r="AY239"/>
  <c r="AY233"/>
  <c r="AY227"/>
  <c r="AY221"/>
  <c r="AY215"/>
  <c r="AY209"/>
  <c r="AY203"/>
  <c r="AY197"/>
  <c r="AY191"/>
  <c r="AY185"/>
  <c r="AY179"/>
  <c r="AY173"/>
  <c r="AY167"/>
  <c r="AY161"/>
  <c r="AY155"/>
  <c r="AY149"/>
  <c r="AY143"/>
  <c r="AY137"/>
  <c r="AY131"/>
  <c r="AY125"/>
  <c r="AY119"/>
  <c r="AY113"/>
  <c r="AY107"/>
  <c r="AY101"/>
  <c r="AY95"/>
  <c r="AY89"/>
  <c r="AY83"/>
  <c r="AY77"/>
  <c r="AY71"/>
  <c r="AY65"/>
  <c r="AY59"/>
  <c r="AY53"/>
  <c r="AY47"/>
  <c r="AY41"/>
  <c r="AY35"/>
  <c r="AY29"/>
  <c r="AY23"/>
  <c r="BG23" s="1"/>
  <c r="AY17"/>
  <c r="BG17" s="1"/>
  <c r="AY510"/>
  <c r="AY504"/>
  <c r="AY498"/>
  <c r="AY492"/>
  <c r="AY486"/>
  <c r="AY480"/>
  <c r="AY474"/>
  <c r="AY500"/>
  <c r="AY482"/>
  <c r="AY468"/>
  <c r="AY456"/>
  <c r="AY444"/>
  <c r="AY432"/>
  <c r="AY420"/>
  <c r="AY408"/>
  <c r="AY396"/>
  <c r="AY384"/>
  <c r="AY372"/>
  <c r="AY360"/>
  <c r="AY348"/>
  <c r="AY336"/>
  <c r="AY324"/>
  <c r="AY312"/>
  <c r="AY300"/>
  <c r="AY288"/>
  <c r="AY276"/>
  <c r="AY264"/>
  <c r="AY252"/>
  <c r="AY240"/>
  <c r="AY228"/>
  <c r="AY216"/>
  <c r="AY204"/>
  <c r="AY192"/>
  <c r="AY180"/>
  <c r="AY168"/>
  <c r="AY156"/>
  <c r="AY144"/>
  <c r="AY132"/>
  <c r="AY120"/>
  <c r="AY108"/>
  <c r="AY96"/>
  <c r="AY84"/>
  <c r="AY72"/>
  <c r="AY60"/>
  <c r="AY48"/>
  <c r="AY36"/>
  <c r="AY24"/>
  <c r="BG24" s="1"/>
  <c r="AY505"/>
  <c r="AY487"/>
  <c r="AY469"/>
  <c r="AY457"/>
  <c r="AY445"/>
  <c r="AY433"/>
  <c r="AY421"/>
  <c r="AY409"/>
  <c r="AY397"/>
  <c r="AY385"/>
  <c r="AY373"/>
  <c r="AY361"/>
  <c r="AY349"/>
  <c r="AY337"/>
  <c r="AY325"/>
  <c r="AY313"/>
  <c r="AY301"/>
  <c r="AY289"/>
  <c r="AY277"/>
  <c r="AY265"/>
  <c r="AY253"/>
  <c r="AY241"/>
  <c r="AY229"/>
  <c r="AY217"/>
  <c r="AY205"/>
  <c r="AY193"/>
  <c r="AY181"/>
  <c r="AY169"/>
  <c r="AY157"/>
  <c r="AY145"/>
  <c r="AY133"/>
  <c r="AY121"/>
  <c r="AY109"/>
  <c r="AY97"/>
  <c r="AY85"/>
  <c r="AY73"/>
  <c r="AY61"/>
  <c r="AY49"/>
  <c r="AY37"/>
  <c r="AY25"/>
  <c r="BG25" s="1"/>
  <c r="AY13"/>
  <c r="BG13" s="1"/>
  <c r="AY506"/>
  <c r="AY488"/>
  <c r="AY470"/>
  <c r="AY458"/>
  <c r="AY446"/>
  <c r="AY434"/>
  <c r="AY422"/>
  <c r="AY410"/>
  <c r="AY398"/>
  <c r="AY386"/>
  <c r="AY374"/>
  <c r="AY362"/>
  <c r="AY350"/>
  <c r="AY338"/>
  <c r="AY326"/>
  <c r="AY314"/>
  <c r="AY302"/>
  <c r="AY290"/>
  <c r="AY278"/>
  <c r="AY266"/>
  <c r="AY254"/>
  <c r="AY242"/>
  <c r="AY230"/>
  <c r="AY218"/>
  <c r="AY206"/>
  <c r="AY194"/>
  <c r="AY182"/>
  <c r="AY170"/>
  <c r="AY158"/>
  <c r="AY146"/>
  <c r="AY134"/>
  <c r="AY122"/>
  <c r="AY110"/>
  <c r="AY98"/>
  <c r="AY86"/>
  <c r="AY74"/>
  <c r="AY62"/>
  <c r="AY50"/>
  <c r="AY38"/>
  <c r="AY26"/>
  <c r="BG26" s="1"/>
  <c r="AY14"/>
  <c r="BG14" s="1"/>
  <c r="AY511"/>
  <c r="AY493"/>
  <c r="AY475"/>
  <c r="AY462"/>
  <c r="AY450"/>
  <c r="AY438"/>
  <c r="AY426"/>
  <c r="AY414"/>
  <c r="AY402"/>
  <c r="AY390"/>
  <c r="AY378"/>
  <c r="AY366"/>
  <c r="AY354"/>
  <c r="AY342"/>
  <c r="AY330"/>
  <c r="AY318"/>
  <c r="AY306"/>
  <c r="AY294"/>
  <c r="AY282"/>
  <c r="AY270"/>
  <c r="AY258"/>
  <c r="AY246"/>
  <c r="AY234"/>
  <c r="AY222"/>
  <c r="AY210"/>
  <c r="AY198"/>
  <c r="AY186"/>
  <c r="AY174"/>
  <c r="AY162"/>
  <c r="AY150"/>
  <c r="AY138"/>
  <c r="AY126"/>
  <c r="AY114"/>
  <c r="AY102"/>
  <c r="AY90"/>
  <c r="AY78"/>
  <c r="AY66"/>
  <c r="AY54"/>
  <c r="AY42"/>
  <c r="AY30"/>
  <c r="AY18"/>
  <c r="BG18" s="1"/>
  <c r="AY512"/>
  <c r="AY494"/>
  <c r="AY476"/>
  <c r="AY463"/>
  <c r="AY451"/>
  <c r="AY439"/>
  <c r="AY427"/>
  <c r="AY415"/>
  <c r="AY403"/>
  <c r="AY391"/>
  <c r="AY379"/>
  <c r="AY367"/>
  <c r="AY355"/>
  <c r="AY343"/>
  <c r="AY331"/>
  <c r="AY319"/>
  <c r="AY307"/>
  <c r="AY295"/>
  <c r="AY283"/>
  <c r="AY271"/>
  <c r="AY259"/>
  <c r="AY247"/>
  <c r="AY235"/>
  <c r="AY223"/>
  <c r="AY211"/>
  <c r="AY199"/>
  <c r="AY187"/>
  <c r="AY175"/>
  <c r="AY163"/>
  <c r="AY151"/>
  <c r="AY139"/>
  <c r="AY127"/>
  <c r="AY115"/>
  <c r="AY103"/>
  <c r="AY91"/>
  <c r="AY79"/>
  <c r="AY67"/>
  <c r="AY55"/>
  <c r="AY43"/>
  <c r="AY31"/>
  <c r="AY19"/>
  <c r="BG19" s="1"/>
  <c r="AY499"/>
  <c r="AY481"/>
  <c r="AY464"/>
  <c r="AY452"/>
  <c r="AY440"/>
  <c r="AY428"/>
  <c r="AY416"/>
  <c r="AY404"/>
  <c r="AY392"/>
  <c r="AY380"/>
  <c r="AY368"/>
  <c r="AY356"/>
  <c r="AY344"/>
  <c r="AY332"/>
  <c r="AY320"/>
  <c r="AY308"/>
  <c r="AY296"/>
  <c r="AY284"/>
  <c r="AY272"/>
  <c r="AY260"/>
  <c r="AY248"/>
  <c r="AY236"/>
  <c r="AY224"/>
  <c r="AY212"/>
  <c r="AY200"/>
  <c r="AY188"/>
  <c r="AY176"/>
  <c r="AY164"/>
  <c r="AY152"/>
  <c r="AY140"/>
  <c r="AY128"/>
  <c r="AY116"/>
  <c r="AY104"/>
  <c r="AY92"/>
  <c r="AY80"/>
  <c r="AY68"/>
  <c r="AY56"/>
  <c r="AY44"/>
  <c r="AY32"/>
  <c r="AY20"/>
  <c r="BG20" s="1"/>
  <c r="AX6"/>
  <c r="AU6"/>
  <c r="AS6"/>
  <c r="AR6"/>
  <c r="DQ116" i="12"/>
  <c r="DQ117" s="1"/>
  <c r="DQ118" s="1"/>
  <c r="DQ119" s="1"/>
  <c r="DQ120" s="1"/>
  <c r="DQ121" s="1"/>
  <c r="DQ122" s="1"/>
  <c r="DQ123" s="1"/>
  <c r="DQ124" s="1"/>
  <c r="DQ125" s="1"/>
  <c r="DQ126" s="1"/>
  <c r="DQ127" s="1"/>
  <c r="DQ128" s="1"/>
  <c r="DQ129" s="1"/>
  <c r="DQ130" s="1"/>
  <c r="DQ131" s="1"/>
  <c r="DQ132" s="1"/>
  <c r="DQ133" s="1"/>
  <c r="DQ134" s="1"/>
  <c r="DQ135" s="1"/>
  <c r="DS29"/>
  <c r="DU29" s="1"/>
  <c r="BK31" i="7"/>
  <c r="BM31" s="1"/>
  <c r="BK30"/>
  <c r="BM30" s="1"/>
  <c r="BK33"/>
  <c r="BM33" s="1"/>
  <c r="BK27"/>
  <c r="BM27" s="1"/>
  <c r="BK28"/>
  <c r="BM28" s="1"/>
  <c r="BK32"/>
  <c r="BM32" s="1"/>
  <c r="BK29"/>
  <c r="BM29" s="1"/>
  <c r="S296"/>
  <c r="S290"/>
  <c r="S324"/>
  <c r="S321"/>
  <c r="S489"/>
  <c r="S224"/>
  <c r="S395"/>
  <c r="S164"/>
  <c r="S408"/>
  <c r="S14"/>
  <c r="S317"/>
  <c r="S68"/>
  <c r="S487"/>
  <c r="S350"/>
  <c r="S72"/>
  <c r="S267"/>
  <c r="S423"/>
  <c r="S447"/>
  <c r="S71"/>
  <c r="S252"/>
  <c r="S456"/>
  <c r="S156"/>
  <c r="S232"/>
  <c r="S204"/>
  <c r="S54"/>
  <c r="S334"/>
  <c r="S195"/>
  <c r="S407"/>
  <c r="S50"/>
  <c r="S319"/>
  <c r="S345"/>
  <c r="S255"/>
  <c r="S29"/>
  <c r="S297"/>
  <c r="S509"/>
  <c r="S339"/>
  <c r="S467"/>
  <c r="S95"/>
  <c r="S118"/>
  <c r="S432"/>
  <c r="S139"/>
  <c r="S499"/>
  <c r="S340"/>
  <c r="S76"/>
  <c r="S390"/>
  <c r="S486"/>
  <c r="S448"/>
  <c r="S433"/>
  <c r="S496"/>
  <c r="S258"/>
  <c r="S56"/>
  <c r="S24"/>
  <c r="S302"/>
  <c r="S313"/>
  <c r="S410"/>
  <c r="S20"/>
  <c r="S37"/>
  <c r="S51"/>
  <c r="S66"/>
  <c r="S87"/>
  <c r="S114"/>
  <c r="S127"/>
  <c r="S147"/>
  <c r="S178"/>
  <c r="S198"/>
  <c r="S218"/>
  <c r="S246"/>
  <c r="S285"/>
  <c r="S332"/>
  <c r="S370"/>
  <c r="S398"/>
  <c r="S436"/>
  <c r="S464"/>
  <c r="S502"/>
  <c r="S59"/>
  <c r="S347"/>
  <c r="S49"/>
  <c r="S264"/>
  <c r="S422"/>
  <c r="S133"/>
  <c r="S273"/>
  <c r="S103"/>
  <c r="S372"/>
  <c r="S511"/>
  <c r="S374"/>
  <c r="S453"/>
  <c r="S510"/>
  <c r="S57"/>
  <c r="S48"/>
  <c r="S199"/>
  <c r="S125"/>
  <c r="S335"/>
  <c r="S493"/>
  <c r="S307"/>
  <c r="S225"/>
  <c r="S429"/>
  <c r="S120"/>
  <c r="S349"/>
  <c r="S399"/>
  <c r="S507"/>
  <c r="S25"/>
  <c r="S239"/>
  <c r="S406"/>
  <c r="S209"/>
  <c r="S28"/>
  <c r="S98"/>
  <c r="S480"/>
  <c r="S443"/>
  <c r="S111"/>
  <c r="S322"/>
  <c r="S461"/>
  <c r="S83"/>
  <c r="S40"/>
  <c r="S94"/>
  <c r="S151"/>
  <c r="S479"/>
  <c r="S203"/>
  <c r="S169"/>
  <c r="S287"/>
  <c r="S90"/>
  <c r="S184"/>
  <c r="S331"/>
  <c r="S249"/>
  <c r="S107"/>
  <c r="S145"/>
  <c r="S360"/>
  <c r="S211"/>
  <c r="S362"/>
  <c r="S19"/>
  <c r="S31"/>
  <c r="S47"/>
  <c r="S64"/>
  <c r="S82"/>
  <c r="S109"/>
  <c r="S126"/>
  <c r="S146"/>
  <c r="S161"/>
  <c r="S177"/>
  <c r="S194"/>
  <c r="S215"/>
  <c r="S228"/>
  <c r="S263"/>
  <c r="S284"/>
  <c r="S304"/>
  <c r="S330"/>
  <c r="S355"/>
  <c r="S367"/>
  <c r="S384"/>
  <c r="S397"/>
  <c r="S435"/>
  <c r="S446"/>
  <c r="S474"/>
  <c r="S449"/>
  <c r="S320"/>
  <c r="S391"/>
  <c r="S274"/>
  <c r="S176"/>
  <c r="S85"/>
  <c r="S279"/>
  <c r="S416"/>
  <c r="S58"/>
  <c r="S465"/>
  <c r="S100"/>
  <c r="S430"/>
  <c r="S310"/>
  <c r="S404"/>
  <c r="S35"/>
  <c r="S158"/>
  <c r="S112"/>
  <c r="S105"/>
  <c r="S208"/>
  <c r="S268"/>
  <c r="S190"/>
  <c r="S291"/>
  <c r="S469"/>
  <c r="S300"/>
  <c r="S229"/>
  <c r="S167"/>
  <c r="S73"/>
  <c r="S253"/>
  <c r="S383"/>
  <c r="S207"/>
  <c r="S402"/>
  <c r="S303"/>
  <c r="S124"/>
  <c r="S39"/>
  <c r="S418"/>
  <c r="S132"/>
  <c r="S508"/>
  <c r="S504"/>
  <c r="S192"/>
  <c r="S286"/>
  <c r="S34"/>
  <c r="S270"/>
  <c r="S137"/>
  <c r="S312"/>
  <c r="S503"/>
  <c r="S494"/>
  <c r="S248"/>
  <c r="S148"/>
  <c r="S485"/>
  <c r="S368"/>
  <c r="S36"/>
  <c r="S86"/>
  <c r="S186"/>
  <c r="S77"/>
  <c r="S475"/>
  <c r="S18"/>
  <c r="S30"/>
  <c r="S45"/>
  <c r="S61"/>
  <c r="S79"/>
  <c r="S106"/>
  <c r="S123"/>
  <c r="S141"/>
  <c r="S157"/>
  <c r="S175"/>
  <c r="S188"/>
  <c r="S213"/>
  <c r="S227"/>
  <c r="S236"/>
  <c r="S260"/>
  <c r="S278"/>
  <c r="S298"/>
  <c r="S325"/>
  <c r="S354"/>
  <c r="S364"/>
  <c r="S381"/>
  <c r="S394"/>
  <c r="S419"/>
  <c r="S428"/>
  <c r="S444"/>
  <c r="S458"/>
  <c r="S472"/>
  <c r="S490"/>
  <c r="S222"/>
  <c r="S301"/>
  <c r="S74"/>
  <c r="S245"/>
  <c r="S308"/>
  <c r="S261"/>
  <c r="S205"/>
  <c r="S134"/>
  <c r="S440"/>
  <c r="S451"/>
  <c r="S113"/>
  <c r="S409"/>
  <c r="S333"/>
  <c r="S459"/>
  <c r="S240"/>
  <c r="S80"/>
  <c r="S144"/>
  <c r="S343"/>
  <c r="S434"/>
  <c r="S262"/>
  <c r="S329"/>
  <c r="S506"/>
  <c r="S210"/>
  <c r="S154"/>
  <c r="S44"/>
  <c r="S382"/>
  <c r="S62"/>
  <c r="S250"/>
  <c r="S63"/>
  <c r="S470"/>
  <c r="S488"/>
  <c r="S102"/>
  <c r="S386"/>
  <c r="S193"/>
  <c r="S414"/>
  <c r="S283"/>
  <c r="S223"/>
  <c r="S371"/>
  <c r="S155"/>
  <c r="S110"/>
  <c r="S216"/>
  <c r="S505"/>
  <c r="S101"/>
  <c r="S351"/>
  <c r="S309"/>
  <c r="S336"/>
  <c r="S217"/>
  <c r="S413"/>
  <c r="S115"/>
  <c r="S53"/>
  <c r="S326"/>
  <c r="S400"/>
  <c r="S174"/>
  <c r="S388"/>
  <c r="S165"/>
  <c r="S17"/>
  <c r="S23"/>
  <c r="S43"/>
  <c r="S60"/>
  <c r="S75"/>
  <c r="S99"/>
  <c r="S121"/>
  <c r="S136"/>
  <c r="S153"/>
  <c r="S173"/>
  <c r="S181"/>
  <c r="S206"/>
  <c r="S221"/>
  <c r="S235"/>
  <c r="S259"/>
  <c r="S275"/>
  <c r="S295"/>
  <c r="S318"/>
  <c r="S348"/>
  <c r="S363"/>
  <c r="S380"/>
  <c r="S393"/>
  <c r="S415"/>
  <c r="S426"/>
  <c r="S441"/>
  <c r="S457"/>
  <c r="S471"/>
  <c r="S484"/>
  <c r="S237"/>
  <c r="S138"/>
  <c r="S378"/>
  <c r="S243"/>
  <c r="S89"/>
  <c r="S140"/>
  <c r="S375"/>
  <c r="S403"/>
  <c r="S13"/>
  <c r="S396"/>
  <c r="S438"/>
  <c r="S187"/>
  <c r="S212"/>
  <c r="S293"/>
  <c r="S289"/>
  <c r="S491"/>
  <c r="S323"/>
  <c r="S454"/>
  <c r="S389"/>
  <c r="S477"/>
  <c r="S247"/>
  <c r="S185"/>
  <c r="S342"/>
  <c r="S182"/>
  <c r="S91"/>
  <c r="S338"/>
  <c r="S159"/>
  <c r="S492"/>
  <c r="S316"/>
  <c r="S122"/>
  <c r="S463"/>
  <c r="S196"/>
  <c r="S69"/>
  <c r="S33"/>
  <c r="S131"/>
  <c r="S42"/>
  <c r="S299"/>
  <c r="S501"/>
  <c r="S200"/>
  <c r="S269"/>
  <c r="S294"/>
  <c r="S366"/>
  <c r="S353"/>
  <c r="S282"/>
  <c r="S241"/>
  <c r="S327"/>
  <c r="S168"/>
  <c r="S341"/>
  <c r="S78"/>
  <c r="S369"/>
  <c r="S226"/>
  <c r="S281"/>
  <c r="S142"/>
  <c r="S27"/>
  <c r="S473"/>
  <c r="S15"/>
  <c r="S22"/>
  <c r="S41"/>
  <c r="S55"/>
  <c r="S70"/>
  <c r="S92"/>
  <c r="S119"/>
  <c r="S135"/>
  <c r="S152"/>
  <c r="S172"/>
  <c r="S180"/>
  <c r="S202"/>
  <c r="S220"/>
  <c r="S234"/>
  <c r="S256"/>
  <c r="S272"/>
  <c r="S292"/>
  <c r="S314"/>
  <c r="S344"/>
  <c r="S361"/>
  <c r="S376"/>
  <c r="S392"/>
  <c r="S412"/>
  <c r="S425"/>
  <c r="S439"/>
  <c r="S455"/>
  <c r="S468"/>
  <c r="S482"/>
  <c r="S26"/>
  <c r="S431"/>
  <c r="S108"/>
  <c r="S143"/>
  <c r="S244"/>
  <c r="S365"/>
  <c r="S478"/>
  <c r="S483"/>
  <c r="S356"/>
  <c r="S189"/>
  <c r="S129"/>
  <c r="S81"/>
  <c r="S84"/>
  <c r="S379"/>
  <c r="S377"/>
  <c r="S346"/>
  <c r="S150"/>
  <c r="S130"/>
  <c r="S276"/>
  <c r="S405"/>
  <c r="S117"/>
  <c r="S242"/>
  <c r="S497"/>
  <c r="S65"/>
  <c r="S32"/>
  <c r="S214"/>
  <c r="S271"/>
  <c r="S305"/>
  <c r="S183"/>
  <c r="S357"/>
  <c r="S170"/>
  <c r="S460"/>
  <c r="S495"/>
  <c r="S171"/>
  <c r="S16"/>
  <c r="S277"/>
  <c r="S328"/>
  <c r="S160"/>
  <c r="S93"/>
  <c r="S104"/>
  <c r="S352"/>
  <c r="S97"/>
  <c r="S191"/>
  <c r="S251"/>
  <c r="S445"/>
  <c r="S197"/>
  <c r="S163"/>
  <c r="S417"/>
  <c r="S280"/>
  <c r="S257"/>
  <c r="S401"/>
  <c r="S96"/>
  <c r="S442"/>
  <c r="S315"/>
  <c r="S46"/>
  <c r="S427"/>
  <c r="S21"/>
  <c r="S38"/>
  <c r="S52"/>
  <c r="S67"/>
  <c r="S88"/>
  <c r="S116"/>
  <c r="S128"/>
  <c r="S149"/>
  <c r="S166"/>
  <c r="S179"/>
  <c r="S201"/>
  <c r="S219"/>
  <c r="S231"/>
  <c r="S254"/>
  <c r="S266"/>
  <c r="S288"/>
  <c r="S311"/>
  <c r="S337"/>
  <c r="S359"/>
  <c r="S373"/>
  <c r="S387"/>
  <c r="S411"/>
  <c r="S424"/>
  <c r="S437"/>
  <c r="S452"/>
  <c r="S466"/>
  <c r="S481"/>
  <c r="S512"/>
  <c r="S233"/>
  <c r="S162"/>
  <c r="S230"/>
  <c r="S265"/>
  <c r="S306"/>
  <c r="S358"/>
  <c r="S385"/>
  <c r="S421"/>
  <c r="S450"/>
  <c r="S476"/>
  <c r="S500"/>
  <c r="S238"/>
  <c r="S420"/>
  <c r="S462"/>
  <c r="S498"/>
  <c r="AA387"/>
  <c r="AA127"/>
  <c r="AA189"/>
  <c r="AA351"/>
  <c r="AA346"/>
  <c r="AA185"/>
  <c r="AA171"/>
  <c r="AA228"/>
  <c r="AA153"/>
  <c r="AA345"/>
  <c r="AA71"/>
  <c r="AA260"/>
  <c r="AA495"/>
  <c r="AA39"/>
  <c r="AA449"/>
  <c r="AA42"/>
  <c r="AA436"/>
  <c r="AA84"/>
  <c r="AA462"/>
  <c r="AA111"/>
  <c r="AA254"/>
  <c r="AA240"/>
  <c r="AA477"/>
  <c r="AA211"/>
  <c r="AA270"/>
  <c r="AA375"/>
  <c r="AA416"/>
  <c r="AA500"/>
  <c r="AA447"/>
  <c r="AA369"/>
  <c r="AA45"/>
  <c r="AA434"/>
  <c r="AA119"/>
  <c r="AA285"/>
  <c r="AA321"/>
  <c r="AA484"/>
  <c r="AA384"/>
  <c r="AA284"/>
  <c r="AA33"/>
  <c r="AA145"/>
  <c r="AA478"/>
  <c r="AA147"/>
  <c r="AA226"/>
  <c r="AA217"/>
  <c r="AA303"/>
  <c r="AA276"/>
  <c r="AA432"/>
  <c r="AA315"/>
  <c r="AA364"/>
  <c r="AA227"/>
  <c r="AA184"/>
  <c r="AA196"/>
  <c r="AA257"/>
  <c r="AA381"/>
  <c r="AA63"/>
  <c r="AA106"/>
  <c r="AA461"/>
  <c r="AA288"/>
  <c r="AA18"/>
  <c r="AA491"/>
  <c r="AA293"/>
  <c r="AA205"/>
  <c r="AA139"/>
  <c r="AA120"/>
  <c r="AA208"/>
  <c r="AA229"/>
  <c r="AA356"/>
  <c r="AA268"/>
  <c r="AA437"/>
  <c r="AA379"/>
  <c r="AA456"/>
  <c r="AA386"/>
  <c r="AA113"/>
  <c r="AA90"/>
  <c r="AA411"/>
  <c r="AA480"/>
  <c r="AA507"/>
  <c r="AA388"/>
  <c r="AA210"/>
  <c r="AA506"/>
  <c r="AA166"/>
  <c r="AA27"/>
  <c r="AA501"/>
  <c r="AA502"/>
  <c r="AA328"/>
  <c r="AA61"/>
  <c r="AA47"/>
  <c r="AA391"/>
  <c r="AA138"/>
  <c r="AA423"/>
  <c r="AA134"/>
  <c r="AA261"/>
  <c r="AA281"/>
  <c r="AA366"/>
  <c r="AA355"/>
  <c r="AA181"/>
  <c r="AA132"/>
  <c r="AA294"/>
  <c r="AA133"/>
  <c r="AA68"/>
  <c r="AA349"/>
  <c r="AA377"/>
  <c r="AA25"/>
  <c r="AA435"/>
  <c r="AA55"/>
  <c r="AA341"/>
  <c r="AA232"/>
  <c r="AA401"/>
  <c r="AA360"/>
  <c r="AA135"/>
  <c r="AA161"/>
  <c r="AA465"/>
  <c r="AA450"/>
  <c r="AA164"/>
  <c r="AA365"/>
  <c r="AA191"/>
  <c r="AA352"/>
  <c r="AA438"/>
  <c r="AA80"/>
  <c r="AA249"/>
  <c r="AA109"/>
  <c r="AA183"/>
  <c r="AA86"/>
  <c r="AA98"/>
  <c r="AA204"/>
  <c r="AA221"/>
  <c r="AA43"/>
  <c r="AA458"/>
  <c r="AA251"/>
  <c r="AA459"/>
  <c r="AA448"/>
  <c r="AA344"/>
  <c r="AA444"/>
  <c r="AA282"/>
  <c r="AA150"/>
  <c r="AA424"/>
  <c r="AA108"/>
  <c r="AA443"/>
  <c r="AA439"/>
  <c r="AA65"/>
  <c r="AA464"/>
  <c r="AA195"/>
  <c r="AA37"/>
  <c r="AA250"/>
  <c r="AA83"/>
  <c r="AA470"/>
  <c r="AA237"/>
  <c r="AA426"/>
  <c r="AA334"/>
  <c r="AA393"/>
  <c r="AA40"/>
  <c r="AA407"/>
  <c r="AA126"/>
  <c r="AA115"/>
  <c r="AA295"/>
  <c r="AA471"/>
  <c r="AA72"/>
  <c r="AA487"/>
  <c r="AA117"/>
  <c r="AA408"/>
  <c r="AA243"/>
  <c r="AA172"/>
  <c r="AA219"/>
  <c r="AA38"/>
  <c r="AA99"/>
  <c r="AA136"/>
  <c r="AA342"/>
  <c r="AA433"/>
  <c r="AA79"/>
  <c r="AA380"/>
  <c r="AA207"/>
  <c r="AA430"/>
  <c r="AA427"/>
  <c r="AA97"/>
  <c r="AA112"/>
  <c r="AA173"/>
  <c r="AA87"/>
  <c r="AA457"/>
  <c r="AA305"/>
  <c r="AA431"/>
  <c r="AA78"/>
  <c r="AA367"/>
  <c r="AA263"/>
  <c r="AA46"/>
  <c r="AA122"/>
  <c r="AA238"/>
  <c r="AA13"/>
  <c r="AA151"/>
  <c r="AA21"/>
  <c r="AA76"/>
  <c r="AA421"/>
  <c r="AA466"/>
  <c r="AA128"/>
  <c r="AA123"/>
  <c r="AA30"/>
  <c r="AA160"/>
  <c r="AA357"/>
  <c r="AA376"/>
  <c r="AA405"/>
  <c r="AA85"/>
  <c r="AA216"/>
  <c r="AA414"/>
  <c r="AA24"/>
  <c r="AA304"/>
  <c r="AA170"/>
  <c r="AA159"/>
  <c r="AA353"/>
  <c r="AA332"/>
  <c r="AA206"/>
  <c r="AA482"/>
  <c r="AA234"/>
  <c r="AA429"/>
  <c r="AA336"/>
  <c r="AA130"/>
  <c r="AA452"/>
  <c r="AA163"/>
  <c r="AA32"/>
  <c r="AA277"/>
  <c r="AA454"/>
  <c r="AA467"/>
  <c r="AA96"/>
  <c r="AA59"/>
  <c r="AA378"/>
  <c r="AA188"/>
  <c r="AA197"/>
  <c r="AA165"/>
  <c r="AA320"/>
  <c r="AA92"/>
  <c r="AA397"/>
  <c r="AA312"/>
  <c r="AA492"/>
  <c r="AA95"/>
  <c r="AA19"/>
  <c r="AA497"/>
  <c r="AA319"/>
  <c r="AA413"/>
  <c r="AA94"/>
  <c r="AA233"/>
  <c r="AA442"/>
  <c r="AA359"/>
  <c r="AA262"/>
  <c r="AA129"/>
  <c r="AA252"/>
  <c r="AA259"/>
  <c r="AA385"/>
  <c r="AA512"/>
  <c r="AA489"/>
  <c r="AA255"/>
  <c r="AA417"/>
  <c r="AA368"/>
  <c r="AA231"/>
  <c r="AA244"/>
  <c r="AA354"/>
  <c r="AA64"/>
  <c r="AA372"/>
  <c r="AA394"/>
  <c r="AA41"/>
  <c r="AA314"/>
  <c r="AA203"/>
  <c r="AA469"/>
  <c r="AA395"/>
  <c r="AA91"/>
  <c r="AA508"/>
  <c r="AA298"/>
  <c r="AA176"/>
  <c r="AA105"/>
  <c r="AA419"/>
  <c r="AA101"/>
  <c r="AA313"/>
  <c r="AA148"/>
  <c r="AA392"/>
  <c r="AA209"/>
  <c r="AA104"/>
  <c r="AA297"/>
  <c r="AA325"/>
  <c r="AA75"/>
  <c r="AA311"/>
  <c r="AA214"/>
  <c r="AA479"/>
  <c r="AA198"/>
  <c r="AA193"/>
  <c r="AA463"/>
  <c r="AA472"/>
  <c r="AA286"/>
  <c r="AA323"/>
  <c r="AA333"/>
  <c r="AA168"/>
  <c r="AA167"/>
  <c r="AA274"/>
  <c r="AA474"/>
  <c r="AA374"/>
  <c r="AA278"/>
  <c r="AA199"/>
  <c r="AA399"/>
  <c r="AA230"/>
  <c r="AA299"/>
  <c r="AA31"/>
  <c r="AA242"/>
  <c r="AA266"/>
  <c r="AA389"/>
  <c r="AA194"/>
  <c r="AA481"/>
  <c r="AA121"/>
  <c r="AA241"/>
  <c r="AA412"/>
  <c r="AA58"/>
  <c r="AA362"/>
  <c r="AA505"/>
  <c r="AA322"/>
  <c r="AA339"/>
  <c r="AA178"/>
  <c r="AA48"/>
  <c r="AA110"/>
  <c r="AA510"/>
  <c r="AA239"/>
  <c r="AA140"/>
  <c r="AA223"/>
  <c r="AA54"/>
  <c r="AA212"/>
  <c r="AA156"/>
  <c r="AA490"/>
  <c r="AA329"/>
  <c r="AA141"/>
  <c r="AA144"/>
  <c r="AA222"/>
  <c r="AA77"/>
  <c r="AA131"/>
  <c r="AA35"/>
  <c r="AA460"/>
  <c r="AA264"/>
  <c r="AA335"/>
  <c r="AA157"/>
  <c r="AA473"/>
  <c r="AA428"/>
  <c r="AA409"/>
  <c r="AA326"/>
  <c r="AA17"/>
  <c r="AA309"/>
  <c r="AA248"/>
  <c r="AA422"/>
  <c r="AA404"/>
  <c r="AA52"/>
  <c r="AA287"/>
  <c r="AA308"/>
  <c r="AA267"/>
  <c r="AA56"/>
  <c r="AA446"/>
  <c r="AA192"/>
  <c r="AA124"/>
  <c r="AA180"/>
  <c r="AA179"/>
  <c r="AA116"/>
  <c r="AA468"/>
  <c r="AA418"/>
  <c r="AA202"/>
  <c r="AA49"/>
  <c r="AA317"/>
  <c r="AA318"/>
  <c r="AA169"/>
  <c r="AA143"/>
  <c r="AA503"/>
  <c r="AA215"/>
  <c r="AA509"/>
  <c r="AA310"/>
  <c r="AA146"/>
  <c r="AA15"/>
  <c r="AA28"/>
  <c r="AA69"/>
  <c r="AA114"/>
  <c r="AA316"/>
  <c r="AA213"/>
  <c r="AA383"/>
  <c r="AA34"/>
  <c r="AA283"/>
  <c r="AA67"/>
  <c r="AA74"/>
  <c r="AA425"/>
  <c r="AA16"/>
  <c r="AA93"/>
  <c r="AA324"/>
  <c r="AA201"/>
  <c r="AA218"/>
  <c r="AA494"/>
  <c r="AA137"/>
  <c r="AA269"/>
  <c r="AA296"/>
  <c r="AA363"/>
  <c r="AA220"/>
  <c r="AA26"/>
  <c r="AA190"/>
  <c r="AA511"/>
  <c r="AA396"/>
  <c r="AA100"/>
  <c r="AA22"/>
  <c r="AA175"/>
  <c r="AA420"/>
  <c r="AA415"/>
  <c r="AA62"/>
  <c r="AA400"/>
  <c r="AA118"/>
  <c r="AA253"/>
  <c r="AA440"/>
  <c r="AA265"/>
  <c r="AA89"/>
  <c r="AA236"/>
  <c r="AA306"/>
  <c r="AA340"/>
  <c r="AA152"/>
  <c r="AA20"/>
  <c r="AA235"/>
  <c r="AA350"/>
  <c r="AA149"/>
  <c r="AA275"/>
  <c r="AA142"/>
  <c r="AA402"/>
  <c r="AA398"/>
  <c r="AA441"/>
  <c r="AA488"/>
  <c r="AA103"/>
  <c r="AA327"/>
  <c r="AA187"/>
  <c r="AA403"/>
  <c r="AA186"/>
  <c r="AA445"/>
  <c r="AA290"/>
  <c r="AA371"/>
  <c r="AA60"/>
  <c r="AA256"/>
  <c r="AA247"/>
  <c r="AA88"/>
  <c r="AA225"/>
  <c r="AA499"/>
  <c r="AA289"/>
  <c r="AA330"/>
  <c r="AA406"/>
  <c r="AA73"/>
  <c r="AA158"/>
  <c r="AA302"/>
  <c r="AA343"/>
  <c r="AA291"/>
  <c r="AA182"/>
  <c r="AA258"/>
  <c r="AA155"/>
  <c r="AA51"/>
  <c r="AA50"/>
  <c r="AA498"/>
  <c r="AA348"/>
  <c r="AA154"/>
  <c r="AA36"/>
  <c r="AA483"/>
  <c r="AA224"/>
  <c r="AA453"/>
  <c r="AA107"/>
  <c r="AA475"/>
  <c r="AA125"/>
  <c r="AA496"/>
  <c r="AA200"/>
  <c r="AA177"/>
  <c r="AA245"/>
  <c r="AA14"/>
  <c r="AA81"/>
  <c r="AA57"/>
  <c r="AA486"/>
  <c r="AA280"/>
  <c r="AA337"/>
  <c r="AA476"/>
  <c r="AA246"/>
  <c r="AA373"/>
  <c r="AA451"/>
  <c r="AA271"/>
  <c r="AA279"/>
  <c r="AA382"/>
  <c r="AA82"/>
  <c r="AA455"/>
  <c r="AA272"/>
  <c r="AA70"/>
  <c r="AA347"/>
  <c r="AA358"/>
  <c r="AA307"/>
  <c r="AA29"/>
  <c r="AA273"/>
  <c r="AA485"/>
  <c r="AA174"/>
  <c r="AA504"/>
  <c r="AA292"/>
  <c r="AA162"/>
  <c r="AA23"/>
  <c r="AA66"/>
  <c r="AA102"/>
  <c r="AA300"/>
  <c r="AA301"/>
  <c r="AA338"/>
  <c r="AA361"/>
  <c r="AA53"/>
  <c r="AA44"/>
  <c r="AA493"/>
  <c r="AA410"/>
  <c r="AA390"/>
  <c r="AA370"/>
  <c r="AA331"/>
  <c r="AX13" a="1"/>
  <c r="AU13" a="1"/>
  <c r="AS13" a="1"/>
  <c r="AR13" a="1"/>
  <c r="U7" l="1"/>
  <c r="U6" s="1"/>
  <c r="J15" s="1"/>
  <c r="J14" s="1"/>
  <c r="AX507"/>
  <c r="AX501"/>
  <c r="AX495"/>
  <c r="AX489"/>
  <c r="AX483"/>
  <c r="AX477"/>
  <c r="AX471"/>
  <c r="AX465"/>
  <c r="AX459"/>
  <c r="AX453"/>
  <c r="AX447"/>
  <c r="AX441"/>
  <c r="AX435"/>
  <c r="AX429"/>
  <c r="AX423"/>
  <c r="AX417"/>
  <c r="AX411"/>
  <c r="AX405"/>
  <c r="AX399"/>
  <c r="AX393"/>
  <c r="AX387"/>
  <c r="AX381"/>
  <c r="AX375"/>
  <c r="AX369"/>
  <c r="AX363"/>
  <c r="AX357"/>
  <c r="AX351"/>
  <c r="AX345"/>
  <c r="AX339"/>
  <c r="AX333"/>
  <c r="AX327"/>
  <c r="AX321"/>
  <c r="AX315"/>
  <c r="AX309"/>
  <c r="AX303"/>
  <c r="AX297"/>
  <c r="AX291"/>
  <c r="AX285"/>
  <c r="AX279"/>
  <c r="AX273"/>
  <c r="AX267"/>
  <c r="AX261"/>
  <c r="AX255"/>
  <c r="AX249"/>
  <c r="AX243"/>
  <c r="AX237"/>
  <c r="AX231"/>
  <c r="AX225"/>
  <c r="AX219"/>
  <c r="AX213"/>
  <c r="AX207"/>
  <c r="AX201"/>
  <c r="AX195"/>
  <c r="AX189"/>
  <c r="AX183"/>
  <c r="AX177"/>
  <c r="AX171"/>
  <c r="AX165"/>
  <c r="AX159"/>
  <c r="AX153"/>
  <c r="AX147"/>
  <c r="AX141"/>
  <c r="AX135"/>
  <c r="AX129"/>
  <c r="AX123"/>
  <c r="AX117"/>
  <c r="AX111"/>
  <c r="AX105"/>
  <c r="AX99"/>
  <c r="AX93"/>
  <c r="AX87"/>
  <c r="AX81"/>
  <c r="AX75"/>
  <c r="AX69"/>
  <c r="AX63"/>
  <c r="AX57"/>
  <c r="AX51"/>
  <c r="AX45"/>
  <c r="AX39"/>
  <c r="AX33"/>
  <c r="AX27"/>
  <c r="AX21"/>
  <c r="BF21" s="1"/>
  <c r="AX15"/>
  <c r="BF15" s="1"/>
  <c r="AX508"/>
  <c r="AX502"/>
  <c r="AX496"/>
  <c r="AX490"/>
  <c r="AX484"/>
  <c r="AX478"/>
  <c r="AX472"/>
  <c r="AX466"/>
  <c r="AX460"/>
  <c r="AX454"/>
  <c r="AX448"/>
  <c r="AX442"/>
  <c r="AX436"/>
  <c r="AX430"/>
  <c r="AX424"/>
  <c r="AX418"/>
  <c r="AX412"/>
  <c r="AX406"/>
  <c r="AX400"/>
  <c r="AX394"/>
  <c r="AX388"/>
  <c r="AX382"/>
  <c r="AX376"/>
  <c r="AX370"/>
  <c r="AX364"/>
  <c r="AX358"/>
  <c r="AX352"/>
  <c r="AX346"/>
  <c r="AX340"/>
  <c r="AX334"/>
  <c r="AX328"/>
  <c r="AX322"/>
  <c r="AX316"/>
  <c r="AX310"/>
  <c r="AX304"/>
  <c r="AX298"/>
  <c r="AX292"/>
  <c r="AX286"/>
  <c r="AX280"/>
  <c r="AX274"/>
  <c r="AX268"/>
  <c r="AX262"/>
  <c r="AX256"/>
  <c r="AX250"/>
  <c r="AX244"/>
  <c r="AX238"/>
  <c r="AX232"/>
  <c r="AX226"/>
  <c r="AX220"/>
  <c r="AX214"/>
  <c r="AX208"/>
  <c r="AX202"/>
  <c r="AX196"/>
  <c r="AX190"/>
  <c r="AX184"/>
  <c r="AX178"/>
  <c r="AX172"/>
  <c r="AX166"/>
  <c r="AX160"/>
  <c r="AX154"/>
  <c r="AX148"/>
  <c r="AX142"/>
  <c r="AX136"/>
  <c r="AX130"/>
  <c r="AX124"/>
  <c r="AX118"/>
  <c r="AX112"/>
  <c r="AX106"/>
  <c r="AX100"/>
  <c r="AX94"/>
  <c r="AX88"/>
  <c r="AX82"/>
  <c r="AX76"/>
  <c r="AX70"/>
  <c r="AX64"/>
  <c r="AX58"/>
  <c r="AX52"/>
  <c r="AX46"/>
  <c r="AX40"/>
  <c r="AX34"/>
  <c r="AX28"/>
  <c r="AX22"/>
  <c r="BF22" s="1"/>
  <c r="AX16"/>
  <c r="BF16" s="1"/>
  <c r="AX509"/>
  <c r="AX503"/>
  <c r="AX497"/>
  <c r="AX491"/>
  <c r="AX485"/>
  <c r="AX479"/>
  <c r="AX473"/>
  <c r="AX467"/>
  <c r="AX461"/>
  <c r="AX455"/>
  <c r="AX449"/>
  <c r="AX443"/>
  <c r="AX437"/>
  <c r="AX431"/>
  <c r="AX425"/>
  <c r="AX419"/>
  <c r="AX413"/>
  <c r="AX407"/>
  <c r="AX401"/>
  <c r="AX395"/>
  <c r="AX389"/>
  <c r="AX383"/>
  <c r="AX377"/>
  <c r="AX371"/>
  <c r="AX365"/>
  <c r="AX359"/>
  <c r="AX353"/>
  <c r="AX347"/>
  <c r="AX341"/>
  <c r="AX335"/>
  <c r="AX329"/>
  <c r="AX323"/>
  <c r="AX317"/>
  <c r="AX311"/>
  <c r="AX305"/>
  <c r="AX299"/>
  <c r="AX293"/>
  <c r="AX287"/>
  <c r="AX281"/>
  <c r="AX275"/>
  <c r="AX269"/>
  <c r="AX263"/>
  <c r="AX257"/>
  <c r="AX251"/>
  <c r="AX245"/>
  <c r="AX239"/>
  <c r="AX233"/>
  <c r="AX227"/>
  <c r="AX221"/>
  <c r="AX215"/>
  <c r="AX209"/>
  <c r="AX203"/>
  <c r="AX197"/>
  <c r="AX191"/>
  <c r="AX185"/>
  <c r="AX179"/>
  <c r="AX173"/>
  <c r="AX167"/>
  <c r="AX161"/>
  <c r="AX155"/>
  <c r="AX149"/>
  <c r="AX143"/>
  <c r="AX137"/>
  <c r="AX131"/>
  <c r="AX125"/>
  <c r="AX119"/>
  <c r="AX113"/>
  <c r="AX107"/>
  <c r="AX101"/>
  <c r="AX95"/>
  <c r="AX89"/>
  <c r="AX83"/>
  <c r="AX77"/>
  <c r="AX71"/>
  <c r="AX65"/>
  <c r="AX59"/>
  <c r="AX53"/>
  <c r="AX47"/>
  <c r="AX41"/>
  <c r="AX35"/>
  <c r="AX29"/>
  <c r="AX23"/>
  <c r="BF23" s="1"/>
  <c r="AX17"/>
  <c r="BF17" s="1"/>
  <c r="AX510"/>
  <c r="AX504"/>
  <c r="AX498"/>
  <c r="AX492"/>
  <c r="AX486"/>
  <c r="AX480"/>
  <c r="AX474"/>
  <c r="AX499"/>
  <c r="AX481"/>
  <c r="AX464"/>
  <c r="AX452"/>
  <c r="AX440"/>
  <c r="AX428"/>
  <c r="AX416"/>
  <c r="AX404"/>
  <c r="AX392"/>
  <c r="AX380"/>
  <c r="AX368"/>
  <c r="AX356"/>
  <c r="AX344"/>
  <c r="AX332"/>
  <c r="AX320"/>
  <c r="AX308"/>
  <c r="AX296"/>
  <c r="AX284"/>
  <c r="AX272"/>
  <c r="AX260"/>
  <c r="AX248"/>
  <c r="AX236"/>
  <c r="AX224"/>
  <c r="AX212"/>
  <c r="AX200"/>
  <c r="AX188"/>
  <c r="AX176"/>
  <c r="AX164"/>
  <c r="AX152"/>
  <c r="AX140"/>
  <c r="AX128"/>
  <c r="AX116"/>
  <c r="AX104"/>
  <c r="AX92"/>
  <c r="AX80"/>
  <c r="AX68"/>
  <c r="AX56"/>
  <c r="AX44"/>
  <c r="AX32"/>
  <c r="AX20"/>
  <c r="BF20" s="1"/>
  <c r="AX500"/>
  <c r="AX482"/>
  <c r="AX468"/>
  <c r="AX456"/>
  <c r="AX444"/>
  <c r="AX432"/>
  <c r="AX420"/>
  <c r="AX408"/>
  <c r="AX396"/>
  <c r="AX384"/>
  <c r="AX372"/>
  <c r="AX360"/>
  <c r="AX348"/>
  <c r="AX336"/>
  <c r="AX324"/>
  <c r="AX312"/>
  <c r="AX300"/>
  <c r="AX288"/>
  <c r="AX276"/>
  <c r="AX264"/>
  <c r="AX252"/>
  <c r="AX240"/>
  <c r="AX228"/>
  <c r="AX216"/>
  <c r="AX204"/>
  <c r="AX192"/>
  <c r="AX180"/>
  <c r="AX168"/>
  <c r="AX156"/>
  <c r="AX144"/>
  <c r="AX132"/>
  <c r="AX120"/>
  <c r="AX108"/>
  <c r="AX96"/>
  <c r="AX84"/>
  <c r="AX72"/>
  <c r="AX60"/>
  <c r="AX48"/>
  <c r="AX36"/>
  <c r="AX24"/>
  <c r="BF24" s="1"/>
  <c r="AX505"/>
  <c r="AX487"/>
  <c r="AX469"/>
  <c r="AX457"/>
  <c r="AX445"/>
  <c r="AX433"/>
  <c r="AX421"/>
  <c r="AX409"/>
  <c r="AX397"/>
  <c r="AX385"/>
  <c r="AX373"/>
  <c r="AX361"/>
  <c r="AX349"/>
  <c r="AX337"/>
  <c r="AX325"/>
  <c r="AX313"/>
  <c r="AX301"/>
  <c r="AX289"/>
  <c r="AX277"/>
  <c r="AX265"/>
  <c r="AX253"/>
  <c r="AX241"/>
  <c r="AX229"/>
  <c r="AX217"/>
  <c r="AX205"/>
  <c r="AX193"/>
  <c r="AX181"/>
  <c r="AX169"/>
  <c r="AX157"/>
  <c r="AX145"/>
  <c r="AX133"/>
  <c r="AX121"/>
  <c r="AX109"/>
  <c r="AX97"/>
  <c r="AX85"/>
  <c r="AX73"/>
  <c r="AX61"/>
  <c r="AX49"/>
  <c r="AX37"/>
  <c r="AX25"/>
  <c r="BF25" s="1"/>
  <c r="AX13"/>
  <c r="BF13" s="1"/>
  <c r="AX506"/>
  <c r="AX488"/>
  <c r="AX470"/>
  <c r="AX458"/>
  <c r="AX446"/>
  <c r="AX434"/>
  <c r="AX422"/>
  <c r="AX410"/>
  <c r="AX398"/>
  <c r="AX386"/>
  <c r="AX374"/>
  <c r="AX362"/>
  <c r="AX350"/>
  <c r="AX338"/>
  <c r="AX326"/>
  <c r="AX314"/>
  <c r="AX302"/>
  <c r="AX290"/>
  <c r="AX278"/>
  <c r="AX266"/>
  <c r="AX254"/>
  <c r="AX242"/>
  <c r="AX230"/>
  <c r="AX218"/>
  <c r="AX206"/>
  <c r="AX194"/>
  <c r="AX182"/>
  <c r="AX170"/>
  <c r="AX158"/>
  <c r="AX146"/>
  <c r="AX134"/>
  <c r="AX122"/>
  <c r="AX110"/>
  <c r="AX98"/>
  <c r="AX86"/>
  <c r="AX74"/>
  <c r="AX62"/>
  <c r="AX50"/>
  <c r="AX38"/>
  <c r="AX26"/>
  <c r="BF26" s="1"/>
  <c r="AX14"/>
  <c r="BF14" s="1"/>
  <c r="AX511"/>
  <c r="AX493"/>
  <c r="AX475"/>
  <c r="AX462"/>
  <c r="AX450"/>
  <c r="AX438"/>
  <c r="AX426"/>
  <c r="AX414"/>
  <c r="AX402"/>
  <c r="AX390"/>
  <c r="AX378"/>
  <c r="AX366"/>
  <c r="AX354"/>
  <c r="AX342"/>
  <c r="AX330"/>
  <c r="AX318"/>
  <c r="AX306"/>
  <c r="AX294"/>
  <c r="AX282"/>
  <c r="AX270"/>
  <c r="AX258"/>
  <c r="AX246"/>
  <c r="AX234"/>
  <c r="AX222"/>
  <c r="AX210"/>
  <c r="AX198"/>
  <c r="AX186"/>
  <c r="AX174"/>
  <c r="AX162"/>
  <c r="AX150"/>
  <c r="AX138"/>
  <c r="AX126"/>
  <c r="AX114"/>
  <c r="AX102"/>
  <c r="AX90"/>
  <c r="AX78"/>
  <c r="AX66"/>
  <c r="AX54"/>
  <c r="AX42"/>
  <c r="AX30"/>
  <c r="AX18"/>
  <c r="BF18" s="1"/>
  <c r="AX512"/>
  <c r="AX494"/>
  <c r="AX476"/>
  <c r="AX463"/>
  <c r="AX451"/>
  <c r="AX439"/>
  <c r="AX427"/>
  <c r="AX415"/>
  <c r="AX403"/>
  <c r="AX391"/>
  <c r="AX379"/>
  <c r="AX367"/>
  <c r="AX355"/>
  <c r="AX343"/>
  <c r="AX331"/>
  <c r="AX319"/>
  <c r="AX307"/>
  <c r="AX295"/>
  <c r="AX283"/>
  <c r="AX271"/>
  <c r="AX259"/>
  <c r="AX247"/>
  <c r="AX235"/>
  <c r="AX223"/>
  <c r="AX211"/>
  <c r="AX199"/>
  <c r="AX187"/>
  <c r="AX175"/>
  <c r="AX163"/>
  <c r="AX151"/>
  <c r="AX139"/>
  <c r="AX127"/>
  <c r="AX115"/>
  <c r="AX103"/>
  <c r="AX91"/>
  <c r="AX79"/>
  <c r="AX67"/>
  <c r="AX55"/>
  <c r="AX43"/>
  <c r="AX31"/>
  <c r="AX19"/>
  <c r="BF19" s="1"/>
  <c r="AU489"/>
  <c r="AU453"/>
  <c r="AU417"/>
  <c r="AU381"/>
  <c r="AU345"/>
  <c r="AU309"/>
  <c r="AU273"/>
  <c r="AU237"/>
  <c r="AU201"/>
  <c r="AU165"/>
  <c r="AU129"/>
  <c r="AU93"/>
  <c r="AU57"/>
  <c r="AU21"/>
  <c r="AU484"/>
  <c r="AU448"/>
  <c r="AU412"/>
  <c r="AU376"/>
  <c r="AU340"/>
  <c r="AU304"/>
  <c r="AU268"/>
  <c r="AU232"/>
  <c r="AU196"/>
  <c r="AU160"/>
  <c r="AU124"/>
  <c r="AU88"/>
  <c r="AU52"/>
  <c r="AU16"/>
  <c r="BC16" s="1"/>
  <c r="AU479"/>
  <c r="AU443"/>
  <c r="AU407"/>
  <c r="AU371"/>
  <c r="AU335"/>
  <c r="AU299"/>
  <c r="AU263"/>
  <c r="AU227"/>
  <c r="AU191"/>
  <c r="AU155"/>
  <c r="AU119"/>
  <c r="AU83"/>
  <c r="AU47"/>
  <c r="AU510"/>
  <c r="AU474"/>
  <c r="AU438"/>
  <c r="AU402"/>
  <c r="AU366"/>
  <c r="AU330"/>
  <c r="AU294"/>
  <c r="AU258"/>
  <c r="AU222"/>
  <c r="AU186"/>
  <c r="AU150"/>
  <c r="AU114"/>
  <c r="AU78"/>
  <c r="AU42"/>
  <c r="AU505"/>
  <c r="AU469"/>
  <c r="AU433"/>
  <c r="AU397"/>
  <c r="AU361"/>
  <c r="AU325"/>
  <c r="AU289"/>
  <c r="AU253"/>
  <c r="AU217"/>
  <c r="AU181"/>
  <c r="AU145"/>
  <c r="AU109"/>
  <c r="AU73"/>
  <c r="AU37"/>
  <c r="AU506"/>
  <c r="AU470"/>
  <c r="AU434"/>
  <c r="AU398"/>
  <c r="AU362"/>
  <c r="AU326"/>
  <c r="AU290"/>
  <c r="AU254"/>
  <c r="AU218"/>
  <c r="AU182"/>
  <c r="AU146"/>
  <c r="AU110"/>
  <c r="AU74"/>
  <c r="AU38"/>
  <c r="AU495"/>
  <c r="AU459"/>
  <c r="AU423"/>
  <c r="AU387"/>
  <c r="AU351"/>
  <c r="AU315"/>
  <c r="AU279"/>
  <c r="AU243"/>
  <c r="AU207"/>
  <c r="AU171"/>
  <c r="AU135"/>
  <c r="AU99"/>
  <c r="AU63"/>
  <c r="AU27"/>
  <c r="AU490"/>
  <c r="AU454"/>
  <c r="AU418"/>
  <c r="AU382"/>
  <c r="AU346"/>
  <c r="AU310"/>
  <c r="AU274"/>
  <c r="AU238"/>
  <c r="AU202"/>
  <c r="AU166"/>
  <c r="AU130"/>
  <c r="AU94"/>
  <c r="AU58"/>
  <c r="AU22"/>
  <c r="AU485"/>
  <c r="AU449"/>
  <c r="AU413"/>
  <c r="AU377"/>
  <c r="AU341"/>
  <c r="AU305"/>
  <c r="AU269"/>
  <c r="AU233"/>
  <c r="AU197"/>
  <c r="AU161"/>
  <c r="AU125"/>
  <c r="AU89"/>
  <c r="AU53"/>
  <c r="AU17"/>
  <c r="BC17" s="1"/>
  <c r="AU480"/>
  <c r="AU444"/>
  <c r="AU408"/>
  <c r="AU372"/>
  <c r="AU336"/>
  <c r="AU300"/>
  <c r="AU264"/>
  <c r="AU228"/>
  <c r="AU192"/>
  <c r="AU156"/>
  <c r="AU120"/>
  <c r="AU84"/>
  <c r="AU48"/>
  <c r="AU511"/>
  <c r="AU475"/>
  <c r="AU439"/>
  <c r="AU403"/>
  <c r="AU367"/>
  <c r="AU331"/>
  <c r="AU295"/>
  <c r="AU259"/>
  <c r="AU223"/>
  <c r="AU187"/>
  <c r="AU151"/>
  <c r="AU115"/>
  <c r="AU79"/>
  <c r="AU43"/>
  <c r="AU512"/>
  <c r="AU476"/>
  <c r="AU440"/>
  <c r="AU404"/>
  <c r="AU368"/>
  <c r="AU332"/>
  <c r="AU296"/>
  <c r="AU260"/>
  <c r="AU224"/>
  <c r="AU188"/>
  <c r="AU152"/>
  <c r="AU116"/>
  <c r="AU80"/>
  <c r="AU44"/>
  <c r="AU501"/>
  <c r="AU465"/>
  <c r="AU429"/>
  <c r="AU393"/>
  <c r="AU357"/>
  <c r="AU321"/>
  <c r="AU285"/>
  <c r="AU249"/>
  <c r="AU213"/>
  <c r="AU177"/>
  <c r="AU141"/>
  <c r="AU105"/>
  <c r="AU69"/>
  <c r="AU33"/>
  <c r="AU496"/>
  <c r="AU460"/>
  <c r="AU424"/>
  <c r="AU388"/>
  <c r="AU352"/>
  <c r="AU316"/>
  <c r="AU280"/>
  <c r="AU244"/>
  <c r="AU208"/>
  <c r="AU172"/>
  <c r="AU136"/>
  <c r="AU100"/>
  <c r="AU64"/>
  <c r="AU28"/>
  <c r="AU491"/>
  <c r="AU455"/>
  <c r="AU419"/>
  <c r="AU383"/>
  <c r="AU347"/>
  <c r="AU311"/>
  <c r="AU275"/>
  <c r="AU239"/>
  <c r="AU203"/>
  <c r="AU167"/>
  <c r="AU131"/>
  <c r="AU95"/>
  <c r="AU59"/>
  <c r="AU23"/>
  <c r="BC23" s="1"/>
  <c r="AU486"/>
  <c r="AU450"/>
  <c r="AU414"/>
  <c r="AU378"/>
  <c r="AU342"/>
  <c r="AU306"/>
  <c r="AU270"/>
  <c r="AU234"/>
  <c r="AU198"/>
  <c r="AU162"/>
  <c r="AU126"/>
  <c r="AU90"/>
  <c r="AU54"/>
  <c r="AU18"/>
  <c r="AU481"/>
  <c r="AU445"/>
  <c r="AU409"/>
  <c r="AU373"/>
  <c r="AU337"/>
  <c r="AU301"/>
  <c r="AU265"/>
  <c r="AU229"/>
  <c r="AU193"/>
  <c r="AU157"/>
  <c r="AU121"/>
  <c r="AU85"/>
  <c r="AU49"/>
  <c r="AU13"/>
  <c r="AU482"/>
  <c r="AU446"/>
  <c r="AU410"/>
  <c r="AU374"/>
  <c r="AU338"/>
  <c r="AU302"/>
  <c r="AU266"/>
  <c r="AU230"/>
  <c r="AU194"/>
  <c r="AU158"/>
  <c r="AU122"/>
  <c r="AU86"/>
  <c r="AU50"/>
  <c r="AU14"/>
  <c r="BC14" s="1"/>
  <c r="AU507"/>
  <c r="AU471"/>
  <c r="AU435"/>
  <c r="AU399"/>
  <c r="AU363"/>
  <c r="AU327"/>
  <c r="AU291"/>
  <c r="AU255"/>
  <c r="AU219"/>
  <c r="AU183"/>
  <c r="AU147"/>
  <c r="AU111"/>
  <c r="AU75"/>
  <c r="AU39"/>
  <c r="AU502"/>
  <c r="AU466"/>
  <c r="AU430"/>
  <c r="AU394"/>
  <c r="AU358"/>
  <c r="AU322"/>
  <c r="AU286"/>
  <c r="AU250"/>
  <c r="AU214"/>
  <c r="AU178"/>
  <c r="AU142"/>
  <c r="AU106"/>
  <c r="AU70"/>
  <c r="AU34"/>
  <c r="AU497"/>
  <c r="AU461"/>
  <c r="AU425"/>
  <c r="AU389"/>
  <c r="AU353"/>
  <c r="AU317"/>
  <c r="AU281"/>
  <c r="AU245"/>
  <c r="AU209"/>
  <c r="AU173"/>
  <c r="AU137"/>
  <c r="AU101"/>
  <c r="AU65"/>
  <c r="AU29"/>
  <c r="AU492"/>
  <c r="AU456"/>
  <c r="AU420"/>
  <c r="AU384"/>
  <c r="AU348"/>
  <c r="AU312"/>
  <c r="AU276"/>
  <c r="AU240"/>
  <c r="AU204"/>
  <c r="AU168"/>
  <c r="AU132"/>
  <c r="AU96"/>
  <c r="AU60"/>
  <c r="AU24"/>
  <c r="AU487"/>
  <c r="AU451"/>
  <c r="AU415"/>
  <c r="AU379"/>
  <c r="AU343"/>
  <c r="AU307"/>
  <c r="AU271"/>
  <c r="AU235"/>
  <c r="AU199"/>
  <c r="AU163"/>
  <c r="AU127"/>
  <c r="AU91"/>
  <c r="AU55"/>
  <c r="AU19"/>
  <c r="AU488"/>
  <c r="AU452"/>
  <c r="AU416"/>
  <c r="AU380"/>
  <c r="AU344"/>
  <c r="AU308"/>
  <c r="AU272"/>
  <c r="AU236"/>
  <c r="AU200"/>
  <c r="AU164"/>
  <c r="AU128"/>
  <c r="AU92"/>
  <c r="AU56"/>
  <c r="AU20"/>
  <c r="BC20" s="1"/>
  <c r="AU477"/>
  <c r="AU441"/>
  <c r="AU405"/>
  <c r="AU369"/>
  <c r="AU333"/>
  <c r="AU297"/>
  <c r="AU261"/>
  <c r="AU225"/>
  <c r="AU189"/>
  <c r="AU153"/>
  <c r="AU117"/>
  <c r="AU81"/>
  <c r="AU45"/>
  <c r="AU508"/>
  <c r="AU472"/>
  <c r="AU436"/>
  <c r="AU400"/>
  <c r="AU364"/>
  <c r="AU328"/>
  <c r="AU292"/>
  <c r="AU256"/>
  <c r="AU220"/>
  <c r="AU184"/>
  <c r="AU148"/>
  <c r="AU112"/>
  <c r="AU76"/>
  <c r="AU40"/>
  <c r="AU503"/>
  <c r="AU467"/>
  <c r="AU431"/>
  <c r="AU395"/>
  <c r="AU359"/>
  <c r="AU323"/>
  <c r="AU287"/>
  <c r="AU251"/>
  <c r="AU215"/>
  <c r="AU179"/>
  <c r="AU143"/>
  <c r="AU107"/>
  <c r="AU71"/>
  <c r="AU35"/>
  <c r="AU498"/>
  <c r="AU462"/>
  <c r="AU426"/>
  <c r="AU390"/>
  <c r="AU354"/>
  <c r="AU318"/>
  <c r="AU282"/>
  <c r="AU246"/>
  <c r="AU210"/>
  <c r="AU174"/>
  <c r="AU138"/>
  <c r="AU102"/>
  <c r="AU66"/>
  <c r="AU30"/>
  <c r="AU493"/>
  <c r="AU457"/>
  <c r="AU421"/>
  <c r="AU385"/>
  <c r="AU349"/>
  <c r="AU313"/>
  <c r="AU277"/>
  <c r="AU241"/>
  <c r="AU205"/>
  <c r="AU169"/>
  <c r="AU133"/>
  <c r="AU97"/>
  <c r="AU61"/>
  <c r="AU25"/>
  <c r="AU494"/>
  <c r="AU458"/>
  <c r="AU422"/>
  <c r="AU386"/>
  <c r="AU350"/>
  <c r="AU314"/>
  <c r="AU278"/>
  <c r="AU242"/>
  <c r="AU206"/>
  <c r="AU170"/>
  <c r="AU134"/>
  <c r="AU98"/>
  <c r="AU62"/>
  <c r="AU26"/>
  <c r="AU483"/>
  <c r="AU447"/>
  <c r="AU411"/>
  <c r="AU375"/>
  <c r="AU339"/>
  <c r="AU303"/>
  <c r="AU267"/>
  <c r="AU231"/>
  <c r="AU195"/>
  <c r="AU159"/>
  <c r="AU123"/>
  <c r="AU87"/>
  <c r="AU51"/>
  <c r="AU15"/>
  <c r="AU478"/>
  <c r="AU442"/>
  <c r="AU406"/>
  <c r="AU370"/>
  <c r="AU334"/>
  <c r="AU298"/>
  <c r="AU262"/>
  <c r="AU226"/>
  <c r="AU190"/>
  <c r="AU154"/>
  <c r="AU118"/>
  <c r="AU82"/>
  <c r="AU46"/>
  <c r="AU509"/>
  <c r="AU473"/>
  <c r="AU437"/>
  <c r="AU401"/>
  <c r="AU365"/>
  <c r="AU329"/>
  <c r="AU293"/>
  <c r="AU257"/>
  <c r="AU221"/>
  <c r="AU185"/>
  <c r="AU149"/>
  <c r="AU113"/>
  <c r="AU77"/>
  <c r="AU41"/>
  <c r="AU504"/>
  <c r="AU468"/>
  <c r="AU432"/>
  <c r="AU396"/>
  <c r="AU360"/>
  <c r="AU324"/>
  <c r="AU288"/>
  <c r="AU252"/>
  <c r="AU216"/>
  <c r="AU180"/>
  <c r="AU144"/>
  <c r="AU108"/>
  <c r="AU72"/>
  <c r="AU36"/>
  <c r="AU499"/>
  <c r="AU463"/>
  <c r="AU427"/>
  <c r="AU391"/>
  <c r="AU355"/>
  <c r="AU319"/>
  <c r="AU283"/>
  <c r="AU247"/>
  <c r="AU211"/>
  <c r="AU175"/>
  <c r="AU139"/>
  <c r="AU103"/>
  <c r="AU67"/>
  <c r="AU31"/>
  <c r="AU500"/>
  <c r="AU464"/>
  <c r="AU428"/>
  <c r="AU392"/>
  <c r="AU356"/>
  <c r="AU320"/>
  <c r="AU284"/>
  <c r="AU248"/>
  <c r="AU212"/>
  <c r="AU176"/>
  <c r="AU140"/>
  <c r="AU104"/>
  <c r="AU68"/>
  <c r="AU32"/>
  <c r="AS507"/>
  <c r="AS501"/>
  <c r="AS495"/>
  <c r="AS489"/>
  <c r="AS483"/>
  <c r="AS477"/>
  <c r="AS471"/>
  <c r="AS465"/>
  <c r="AS459"/>
  <c r="AS453"/>
  <c r="AS447"/>
  <c r="AS441"/>
  <c r="AS435"/>
  <c r="AS429"/>
  <c r="AS423"/>
  <c r="AS417"/>
  <c r="AS411"/>
  <c r="AS405"/>
  <c r="AS399"/>
  <c r="AS393"/>
  <c r="AS387"/>
  <c r="AS381"/>
  <c r="AS375"/>
  <c r="AS369"/>
  <c r="AS363"/>
  <c r="AS357"/>
  <c r="AS351"/>
  <c r="AS345"/>
  <c r="AS339"/>
  <c r="AS333"/>
  <c r="AS327"/>
  <c r="AS321"/>
  <c r="AS315"/>
  <c r="AS309"/>
  <c r="AS303"/>
  <c r="AS297"/>
  <c r="AS291"/>
  <c r="AS285"/>
  <c r="AS279"/>
  <c r="AS273"/>
  <c r="AS267"/>
  <c r="AS261"/>
  <c r="AS255"/>
  <c r="AS249"/>
  <c r="AS243"/>
  <c r="AS237"/>
  <c r="AS231"/>
  <c r="AS225"/>
  <c r="AS219"/>
  <c r="AS213"/>
  <c r="AS207"/>
  <c r="AS201"/>
  <c r="AS195"/>
  <c r="AS189"/>
  <c r="AS183"/>
  <c r="AS177"/>
  <c r="AS171"/>
  <c r="AS165"/>
  <c r="AS159"/>
  <c r="AS153"/>
  <c r="AS147"/>
  <c r="AS141"/>
  <c r="AS135"/>
  <c r="AS129"/>
  <c r="AS123"/>
  <c r="AS117"/>
  <c r="AS111"/>
  <c r="AS105"/>
  <c r="AS99"/>
  <c r="AS93"/>
  <c r="AS87"/>
  <c r="AS81"/>
  <c r="AS75"/>
  <c r="AS69"/>
  <c r="AS63"/>
  <c r="AS57"/>
  <c r="AS51"/>
  <c r="AS45"/>
  <c r="AS39"/>
  <c r="AS33"/>
  <c r="AS27"/>
  <c r="AS21"/>
  <c r="AS15"/>
  <c r="BA15" s="1"/>
  <c r="AS505"/>
  <c r="AS469"/>
  <c r="AS457"/>
  <c r="AS445"/>
  <c r="AS427"/>
  <c r="AS415"/>
  <c r="AS403"/>
  <c r="AS391"/>
  <c r="AS379"/>
  <c r="AS367"/>
  <c r="AS355"/>
  <c r="AS349"/>
  <c r="AS337"/>
  <c r="AS325"/>
  <c r="AS307"/>
  <c r="AS289"/>
  <c r="AS277"/>
  <c r="AS259"/>
  <c r="AS247"/>
  <c r="AS223"/>
  <c r="AS193"/>
  <c r="AS157"/>
  <c r="AS133"/>
  <c r="AS115"/>
  <c r="AS91"/>
  <c r="AS73"/>
  <c r="AS37"/>
  <c r="AS508"/>
  <c r="AS502"/>
  <c r="AS496"/>
  <c r="AS490"/>
  <c r="AS484"/>
  <c r="AS478"/>
  <c r="AS472"/>
  <c r="AS466"/>
  <c r="AS460"/>
  <c r="AS454"/>
  <c r="AS448"/>
  <c r="AS442"/>
  <c r="AS436"/>
  <c r="AS430"/>
  <c r="AS424"/>
  <c r="AS418"/>
  <c r="AS412"/>
  <c r="AS406"/>
  <c r="AS400"/>
  <c r="AS394"/>
  <c r="AS388"/>
  <c r="AS382"/>
  <c r="AS376"/>
  <c r="AS370"/>
  <c r="AS364"/>
  <c r="AS358"/>
  <c r="AS352"/>
  <c r="AS346"/>
  <c r="AS340"/>
  <c r="AS334"/>
  <c r="AS328"/>
  <c r="AS322"/>
  <c r="AS316"/>
  <c r="AS310"/>
  <c r="AS304"/>
  <c r="AS298"/>
  <c r="AS292"/>
  <c r="AS286"/>
  <c r="AS280"/>
  <c r="AS274"/>
  <c r="AS268"/>
  <c r="AS262"/>
  <c r="AS256"/>
  <c r="AS250"/>
  <c r="AS244"/>
  <c r="AS238"/>
  <c r="AS232"/>
  <c r="AS226"/>
  <c r="AS220"/>
  <c r="AS214"/>
  <c r="AS208"/>
  <c r="AS202"/>
  <c r="AS196"/>
  <c r="AS190"/>
  <c r="AS184"/>
  <c r="AS178"/>
  <c r="AS172"/>
  <c r="AS166"/>
  <c r="AS160"/>
  <c r="AS154"/>
  <c r="AS148"/>
  <c r="AS142"/>
  <c r="AS136"/>
  <c r="AS130"/>
  <c r="AS124"/>
  <c r="AS118"/>
  <c r="AS112"/>
  <c r="AS106"/>
  <c r="AS100"/>
  <c r="AS94"/>
  <c r="AS88"/>
  <c r="AS82"/>
  <c r="AS76"/>
  <c r="AS70"/>
  <c r="AS64"/>
  <c r="AS58"/>
  <c r="AS52"/>
  <c r="AS46"/>
  <c r="AS40"/>
  <c r="AS34"/>
  <c r="AS28"/>
  <c r="AS22"/>
  <c r="AS16"/>
  <c r="BA16" s="1"/>
  <c r="AS493"/>
  <c r="AS331"/>
  <c r="AS271"/>
  <c r="AS235"/>
  <c r="AS211"/>
  <c r="AS187"/>
  <c r="AS151"/>
  <c r="AS121"/>
  <c r="AS85"/>
  <c r="AS61"/>
  <c r="AS31"/>
  <c r="AS509"/>
  <c r="AS503"/>
  <c r="AS497"/>
  <c r="AS491"/>
  <c r="AS485"/>
  <c r="AS479"/>
  <c r="AS473"/>
  <c r="AS467"/>
  <c r="AS461"/>
  <c r="AS455"/>
  <c r="AS449"/>
  <c r="AS443"/>
  <c r="AS437"/>
  <c r="AS431"/>
  <c r="AS425"/>
  <c r="AS419"/>
  <c r="AS413"/>
  <c r="AS407"/>
  <c r="AS401"/>
  <c r="AS395"/>
  <c r="AS389"/>
  <c r="AS383"/>
  <c r="AS377"/>
  <c r="AS371"/>
  <c r="AS365"/>
  <c r="AS359"/>
  <c r="AS353"/>
  <c r="AS347"/>
  <c r="AS341"/>
  <c r="AS335"/>
  <c r="AS329"/>
  <c r="AS323"/>
  <c r="AS317"/>
  <c r="AS311"/>
  <c r="AS305"/>
  <c r="AS299"/>
  <c r="AS293"/>
  <c r="AS287"/>
  <c r="AS281"/>
  <c r="AS275"/>
  <c r="AS269"/>
  <c r="AS263"/>
  <c r="AS257"/>
  <c r="AS251"/>
  <c r="AS245"/>
  <c r="AS239"/>
  <c r="AS233"/>
  <c r="AS227"/>
  <c r="AS221"/>
  <c r="AS215"/>
  <c r="AS209"/>
  <c r="AS203"/>
  <c r="AS197"/>
  <c r="AS191"/>
  <c r="AS185"/>
  <c r="AS179"/>
  <c r="AS173"/>
  <c r="AS167"/>
  <c r="AS161"/>
  <c r="AS155"/>
  <c r="AS149"/>
  <c r="AS143"/>
  <c r="AS137"/>
  <c r="AS131"/>
  <c r="AS125"/>
  <c r="AS119"/>
  <c r="AS113"/>
  <c r="AS107"/>
  <c r="AS101"/>
  <c r="AS95"/>
  <c r="AS89"/>
  <c r="AS83"/>
  <c r="AS77"/>
  <c r="AS71"/>
  <c r="AS65"/>
  <c r="AS59"/>
  <c r="AS53"/>
  <c r="AS47"/>
  <c r="AS41"/>
  <c r="AS35"/>
  <c r="AS29"/>
  <c r="AS23"/>
  <c r="AS17"/>
  <c r="AS487"/>
  <c r="AS313"/>
  <c r="AS241"/>
  <c r="AS199"/>
  <c r="AS169"/>
  <c r="AS139"/>
  <c r="AS97"/>
  <c r="AS55"/>
  <c r="AS25"/>
  <c r="BA25" s="1"/>
  <c r="AS510"/>
  <c r="AS504"/>
  <c r="AS498"/>
  <c r="AS492"/>
  <c r="AS486"/>
  <c r="AS480"/>
  <c r="AS474"/>
  <c r="AS468"/>
  <c r="AS462"/>
  <c r="AS456"/>
  <c r="AS450"/>
  <c r="AS444"/>
  <c r="AS438"/>
  <c r="AS432"/>
  <c r="AS426"/>
  <c r="AS420"/>
  <c r="AS414"/>
  <c r="AS408"/>
  <c r="AS402"/>
  <c r="AS396"/>
  <c r="AS390"/>
  <c r="AS384"/>
  <c r="AS378"/>
  <c r="AS372"/>
  <c r="AS366"/>
  <c r="AS360"/>
  <c r="AS354"/>
  <c r="AS348"/>
  <c r="AS342"/>
  <c r="AS336"/>
  <c r="AS330"/>
  <c r="AS324"/>
  <c r="AS318"/>
  <c r="AS312"/>
  <c r="AS306"/>
  <c r="AS300"/>
  <c r="AS294"/>
  <c r="AS288"/>
  <c r="AS282"/>
  <c r="AS276"/>
  <c r="AS270"/>
  <c r="AS264"/>
  <c r="AS258"/>
  <c r="AS252"/>
  <c r="AS246"/>
  <c r="AS240"/>
  <c r="AS234"/>
  <c r="AS228"/>
  <c r="AS222"/>
  <c r="AS216"/>
  <c r="AS210"/>
  <c r="AS204"/>
  <c r="AS198"/>
  <c r="AS192"/>
  <c r="AS186"/>
  <c r="AS180"/>
  <c r="AS174"/>
  <c r="AS168"/>
  <c r="AS162"/>
  <c r="AS156"/>
  <c r="AS150"/>
  <c r="AS144"/>
  <c r="AS138"/>
  <c r="AS132"/>
  <c r="AS126"/>
  <c r="AS120"/>
  <c r="AS114"/>
  <c r="AS108"/>
  <c r="AS102"/>
  <c r="AS96"/>
  <c r="AS90"/>
  <c r="AS84"/>
  <c r="AS78"/>
  <c r="AS72"/>
  <c r="AS66"/>
  <c r="AS60"/>
  <c r="AS54"/>
  <c r="AS48"/>
  <c r="AS42"/>
  <c r="AS36"/>
  <c r="AS30"/>
  <c r="AS24"/>
  <c r="AS18"/>
  <c r="AS499"/>
  <c r="AS295"/>
  <c r="AS217"/>
  <c r="AS175"/>
  <c r="AS145"/>
  <c r="AS109"/>
  <c r="AS79"/>
  <c r="AS49"/>
  <c r="AS19"/>
  <c r="AS512"/>
  <c r="AS506"/>
  <c r="AS500"/>
  <c r="AS494"/>
  <c r="AS488"/>
  <c r="AS482"/>
  <c r="AS476"/>
  <c r="AS470"/>
  <c r="AS464"/>
  <c r="AS458"/>
  <c r="AS452"/>
  <c r="AS446"/>
  <c r="AS440"/>
  <c r="AS434"/>
  <c r="AS428"/>
  <c r="AS422"/>
  <c r="AS416"/>
  <c r="AS410"/>
  <c r="AS404"/>
  <c r="AS398"/>
  <c r="AS392"/>
  <c r="AS386"/>
  <c r="AS380"/>
  <c r="AS374"/>
  <c r="AS368"/>
  <c r="AS362"/>
  <c r="AS356"/>
  <c r="AS350"/>
  <c r="AS344"/>
  <c r="AS338"/>
  <c r="AS332"/>
  <c r="AS326"/>
  <c r="AS320"/>
  <c r="AS314"/>
  <c r="AS308"/>
  <c r="AS302"/>
  <c r="AS296"/>
  <c r="AS290"/>
  <c r="AS284"/>
  <c r="AS278"/>
  <c r="AS272"/>
  <c r="AS266"/>
  <c r="AS260"/>
  <c r="AS254"/>
  <c r="AS248"/>
  <c r="AS242"/>
  <c r="AS236"/>
  <c r="AS230"/>
  <c r="AS224"/>
  <c r="AS218"/>
  <c r="AS212"/>
  <c r="AS206"/>
  <c r="AS200"/>
  <c r="AS194"/>
  <c r="AS188"/>
  <c r="AS182"/>
  <c r="AS176"/>
  <c r="AS170"/>
  <c r="AS164"/>
  <c r="AS158"/>
  <c r="AS152"/>
  <c r="AS146"/>
  <c r="AS140"/>
  <c r="AS134"/>
  <c r="AS128"/>
  <c r="AS122"/>
  <c r="AS116"/>
  <c r="AS110"/>
  <c r="AS104"/>
  <c r="AS98"/>
  <c r="AS92"/>
  <c r="AS86"/>
  <c r="AS80"/>
  <c r="AS74"/>
  <c r="AS68"/>
  <c r="AS62"/>
  <c r="AS56"/>
  <c r="AS50"/>
  <c r="AS44"/>
  <c r="AS38"/>
  <c r="AS32"/>
  <c r="AS26"/>
  <c r="AS20"/>
  <c r="BA20" s="1"/>
  <c r="AS14"/>
  <c r="AS511"/>
  <c r="AS481"/>
  <c r="AS475"/>
  <c r="AS463"/>
  <c r="AS451"/>
  <c r="AS439"/>
  <c r="AS433"/>
  <c r="AS421"/>
  <c r="AS409"/>
  <c r="AS397"/>
  <c r="AS385"/>
  <c r="AS373"/>
  <c r="AS361"/>
  <c r="AS343"/>
  <c r="AS319"/>
  <c r="AS301"/>
  <c r="AS283"/>
  <c r="AS265"/>
  <c r="AS253"/>
  <c r="AS229"/>
  <c r="AS205"/>
  <c r="AS181"/>
  <c r="AS163"/>
  <c r="AS127"/>
  <c r="AS103"/>
  <c r="AS67"/>
  <c r="AS43"/>
  <c r="AS13"/>
  <c r="BA13" s="1"/>
  <c r="AR17"/>
  <c r="AZ17" s="1"/>
  <c r="AR23"/>
  <c r="AZ23" s="1"/>
  <c r="AR29"/>
  <c r="AR35"/>
  <c r="AR41"/>
  <c r="AR47"/>
  <c r="AR53"/>
  <c r="AR59"/>
  <c r="AR65"/>
  <c r="AR71"/>
  <c r="AR77"/>
  <c r="AR83"/>
  <c r="AR89"/>
  <c r="AR95"/>
  <c r="AR101"/>
  <c r="AR107"/>
  <c r="AR113"/>
  <c r="AR119"/>
  <c r="AR125"/>
  <c r="AR131"/>
  <c r="AR137"/>
  <c r="AR143"/>
  <c r="AR149"/>
  <c r="AR155"/>
  <c r="AR161"/>
  <c r="AR167"/>
  <c r="AR173"/>
  <c r="AR179"/>
  <c r="AR185"/>
  <c r="AR191"/>
  <c r="AR197"/>
  <c r="AR203"/>
  <c r="AR209"/>
  <c r="AR215"/>
  <c r="AR221"/>
  <c r="AR227"/>
  <c r="AR233"/>
  <c r="AR239"/>
  <c r="AR245"/>
  <c r="AR251"/>
  <c r="AR257"/>
  <c r="AR263"/>
  <c r="AR269"/>
  <c r="AR275"/>
  <c r="AR281"/>
  <c r="AR287"/>
  <c r="AR293"/>
  <c r="AR299"/>
  <c r="AR305"/>
  <c r="AR311"/>
  <c r="AR317"/>
  <c r="AR323"/>
  <c r="AR329"/>
  <c r="AR335"/>
  <c r="AR341"/>
  <c r="AR347"/>
  <c r="AR353"/>
  <c r="AR359"/>
  <c r="AR365"/>
  <c r="AR371"/>
  <c r="AR377"/>
  <c r="AR383"/>
  <c r="AR389"/>
  <c r="AR395"/>
  <c r="AR401"/>
  <c r="AR407"/>
  <c r="AR413"/>
  <c r="AR419"/>
  <c r="AR425"/>
  <c r="AR431"/>
  <c r="AR437"/>
  <c r="AR443"/>
  <c r="AR449"/>
  <c r="AR455"/>
  <c r="AR461"/>
  <c r="AR467"/>
  <c r="AR473"/>
  <c r="AR479"/>
  <c r="AR485"/>
  <c r="AR491"/>
  <c r="AR497"/>
  <c r="AR503"/>
  <c r="AR509"/>
  <c r="AR16"/>
  <c r="AZ16" s="1"/>
  <c r="AR22"/>
  <c r="AZ22" s="1"/>
  <c r="AR28"/>
  <c r="AR34"/>
  <c r="AR40"/>
  <c r="AR46"/>
  <c r="AR52"/>
  <c r="AR58"/>
  <c r="AR64"/>
  <c r="AR70"/>
  <c r="AR76"/>
  <c r="AR82"/>
  <c r="AR88"/>
  <c r="AR94"/>
  <c r="AR100"/>
  <c r="AR106"/>
  <c r="AR112"/>
  <c r="AR118"/>
  <c r="AR124"/>
  <c r="AR130"/>
  <c r="AR136"/>
  <c r="AR142"/>
  <c r="AR148"/>
  <c r="AR154"/>
  <c r="AR160"/>
  <c r="AR166"/>
  <c r="AR172"/>
  <c r="AR178"/>
  <c r="AR184"/>
  <c r="AR190"/>
  <c r="AR196"/>
  <c r="AR202"/>
  <c r="AR208"/>
  <c r="AR214"/>
  <c r="AR220"/>
  <c r="AR226"/>
  <c r="AR232"/>
  <c r="AR238"/>
  <c r="AR244"/>
  <c r="AR250"/>
  <c r="AR256"/>
  <c r="AR262"/>
  <c r="AR268"/>
  <c r="AR274"/>
  <c r="AR280"/>
  <c r="AR286"/>
  <c r="AR292"/>
  <c r="AR298"/>
  <c r="AR304"/>
  <c r="AR310"/>
  <c r="AR316"/>
  <c r="AR322"/>
  <c r="AR328"/>
  <c r="AR334"/>
  <c r="AR340"/>
  <c r="AR346"/>
  <c r="AR352"/>
  <c r="AR358"/>
  <c r="AR364"/>
  <c r="AR370"/>
  <c r="AR376"/>
  <c r="AR382"/>
  <c r="AR388"/>
  <c r="AR394"/>
  <c r="AR400"/>
  <c r="AR406"/>
  <c r="AR412"/>
  <c r="AR418"/>
  <c r="AR424"/>
  <c r="AR430"/>
  <c r="AR436"/>
  <c r="AR442"/>
  <c r="AR448"/>
  <c r="AR454"/>
  <c r="AR460"/>
  <c r="AR466"/>
  <c r="AR472"/>
  <c r="AR478"/>
  <c r="AR484"/>
  <c r="AR490"/>
  <c r="AR496"/>
  <c r="AR502"/>
  <c r="AR508"/>
  <c r="AR15"/>
  <c r="AZ15" s="1"/>
  <c r="AR21"/>
  <c r="AZ21" s="1"/>
  <c r="AR27"/>
  <c r="AR33"/>
  <c r="AR39"/>
  <c r="AR45"/>
  <c r="AR51"/>
  <c r="AR57"/>
  <c r="AR63"/>
  <c r="AR69"/>
  <c r="AR75"/>
  <c r="AR81"/>
  <c r="AR87"/>
  <c r="AR93"/>
  <c r="AR99"/>
  <c r="AR105"/>
  <c r="AR111"/>
  <c r="AR117"/>
  <c r="AR123"/>
  <c r="AR129"/>
  <c r="AR135"/>
  <c r="AR141"/>
  <c r="AR147"/>
  <c r="AR153"/>
  <c r="AR159"/>
  <c r="AR165"/>
  <c r="AR171"/>
  <c r="AR177"/>
  <c r="AR183"/>
  <c r="AR189"/>
  <c r="AR195"/>
  <c r="AR201"/>
  <c r="AR207"/>
  <c r="AR213"/>
  <c r="AR219"/>
  <c r="AR225"/>
  <c r="AR231"/>
  <c r="AR237"/>
  <c r="AR243"/>
  <c r="AR249"/>
  <c r="AR255"/>
  <c r="AR261"/>
  <c r="AR267"/>
  <c r="AR273"/>
  <c r="AR279"/>
  <c r="AR285"/>
  <c r="AR291"/>
  <c r="AR297"/>
  <c r="AR303"/>
  <c r="AR309"/>
  <c r="AR315"/>
  <c r="AR321"/>
  <c r="AR327"/>
  <c r="AR333"/>
  <c r="AR339"/>
  <c r="AR345"/>
  <c r="AR351"/>
  <c r="AR357"/>
  <c r="AR363"/>
  <c r="AR369"/>
  <c r="AR375"/>
  <c r="AR381"/>
  <c r="AR387"/>
  <c r="AR393"/>
  <c r="AR399"/>
  <c r="AR405"/>
  <c r="AR411"/>
  <c r="AR417"/>
  <c r="AR423"/>
  <c r="AR429"/>
  <c r="AR435"/>
  <c r="AR441"/>
  <c r="AR447"/>
  <c r="AR453"/>
  <c r="AR459"/>
  <c r="AR465"/>
  <c r="AR471"/>
  <c r="AR477"/>
  <c r="AR483"/>
  <c r="AR489"/>
  <c r="AR495"/>
  <c r="AR501"/>
  <c r="AR507"/>
  <c r="AR14"/>
  <c r="AZ14" s="1"/>
  <c r="AR20"/>
  <c r="AZ20" s="1"/>
  <c r="AR26"/>
  <c r="AZ26" s="1"/>
  <c r="AR32"/>
  <c r="AR38"/>
  <c r="AR44"/>
  <c r="AR50"/>
  <c r="AR56"/>
  <c r="AR62"/>
  <c r="AR68"/>
  <c r="AR74"/>
  <c r="AR80"/>
  <c r="AR86"/>
  <c r="AR92"/>
  <c r="AR98"/>
  <c r="AR104"/>
  <c r="AR110"/>
  <c r="AR116"/>
  <c r="AR122"/>
  <c r="AR128"/>
  <c r="AR134"/>
  <c r="AR140"/>
  <c r="AR146"/>
  <c r="AR152"/>
  <c r="AR158"/>
  <c r="AR164"/>
  <c r="AR170"/>
  <c r="AR176"/>
  <c r="AR182"/>
  <c r="AR188"/>
  <c r="AR194"/>
  <c r="AR200"/>
  <c r="AR206"/>
  <c r="AR212"/>
  <c r="AR218"/>
  <c r="AR224"/>
  <c r="AR230"/>
  <c r="AR236"/>
  <c r="AR242"/>
  <c r="AR248"/>
  <c r="AR254"/>
  <c r="AR260"/>
  <c r="AR266"/>
  <c r="AR272"/>
  <c r="AR278"/>
  <c r="AR284"/>
  <c r="AR290"/>
  <c r="AR296"/>
  <c r="AR302"/>
  <c r="AR308"/>
  <c r="AR314"/>
  <c r="AR320"/>
  <c r="AR326"/>
  <c r="AR332"/>
  <c r="AR338"/>
  <c r="AR344"/>
  <c r="AR350"/>
  <c r="AR356"/>
  <c r="AR362"/>
  <c r="AR368"/>
  <c r="AR374"/>
  <c r="AR380"/>
  <c r="AR386"/>
  <c r="AR392"/>
  <c r="AR398"/>
  <c r="AR404"/>
  <c r="AR410"/>
  <c r="AR416"/>
  <c r="AR422"/>
  <c r="AR428"/>
  <c r="AR434"/>
  <c r="AR440"/>
  <c r="AR446"/>
  <c r="AR452"/>
  <c r="AR458"/>
  <c r="AR464"/>
  <c r="AR470"/>
  <c r="AR476"/>
  <c r="AR482"/>
  <c r="AR488"/>
  <c r="AR494"/>
  <c r="AR500"/>
  <c r="AR506"/>
  <c r="AR512"/>
  <c r="AR13"/>
  <c r="AZ13" s="1"/>
  <c r="AR19"/>
  <c r="AZ19" s="1"/>
  <c r="AR25"/>
  <c r="AZ25" s="1"/>
  <c r="AR31"/>
  <c r="AR37"/>
  <c r="AR43"/>
  <c r="AR49"/>
  <c r="AR55"/>
  <c r="AR61"/>
  <c r="AR67"/>
  <c r="AR73"/>
  <c r="AR79"/>
  <c r="AR85"/>
  <c r="AR91"/>
  <c r="AR97"/>
  <c r="AR103"/>
  <c r="AR109"/>
  <c r="AR115"/>
  <c r="AR121"/>
  <c r="AR127"/>
  <c r="AR133"/>
  <c r="AR139"/>
  <c r="AR145"/>
  <c r="AR151"/>
  <c r="AR157"/>
  <c r="AR163"/>
  <c r="AR169"/>
  <c r="AR175"/>
  <c r="AR181"/>
  <c r="AR187"/>
  <c r="AR193"/>
  <c r="AR199"/>
  <c r="AR205"/>
  <c r="AR211"/>
  <c r="AR217"/>
  <c r="AR223"/>
  <c r="AR229"/>
  <c r="AR235"/>
  <c r="AR241"/>
  <c r="AR247"/>
  <c r="AR253"/>
  <c r="AR259"/>
  <c r="AR265"/>
  <c r="AR271"/>
  <c r="AR277"/>
  <c r="AR283"/>
  <c r="AR289"/>
  <c r="AR295"/>
  <c r="AR301"/>
  <c r="AR307"/>
  <c r="AR313"/>
  <c r="AR319"/>
  <c r="AR325"/>
  <c r="AR331"/>
  <c r="AR337"/>
  <c r="AR343"/>
  <c r="AR349"/>
  <c r="AR355"/>
  <c r="AR361"/>
  <c r="AR367"/>
  <c r="AR373"/>
  <c r="AR379"/>
  <c r="AR385"/>
  <c r="AR391"/>
  <c r="AR397"/>
  <c r="AR403"/>
  <c r="AR409"/>
  <c r="AR415"/>
  <c r="AR421"/>
  <c r="AR427"/>
  <c r="AR433"/>
  <c r="AR439"/>
  <c r="AR445"/>
  <c r="AR451"/>
  <c r="AR457"/>
  <c r="AR463"/>
  <c r="AR469"/>
  <c r="AR475"/>
  <c r="AR481"/>
  <c r="AR487"/>
  <c r="AR493"/>
  <c r="AR499"/>
  <c r="AR505"/>
  <c r="AR511"/>
  <c r="AR18"/>
  <c r="AZ18" s="1"/>
  <c r="AR24"/>
  <c r="AZ24" s="1"/>
  <c r="AR30"/>
  <c r="AR36"/>
  <c r="AR42"/>
  <c r="AR48"/>
  <c r="AR54"/>
  <c r="AR60"/>
  <c r="AR66"/>
  <c r="AR72"/>
  <c r="AR78"/>
  <c r="AR84"/>
  <c r="AR90"/>
  <c r="AR96"/>
  <c r="AR102"/>
  <c r="AR108"/>
  <c r="AR114"/>
  <c r="AR120"/>
  <c r="AR126"/>
  <c r="AR132"/>
  <c r="AR138"/>
  <c r="AR144"/>
  <c r="AR150"/>
  <c r="AR156"/>
  <c r="AR162"/>
  <c r="AR168"/>
  <c r="AR174"/>
  <c r="AR180"/>
  <c r="AR186"/>
  <c r="AR192"/>
  <c r="AR198"/>
  <c r="AR204"/>
  <c r="AR210"/>
  <c r="AR216"/>
  <c r="AR222"/>
  <c r="AR228"/>
  <c r="AR234"/>
  <c r="AR240"/>
  <c r="AR246"/>
  <c r="AR252"/>
  <c r="AR258"/>
  <c r="AR264"/>
  <c r="AR270"/>
  <c r="AR276"/>
  <c r="AR282"/>
  <c r="AR288"/>
  <c r="AR294"/>
  <c r="AR300"/>
  <c r="AR306"/>
  <c r="AR312"/>
  <c r="AR318"/>
  <c r="AR324"/>
  <c r="AR330"/>
  <c r="AR336"/>
  <c r="AR342"/>
  <c r="AR348"/>
  <c r="AR354"/>
  <c r="AR360"/>
  <c r="AR366"/>
  <c r="AR372"/>
  <c r="AR378"/>
  <c r="AR384"/>
  <c r="AR390"/>
  <c r="AR396"/>
  <c r="AR402"/>
  <c r="AR408"/>
  <c r="AR414"/>
  <c r="AR420"/>
  <c r="AR426"/>
  <c r="AR432"/>
  <c r="AR438"/>
  <c r="AR444"/>
  <c r="AR450"/>
  <c r="AR456"/>
  <c r="AR462"/>
  <c r="AR468"/>
  <c r="AR474"/>
  <c r="AR480"/>
  <c r="AR486"/>
  <c r="AR492"/>
  <c r="AR498"/>
  <c r="AR504"/>
  <c r="AR510"/>
  <c r="DQ136" i="12"/>
  <c r="DQ137" s="1"/>
  <c r="DQ138" s="1"/>
  <c r="DQ139" s="1"/>
  <c r="DQ140" s="1"/>
  <c r="DQ141" s="1"/>
  <c r="DQ142" s="1"/>
  <c r="DQ143" s="1"/>
  <c r="DQ144" s="1"/>
  <c r="DQ145" s="1"/>
  <c r="DQ146" s="1"/>
  <c r="DQ147" s="1"/>
  <c r="DQ148" s="1"/>
  <c r="DQ149" s="1"/>
  <c r="DQ150" s="1"/>
  <c r="DQ151" s="1"/>
  <c r="DQ152" s="1"/>
  <c r="DQ153" s="1"/>
  <c r="DQ154" s="1"/>
  <c r="DQ155" s="1"/>
  <c r="DS30"/>
  <c r="DU30" s="1"/>
  <c r="K6" i="16"/>
  <c r="AV15" i="7" l="1"/>
  <c r="BD15" s="1"/>
  <c r="BC15"/>
  <c r="AT14"/>
  <c r="BB14" s="1"/>
  <c r="BA14"/>
  <c r="AV13"/>
  <c r="BD13" s="1"/>
  <c r="BC13"/>
  <c r="AV26"/>
  <c r="BC26"/>
  <c r="AT26"/>
  <c r="BB26" s="1"/>
  <c r="BA26"/>
  <c r="AT16"/>
  <c r="BB16" s="1"/>
  <c r="AT15"/>
  <c r="BB15" s="1"/>
  <c r="AV24"/>
  <c r="BD24" s="1"/>
  <c r="BC24"/>
  <c r="AV18"/>
  <c r="BD18" s="1"/>
  <c r="BC18"/>
  <c r="AV25"/>
  <c r="BD25" s="1"/>
  <c r="BC25"/>
  <c r="AV19"/>
  <c r="BD19" s="1"/>
  <c r="BC19"/>
  <c r="AV21"/>
  <c r="BD21" s="1"/>
  <c r="BC21"/>
  <c r="AV22"/>
  <c r="BD22" s="1"/>
  <c r="BC22"/>
  <c r="AT19"/>
  <c r="BB19" s="1"/>
  <c r="BA19"/>
  <c r="AT23"/>
  <c r="BB23" s="1"/>
  <c r="BA23"/>
  <c r="AT21"/>
  <c r="BB21" s="1"/>
  <c r="BA21"/>
  <c r="AT17"/>
  <c r="BB17" s="1"/>
  <c r="BA17"/>
  <c r="AT24"/>
  <c r="BB24" s="1"/>
  <c r="BA24"/>
  <c r="AT22"/>
  <c r="BB22" s="1"/>
  <c r="BA22"/>
  <c r="AT18"/>
  <c r="BB18" s="1"/>
  <c r="BA18"/>
  <c r="AV20"/>
  <c r="AV14"/>
  <c r="AV23"/>
  <c r="AV16"/>
  <c r="AV17"/>
  <c r="AT20"/>
  <c r="BB20" s="1"/>
  <c r="AW18"/>
  <c r="BE18" s="1"/>
  <c r="AT13"/>
  <c r="BB13" s="1"/>
  <c r="AT25"/>
  <c r="BB25" s="1"/>
  <c r="DQ156" i="12"/>
  <c r="DQ157" s="1"/>
  <c r="DQ158" s="1"/>
  <c r="DQ159" s="1"/>
  <c r="DQ160" s="1"/>
  <c r="DQ161" s="1"/>
  <c r="DQ162" s="1"/>
  <c r="DQ163" s="1"/>
  <c r="DQ164" s="1"/>
  <c r="DQ165" s="1"/>
  <c r="DQ166" s="1"/>
  <c r="DQ167" s="1"/>
  <c r="DQ168" s="1"/>
  <c r="DQ169" s="1"/>
  <c r="DQ170" s="1"/>
  <c r="DQ171" s="1"/>
  <c r="DQ172" s="1"/>
  <c r="DQ173" s="1"/>
  <c r="DQ174" s="1"/>
  <c r="DQ175" s="1"/>
  <c r="DS31"/>
  <c r="DU31" s="1"/>
  <c r="AR19" i="18"/>
  <c r="AR20"/>
  <c r="AR21"/>
  <c r="AR22"/>
  <c r="AR23"/>
  <c r="AR24"/>
  <c r="AR25"/>
  <c r="AR26"/>
  <c r="BJ18" i="7"/>
  <c r="AP19" i="16"/>
  <c r="AP24"/>
  <c r="AP22"/>
  <c r="AP20"/>
  <c r="AP23"/>
  <c r="AP18"/>
  <c r="AP17"/>
  <c r="AP15"/>
  <c r="AP21"/>
  <c r="AP26"/>
  <c r="AP25"/>
  <c r="AP16"/>
  <c r="K13" i="18"/>
  <c r="M9" i="1"/>
  <c r="AY9" i="19"/>
  <c r="M12" i="1"/>
  <c r="BK9" i="19"/>
  <c r="M32" i="1"/>
  <c r="M23"/>
  <c r="K13" i="16"/>
  <c r="K29" i="5"/>
  <c r="AM44"/>
  <c r="K16"/>
  <c r="K13" i="19"/>
  <c r="AM28" i="5"/>
  <c r="AM5" i="19"/>
  <c r="AW25" i="7" l="1"/>
  <c r="BE25" s="1"/>
  <c r="AW13"/>
  <c r="BE13" s="1"/>
  <c r="AW15"/>
  <c r="BE15" s="1"/>
  <c r="AW16"/>
  <c r="BE16" s="1"/>
  <c r="BD16"/>
  <c r="AW14"/>
  <c r="BE14" s="1"/>
  <c r="BD14"/>
  <c r="BK19"/>
  <c r="BM19" s="1"/>
  <c r="AW26"/>
  <c r="BE26" s="1"/>
  <c r="BD26"/>
  <c r="AW22"/>
  <c r="BE22" s="1"/>
  <c r="AW21"/>
  <c r="BE21" s="1"/>
  <c r="AW24"/>
  <c r="BE24" s="1"/>
  <c r="AW19"/>
  <c r="BE19" s="1"/>
  <c r="AW17"/>
  <c r="BE17" s="1"/>
  <c r="BD17"/>
  <c r="AW20"/>
  <c r="BE20" s="1"/>
  <c r="BD20"/>
  <c r="AW23"/>
  <c r="BE23" s="1"/>
  <c r="BD23"/>
  <c r="DQ176" i="12"/>
  <c r="DQ177" s="1"/>
  <c r="DQ178" s="1"/>
  <c r="DQ179" s="1"/>
  <c r="DQ180" s="1"/>
  <c r="DQ181" s="1"/>
  <c r="DQ182" s="1"/>
  <c r="DQ183" s="1"/>
  <c r="DQ184" s="1"/>
  <c r="DQ185" s="1"/>
  <c r="DQ186" s="1"/>
  <c r="DQ187" s="1"/>
  <c r="DQ188" s="1"/>
  <c r="DQ189" s="1"/>
  <c r="DQ190" s="1"/>
  <c r="DQ191" s="1"/>
  <c r="DQ192" s="1"/>
  <c r="DQ193" s="1"/>
  <c r="DQ194" s="1"/>
  <c r="DQ195" s="1"/>
  <c r="DQ196" s="1"/>
  <c r="DQ197" s="1"/>
  <c r="DQ198" s="1"/>
  <c r="DQ199" s="1"/>
  <c r="DQ200" s="1"/>
  <c r="DQ201" s="1"/>
  <c r="DQ202" s="1"/>
  <c r="DQ203" s="1"/>
  <c r="DQ204" s="1"/>
  <c r="DQ205" s="1"/>
  <c r="DQ206" s="1"/>
  <c r="DQ207" s="1"/>
  <c r="DQ208" s="1"/>
  <c r="DQ209" s="1"/>
  <c r="DQ210" s="1"/>
  <c r="DQ211" s="1"/>
  <c r="DQ212" s="1"/>
  <c r="DQ213" s="1"/>
  <c r="DQ214" s="1"/>
  <c r="DQ215" s="1"/>
  <c r="DQ216" s="1"/>
  <c r="DQ217" s="1"/>
  <c r="DQ218" s="1"/>
  <c r="DQ219" s="1"/>
  <c r="DQ220" s="1"/>
  <c r="DQ221" s="1"/>
  <c r="DQ222" s="1"/>
  <c r="DQ223" s="1"/>
  <c r="DQ224" s="1"/>
  <c r="DQ225" s="1"/>
  <c r="DQ226" s="1"/>
  <c r="DQ227" s="1"/>
  <c r="DQ228" s="1"/>
  <c r="DQ229" s="1"/>
  <c r="DQ230" s="1"/>
  <c r="DQ231" s="1"/>
  <c r="DQ232" s="1"/>
  <c r="DQ233" s="1"/>
  <c r="DQ234" s="1"/>
  <c r="DQ235" s="1"/>
  <c r="DQ236" s="1"/>
  <c r="DQ237" s="1"/>
  <c r="DQ238" s="1"/>
  <c r="DQ239" s="1"/>
  <c r="DQ240" s="1"/>
  <c r="DQ241" s="1"/>
  <c r="DQ242" s="1"/>
  <c r="DQ243" s="1"/>
  <c r="DQ244" s="1"/>
  <c r="DQ245" s="1"/>
  <c r="DQ246" s="1"/>
  <c r="DQ247" s="1"/>
  <c r="DQ248" s="1"/>
  <c r="DQ249" s="1"/>
  <c r="DQ250" s="1"/>
  <c r="DQ251" s="1"/>
  <c r="DQ252" s="1"/>
  <c r="DQ253" s="1"/>
  <c r="DQ254" s="1"/>
  <c r="DQ255" s="1"/>
  <c r="DQ256" s="1"/>
  <c r="DQ257" s="1"/>
  <c r="DQ258" s="1"/>
  <c r="DQ259" s="1"/>
  <c r="DQ260" s="1"/>
  <c r="DQ261" s="1"/>
  <c r="DQ262" s="1"/>
  <c r="DQ263" s="1"/>
  <c r="DQ264" s="1"/>
  <c r="DQ265" s="1"/>
  <c r="DQ266" s="1"/>
  <c r="DQ267" s="1"/>
  <c r="DQ268" s="1"/>
  <c r="DQ269" s="1"/>
  <c r="DQ270" s="1"/>
  <c r="DQ271" s="1"/>
  <c r="DQ272" s="1"/>
  <c r="DQ273" s="1"/>
  <c r="DQ274" s="1"/>
  <c r="DQ275" s="1"/>
  <c r="DQ276" s="1"/>
  <c r="DQ277" s="1"/>
  <c r="DQ278" s="1"/>
  <c r="DQ279" s="1"/>
  <c r="DQ280" s="1"/>
  <c r="DQ281" s="1"/>
  <c r="DQ282" s="1"/>
  <c r="DQ283" s="1"/>
  <c r="DQ284" s="1"/>
  <c r="DQ285" s="1"/>
  <c r="DQ286" s="1"/>
  <c r="DQ287" s="1"/>
  <c r="DQ288" s="1"/>
  <c r="DQ289" s="1"/>
  <c r="DQ290" s="1"/>
  <c r="DQ291" s="1"/>
  <c r="DQ292" s="1"/>
  <c r="DQ293" s="1"/>
  <c r="DQ294" s="1"/>
  <c r="DQ295" s="1"/>
  <c r="DQ296" s="1"/>
  <c r="DQ297" s="1"/>
  <c r="DQ298" s="1"/>
  <c r="DQ299" s="1"/>
  <c r="DQ300" s="1"/>
  <c r="DQ301" s="1"/>
  <c r="DQ302" s="1"/>
  <c r="DQ303" s="1"/>
  <c r="DQ304" s="1"/>
  <c r="DQ305" s="1"/>
  <c r="DQ306" s="1"/>
  <c r="DQ307" s="1"/>
  <c r="DQ308" s="1"/>
  <c r="DQ309" s="1"/>
  <c r="DQ310" s="1"/>
  <c r="DQ311" s="1"/>
  <c r="DQ312" s="1"/>
  <c r="DQ313" s="1"/>
  <c r="DQ314" s="1"/>
  <c r="DQ315" s="1"/>
  <c r="DQ316" s="1"/>
  <c r="DQ317" s="1"/>
  <c r="DQ318" s="1"/>
  <c r="DQ319" s="1"/>
  <c r="DQ320" s="1"/>
  <c r="DQ321" s="1"/>
  <c r="DQ322" s="1"/>
  <c r="DQ323" s="1"/>
  <c r="DQ324" s="1"/>
  <c r="DQ325" s="1"/>
  <c r="DQ326" s="1"/>
  <c r="DQ327" s="1"/>
  <c r="DQ328" s="1"/>
  <c r="DQ329" s="1"/>
  <c r="DQ330" s="1"/>
  <c r="DQ331" s="1"/>
  <c r="DQ332" s="1"/>
  <c r="DQ333" s="1"/>
  <c r="DQ334" s="1"/>
  <c r="DQ335" s="1"/>
  <c r="DQ336" s="1"/>
  <c r="DQ337" s="1"/>
  <c r="DQ338" s="1"/>
  <c r="DQ339" s="1"/>
  <c r="DQ340" s="1"/>
  <c r="DQ341" s="1"/>
  <c r="DQ342" s="1"/>
  <c r="DQ343" s="1"/>
  <c r="DQ344" s="1"/>
  <c r="DQ345" s="1"/>
  <c r="DQ346" s="1"/>
  <c r="DQ347" s="1"/>
  <c r="DQ348" s="1"/>
  <c r="DQ349" s="1"/>
  <c r="DQ350" s="1"/>
  <c r="DQ351" s="1"/>
  <c r="DQ352" s="1"/>
  <c r="DQ353" s="1"/>
  <c r="DQ354" s="1"/>
  <c r="DQ355" s="1"/>
  <c r="DQ356" s="1"/>
  <c r="DQ357" s="1"/>
  <c r="DQ358" s="1"/>
  <c r="DQ359" s="1"/>
  <c r="DQ360" s="1"/>
  <c r="DQ361" s="1"/>
  <c r="DQ362" s="1"/>
  <c r="DQ363" s="1"/>
  <c r="DQ364" s="1"/>
  <c r="DQ365" s="1"/>
  <c r="DQ366" s="1"/>
  <c r="DQ367" s="1"/>
  <c r="DQ368" s="1"/>
  <c r="DQ369" s="1"/>
  <c r="DQ370" s="1"/>
  <c r="DQ371" s="1"/>
  <c r="DQ372" s="1"/>
  <c r="DQ373" s="1"/>
  <c r="DQ374" s="1"/>
  <c r="DQ375" s="1"/>
  <c r="DQ376" s="1"/>
  <c r="DQ377" s="1"/>
  <c r="DQ378" s="1"/>
  <c r="DQ379" s="1"/>
  <c r="DQ380" s="1"/>
  <c r="DQ381" s="1"/>
  <c r="DQ382" s="1"/>
  <c r="DQ383" s="1"/>
  <c r="DQ384" s="1"/>
  <c r="DQ385" s="1"/>
  <c r="DQ386" s="1"/>
  <c r="DQ387" s="1"/>
  <c r="DQ388" s="1"/>
  <c r="DQ389" s="1"/>
  <c r="DQ390" s="1"/>
  <c r="DQ391" s="1"/>
  <c r="DQ392" s="1"/>
  <c r="DQ393" s="1"/>
  <c r="DQ394" s="1"/>
  <c r="DQ395" s="1"/>
  <c r="DQ396" s="1"/>
  <c r="DQ397" s="1"/>
  <c r="DQ398" s="1"/>
  <c r="DQ399" s="1"/>
  <c r="DQ400" s="1"/>
  <c r="DQ401" s="1"/>
  <c r="DQ402" s="1"/>
  <c r="DQ403" s="1"/>
  <c r="DQ404" s="1"/>
  <c r="DQ405" s="1"/>
  <c r="DQ406" s="1"/>
  <c r="DQ407" s="1"/>
  <c r="DQ408" s="1"/>
  <c r="DQ409" s="1"/>
  <c r="DQ410" s="1"/>
  <c r="DQ411" s="1"/>
  <c r="DQ412" s="1"/>
  <c r="DQ413" s="1"/>
  <c r="DQ414" s="1"/>
  <c r="DQ415" s="1"/>
  <c r="DQ416" s="1"/>
  <c r="DQ417" s="1"/>
  <c r="DQ418" s="1"/>
  <c r="DQ419" s="1"/>
  <c r="DQ420" s="1"/>
  <c r="DQ421" s="1"/>
  <c r="DQ422" s="1"/>
  <c r="DQ423" s="1"/>
  <c r="DQ424" s="1"/>
  <c r="DQ425" s="1"/>
  <c r="DQ426" s="1"/>
  <c r="DQ427" s="1"/>
  <c r="DQ428" s="1"/>
  <c r="DQ429" s="1"/>
  <c r="DQ430" s="1"/>
  <c r="DQ431" s="1"/>
  <c r="DQ432" s="1"/>
  <c r="DQ433" s="1"/>
  <c r="DQ434" s="1"/>
  <c r="DQ435" s="1"/>
  <c r="DQ436" s="1"/>
  <c r="DQ437" s="1"/>
  <c r="DQ438" s="1"/>
  <c r="DQ439" s="1"/>
  <c r="DQ440" s="1"/>
  <c r="DQ441" s="1"/>
  <c r="DQ442" s="1"/>
  <c r="DQ443" s="1"/>
  <c r="DQ444" s="1"/>
  <c r="DQ445" s="1"/>
  <c r="DQ446" s="1"/>
  <c r="DQ447" s="1"/>
  <c r="DQ448" s="1"/>
  <c r="DQ449" s="1"/>
  <c r="DQ450" s="1"/>
  <c r="DQ451" s="1"/>
  <c r="DQ452" s="1"/>
  <c r="DQ453" s="1"/>
  <c r="DQ454" s="1"/>
  <c r="DQ455" s="1"/>
  <c r="DQ456" s="1"/>
  <c r="DQ457" s="1"/>
  <c r="DQ458" s="1"/>
  <c r="DQ459" s="1"/>
  <c r="DQ460" s="1"/>
  <c r="DQ461" s="1"/>
  <c r="DQ462" s="1"/>
  <c r="DQ463" s="1"/>
  <c r="DQ464" s="1"/>
  <c r="DQ465" s="1"/>
  <c r="DQ466" s="1"/>
  <c r="DQ467" s="1"/>
  <c r="DQ468" s="1"/>
  <c r="DQ469" s="1"/>
  <c r="DQ470" s="1"/>
  <c r="DQ471" s="1"/>
  <c r="DQ472" s="1"/>
  <c r="DQ473" s="1"/>
  <c r="DQ474" s="1"/>
  <c r="DQ475" s="1"/>
  <c r="DQ476" s="1"/>
  <c r="DQ477" s="1"/>
  <c r="DQ478" s="1"/>
  <c r="DQ479" s="1"/>
  <c r="DQ480" s="1"/>
  <c r="DQ481" s="1"/>
  <c r="DQ482" s="1"/>
  <c r="DQ483" s="1"/>
  <c r="DQ484" s="1"/>
  <c r="DQ485" s="1"/>
  <c r="DQ486" s="1"/>
  <c r="DQ487" s="1"/>
  <c r="DQ488" s="1"/>
  <c r="DQ489" s="1"/>
  <c r="DQ490" s="1"/>
  <c r="DQ491" s="1"/>
  <c r="DQ492" s="1"/>
  <c r="DQ493" s="1"/>
  <c r="DQ494" s="1"/>
  <c r="DQ495" s="1"/>
  <c r="DQ496" s="1"/>
  <c r="DQ497" s="1"/>
  <c r="DQ498" s="1"/>
  <c r="DQ499" s="1"/>
  <c r="DQ500" s="1"/>
  <c r="DQ501" s="1"/>
  <c r="DQ502" s="1"/>
  <c r="DQ503" s="1"/>
  <c r="DQ504" s="1"/>
  <c r="DQ505" s="1"/>
  <c r="DQ506" s="1"/>
  <c r="DQ507" s="1"/>
  <c r="DQ508" s="1"/>
  <c r="DQ509" s="1"/>
  <c r="DQ510" s="1"/>
  <c r="DQ511" s="1"/>
  <c r="DQ512" s="1"/>
  <c r="DQ513" s="1"/>
  <c r="DQ514" s="1"/>
  <c r="DS32"/>
  <c r="DU32" s="1"/>
  <c r="AR22" i="16"/>
  <c r="AR16"/>
  <c r="AR21"/>
  <c r="AR15"/>
  <c r="AR19"/>
  <c r="AR20"/>
  <c r="AR25"/>
  <c r="AR26"/>
  <c r="AR18"/>
  <c r="AR24"/>
  <c r="AR23"/>
  <c r="AR17"/>
  <c r="BJ21" i="7"/>
  <c r="BJ20"/>
  <c r="BJ23"/>
  <c r="BJ15"/>
  <c r="BJ22"/>
  <c r="BJ17"/>
  <c r="BJ16"/>
  <c r="BJ14"/>
  <c r="BJ19"/>
  <c r="BJ24"/>
  <c r="BC51" i="16"/>
  <c r="BK25" i="7" l="1"/>
  <c r="BM25" s="1"/>
  <c r="BK20"/>
  <c r="BM20" s="1"/>
  <c r="BK15"/>
  <c r="BM15" s="1"/>
  <c r="BK17"/>
  <c r="BM17" s="1"/>
  <c r="BK18"/>
  <c r="BM18" s="1"/>
  <c r="BK23"/>
  <c r="BM23" s="1"/>
  <c r="BK16"/>
  <c r="BM16" s="1"/>
  <c r="BK24"/>
  <c r="BM24" s="1"/>
  <c r="BK21"/>
  <c r="BM21" s="1"/>
  <c r="BK22"/>
  <c r="BM22" s="1"/>
  <c r="BC42" i="19"/>
  <c r="BC50"/>
  <c r="DC15" i="12" s="1" a="1"/>
  <c r="DC358" l="1"/>
  <c r="DC171"/>
  <c r="DC159"/>
  <c r="DC477"/>
  <c r="DC213"/>
  <c r="DC51"/>
  <c r="DC347"/>
  <c r="DC498"/>
  <c r="DC18"/>
  <c r="DC433"/>
  <c r="DC200"/>
  <c r="DC288"/>
  <c r="DC436"/>
  <c r="DC281"/>
  <c r="DC507"/>
  <c r="DC386"/>
  <c r="DC406"/>
  <c r="DC195"/>
  <c r="DC30"/>
  <c r="DC82"/>
  <c r="DC456"/>
  <c r="DC187"/>
  <c r="DC251"/>
  <c r="DC500"/>
  <c r="DC370"/>
  <c r="DC175"/>
  <c r="DC109"/>
  <c r="DC258"/>
  <c r="DC452"/>
  <c r="DC429"/>
  <c r="DC80"/>
  <c r="DC201"/>
  <c r="DC423"/>
  <c r="DC84"/>
  <c r="DC226"/>
  <c r="DC143"/>
  <c r="DC276"/>
  <c r="DC421"/>
  <c r="DC430"/>
  <c r="DC243"/>
  <c r="DC338"/>
  <c r="DC180"/>
  <c r="DC60"/>
  <c r="DC424"/>
  <c r="DC302"/>
  <c r="DC325"/>
  <c r="DC144"/>
  <c r="DC63"/>
  <c r="DC149"/>
  <c r="DC391"/>
  <c r="DC316"/>
  <c r="DC235"/>
  <c r="DC199"/>
  <c r="DC85"/>
  <c r="DC475"/>
  <c r="DC150"/>
  <c r="DC65"/>
  <c r="DC378"/>
  <c r="DC49"/>
  <c r="DC212"/>
  <c r="DC17"/>
  <c r="DC146"/>
  <c r="DC437"/>
  <c r="DC319"/>
  <c r="DC287"/>
  <c r="DC443"/>
  <c r="DC377"/>
  <c r="DC66"/>
  <c r="DC102"/>
  <c r="DC238"/>
  <c r="DC225"/>
  <c r="DC351"/>
  <c r="DC449"/>
  <c r="DC267"/>
  <c r="DC218"/>
  <c r="DC15"/>
  <c r="DC368"/>
  <c r="DC152"/>
  <c r="DC426"/>
  <c r="DC101"/>
  <c r="DC220"/>
  <c r="DC297"/>
  <c r="DC323"/>
  <c r="DC272"/>
  <c r="DC422"/>
  <c r="DC130"/>
  <c r="DC168"/>
  <c r="DC237"/>
  <c r="DC331"/>
  <c r="DC468"/>
  <c r="DC43"/>
  <c r="DC369"/>
  <c r="DC307"/>
  <c r="DC337"/>
  <c r="DC411"/>
  <c r="DC83"/>
  <c r="DC197"/>
  <c r="DC402"/>
  <c r="DC328"/>
  <c r="DC313"/>
  <c r="DC253"/>
  <c r="DC230"/>
  <c r="DC191"/>
  <c r="DC121"/>
  <c r="DC119"/>
  <c r="DC203"/>
  <c r="DC384"/>
  <c r="DC233"/>
  <c r="DC273"/>
  <c r="DC208"/>
  <c r="DC117"/>
  <c r="DC312"/>
  <c r="DC306"/>
  <c r="DC158"/>
  <c r="DC128"/>
  <c r="DC47"/>
  <c r="DC45"/>
  <c r="DC487"/>
  <c r="DC157"/>
  <c r="DC89"/>
  <c r="DC291"/>
  <c r="DC100"/>
  <c r="DC496"/>
  <c r="DC383"/>
  <c r="DC400"/>
  <c r="DC282"/>
  <c r="DC467"/>
  <c r="DC398"/>
  <c r="DC124"/>
  <c r="DC275"/>
  <c r="DC285"/>
  <c r="DC247"/>
  <c r="DC354"/>
  <c r="DC194"/>
  <c r="DC167"/>
  <c r="DC91"/>
  <c r="DC129"/>
  <c r="DC156"/>
  <c r="DC418"/>
  <c r="DC461"/>
  <c r="DC481"/>
  <c r="DC360"/>
  <c r="DC321"/>
  <c r="DC182"/>
  <c r="DC54"/>
  <c r="DC244"/>
  <c r="DC232"/>
  <c r="DC294"/>
  <c r="DC488"/>
  <c r="DC202"/>
  <c r="DC40"/>
  <c r="DC326"/>
  <c r="DC211"/>
  <c r="DC317"/>
  <c r="DC419"/>
  <c r="DC476"/>
  <c r="DC122"/>
  <c r="DC451"/>
  <c r="DC108"/>
  <c r="DC431"/>
  <c r="DC289"/>
  <c r="DC279"/>
  <c r="DC408"/>
  <c r="DC455"/>
  <c r="DC393"/>
  <c r="DC410"/>
  <c r="DC389"/>
  <c r="DC112"/>
  <c r="DC246"/>
  <c r="DC98"/>
  <c r="DC138"/>
  <c r="DC229"/>
  <c r="DC79"/>
  <c r="DC134"/>
  <c r="DC322"/>
  <c r="DC205"/>
  <c r="DC239"/>
  <c r="DC125"/>
  <c r="DC295"/>
  <c r="DC160"/>
  <c r="DC470"/>
  <c r="DC457"/>
  <c r="DC172"/>
  <c r="DC359"/>
  <c r="DC163"/>
  <c r="DC61"/>
  <c r="DC140"/>
  <c r="DC74"/>
  <c r="DC28"/>
  <c r="DC181"/>
  <c r="DC447"/>
  <c r="DC105"/>
  <c r="DC453"/>
  <c r="DC189"/>
  <c r="DC24"/>
  <c r="DC425"/>
  <c r="DC333"/>
  <c r="DC221"/>
  <c r="DC90"/>
  <c r="DC153"/>
  <c r="DC416"/>
  <c r="DC178"/>
  <c r="DC409"/>
  <c r="DC458"/>
  <c r="DC340"/>
  <c r="DC472"/>
  <c r="DC300"/>
  <c r="DC403"/>
  <c r="DC339"/>
  <c r="DC48"/>
  <c r="DC148"/>
  <c r="DC120"/>
  <c r="DC277"/>
  <c r="DC332"/>
  <c r="DC482"/>
  <c r="DC510"/>
  <c r="DC249"/>
  <c r="DC363"/>
  <c r="DC32"/>
  <c r="DC254"/>
  <c r="DC173"/>
  <c r="DC255"/>
  <c r="DC78"/>
  <c r="DC107"/>
  <c r="DC448"/>
  <c r="DC459"/>
  <c r="DC33"/>
  <c r="DC22"/>
  <c r="DC271"/>
  <c r="DC227"/>
  <c r="DC264"/>
  <c r="DC414"/>
  <c r="DC37"/>
  <c r="DC27"/>
  <c r="DC427"/>
  <c r="DC111"/>
  <c r="DC193"/>
  <c r="DC262"/>
  <c r="DC499"/>
  <c r="DC260"/>
  <c r="DC444"/>
  <c r="DC115"/>
  <c r="DC284"/>
  <c r="DC265"/>
  <c r="DC372"/>
  <c r="DC397"/>
  <c r="DC94"/>
  <c r="DC485"/>
  <c r="DC290"/>
  <c r="DC362"/>
  <c r="DC415"/>
  <c r="DC492"/>
  <c r="DC305"/>
  <c r="DC204"/>
  <c r="DC57"/>
  <c r="DC113"/>
  <c r="DC34"/>
  <c r="DC228"/>
  <c r="DC87"/>
  <c r="DC99"/>
  <c r="DC154"/>
  <c r="DC349"/>
  <c r="DC114"/>
  <c r="DC210"/>
  <c r="DC511"/>
  <c r="DC62"/>
  <c r="DC432"/>
  <c r="DC375"/>
  <c r="DC110"/>
  <c r="DC394"/>
  <c r="DC495"/>
  <c r="DC446"/>
  <c r="DC357"/>
  <c r="DC280"/>
  <c r="DC420"/>
  <c r="DC206"/>
  <c r="DC231"/>
  <c r="DC489"/>
  <c r="DC72"/>
  <c r="DC315"/>
  <c r="DC36"/>
  <c r="DC311"/>
  <c r="DC310"/>
  <c r="DC19"/>
  <c r="DC58"/>
  <c r="DC192"/>
  <c r="DC269"/>
  <c r="DC52"/>
  <c r="DC379"/>
  <c r="DC293"/>
  <c r="DC343"/>
  <c r="DC438"/>
  <c r="DC86"/>
  <c r="DC236"/>
  <c r="DC39"/>
  <c r="DC55"/>
  <c r="DC136"/>
  <c r="DC95"/>
  <c r="DC407"/>
  <c r="DC484"/>
  <c r="DC104"/>
  <c r="DC512"/>
  <c r="DC242"/>
  <c r="DC92"/>
  <c r="DC274"/>
  <c r="DC348"/>
  <c r="DC26"/>
  <c r="DC118"/>
  <c r="DC490"/>
  <c r="DC367"/>
  <c r="DC257"/>
  <c r="DC75"/>
  <c r="DC132"/>
  <c r="DC473"/>
  <c r="DC373"/>
  <c r="DC304"/>
  <c r="DC93"/>
  <c r="DC141"/>
  <c r="DC190"/>
  <c r="DC320"/>
  <c r="DC355"/>
  <c r="DC170"/>
  <c r="DC296"/>
  <c r="DC352"/>
  <c r="DC88"/>
  <c r="DC216"/>
  <c r="DC342"/>
  <c r="DC301"/>
  <c r="DC303"/>
  <c r="DC440"/>
  <c r="DC240"/>
  <c r="DC474"/>
  <c r="DC486"/>
  <c r="DC219"/>
  <c r="DC177"/>
  <c r="DC327"/>
  <c r="DC174"/>
  <c r="DC442"/>
  <c r="DC223"/>
  <c r="DC329"/>
  <c r="DC56"/>
  <c r="DC460"/>
  <c r="DC209"/>
  <c r="DC286"/>
  <c r="DC20"/>
  <c r="DC217"/>
  <c r="DC514"/>
  <c r="DC261"/>
  <c r="DC245"/>
  <c r="DC16"/>
  <c r="DE16" s="1"/>
  <c r="DC151"/>
  <c r="DC131"/>
  <c r="DC494"/>
  <c r="DC404"/>
  <c r="DC353"/>
  <c r="DC266"/>
  <c r="DC417"/>
  <c r="DC463"/>
  <c r="DC73"/>
  <c r="DC162"/>
  <c r="DC166"/>
  <c r="DC483"/>
  <c r="DC399"/>
  <c r="DC278"/>
  <c r="DC454"/>
  <c r="DC38"/>
  <c r="DC42"/>
  <c r="DC259"/>
  <c r="DC188"/>
  <c r="DC462"/>
  <c r="DC491"/>
  <c r="DC441"/>
  <c r="DC428"/>
  <c r="DC314"/>
  <c r="DC497"/>
  <c r="DC23"/>
  <c r="DC450"/>
  <c r="DC478"/>
  <c r="DC44"/>
  <c r="DC439"/>
  <c r="DC401"/>
  <c r="DC179"/>
  <c r="DC501"/>
  <c r="DC503"/>
  <c r="DC41"/>
  <c r="DC81"/>
  <c r="DC222"/>
  <c r="DC142"/>
  <c r="DC330"/>
  <c r="DC364"/>
  <c r="DC164"/>
  <c r="DC469"/>
  <c r="DC374"/>
  <c r="DC50"/>
  <c r="DC106"/>
  <c r="DC252"/>
  <c r="DC341"/>
  <c r="DC161"/>
  <c r="DC169"/>
  <c r="DC365"/>
  <c r="DC215"/>
  <c r="DC46"/>
  <c r="DC139"/>
  <c r="DC335"/>
  <c r="DC123"/>
  <c r="DC53"/>
  <c r="DC493"/>
  <c r="DC405"/>
  <c r="DC283"/>
  <c r="DC480"/>
  <c r="DC21"/>
  <c r="DC103"/>
  <c r="DC126"/>
  <c r="DC248"/>
  <c r="DC127"/>
  <c r="DC376"/>
  <c r="DC465"/>
  <c r="DC371"/>
  <c r="DC69"/>
  <c r="DC224"/>
  <c r="DC345"/>
  <c r="DC25"/>
  <c r="DC434"/>
  <c r="DC508"/>
  <c r="DC396"/>
  <c r="DC145"/>
  <c r="DC77"/>
  <c r="DC466"/>
  <c r="DC336"/>
  <c r="DC299"/>
  <c r="DC31"/>
  <c r="DC309"/>
  <c r="DC97"/>
  <c r="DC381"/>
  <c r="DC318"/>
  <c r="DC504"/>
  <c r="DC214"/>
  <c r="DC241"/>
  <c r="DC346"/>
  <c r="DC76"/>
  <c r="DC298"/>
  <c r="DC464"/>
  <c r="DC68"/>
  <c r="DC412"/>
  <c r="DC186"/>
  <c r="DC256"/>
  <c r="DC505"/>
  <c r="DC64"/>
  <c r="DC116"/>
  <c r="DC263"/>
  <c r="DC292"/>
  <c r="DC387"/>
  <c r="DC234"/>
  <c r="DC35"/>
  <c r="DC385"/>
  <c r="DC395"/>
  <c r="DC513"/>
  <c r="DC392"/>
  <c r="DC366"/>
  <c r="DC334"/>
  <c r="DC382"/>
  <c r="DC133"/>
  <c r="DC324"/>
  <c r="DC196"/>
  <c r="DC388"/>
  <c r="DC185"/>
  <c r="DC147"/>
  <c r="DC184"/>
  <c r="DC137"/>
  <c r="DC270"/>
  <c r="DC29"/>
  <c r="DC350"/>
  <c r="DC70"/>
  <c r="DC183"/>
  <c r="DC361"/>
  <c r="DC96"/>
  <c r="DC445"/>
  <c r="DC471"/>
  <c r="DC308"/>
  <c r="DC165"/>
  <c r="DC250"/>
  <c r="DC356"/>
  <c r="DC176"/>
  <c r="DC344"/>
  <c r="DC380"/>
  <c r="DC67"/>
  <c r="DC509"/>
  <c r="DC198"/>
  <c r="DC506"/>
  <c r="DC390"/>
  <c r="DC502"/>
  <c r="DC435"/>
  <c r="DC479"/>
  <c r="DC59"/>
  <c r="DC71"/>
  <c r="DC413"/>
  <c r="DC268"/>
  <c r="DC155"/>
  <c r="DC135"/>
  <c r="DC207"/>
  <c r="BC44" i="19"/>
  <c r="BC43"/>
  <c r="BC47"/>
  <c r="BC46"/>
  <c r="BC45"/>
  <c r="BC51" l="1" a="1"/>
  <c r="BC53" s="1"/>
  <c r="DE17" i="12"/>
  <c r="DE18" s="1"/>
  <c r="DE19" s="1"/>
  <c r="BC54" i="16"/>
  <c r="BC59"/>
  <c r="BU7" a="1"/>
  <c r="BX7" a="1"/>
  <c r="BW7" a="1"/>
  <c r="BV7" a="1"/>
  <c r="CE15" i="12" a="1"/>
  <c r="ET34" l="1"/>
  <c r="CE471"/>
  <c r="CE131"/>
  <c r="CE361"/>
  <c r="CE56"/>
  <c r="CE126"/>
  <c r="CE151"/>
  <c r="CE513"/>
  <c r="CE389"/>
  <c r="CE493"/>
  <c r="CE216"/>
  <c r="CE191"/>
  <c r="CE383"/>
  <c r="CE196"/>
  <c r="CE302"/>
  <c r="CE142"/>
  <c r="CE249"/>
  <c r="CE153"/>
  <c r="CE406"/>
  <c r="CE455"/>
  <c r="CE435"/>
  <c r="CE144"/>
  <c r="CE261"/>
  <c r="CE448"/>
  <c r="CE329"/>
  <c r="CE184"/>
  <c r="CE173"/>
  <c r="CE303"/>
  <c r="CE398"/>
  <c r="CE415"/>
  <c r="CE176"/>
  <c r="CE29"/>
  <c r="CE327"/>
  <c r="CE439"/>
  <c r="CE434"/>
  <c r="CE481"/>
  <c r="CE486"/>
  <c r="CE158"/>
  <c r="CE94"/>
  <c r="CE484"/>
  <c r="CE197"/>
  <c r="CE274"/>
  <c r="CE204"/>
  <c r="CE141"/>
  <c r="CE421"/>
  <c r="CE377"/>
  <c r="CE251"/>
  <c r="CE401"/>
  <c r="CE492"/>
  <c r="CE165"/>
  <c r="CE253"/>
  <c r="CE78"/>
  <c r="CE430"/>
  <c r="CE514"/>
  <c r="CE16"/>
  <c r="CG16" s="1"/>
  <c r="CE270"/>
  <c r="CE15"/>
  <c r="CE454"/>
  <c r="CE453"/>
  <c r="CE33"/>
  <c r="CE194"/>
  <c r="CE504"/>
  <c r="CE255"/>
  <c r="CE215"/>
  <c r="CE207"/>
  <c r="CE136"/>
  <c r="CE26"/>
  <c r="CE425"/>
  <c r="CE287"/>
  <c r="CE443"/>
  <c r="CE227"/>
  <c r="CE279"/>
  <c r="CE36"/>
  <c r="CE79"/>
  <c r="CE34"/>
  <c r="CE186"/>
  <c r="CE300"/>
  <c r="CE187"/>
  <c r="CE336"/>
  <c r="CE375"/>
  <c r="CE175"/>
  <c r="CE157"/>
  <c r="CE118"/>
  <c r="CE217"/>
  <c r="CE363"/>
  <c r="CE177"/>
  <c r="CE96"/>
  <c r="CE419"/>
  <c r="CE355"/>
  <c r="CE366"/>
  <c r="CE254"/>
  <c r="CE335"/>
  <c r="CE380"/>
  <c r="CE244"/>
  <c r="CE201"/>
  <c r="CE272"/>
  <c r="CE192"/>
  <c r="CE289"/>
  <c r="CE362"/>
  <c r="CE485"/>
  <c r="CE103"/>
  <c r="CE46"/>
  <c r="CE447"/>
  <c r="CE235"/>
  <c r="CE280"/>
  <c r="CE500"/>
  <c r="CE354"/>
  <c r="CE230"/>
  <c r="CE510"/>
  <c r="CE275"/>
  <c r="CE25"/>
  <c r="CE372"/>
  <c r="CE256"/>
  <c r="CE324"/>
  <c r="CE376"/>
  <c r="CE353"/>
  <c r="CE338"/>
  <c r="CE341"/>
  <c r="CE73"/>
  <c r="CE198"/>
  <c r="CE252"/>
  <c r="CE154"/>
  <c r="CE479"/>
  <c r="CE229"/>
  <c r="CE328"/>
  <c r="CE231"/>
  <c r="CE132"/>
  <c r="CE465"/>
  <c r="CE446"/>
  <c r="CE466"/>
  <c r="CE238"/>
  <c r="CE59"/>
  <c r="CE339"/>
  <c r="CE45"/>
  <c r="CE273"/>
  <c r="CE109"/>
  <c r="CE119"/>
  <c r="CE305"/>
  <c r="CE263"/>
  <c r="CE426"/>
  <c r="CE491"/>
  <c r="CE317"/>
  <c r="CE294"/>
  <c r="CE489"/>
  <c r="CE457"/>
  <c r="CE407"/>
  <c r="CE147"/>
  <c r="CE75"/>
  <c r="CE472"/>
  <c r="CE35"/>
  <c r="CE422"/>
  <c r="CE53"/>
  <c r="CE433"/>
  <c r="CE58"/>
  <c r="CE167"/>
  <c r="CE62"/>
  <c r="CE92"/>
  <c r="CE431"/>
  <c r="CE172"/>
  <c r="CE77"/>
  <c r="CE371"/>
  <c r="CE349"/>
  <c r="CE237"/>
  <c r="CE250"/>
  <c r="CE475"/>
  <c r="CE393"/>
  <c r="CE123"/>
  <c r="CE115"/>
  <c r="CE135"/>
  <c r="CE125"/>
  <c r="CE307"/>
  <c r="CE306"/>
  <c r="CE478"/>
  <c r="CE189"/>
  <c r="CE19"/>
  <c r="CE390"/>
  <c r="CE214"/>
  <c r="CE298"/>
  <c r="CE311"/>
  <c r="CE128"/>
  <c r="CE203"/>
  <c r="CE40"/>
  <c r="CE458"/>
  <c r="CE248"/>
  <c r="CE225"/>
  <c r="CE499"/>
  <c r="CE185"/>
  <c r="CE166"/>
  <c r="CE208"/>
  <c r="CE183"/>
  <c r="CE61"/>
  <c r="CE80"/>
  <c r="CE442"/>
  <c r="CE205"/>
  <c r="CE193"/>
  <c r="CE494"/>
  <c r="CE296"/>
  <c r="CE222"/>
  <c r="CE330"/>
  <c r="CE60"/>
  <c r="CE374"/>
  <c r="CE55"/>
  <c r="CE314"/>
  <c r="CE410"/>
  <c r="CE264"/>
  <c r="CE52"/>
  <c r="CE379"/>
  <c r="CE18"/>
  <c r="CE508"/>
  <c r="CE266"/>
  <c r="CE382"/>
  <c r="CE392"/>
  <c r="CE459"/>
  <c r="CE460"/>
  <c r="CE360"/>
  <c r="CE37"/>
  <c r="CE86"/>
  <c r="CE83"/>
  <c r="CE262"/>
  <c r="CE212"/>
  <c r="CE347"/>
  <c r="CE110"/>
  <c r="CE310"/>
  <c r="CE220"/>
  <c r="CE47"/>
  <c r="CE284"/>
  <c r="CE437"/>
  <c r="CE146"/>
  <c r="CE378"/>
  <c r="CE388"/>
  <c r="CE245"/>
  <c r="CE219"/>
  <c r="CE482"/>
  <c r="CE312"/>
  <c r="CE386"/>
  <c r="CE105"/>
  <c r="CE106"/>
  <c r="CE90"/>
  <c r="CE130"/>
  <c r="CE364"/>
  <c r="CE326"/>
  <c r="CE122"/>
  <c r="CE20"/>
  <c r="CE293"/>
  <c r="CE424"/>
  <c r="CE39"/>
  <c r="CE497"/>
  <c r="CE236"/>
  <c r="CE451"/>
  <c r="CE101"/>
  <c r="CE381"/>
  <c r="CE345"/>
  <c r="CE258"/>
  <c r="CE48"/>
  <c r="CE290"/>
  <c r="CE121"/>
  <c r="CE416"/>
  <c r="CE124"/>
  <c r="CE309"/>
  <c r="CE512"/>
  <c r="CE139"/>
  <c r="CE496"/>
  <c r="CE232"/>
  <c r="CE308"/>
  <c r="CE213"/>
  <c r="CE423"/>
  <c r="CE320"/>
  <c r="CE218"/>
  <c r="CE70"/>
  <c r="CE247"/>
  <c r="CE282"/>
  <c r="CE223"/>
  <c r="CE276"/>
  <c r="CE221"/>
  <c r="CE428"/>
  <c r="CE399"/>
  <c r="CE137"/>
  <c r="CE368"/>
  <c r="CE318"/>
  <c r="CE27"/>
  <c r="CE28"/>
  <c r="CE71"/>
  <c r="CE162"/>
  <c r="CE243"/>
  <c r="CE155"/>
  <c r="CE444"/>
  <c r="CE477"/>
  <c r="CE150"/>
  <c r="CE463"/>
  <c r="CE445"/>
  <c r="CE233"/>
  <c r="CE57"/>
  <c r="CE168"/>
  <c r="CE271"/>
  <c r="CE342"/>
  <c r="CE89"/>
  <c r="CE180"/>
  <c r="CE199"/>
  <c r="CE111"/>
  <c r="CE316"/>
  <c r="CE257"/>
  <c r="CE38"/>
  <c r="CE82"/>
  <c r="CE358"/>
  <c r="CE91"/>
  <c r="CE495"/>
  <c r="CE452"/>
  <c r="CE108"/>
  <c r="CE473"/>
  <c r="CE409"/>
  <c r="CE107"/>
  <c r="CE145"/>
  <c r="CE260"/>
  <c r="CE63"/>
  <c r="CE288"/>
  <c r="CE468"/>
  <c r="CE297"/>
  <c r="CE66"/>
  <c r="CE461"/>
  <c r="CE397"/>
  <c r="CE67"/>
  <c r="CE429"/>
  <c r="CE456"/>
  <c r="CE470"/>
  <c r="CE211"/>
  <c r="CE74"/>
  <c r="CE373"/>
  <c r="CE100"/>
  <c r="CE87"/>
  <c r="CE51"/>
  <c r="CE348"/>
  <c r="CE321"/>
  <c r="CE84"/>
  <c r="CE163"/>
  <c r="CE322"/>
  <c r="CE387"/>
  <c r="CE301"/>
  <c r="CE69"/>
  <c r="CE449"/>
  <c r="CE283"/>
  <c r="CE156"/>
  <c r="CE76"/>
  <c r="CE41"/>
  <c r="CE148"/>
  <c r="CE112"/>
  <c r="CE370"/>
  <c r="CE343"/>
  <c r="CE127"/>
  <c r="CE93"/>
  <c r="CE432"/>
  <c r="CE440"/>
  <c r="CE64"/>
  <c r="CE395"/>
  <c r="CE164"/>
  <c r="CE414"/>
  <c r="CE420"/>
  <c r="CE88"/>
  <c r="CE65"/>
  <c r="CE278"/>
  <c r="CE467"/>
  <c r="CE490"/>
  <c r="CE469"/>
  <c r="CE31"/>
  <c r="CE509"/>
  <c r="CE367"/>
  <c r="CE170"/>
  <c r="CE23"/>
  <c r="CE411"/>
  <c r="CE501"/>
  <c r="CE462"/>
  <c r="CE174"/>
  <c r="CE441"/>
  <c r="CE179"/>
  <c r="CE32"/>
  <c r="CE17"/>
  <c r="CE394"/>
  <c r="CE265"/>
  <c r="CE117"/>
  <c r="CE234"/>
  <c r="CE334"/>
  <c r="CE319"/>
  <c r="CE487"/>
  <c r="CE42"/>
  <c r="CE351"/>
  <c r="CE332"/>
  <c r="CE352"/>
  <c r="CE269"/>
  <c r="CE178"/>
  <c r="CE134"/>
  <c r="CE242"/>
  <c r="CE120"/>
  <c r="CE476"/>
  <c r="CE224"/>
  <c r="CE267"/>
  <c r="CE239"/>
  <c r="CE384"/>
  <c r="CE340"/>
  <c r="CE438"/>
  <c r="CE95"/>
  <c r="CE331"/>
  <c r="CE403"/>
  <c r="CE404"/>
  <c r="CE240"/>
  <c r="CE507"/>
  <c r="CE511"/>
  <c r="CE195"/>
  <c r="CE210"/>
  <c r="CE344"/>
  <c r="CE412"/>
  <c r="CE140"/>
  <c r="CE228"/>
  <c r="CE160"/>
  <c r="CE391"/>
  <c r="CE418"/>
  <c r="CE299"/>
  <c r="CE313"/>
  <c r="CE129"/>
  <c r="CE98"/>
  <c r="CE483"/>
  <c r="CE24"/>
  <c r="CE369"/>
  <c r="CE325"/>
  <c r="CE450"/>
  <c r="CE291"/>
  <c r="CE44"/>
  <c r="CE169"/>
  <c r="CE503"/>
  <c r="CE304"/>
  <c r="CE427"/>
  <c r="CE181"/>
  <c r="CE202"/>
  <c r="CE72"/>
  <c r="CE385"/>
  <c r="CE171"/>
  <c r="CE259"/>
  <c r="CE498"/>
  <c r="CE333"/>
  <c r="CE97"/>
  <c r="CE152"/>
  <c r="CE246"/>
  <c r="CE149"/>
  <c r="CE357"/>
  <c r="CE104"/>
  <c r="CE99"/>
  <c r="CE277"/>
  <c r="CE346"/>
  <c r="CE85"/>
  <c r="CE417"/>
  <c r="CE285"/>
  <c r="CE436"/>
  <c r="CE505"/>
  <c r="CE292"/>
  <c r="CE359"/>
  <c r="CE323"/>
  <c r="CE113"/>
  <c r="CE474"/>
  <c r="CE396"/>
  <c r="CE133"/>
  <c r="CE182"/>
  <c r="CE356"/>
  <c r="CE502"/>
  <c r="CE241"/>
  <c r="CE413"/>
  <c r="CE54"/>
  <c r="CE226"/>
  <c r="CE337"/>
  <c r="CE190"/>
  <c r="CE402"/>
  <c r="CE49"/>
  <c r="CE114"/>
  <c r="CE21"/>
  <c r="CE408"/>
  <c r="CE268"/>
  <c r="CE138"/>
  <c r="CE315"/>
  <c r="CE68"/>
  <c r="CE81"/>
  <c r="CE200"/>
  <c r="CE464"/>
  <c r="CE116"/>
  <c r="CE506"/>
  <c r="CE102"/>
  <c r="CE365"/>
  <c r="CE206"/>
  <c r="CE50"/>
  <c r="CE143"/>
  <c r="CE43"/>
  <c r="CE22"/>
  <c r="CE350"/>
  <c r="CE405"/>
  <c r="CE161"/>
  <c r="CE209"/>
  <c r="CE281"/>
  <c r="CE188"/>
  <c r="CE286"/>
  <c r="CE30"/>
  <c r="CE480"/>
  <c r="CE400"/>
  <c r="CE488"/>
  <c r="CE295"/>
  <c r="CE159"/>
  <c r="DG16"/>
  <c r="DI16" s="1"/>
  <c r="DE20"/>
  <c r="DE21" s="1"/>
  <c r="DE22" s="1"/>
  <c r="DE23" s="1"/>
  <c r="BW26" i="16"/>
  <c r="BW11"/>
  <c r="BW14"/>
  <c r="BW7"/>
  <c r="BW30"/>
  <c r="BW15"/>
  <c r="BW13"/>
  <c r="BW8"/>
  <c r="BW10"/>
  <c r="BW9"/>
  <c r="BW25"/>
  <c r="BW19"/>
  <c r="BW29"/>
  <c r="BW12"/>
  <c r="BW27"/>
  <c r="BW16"/>
  <c r="BW20"/>
  <c r="BW23"/>
  <c r="BW17"/>
  <c r="BW28"/>
  <c r="BW21"/>
  <c r="BW18"/>
  <c r="BW22"/>
  <c r="BW24"/>
  <c r="BX11"/>
  <c r="BX19"/>
  <c r="BX26"/>
  <c r="BX21"/>
  <c r="BX27"/>
  <c r="BX8"/>
  <c r="BX18"/>
  <c r="BX25"/>
  <c r="BX23"/>
  <c r="BX29"/>
  <c r="BX20"/>
  <c r="BX30"/>
  <c r="BX17"/>
  <c r="BX9"/>
  <c r="BX7"/>
  <c r="BX12"/>
  <c r="BX28"/>
  <c r="BX24"/>
  <c r="BX14"/>
  <c r="BX13"/>
  <c r="BX16"/>
  <c r="BX10"/>
  <c r="BX15"/>
  <c r="BX22"/>
  <c r="BU25"/>
  <c r="BU26"/>
  <c r="BU21"/>
  <c r="BU13"/>
  <c r="BU18"/>
  <c r="BU8"/>
  <c r="BU30"/>
  <c r="BU20"/>
  <c r="BU28"/>
  <c r="BU29"/>
  <c r="BU24"/>
  <c r="BU23"/>
  <c r="BU7"/>
  <c r="BU9"/>
  <c r="BU11"/>
  <c r="BU15"/>
  <c r="BU14"/>
  <c r="BU12"/>
  <c r="BU19"/>
  <c r="BU16"/>
  <c r="BU22"/>
  <c r="BU27"/>
  <c r="BU17"/>
  <c r="BU10"/>
  <c r="BV14"/>
  <c r="BV7"/>
  <c r="BV29"/>
  <c r="BV12"/>
  <c r="BV24"/>
  <c r="BV26"/>
  <c r="BV27"/>
  <c r="BV15"/>
  <c r="BV21"/>
  <c r="BV20"/>
  <c r="BV8"/>
  <c r="BV17"/>
  <c r="BV13"/>
  <c r="BV22"/>
  <c r="BV9"/>
  <c r="BV18"/>
  <c r="BV28"/>
  <c r="BV19"/>
  <c r="BV16"/>
  <c r="BV10"/>
  <c r="BV11"/>
  <c r="BV30"/>
  <c r="BV25"/>
  <c r="BV23"/>
  <c r="EH9" i="12"/>
  <c r="EI14" s="1" a="1"/>
  <c r="EI18" l="1"/>
  <c r="EI24"/>
  <c r="EI30"/>
  <c r="EI36"/>
  <c r="EI17"/>
  <c r="EI23"/>
  <c r="EI29"/>
  <c r="EI35"/>
  <c r="EI16"/>
  <c r="EI22"/>
  <c r="EI28"/>
  <c r="EI34"/>
  <c r="EI40"/>
  <c r="EI15"/>
  <c r="EI21"/>
  <c r="EI27"/>
  <c r="EI33"/>
  <c r="EI39"/>
  <c r="EI14"/>
  <c r="EI20"/>
  <c r="EI26"/>
  <c r="EI32"/>
  <c r="EI38"/>
  <c r="EI19"/>
  <c r="EI25"/>
  <c r="EI31"/>
  <c r="EI37"/>
  <c r="DG17"/>
  <c r="DI17" s="1"/>
  <c r="DE24"/>
  <c r="DE25" s="1"/>
  <c r="DE26" s="1"/>
  <c r="DE27" s="1"/>
  <c r="CG17"/>
  <c r="CG18" s="1"/>
  <c r="CG19" s="1"/>
  <c r="BC51" i="19"/>
  <c r="BC54"/>
  <c r="BC52"/>
  <c r="BC55"/>
  <c r="D11" i="10" a="1"/>
  <c r="BC55" i="16"/>
  <c r="BC56"/>
  <c r="EP34" i="12" l="1"/>
  <c r="DG18"/>
  <c r="DI18" s="1"/>
  <c r="DE28"/>
  <c r="DE29" s="1"/>
  <c r="DE30" s="1"/>
  <c r="DE31" s="1"/>
  <c r="DE32" s="1"/>
  <c r="DE33" s="1"/>
  <c r="DE34" s="1"/>
  <c r="DE35" s="1"/>
  <c r="CI16"/>
  <c r="CK16" s="1"/>
  <c r="CG20"/>
  <c r="CG21" s="1"/>
  <c r="CG22" s="1"/>
  <c r="CG23" s="1"/>
  <c r="D16" i="10"/>
  <c r="D15"/>
  <c r="D12"/>
  <c r="DG19" i="12" l="1"/>
  <c r="DI19" s="1"/>
  <c r="DE36"/>
  <c r="DE37" s="1"/>
  <c r="DE38" s="1"/>
  <c r="DE39" s="1"/>
  <c r="CI17"/>
  <c r="CK17" s="1"/>
  <c r="CG24"/>
  <c r="CG25" s="1"/>
  <c r="CG26" s="1"/>
  <c r="CG27" s="1"/>
  <c r="AG14" i="10"/>
  <c r="AF14"/>
  <c r="Z14"/>
  <c r="Z187"/>
  <c r="AF187"/>
  <c r="AG187"/>
  <c r="Z112"/>
  <c r="Z101"/>
  <c r="Z164"/>
  <c r="Z163"/>
  <c r="Z154"/>
  <c r="Z177"/>
  <c r="Z121"/>
  <c r="Z186"/>
  <c r="Z147"/>
  <c r="Z125"/>
  <c r="Z111"/>
  <c r="Z138"/>
  <c r="Z162"/>
  <c r="Z136"/>
  <c r="Z106"/>
  <c r="Z133"/>
  <c r="Z117"/>
  <c r="Z182"/>
  <c r="Z130"/>
  <c r="Z110"/>
  <c r="Z185"/>
  <c r="Z181"/>
  <c r="Z148"/>
  <c r="Z180"/>
  <c r="Z124"/>
  <c r="Z166"/>
  <c r="Z153"/>
  <c r="Z168"/>
  <c r="Z175"/>
  <c r="Z126"/>
  <c r="Z184"/>
  <c r="Z172"/>
  <c r="Z132"/>
  <c r="Z161"/>
  <c r="Z116"/>
  <c r="Z134"/>
  <c r="Z108"/>
  <c r="Z100"/>
  <c r="Z158"/>
  <c r="Z155"/>
  <c r="Z105"/>
  <c r="Z152"/>
  <c r="Z174"/>
  <c r="Z102"/>
  <c r="Z103"/>
  <c r="Z128"/>
  <c r="Z156"/>
  <c r="Z127"/>
  <c r="Z165"/>
  <c r="Z157"/>
  <c r="Z144"/>
  <c r="Z169"/>
  <c r="Z107"/>
  <c r="Z140"/>
  <c r="Z178"/>
  <c r="Z150"/>
  <c r="Z167"/>
  <c r="Z142"/>
  <c r="Z171"/>
  <c r="Z104"/>
  <c r="Z135"/>
  <c r="Z114"/>
  <c r="Z131"/>
  <c r="Z159"/>
  <c r="Z145"/>
  <c r="Z118"/>
  <c r="Z170"/>
  <c r="Z173"/>
  <c r="Z122"/>
  <c r="Z109"/>
  <c r="Z151"/>
  <c r="Z120"/>
  <c r="Z146"/>
  <c r="Z98"/>
  <c r="Z129"/>
  <c r="Z119"/>
  <c r="Z141"/>
  <c r="Z143"/>
  <c r="Z99"/>
  <c r="Z113"/>
  <c r="Z139"/>
  <c r="Z123"/>
  <c r="Z179"/>
  <c r="Z176"/>
  <c r="Z149"/>
  <c r="Z160"/>
  <c r="Z137"/>
  <c r="Z183"/>
  <c r="Z115"/>
  <c r="AF112"/>
  <c r="AF163"/>
  <c r="AF121"/>
  <c r="AF125"/>
  <c r="AF154"/>
  <c r="AF164"/>
  <c r="AF147"/>
  <c r="AF101"/>
  <c r="AF186"/>
  <c r="AF114"/>
  <c r="AF128"/>
  <c r="AF141"/>
  <c r="AF99"/>
  <c r="AF134"/>
  <c r="AF155"/>
  <c r="AF123"/>
  <c r="AF176"/>
  <c r="AF169"/>
  <c r="AF120"/>
  <c r="AF183"/>
  <c r="AF161"/>
  <c r="AF111"/>
  <c r="AF148"/>
  <c r="AF158"/>
  <c r="AF136"/>
  <c r="AF166"/>
  <c r="AF151"/>
  <c r="AF175"/>
  <c r="AF178"/>
  <c r="AF146"/>
  <c r="AF117"/>
  <c r="AF142"/>
  <c r="AF130"/>
  <c r="AF98"/>
  <c r="AF138"/>
  <c r="AF181"/>
  <c r="AF162"/>
  <c r="AF170"/>
  <c r="AF173"/>
  <c r="AF107"/>
  <c r="AF153"/>
  <c r="AF140"/>
  <c r="AF184"/>
  <c r="AF115"/>
  <c r="AF104"/>
  <c r="AF119"/>
  <c r="AF103"/>
  <c r="AF127"/>
  <c r="AF185"/>
  <c r="AF143"/>
  <c r="AF157"/>
  <c r="AF100"/>
  <c r="AF105"/>
  <c r="AF122"/>
  <c r="AF180"/>
  <c r="AF168"/>
  <c r="AF160"/>
  <c r="AF137"/>
  <c r="AF133"/>
  <c r="AF126"/>
  <c r="AF172"/>
  <c r="AF182"/>
  <c r="AF132"/>
  <c r="AF110"/>
  <c r="AF131"/>
  <c r="AF165"/>
  <c r="AF108"/>
  <c r="AF145"/>
  <c r="AF139"/>
  <c r="AF106"/>
  <c r="AF179"/>
  <c r="AF109"/>
  <c r="AF174"/>
  <c r="AF171"/>
  <c r="AF102"/>
  <c r="AF177"/>
  <c r="AF135"/>
  <c r="AF156"/>
  <c r="AF116"/>
  <c r="AF159"/>
  <c r="AF113"/>
  <c r="AF118"/>
  <c r="AF152"/>
  <c r="AF144"/>
  <c r="AF149"/>
  <c r="AF124"/>
  <c r="AF150"/>
  <c r="AF167"/>
  <c r="AF129"/>
  <c r="AG163"/>
  <c r="AG121"/>
  <c r="AG125"/>
  <c r="AG154"/>
  <c r="AG164"/>
  <c r="AG186"/>
  <c r="AG147"/>
  <c r="AG101"/>
  <c r="AG112"/>
  <c r="AG161"/>
  <c r="AG111"/>
  <c r="AG138"/>
  <c r="AG148"/>
  <c r="AG162"/>
  <c r="AG158"/>
  <c r="AG136"/>
  <c r="AG166"/>
  <c r="AG151"/>
  <c r="AG175"/>
  <c r="AG178"/>
  <c r="AG146"/>
  <c r="AG117"/>
  <c r="AG142"/>
  <c r="AG130"/>
  <c r="AG98"/>
  <c r="AG181"/>
  <c r="AG170"/>
  <c r="AG173"/>
  <c r="AG180"/>
  <c r="AG107"/>
  <c r="AG153"/>
  <c r="AG168"/>
  <c r="AG140"/>
  <c r="AG126"/>
  <c r="AG184"/>
  <c r="AG115"/>
  <c r="AG104"/>
  <c r="AG132"/>
  <c r="AG119"/>
  <c r="AG103"/>
  <c r="AG127"/>
  <c r="AG185"/>
  <c r="AG143"/>
  <c r="AG108"/>
  <c r="AG157"/>
  <c r="AG100"/>
  <c r="AG105"/>
  <c r="AG122"/>
  <c r="AG174"/>
  <c r="AG160"/>
  <c r="AG137"/>
  <c r="AG133"/>
  <c r="AG172"/>
  <c r="AG182"/>
  <c r="AG102"/>
  <c r="AG110"/>
  <c r="AG156"/>
  <c r="AG131"/>
  <c r="AG165"/>
  <c r="AG145"/>
  <c r="AG139"/>
  <c r="AG106"/>
  <c r="AG179"/>
  <c r="AG144"/>
  <c r="AG109"/>
  <c r="AG150"/>
  <c r="AG171"/>
  <c r="AG177"/>
  <c r="AG135"/>
  <c r="AG114"/>
  <c r="AG116"/>
  <c r="AG159"/>
  <c r="AG113"/>
  <c r="AG118"/>
  <c r="AG152"/>
  <c r="AG149"/>
  <c r="AG124"/>
  <c r="AG120"/>
  <c r="AG167"/>
  <c r="AG129"/>
  <c r="AG128"/>
  <c r="AG141"/>
  <c r="AG99"/>
  <c r="AG134"/>
  <c r="AG155"/>
  <c r="AG123"/>
  <c r="AG176"/>
  <c r="AG169"/>
  <c r="AG183"/>
  <c r="D14"/>
  <c r="Z70"/>
  <c r="Z61"/>
  <c r="Z58"/>
  <c r="Z68"/>
  <c r="Z65"/>
  <c r="AF95"/>
  <c r="AF73"/>
  <c r="AF68"/>
  <c r="AF67"/>
  <c r="AF56"/>
  <c r="AF89"/>
  <c r="AF84"/>
  <c r="AF91"/>
  <c r="AF62"/>
  <c r="AF66"/>
  <c r="AG54"/>
  <c r="AG88"/>
  <c r="AG72"/>
  <c r="AG63"/>
  <c r="AG58"/>
  <c r="AG64"/>
  <c r="AG59"/>
  <c r="AG73"/>
  <c r="Z39"/>
  <c r="Z46"/>
  <c r="Z40"/>
  <c r="Z38"/>
  <c r="AF37"/>
  <c r="AF32"/>
  <c r="AF52"/>
  <c r="AF39"/>
  <c r="AG44"/>
  <c r="AG35"/>
  <c r="AG37"/>
  <c r="AG50"/>
  <c r="AF92"/>
  <c r="AF87"/>
  <c r="AG97"/>
  <c r="AG80"/>
  <c r="AG96"/>
  <c r="Z43"/>
  <c r="Z44"/>
  <c r="AF50"/>
  <c r="AF45"/>
  <c r="AF35"/>
  <c r="AG48"/>
  <c r="AG43"/>
  <c r="AG66"/>
  <c r="AG86"/>
  <c r="Z48"/>
  <c r="AF47"/>
  <c r="AG41"/>
  <c r="Z77"/>
  <c r="AF82"/>
  <c r="AG60"/>
  <c r="AG82"/>
  <c r="AF40"/>
  <c r="AF30"/>
  <c r="Z95"/>
  <c r="Z81"/>
  <c r="Z63"/>
  <c r="Z80"/>
  <c r="Z83"/>
  <c r="Z79"/>
  <c r="Z66"/>
  <c r="AF54"/>
  <c r="AF70"/>
  <c r="AF86"/>
  <c r="AF83"/>
  <c r="AG84"/>
  <c r="AG91"/>
  <c r="Z35"/>
  <c r="Z52"/>
  <c r="AF48"/>
  <c r="AG52"/>
  <c r="AG36"/>
  <c r="Z75"/>
  <c r="Z62"/>
  <c r="Z71"/>
  <c r="Z93"/>
  <c r="Z87"/>
  <c r="Z67"/>
  <c r="Z60"/>
  <c r="AF81"/>
  <c r="AF55"/>
  <c r="AF65"/>
  <c r="AF72"/>
  <c r="AF57"/>
  <c r="AG93"/>
  <c r="AG61"/>
  <c r="AG85"/>
  <c r="AG62"/>
  <c r="Z49"/>
  <c r="Z32"/>
  <c r="AF42"/>
  <c r="AF53"/>
  <c r="AG40"/>
  <c r="AG47"/>
  <c r="Z97"/>
  <c r="Z92"/>
  <c r="Z69"/>
  <c r="Z64"/>
  <c r="Z72"/>
  <c r="Z84"/>
  <c r="Z85"/>
  <c r="AF74"/>
  <c r="AF79"/>
  <c r="AF76"/>
  <c r="AF61"/>
  <c r="AF69"/>
  <c r="AF77"/>
  <c r="AG74"/>
  <c r="AG55"/>
  <c r="AG78"/>
  <c r="AG69"/>
  <c r="AG83"/>
  <c r="Z50"/>
  <c r="Z45"/>
  <c r="Z53"/>
  <c r="AF43"/>
  <c r="AF36"/>
  <c r="AF34"/>
  <c r="AG32"/>
  <c r="AG53"/>
  <c r="AG51"/>
  <c r="AG31"/>
  <c r="Z30"/>
  <c r="Z59"/>
  <c r="AF97"/>
  <c r="AF94"/>
  <c r="AF78"/>
  <c r="AF63"/>
  <c r="AG95"/>
  <c r="AG90"/>
  <c r="AG56"/>
  <c r="Z42"/>
  <c r="Z47"/>
  <c r="AF38"/>
  <c r="AG38"/>
  <c r="AG30"/>
  <c r="Z31"/>
  <c r="AF33"/>
  <c r="AG49"/>
  <c r="Z74"/>
  <c r="Z94"/>
  <c r="AF71"/>
  <c r="AG81"/>
  <c r="AG57"/>
  <c r="Z33"/>
  <c r="AF41"/>
  <c r="AG34"/>
  <c r="Z91"/>
  <c r="AG68"/>
  <c r="AF46"/>
  <c r="AF49"/>
  <c r="AG39"/>
  <c r="AF31"/>
  <c r="Z76"/>
  <c r="AF96"/>
  <c r="AF80"/>
  <c r="AF85"/>
  <c r="AF58"/>
  <c r="AG75"/>
  <c r="AG65"/>
  <c r="AG79"/>
  <c r="Z36"/>
  <c r="AG45"/>
  <c r="AG42"/>
  <c r="Z51"/>
  <c r="Z34"/>
  <c r="AF51"/>
  <c r="Z90"/>
  <c r="Z73"/>
  <c r="Z86"/>
  <c r="Z78"/>
  <c r="Z55"/>
  <c r="Z57"/>
  <c r="AF75"/>
  <c r="AF90"/>
  <c r="AF60"/>
  <c r="AG89"/>
  <c r="Z37"/>
  <c r="AG46"/>
  <c r="AG33"/>
  <c r="Z54"/>
  <c r="Z89"/>
  <c r="Z88"/>
  <c r="Z82"/>
  <c r="Z56"/>
  <c r="Z96"/>
  <c r="AF64"/>
  <c r="AF59"/>
  <c r="AF88"/>
  <c r="AF93"/>
  <c r="AG70"/>
  <c r="AG92"/>
  <c r="AG76"/>
  <c r="AG67"/>
  <c r="AG71"/>
  <c r="AG87"/>
  <c r="AG77"/>
  <c r="AG94"/>
  <c r="Z41"/>
  <c r="AF44"/>
  <c r="Z25"/>
  <c r="AG21"/>
  <c r="AG22"/>
  <c r="Z28"/>
  <c r="AG23"/>
  <c r="AF27"/>
  <c r="Z19"/>
  <c r="AF21"/>
  <c r="AG25"/>
  <c r="AG24"/>
  <c r="Z22"/>
  <c r="AF29"/>
  <c r="Z29"/>
  <c r="AG19"/>
  <c r="AG29"/>
  <c r="AF28"/>
  <c r="Z27"/>
  <c r="AG18"/>
  <c r="Z23"/>
  <c r="Z18"/>
  <c r="AF22"/>
  <c r="AG20"/>
  <c r="Z24"/>
  <c r="AF18"/>
  <c r="Z26"/>
  <c r="AF25"/>
  <c r="AG26"/>
  <c r="AG27"/>
  <c r="AF26"/>
  <c r="AF23"/>
  <c r="AF20"/>
  <c r="AF24"/>
  <c r="AF19"/>
  <c r="AG28"/>
  <c r="Z20"/>
  <c r="Z21"/>
  <c r="DG20" i="12" l="1"/>
  <c r="DI20" s="1"/>
  <c r="DE40"/>
  <c r="DE41" s="1"/>
  <c r="DE42" s="1"/>
  <c r="DE43" s="1"/>
  <c r="CI18"/>
  <c r="CK18" s="1"/>
  <c r="CG28"/>
  <c r="CG29" s="1"/>
  <c r="CG30" s="1"/>
  <c r="CG31" s="1"/>
  <c r="CG32" s="1"/>
  <c r="CG33" s="1"/>
  <c r="CG34" s="1"/>
  <c r="CG35" s="1"/>
  <c r="AC14" i="10"/>
  <c r="AC187"/>
  <c r="AJ187" s="1"/>
  <c r="AC125"/>
  <c r="AC154"/>
  <c r="AC163"/>
  <c r="AC121"/>
  <c r="AC101"/>
  <c r="AC186"/>
  <c r="AC112"/>
  <c r="AC164"/>
  <c r="AC147"/>
  <c r="AC177"/>
  <c r="AC135"/>
  <c r="AC116"/>
  <c r="AC159"/>
  <c r="AC152"/>
  <c r="AC173"/>
  <c r="AC107"/>
  <c r="AC184"/>
  <c r="AC129"/>
  <c r="AC119"/>
  <c r="AC128"/>
  <c r="AC185"/>
  <c r="AC138"/>
  <c r="AC141"/>
  <c r="AC143"/>
  <c r="AC99"/>
  <c r="AC134"/>
  <c r="AC100"/>
  <c r="AC162"/>
  <c r="AC123"/>
  <c r="AC176"/>
  <c r="AC169"/>
  <c r="AC160"/>
  <c r="AC137"/>
  <c r="AC183"/>
  <c r="AC172"/>
  <c r="AC111"/>
  <c r="AC131"/>
  <c r="AC158"/>
  <c r="AC106"/>
  <c r="AC179"/>
  <c r="AC180"/>
  <c r="AC151"/>
  <c r="AC168"/>
  <c r="AC175"/>
  <c r="AC146"/>
  <c r="AC126"/>
  <c r="AC117"/>
  <c r="AC132"/>
  <c r="AC98"/>
  <c r="AC181"/>
  <c r="AC108"/>
  <c r="AC113"/>
  <c r="AC118"/>
  <c r="AC170"/>
  <c r="AC149"/>
  <c r="AC124"/>
  <c r="AC153"/>
  <c r="AC174"/>
  <c r="AC140"/>
  <c r="AC167"/>
  <c r="AC115"/>
  <c r="AC104"/>
  <c r="AC102"/>
  <c r="AC103"/>
  <c r="AC156"/>
  <c r="AC127"/>
  <c r="AC157"/>
  <c r="AC155"/>
  <c r="AC105"/>
  <c r="AC122"/>
  <c r="AC144"/>
  <c r="AC133"/>
  <c r="AC150"/>
  <c r="AC182"/>
  <c r="AC110"/>
  <c r="AC161"/>
  <c r="AC114"/>
  <c r="AC148"/>
  <c r="AC165"/>
  <c r="AC145"/>
  <c r="AC136"/>
  <c r="AC139"/>
  <c r="AC109"/>
  <c r="AC166"/>
  <c r="AC120"/>
  <c r="AC178"/>
  <c r="AC142"/>
  <c r="AC130"/>
  <c r="AC171"/>
  <c r="AC74"/>
  <c r="AC97"/>
  <c r="AC56"/>
  <c r="AC76"/>
  <c r="AC86"/>
  <c r="AC89"/>
  <c r="AC78"/>
  <c r="AC80"/>
  <c r="AC63"/>
  <c r="AC39"/>
  <c r="AC52"/>
  <c r="AC45"/>
  <c r="AC49"/>
  <c r="AC75"/>
  <c r="AC91"/>
  <c r="AC96"/>
  <c r="AC58"/>
  <c r="AC66"/>
  <c r="AC64"/>
  <c r="AC93"/>
  <c r="AC67"/>
  <c r="AC69"/>
  <c r="AC43"/>
  <c r="AC37"/>
  <c r="AC33"/>
  <c r="AC41"/>
  <c r="AC54"/>
  <c r="AC62"/>
  <c r="AC79"/>
  <c r="AC83"/>
  <c r="AC68"/>
  <c r="AC92"/>
  <c r="AC85"/>
  <c r="AC36"/>
  <c r="AC48"/>
  <c r="AC50"/>
  <c r="AC42"/>
  <c r="AC57"/>
  <c r="AC65"/>
  <c r="AC55"/>
  <c r="AC82"/>
  <c r="AC77"/>
  <c r="AC61"/>
  <c r="AC88"/>
  <c r="AC38"/>
  <c r="AC51"/>
  <c r="AC47"/>
  <c r="AC46"/>
  <c r="AC95"/>
  <c r="AC90"/>
  <c r="AC73"/>
  <c r="AC71"/>
  <c r="AC72"/>
  <c r="AC59"/>
  <c r="AC94"/>
  <c r="AC34"/>
  <c r="AC31"/>
  <c r="AC44"/>
  <c r="AC30"/>
  <c r="AC81"/>
  <c r="AC70"/>
  <c r="AC60"/>
  <c r="AC84"/>
  <c r="AC87"/>
  <c r="AC53"/>
  <c r="AC35"/>
  <c r="AC32"/>
  <c r="AC40"/>
  <c r="AC25"/>
  <c r="AC28"/>
  <c r="AC23"/>
  <c r="AC20"/>
  <c r="AC18"/>
  <c r="AC19"/>
  <c r="AC29"/>
  <c r="AC24"/>
  <c r="AC22"/>
  <c r="AC21"/>
  <c r="AC26"/>
  <c r="AC27"/>
  <c r="DE44" i="12" l="1"/>
  <c r="DE45" s="1"/>
  <c r="DE46" s="1"/>
  <c r="DE47" s="1"/>
  <c r="DG21"/>
  <c r="DI21" s="1"/>
  <c r="CI19"/>
  <c r="CK19" s="1"/>
  <c r="CG36"/>
  <c r="CG37" s="1"/>
  <c r="CG38" s="1"/>
  <c r="CG39" s="1"/>
  <c r="AD187" i="10"/>
  <c r="AE187" s="1"/>
  <c r="AD171"/>
  <c r="AE171" s="1"/>
  <c r="AD130"/>
  <c r="AE130" s="1"/>
  <c r="AD142"/>
  <c r="AE142" s="1"/>
  <c r="AD178"/>
  <c r="AE178" s="1"/>
  <c r="AD120"/>
  <c r="AE120" s="1"/>
  <c r="AD88"/>
  <c r="AE88" s="1"/>
  <c r="AD166"/>
  <c r="AE166" s="1"/>
  <c r="AD87"/>
  <c r="AE87" s="1"/>
  <c r="AD109"/>
  <c r="AE109" s="1"/>
  <c r="AD69"/>
  <c r="AE69" s="1"/>
  <c r="AD85"/>
  <c r="AE85" s="1"/>
  <c r="AD139"/>
  <c r="AE139" s="1"/>
  <c r="AD136"/>
  <c r="AE136" s="1"/>
  <c r="AD145"/>
  <c r="AE145" s="1"/>
  <c r="AD63"/>
  <c r="AE63" s="1"/>
  <c r="AD165"/>
  <c r="AE165" s="1"/>
  <c r="AD148"/>
  <c r="AE148" s="1"/>
  <c r="AD61"/>
  <c r="AE61" s="1"/>
  <c r="AD114"/>
  <c r="AE114" s="1"/>
  <c r="AD161"/>
  <c r="AE161" s="1"/>
  <c r="AD110"/>
  <c r="AE110" s="1"/>
  <c r="AD67"/>
  <c r="AE67" s="1"/>
  <c r="AD182"/>
  <c r="AE182" s="1"/>
  <c r="AD150"/>
  <c r="AE150" s="1"/>
  <c r="AD94"/>
  <c r="AE94" s="1"/>
  <c r="AD133"/>
  <c r="AE133" s="1"/>
  <c r="AD80"/>
  <c r="AE80" s="1"/>
  <c r="AD93"/>
  <c r="AE93" s="1"/>
  <c r="AD144"/>
  <c r="AE144" s="1"/>
  <c r="AD122"/>
  <c r="AE122" s="1"/>
  <c r="AD59"/>
  <c r="AE59" s="1"/>
  <c r="AD105"/>
  <c r="AE105" s="1"/>
  <c r="AD155"/>
  <c r="AE155" s="1"/>
  <c r="AD157"/>
  <c r="AE157" s="1"/>
  <c r="AD92"/>
  <c r="AE92" s="1"/>
  <c r="AD127"/>
  <c r="AE127" s="1"/>
  <c r="AD156"/>
  <c r="AE156" s="1"/>
  <c r="AD84"/>
  <c r="AE84" s="1"/>
  <c r="AD103"/>
  <c r="AE103" s="1"/>
  <c r="AD64"/>
  <c r="AE64" s="1"/>
  <c r="AD68"/>
  <c r="AE68" s="1"/>
  <c r="AD102"/>
  <c r="AE102" s="1"/>
  <c r="AD104"/>
  <c r="AE104" s="1"/>
  <c r="AD115"/>
  <c r="AE115" s="1"/>
  <c r="AD167"/>
  <c r="AE167" s="1"/>
  <c r="AD66"/>
  <c r="AE66" s="1"/>
  <c r="AD83"/>
  <c r="AE83" s="1"/>
  <c r="AD77"/>
  <c r="AE77" s="1"/>
  <c r="AD140"/>
  <c r="AE140" s="1"/>
  <c r="AD174"/>
  <c r="AE174" s="1"/>
  <c r="AD153"/>
  <c r="AE153" s="1"/>
  <c r="AD58"/>
  <c r="AE58" s="1"/>
  <c r="AD124"/>
  <c r="AE124" s="1"/>
  <c r="AD149"/>
  <c r="AE149" s="1"/>
  <c r="AD170"/>
  <c r="AE170" s="1"/>
  <c r="AD118"/>
  <c r="AE118" s="1"/>
  <c r="AD113"/>
  <c r="AE113" s="1"/>
  <c r="AD108"/>
  <c r="AE108" s="1"/>
  <c r="AD181"/>
  <c r="AE181" s="1"/>
  <c r="AD82"/>
  <c r="AE82" s="1"/>
  <c r="AD98"/>
  <c r="AE98" s="1"/>
  <c r="AD132"/>
  <c r="AE132" s="1"/>
  <c r="AD78"/>
  <c r="AE78" s="1"/>
  <c r="AD117"/>
  <c r="AE117" s="1"/>
  <c r="AD126"/>
  <c r="AE126" s="1"/>
  <c r="AD146"/>
  <c r="AE146" s="1"/>
  <c r="AD175"/>
  <c r="AE175" s="1"/>
  <c r="AD168"/>
  <c r="AE168" s="1"/>
  <c r="AD89"/>
  <c r="AE89" s="1"/>
  <c r="AD151"/>
  <c r="AE151" s="1"/>
  <c r="AD180"/>
  <c r="AE180" s="1"/>
  <c r="AD55"/>
  <c r="AE55" s="1"/>
  <c r="AD72"/>
  <c r="AE72" s="1"/>
  <c r="AD179"/>
  <c r="AE179" s="1"/>
  <c r="AD106"/>
  <c r="AE106" s="1"/>
  <c r="AD158"/>
  <c r="AE158" s="1"/>
  <c r="AD131"/>
  <c r="AE131" s="1"/>
  <c r="AD111"/>
  <c r="AE111" s="1"/>
  <c r="AD71"/>
  <c r="AE71" s="1"/>
  <c r="AD60"/>
  <c r="AE60" s="1"/>
  <c r="AD172"/>
  <c r="AE172" s="1"/>
  <c r="AD183"/>
  <c r="AE183" s="1"/>
  <c r="AD79"/>
  <c r="AE79" s="1"/>
  <c r="AD137"/>
  <c r="AE137" s="1"/>
  <c r="AD73"/>
  <c r="AE73" s="1"/>
  <c r="AD160"/>
  <c r="AE160" s="1"/>
  <c r="AD86"/>
  <c r="AE86" s="1"/>
  <c r="AD169"/>
  <c r="AE169" s="1"/>
  <c r="AD62"/>
  <c r="AE62" s="1"/>
  <c r="AD176"/>
  <c r="AE176" s="1"/>
  <c r="AD90"/>
  <c r="AE90" s="1"/>
  <c r="AD123"/>
  <c r="AE123" s="1"/>
  <c r="AD76"/>
  <c r="AE76" s="1"/>
  <c r="AD162"/>
  <c r="AE162" s="1"/>
  <c r="AD100"/>
  <c r="AE100" s="1"/>
  <c r="AD134"/>
  <c r="AE134" s="1"/>
  <c r="AD99"/>
  <c r="AE99" s="1"/>
  <c r="AD143"/>
  <c r="AE143" s="1"/>
  <c r="AD141"/>
  <c r="AE141" s="1"/>
  <c r="AD138"/>
  <c r="AE138" s="1"/>
  <c r="AD185"/>
  <c r="AE185" s="1"/>
  <c r="AD128"/>
  <c r="AE128" s="1"/>
  <c r="AD119"/>
  <c r="AE119" s="1"/>
  <c r="AD129"/>
  <c r="AE129" s="1"/>
  <c r="AD184"/>
  <c r="AE184" s="1"/>
  <c r="AD96"/>
  <c r="AE96" s="1"/>
  <c r="AD107"/>
  <c r="AE107" s="1"/>
  <c r="AD65"/>
  <c r="AE65" s="1"/>
  <c r="AD173"/>
  <c r="AE173" s="1"/>
  <c r="AD152"/>
  <c r="AE152" s="1"/>
  <c r="AD56"/>
  <c r="AE56" s="1"/>
  <c r="AD91"/>
  <c r="AE91" s="1"/>
  <c r="AD159"/>
  <c r="AE159" s="1"/>
  <c r="AD57"/>
  <c r="AE57" s="1"/>
  <c r="AD116"/>
  <c r="AE116" s="1"/>
  <c r="AD135"/>
  <c r="AE135" s="1"/>
  <c r="AD177"/>
  <c r="AE177" s="1"/>
  <c r="AD147"/>
  <c r="AE147" s="1"/>
  <c r="AD164"/>
  <c r="AE164" s="1"/>
  <c r="AD112"/>
  <c r="AE112" s="1"/>
  <c r="AD186"/>
  <c r="AE186" s="1"/>
  <c r="AD70"/>
  <c r="AE70" s="1"/>
  <c r="AD97"/>
  <c r="AE97" s="1"/>
  <c r="AD101"/>
  <c r="AE101" s="1"/>
  <c r="AD121"/>
  <c r="AE121" s="1"/>
  <c r="AD163"/>
  <c r="AE163" s="1"/>
  <c r="AD95"/>
  <c r="AE95" s="1"/>
  <c r="AD81"/>
  <c r="AE81" s="1"/>
  <c r="AD74"/>
  <c r="AE74" s="1"/>
  <c r="AD75"/>
  <c r="AE75" s="1"/>
  <c r="AD54"/>
  <c r="AE54" s="1"/>
  <c r="AD154"/>
  <c r="AE154" s="1"/>
  <c r="AD125"/>
  <c r="AE125" s="1"/>
  <c r="AD40"/>
  <c r="AE40" s="1"/>
  <c r="AD49"/>
  <c r="AE49" s="1"/>
  <c r="AD41"/>
  <c r="AE41" s="1"/>
  <c r="AD42"/>
  <c r="AE42" s="1"/>
  <c r="AD46"/>
  <c r="AE46" s="1"/>
  <c r="AD44"/>
  <c r="AE44" s="1"/>
  <c r="AD32"/>
  <c r="AE32" s="1"/>
  <c r="AD45"/>
  <c r="AE45" s="1"/>
  <c r="AD33"/>
  <c r="AE33" s="1"/>
  <c r="AD50"/>
  <c r="AE50" s="1"/>
  <c r="AD47"/>
  <c r="AE47" s="1"/>
  <c r="AD31"/>
  <c r="AE31" s="1"/>
  <c r="AD35"/>
  <c r="AE35" s="1"/>
  <c r="AD52"/>
  <c r="AE52" s="1"/>
  <c r="AD37"/>
  <c r="AE37" s="1"/>
  <c r="AD48"/>
  <c r="AE48" s="1"/>
  <c r="AD51"/>
  <c r="AE51" s="1"/>
  <c r="AD34"/>
  <c r="AE34" s="1"/>
  <c r="AD53"/>
  <c r="AE53" s="1"/>
  <c r="AD39"/>
  <c r="AE39" s="1"/>
  <c r="AD43"/>
  <c r="AE43" s="1"/>
  <c r="AD36"/>
  <c r="AE36" s="1"/>
  <c r="AD38"/>
  <c r="AE38" s="1"/>
  <c r="DE48" i="12" l="1"/>
  <c r="DE49" s="1"/>
  <c r="DE50" s="1"/>
  <c r="DE51" s="1"/>
  <c r="DG22"/>
  <c r="DI22" s="1"/>
  <c r="CI20"/>
  <c r="CK20" s="1"/>
  <c r="CG40"/>
  <c r="CG41" s="1"/>
  <c r="CG42" s="1"/>
  <c r="CG43" s="1"/>
  <c r="BK34" i="7"/>
  <c r="BM34" s="1"/>
  <c r="DG23" i="12" l="1"/>
  <c r="DI23" s="1"/>
  <c r="DE52"/>
  <c r="DE53" s="1"/>
  <c r="DE54" s="1"/>
  <c r="DE55" s="1"/>
  <c r="CG44"/>
  <c r="CG45" s="1"/>
  <c r="CG46" s="1"/>
  <c r="CG47" s="1"/>
  <c r="CI21"/>
  <c r="CK21" s="1"/>
  <c r="DE56" l="1"/>
  <c r="DE57" s="1"/>
  <c r="DE58" s="1"/>
  <c r="DE59" s="1"/>
  <c r="DG24"/>
  <c r="DI24" s="1"/>
  <c r="CI22"/>
  <c r="CK22" s="1"/>
  <c r="CG48"/>
  <c r="CG49" s="1"/>
  <c r="CG50" s="1"/>
  <c r="CG51" s="1"/>
  <c r="U29" i="7"/>
  <c r="U33"/>
  <c r="U31"/>
  <c r="U30"/>
  <c r="U27"/>
  <c r="U32"/>
  <c r="U34"/>
  <c r="DG25" i="12" l="1"/>
  <c r="DI25" s="1"/>
  <c r="DE60"/>
  <c r="DE61" s="1"/>
  <c r="DE62" s="1"/>
  <c r="DE63" s="1"/>
  <c r="CI23"/>
  <c r="CK23" s="1"/>
  <c r="CG52"/>
  <c r="CG53" s="1"/>
  <c r="CG54" s="1"/>
  <c r="CG55" s="1"/>
  <c r="BC53" i="16"/>
  <c r="DG26" i="12" l="1"/>
  <c r="DI26" s="1"/>
  <c r="DE64"/>
  <c r="DE65" s="1"/>
  <c r="DE66" s="1"/>
  <c r="DE67" s="1"/>
  <c r="DE68" s="1"/>
  <c r="DE69" s="1"/>
  <c r="DE70" s="1"/>
  <c r="DE71" s="1"/>
  <c r="DE72" s="1"/>
  <c r="DE73" s="1"/>
  <c r="DE74" s="1"/>
  <c r="DE75" s="1"/>
  <c r="CI24"/>
  <c r="CK24" s="1"/>
  <c r="CG56"/>
  <c r="CG57" s="1"/>
  <c r="CG58" s="1"/>
  <c r="CG59" s="1"/>
  <c r="D13" i="10"/>
  <c r="CI25" i="12" l="1"/>
  <c r="CK25" s="1"/>
  <c r="CG60"/>
  <c r="CG61" s="1"/>
  <c r="CG62" s="1"/>
  <c r="CG63" s="1"/>
  <c r="DE76"/>
  <c r="DE77" s="1"/>
  <c r="DE78" s="1"/>
  <c r="DE79" s="1"/>
  <c r="DE80" s="1"/>
  <c r="DE81" s="1"/>
  <c r="DE82" s="1"/>
  <c r="DE83" s="1"/>
  <c r="DE84" s="1"/>
  <c r="DE85" s="1"/>
  <c r="DE86" s="1"/>
  <c r="DE87" s="1"/>
  <c r="DE88" s="1"/>
  <c r="DE89" s="1"/>
  <c r="DE90" s="1"/>
  <c r="DE91" s="1"/>
  <c r="DE92" s="1"/>
  <c r="DE93" s="1"/>
  <c r="DE94" s="1"/>
  <c r="DE95" s="1"/>
  <c r="DG27"/>
  <c r="DI27" s="1"/>
  <c r="D18" i="10"/>
  <c r="AA14"/>
  <c r="AD30"/>
  <c r="AE30" s="1"/>
  <c r="AD29"/>
  <c r="AE29" s="1"/>
  <c r="AD28"/>
  <c r="AE28" s="1"/>
  <c r="AD27"/>
  <c r="AE27" s="1"/>
  <c r="AD26"/>
  <c r="AE26" s="1"/>
  <c r="AD25"/>
  <c r="AE25" s="1"/>
  <c r="AD24"/>
  <c r="AE24" s="1"/>
  <c r="AD23"/>
  <c r="AE23" s="1"/>
  <c r="AD22"/>
  <c r="AE22" s="1"/>
  <c r="AD21"/>
  <c r="AE21" s="1"/>
  <c r="AD20"/>
  <c r="AE20" s="1"/>
  <c r="AD19"/>
  <c r="AE19" s="1"/>
  <c r="AD18"/>
  <c r="AE18" s="1"/>
  <c r="AA187"/>
  <c r="AA164"/>
  <c r="AA186"/>
  <c r="AA147"/>
  <c r="AA121"/>
  <c r="AA125"/>
  <c r="AA112"/>
  <c r="AA163"/>
  <c r="AA154"/>
  <c r="AA101"/>
  <c r="AA110"/>
  <c r="AA156"/>
  <c r="AA185"/>
  <c r="AA181"/>
  <c r="AA165"/>
  <c r="AA100"/>
  <c r="AA106"/>
  <c r="AA144"/>
  <c r="AA140"/>
  <c r="AA133"/>
  <c r="AA150"/>
  <c r="AA172"/>
  <c r="AA171"/>
  <c r="AA104"/>
  <c r="AA177"/>
  <c r="AA161"/>
  <c r="AA135"/>
  <c r="AA114"/>
  <c r="AA127"/>
  <c r="AA116"/>
  <c r="AA131"/>
  <c r="AA134"/>
  <c r="AA159"/>
  <c r="AA155"/>
  <c r="AA152"/>
  <c r="AA122"/>
  <c r="AA120"/>
  <c r="AA129"/>
  <c r="AA103"/>
  <c r="AA128"/>
  <c r="AA141"/>
  <c r="AA99"/>
  <c r="AA157"/>
  <c r="AA113"/>
  <c r="AA145"/>
  <c r="AA118"/>
  <c r="AA123"/>
  <c r="AA173"/>
  <c r="AA109"/>
  <c r="AA149"/>
  <c r="AA124"/>
  <c r="AA107"/>
  <c r="AA178"/>
  <c r="AA146"/>
  <c r="AA167"/>
  <c r="AA183"/>
  <c r="AA142"/>
  <c r="AA119"/>
  <c r="AA111"/>
  <c r="AA138"/>
  <c r="AA162"/>
  <c r="AA139"/>
  <c r="AA170"/>
  <c r="AA169"/>
  <c r="AA117"/>
  <c r="AA98"/>
  <c r="AA143"/>
  <c r="AA136"/>
  <c r="AA179"/>
  <c r="AA180"/>
  <c r="AA176"/>
  <c r="AA153"/>
  <c r="AA168"/>
  <c r="AA137"/>
  <c r="AA126"/>
  <c r="AA182"/>
  <c r="AA115"/>
  <c r="AA132"/>
  <c r="AA148"/>
  <c r="AA108"/>
  <c r="AA158"/>
  <c r="AA105"/>
  <c r="AA166"/>
  <c r="AA151"/>
  <c r="AA174"/>
  <c r="AA160"/>
  <c r="AA175"/>
  <c r="AA184"/>
  <c r="AA130"/>
  <c r="AA102"/>
  <c r="AQ175"/>
  <c r="AQ80"/>
  <c r="AQ233"/>
  <c r="AQ390"/>
  <c r="AQ489"/>
  <c r="AQ84"/>
  <c r="AQ253"/>
  <c r="AQ31"/>
  <c r="AQ424"/>
  <c r="AQ297"/>
  <c r="AQ493"/>
  <c r="AQ275"/>
  <c r="AQ286"/>
  <c r="AQ488"/>
  <c r="AQ169"/>
  <c r="AQ159"/>
  <c r="AQ144"/>
  <c r="AQ264"/>
  <c r="AQ135"/>
  <c r="AQ395"/>
  <c r="AQ179"/>
  <c r="AQ92"/>
  <c r="AQ435"/>
  <c r="AQ136"/>
  <c r="AQ355"/>
  <c r="AQ505"/>
  <c r="AQ486"/>
  <c r="AQ350"/>
  <c r="AQ210"/>
  <c r="AQ228"/>
  <c r="AQ217"/>
  <c r="AQ481"/>
  <c r="AQ46"/>
  <c r="AQ256"/>
  <c r="AQ90"/>
  <c r="AQ243"/>
  <c r="AQ440"/>
  <c r="AQ287"/>
  <c r="AQ200"/>
  <c r="AQ430"/>
  <c r="AQ96"/>
  <c r="AQ33"/>
  <c r="AQ250"/>
  <c r="AQ392"/>
  <c r="AQ79"/>
  <c r="AQ188"/>
  <c r="AQ125"/>
  <c r="AQ347"/>
  <c r="AQ147"/>
  <c r="AQ154"/>
  <c r="AQ288"/>
  <c r="AQ393"/>
  <c r="AQ351"/>
  <c r="AQ145"/>
  <c r="AQ382"/>
  <c r="AQ160"/>
  <c r="AQ455"/>
  <c r="AQ38"/>
  <c r="AQ249"/>
  <c r="AQ474"/>
  <c r="AQ252"/>
  <c r="AQ194"/>
  <c r="AQ491"/>
  <c r="AQ83"/>
  <c r="AQ245"/>
  <c r="AQ39"/>
  <c r="AQ262"/>
  <c r="AQ290"/>
  <c r="AQ461"/>
  <c r="AQ239"/>
  <c r="AQ29"/>
  <c r="AQ324"/>
  <c r="AQ376"/>
  <c r="AQ120"/>
  <c r="AQ325"/>
  <c r="AQ295"/>
  <c r="AQ65"/>
  <c r="AQ360"/>
  <c r="AQ42"/>
  <c r="AQ94"/>
  <c r="AQ341"/>
  <c r="AQ356"/>
  <c r="AQ107"/>
  <c r="AQ330"/>
  <c r="AQ193"/>
  <c r="AQ219"/>
  <c r="AQ149"/>
  <c r="AQ72"/>
  <c r="AQ155"/>
  <c r="AQ240"/>
  <c r="AQ95"/>
  <c r="AQ289"/>
  <c r="AQ373"/>
  <c r="AQ463"/>
  <c r="AQ128"/>
  <c r="AQ501"/>
  <c r="AQ37"/>
  <c r="AQ63"/>
  <c r="AQ498"/>
  <c r="AQ139"/>
  <c r="AQ161"/>
  <c r="AQ192"/>
  <c r="AQ397"/>
  <c r="AQ51"/>
  <c r="AQ148"/>
  <c r="AQ458"/>
  <c r="AQ465"/>
  <c r="AQ423"/>
  <c r="AQ433"/>
  <c r="AQ187"/>
  <c r="AQ380"/>
  <c r="AQ468"/>
  <c r="AQ507"/>
  <c r="AQ213"/>
  <c r="AQ475"/>
  <c r="AQ401"/>
  <c r="AQ43"/>
  <c r="AQ335"/>
  <c r="AQ305"/>
  <c r="AQ137"/>
  <c r="AQ111"/>
  <c r="AQ334"/>
  <c r="AQ369"/>
  <c r="AQ113"/>
  <c r="AQ26"/>
  <c r="AQ412"/>
  <c r="AQ66"/>
  <c r="AQ340"/>
  <c r="AQ218"/>
  <c r="AQ492"/>
  <c r="AQ429"/>
  <c r="AQ101"/>
  <c r="AQ432"/>
  <c r="AQ103"/>
  <c r="AQ476"/>
  <c r="AQ413"/>
  <c r="AQ203"/>
  <c r="AQ487"/>
  <c r="AQ229"/>
  <c r="AQ223"/>
  <c r="AQ482"/>
  <c r="AQ130"/>
  <c r="AQ448"/>
  <c r="AQ513"/>
  <c r="AQ75"/>
  <c r="AQ246"/>
  <c r="AQ222"/>
  <c r="AQ93"/>
  <c r="AQ86"/>
  <c r="AQ23"/>
  <c r="AQ281"/>
  <c r="AQ61"/>
  <c r="AQ52"/>
  <c r="AQ337"/>
  <c r="AQ56"/>
  <c r="AQ510"/>
  <c r="AQ30"/>
  <c r="AQ352"/>
  <c r="AQ346"/>
  <c r="AQ509"/>
  <c r="AQ151"/>
  <c r="AQ268"/>
  <c r="AQ165"/>
  <c r="AQ114"/>
  <c r="AQ157"/>
  <c r="AQ64"/>
  <c r="AQ131"/>
  <c r="AQ260"/>
  <c r="AQ198"/>
  <c r="AQ156"/>
  <c r="AQ265"/>
  <c r="AQ503"/>
  <c r="AQ209"/>
  <c r="AQ326"/>
  <c r="AQ32"/>
  <c r="AQ278"/>
  <c r="AQ301"/>
  <c r="AQ259"/>
  <c r="AQ386"/>
  <c r="AQ516"/>
  <c r="AQ438"/>
  <c r="AQ91"/>
  <c r="AQ307"/>
  <c r="AQ49"/>
  <c r="AQ364"/>
  <c r="AQ141"/>
  <c r="AQ422"/>
  <c r="AQ485"/>
  <c r="AQ274"/>
  <c r="AQ365"/>
  <c r="AQ318"/>
  <c r="AQ338"/>
  <c r="AQ115"/>
  <c r="AQ514"/>
  <c r="AQ133"/>
  <c r="AQ459"/>
  <c r="AQ371"/>
  <c r="AQ20"/>
  <c r="AQ443"/>
  <c r="AQ385"/>
  <c r="AQ150"/>
  <c r="AQ398"/>
  <c r="AQ104"/>
  <c r="AQ372"/>
  <c r="AQ405"/>
  <c r="AQ183"/>
  <c r="AQ81"/>
  <c r="AQ434"/>
  <c r="AQ140"/>
  <c r="AQ399"/>
  <c r="AQ409"/>
  <c r="AQ367"/>
  <c r="AQ316"/>
  <c r="AQ404"/>
  <c r="AQ182"/>
  <c r="AQ477"/>
  <c r="AQ255"/>
  <c r="AQ167"/>
  <c r="AQ460"/>
  <c r="AQ238"/>
  <c r="AQ425"/>
  <c r="AQ419"/>
  <c r="AQ291"/>
  <c r="AQ454"/>
  <c r="AQ232"/>
  <c r="AQ248"/>
  <c r="AQ467"/>
  <c r="AQ173"/>
  <c r="AQ261"/>
  <c r="AQ391"/>
  <c r="AQ310"/>
  <c r="AQ197"/>
  <c r="AQ331"/>
  <c r="AQ317"/>
  <c r="AQ71"/>
  <c r="AQ294"/>
  <c r="AQ506"/>
  <c r="AQ28"/>
  <c r="AQ311"/>
  <c r="AQ276"/>
  <c r="AQ207"/>
  <c r="AQ336"/>
  <c r="AQ85"/>
  <c r="AQ452"/>
  <c r="AQ389"/>
  <c r="AQ22"/>
  <c r="AQ212"/>
  <c r="AQ457"/>
  <c r="AQ112"/>
  <c r="AQ439"/>
  <c r="AQ366"/>
  <c r="AQ453"/>
  <c r="AQ402"/>
  <c r="AQ78"/>
  <c r="AQ298"/>
  <c r="AQ27"/>
  <c r="AQ127"/>
  <c r="AQ98"/>
  <c r="AQ35"/>
  <c r="AQ191"/>
  <c r="AQ74"/>
  <c r="AQ517"/>
  <c r="AQ407"/>
  <c r="AQ320"/>
  <c r="AQ202"/>
  <c r="AQ99"/>
  <c r="AQ48"/>
  <c r="AQ143"/>
  <c r="AQ377"/>
  <c r="AQ362"/>
  <c r="AQ62"/>
  <c r="AQ204"/>
  <c r="AQ76"/>
  <c r="AQ499"/>
  <c r="AQ418"/>
  <c r="AQ329"/>
  <c r="AQ462"/>
  <c r="AQ471"/>
  <c r="AQ44"/>
  <c r="AQ415"/>
  <c r="AQ428"/>
  <c r="AQ445"/>
  <c r="AQ410"/>
  <c r="AQ441"/>
  <c r="AQ123"/>
  <c r="AQ490"/>
  <c r="AQ189"/>
  <c r="AQ354"/>
  <c r="AQ205"/>
  <c r="AQ244"/>
  <c r="AQ408"/>
  <c r="AQ484"/>
  <c r="AQ308"/>
  <c r="AQ472"/>
  <c r="AQ181"/>
  <c r="AQ69"/>
  <c r="AQ53"/>
  <c r="AQ314"/>
  <c r="AQ199"/>
  <c r="AQ180"/>
  <c r="AQ420"/>
  <c r="AQ447"/>
  <c r="AQ277"/>
  <c r="AQ55"/>
  <c r="AQ502"/>
  <c r="AQ497"/>
  <c r="AQ339"/>
  <c r="AQ267"/>
  <c r="AQ45"/>
  <c r="AQ515"/>
  <c r="AQ296"/>
  <c r="AQ162"/>
  <c r="AQ166"/>
  <c r="AQ273"/>
  <c r="AQ231"/>
  <c r="AQ358"/>
  <c r="AQ280"/>
  <c r="AQ152"/>
  <c r="AQ221"/>
  <c r="AQ359"/>
  <c r="AQ378"/>
  <c r="AQ394"/>
  <c r="AQ100"/>
  <c r="AQ70"/>
  <c r="AQ375"/>
  <c r="AQ153"/>
  <c r="AQ168"/>
  <c r="AQ436"/>
  <c r="AQ142"/>
  <c r="AQ293"/>
  <c r="AQ215"/>
  <c r="AQ88"/>
  <c r="AQ312"/>
  <c r="AQ54"/>
  <c r="AQ271"/>
  <c r="AQ40"/>
  <c r="AQ251"/>
  <c r="AQ270"/>
  <c r="AQ444"/>
  <c r="AQ208"/>
  <c r="AQ241"/>
  <c r="AQ19"/>
  <c r="AQ77"/>
  <c r="AQ177"/>
  <c r="AQ126"/>
  <c r="AQ118"/>
  <c r="AQ117"/>
  <c r="AQ163"/>
  <c r="AQ368"/>
  <c r="AQ146"/>
  <c r="AQ508"/>
  <c r="AQ379"/>
  <c r="AQ121"/>
  <c r="AQ185"/>
  <c r="AQ374"/>
  <c r="AQ116"/>
  <c r="AQ387"/>
  <c r="AQ304"/>
  <c r="AQ235"/>
  <c r="AQ109"/>
  <c r="AQ172"/>
  <c r="AQ384"/>
  <c r="AQ504"/>
  <c r="AQ225"/>
  <c r="AQ495"/>
  <c r="AQ269"/>
  <c r="AQ254"/>
  <c r="AQ292"/>
  <c r="AQ258"/>
  <c r="AQ195"/>
  <c r="AQ483"/>
  <c r="AQ383"/>
  <c r="AQ332"/>
  <c r="AQ184"/>
  <c r="AQ323"/>
  <c r="AQ381"/>
  <c r="AQ361"/>
  <c r="AQ496"/>
  <c r="AQ363"/>
  <c r="AQ396"/>
  <c r="AQ333"/>
  <c r="AQ321"/>
  <c r="AQ403"/>
  <c r="AQ322"/>
  <c r="AQ97"/>
  <c r="AQ263"/>
  <c r="AQ303"/>
  <c r="AQ247"/>
  <c r="AQ309"/>
  <c r="AQ108"/>
  <c r="AQ170"/>
  <c r="AQ57"/>
  <c r="AQ446"/>
  <c r="AQ328"/>
  <c r="AQ105"/>
  <c r="AQ59"/>
  <c r="AQ178"/>
  <c r="AQ479"/>
  <c r="AQ427"/>
  <c r="AQ416"/>
  <c r="AQ164"/>
  <c r="AQ411"/>
  <c r="AQ285"/>
  <c r="AQ234"/>
  <c r="AQ242"/>
  <c r="AQ494"/>
  <c r="AQ431"/>
  <c r="AQ470"/>
  <c r="AQ469"/>
  <c r="AQ388"/>
  <c r="AQ456"/>
  <c r="AQ226"/>
  <c r="AQ257"/>
  <c r="AQ299"/>
  <c r="AQ315"/>
  <c r="AQ21"/>
  <c r="AQ282"/>
  <c r="AQ343"/>
  <c r="AQ480"/>
  <c r="AQ119"/>
  <c r="AQ342"/>
  <c r="AQ58"/>
  <c r="AQ220"/>
  <c r="AQ34"/>
  <c r="AQ466"/>
  <c r="AQ89"/>
  <c r="AQ132"/>
  <c r="AQ138"/>
  <c r="AQ442"/>
  <c r="AQ473"/>
  <c r="AQ211"/>
  <c r="AQ449"/>
  <c r="AQ500"/>
  <c r="AQ174"/>
  <c r="AQ451"/>
  <c r="AQ349"/>
  <c r="AQ227"/>
  <c r="AQ450"/>
  <c r="AQ344"/>
  <c r="AQ216"/>
  <c r="AQ421"/>
  <c r="AQ283"/>
  <c r="AQ512"/>
  <c r="AQ478"/>
  <c r="AQ272"/>
  <c r="AQ50"/>
  <c r="AQ237"/>
  <c r="AQ319"/>
  <c r="AQ25"/>
  <c r="AQ266"/>
  <c r="AQ224"/>
  <c r="AQ60"/>
  <c r="AQ279"/>
  <c r="AQ201"/>
  <c r="AQ67"/>
  <c r="AQ353"/>
  <c r="AQ122"/>
  <c r="AQ134"/>
  <c r="AQ414"/>
  <c r="AQ129"/>
  <c r="AQ400"/>
  <c r="AQ106"/>
  <c r="AQ158"/>
  <c r="AQ345"/>
  <c r="AQ87"/>
  <c r="AQ357"/>
  <c r="AQ190"/>
  <c r="AQ437"/>
  <c r="AQ236"/>
  <c r="AQ300"/>
  <c r="AQ417"/>
  <c r="AQ36"/>
  <c r="AQ24"/>
  <c r="AQ464"/>
  <c r="AQ284"/>
  <c r="AQ41"/>
  <c r="AQ73"/>
  <c r="AQ511"/>
  <c r="AQ214"/>
  <c r="AQ406"/>
  <c r="AQ110"/>
  <c r="AQ47"/>
  <c r="AQ306"/>
  <c r="AQ302"/>
  <c r="AQ176"/>
  <c r="AQ102"/>
  <c r="AQ230"/>
  <c r="AQ327"/>
  <c r="AQ348"/>
  <c r="AQ68"/>
  <c r="AQ313"/>
  <c r="AQ186"/>
  <c r="AQ206"/>
  <c r="AQ196"/>
  <c r="AQ124"/>
  <c r="AQ82"/>
  <c r="AQ370"/>
  <c r="AQ426"/>
  <c r="AQ171"/>
  <c r="AA95"/>
  <c r="AA81"/>
  <c r="AA56"/>
  <c r="AA91"/>
  <c r="AA85"/>
  <c r="AA86"/>
  <c r="AA79"/>
  <c r="AA71"/>
  <c r="AA93"/>
  <c r="AA46"/>
  <c r="AA44"/>
  <c r="AA38"/>
  <c r="AA43"/>
  <c r="AA30"/>
  <c r="AA74"/>
  <c r="AA87"/>
  <c r="AA76"/>
  <c r="AA77"/>
  <c r="AA67"/>
  <c r="AA90"/>
  <c r="AA66"/>
  <c r="AA55"/>
  <c r="AA53"/>
  <c r="AA32"/>
  <c r="AA49"/>
  <c r="AA50"/>
  <c r="AA52"/>
  <c r="AA97"/>
  <c r="AA75"/>
  <c r="AA96"/>
  <c r="AA92"/>
  <c r="AA80"/>
  <c r="AA94"/>
  <c r="AA33"/>
  <c r="AA45"/>
  <c r="AA48"/>
  <c r="AA51"/>
  <c r="AA47"/>
  <c r="AA54"/>
  <c r="AA84"/>
  <c r="AA83"/>
  <c r="AA58"/>
  <c r="AA62"/>
  <c r="AA57"/>
  <c r="AA89"/>
  <c r="AA39"/>
  <c r="AA68"/>
  <c r="AA88"/>
  <c r="AA64"/>
  <c r="AA59"/>
  <c r="AA65"/>
  <c r="AA73"/>
  <c r="AA78"/>
  <c r="AA41"/>
  <c r="AA36"/>
  <c r="AA35"/>
  <c r="AA37"/>
  <c r="AA70"/>
  <c r="AA82"/>
  <c r="AA60"/>
  <c r="AA63"/>
  <c r="AA69"/>
  <c r="AA61"/>
  <c r="AA72"/>
  <c r="AA31"/>
  <c r="AA40"/>
  <c r="AA34"/>
  <c r="AA42"/>
  <c r="AA24"/>
  <c r="AA22"/>
  <c r="AA18"/>
  <c r="AA25"/>
  <c r="AA29"/>
  <c r="AA21"/>
  <c r="AA27"/>
  <c r="AA23"/>
  <c r="AA28"/>
  <c r="AA19"/>
  <c r="AA26"/>
  <c r="AA20"/>
  <c r="CI26" i="12" l="1"/>
  <c r="CK26" s="1"/>
  <c r="CG64"/>
  <c r="CG65" s="1"/>
  <c r="CG66" s="1"/>
  <c r="CG67" s="1"/>
  <c r="CG68" s="1"/>
  <c r="CG69" s="1"/>
  <c r="CG70" s="1"/>
  <c r="CG71" s="1"/>
  <c r="CG72" s="1"/>
  <c r="CG73" s="1"/>
  <c r="CG74" s="1"/>
  <c r="CG75" s="1"/>
  <c r="DE96"/>
  <c r="DE97" s="1"/>
  <c r="DE98" s="1"/>
  <c r="DE99" s="1"/>
  <c r="DE100" s="1"/>
  <c r="DE101" s="1"/>
  <c r="DE102" s="1"/>
  <c r="DE103" s="1"/>
  <c r="DE104" s="1"/>
  <c r="DE105" s="1"/>
  <c r="DE106" s="1"/>
  <c r="DE107" s="1"/>
  <c r="DE108" s="1"/>
  <c r="DE109" s="1"/>
  <c r="DE110" s="1"/>
  <c r="DE111" s="1"/>
  <c r="DE112" s="1"/>
  <c r="DE113" s="1"/>
  <c r="DE114" s="1"/>
  <c r="DE115" s="1"/>
  <c r="DG28"/>
  <c r="DI28" s="1"/>
  <c r="AB187" i="10"/>
  <c r="AB102"/>
  <c r="AB130"/>
  <c r="AB184"/>
  <c r="AB175"/>
  <c r="AB160"/>
  <c r="AB174"/>
  <c r="AB89"/>
  <c r="AB151"/>
  <c r="AB166"/>
  <c r="AB93"/>
  <c r="AB55"/>
  <c r="AB105"/>
  <c r="AB158"/>
  <c r="AB108"/>
  <c r="AB148"/>
  <c r="AB71"/>
  <c r="AB132"/>
  <c r="AB115"/>
  <c r="AB182"/>
  <c r="AB78"/>
  <c r="AB126"/>
  <c r="AB79"/>
  <c r="AB66"/>
  <c r="AB94"/>
  <c r="AB137"/>
  <c r="AB73"/>
  <c r="AB168"/>
  <c r="AB86"/>
  <c r="AB153"/>
  <c r="AB80"/>
  <c r="AB176"/>
  <c r="AB180"/>
  <c r="AB72"/>
  <c r="AB179"/>
  <c r="AB136"/>
  <c r="AB92"/>
  <c r="AB57"/>
  <c r="AB143"/>
  <c r="AB61"/>
  <c r="AB98"/>
  <c r="AB117"/>
  <c r="AB169"/>
  <c r="AB62"/>
  <c r="AB65"/>
  <c r="AB69"/>
  <c r="AB85"/>
  <c r="AB90"/>
  <c r="AB170"/>
  <c r="AB139"/>
  <c r="AB59"/>
  <c r="AB63"/>
  <c r="AB91"/>
  <c r="AB162"/>
  <c r="AB138"/>
  <c r="AB111"/>
  <c r="AB64"/>
  <c r="AB60"/>
  <c r="AB119"/>
  <c r="AB67"/>
  <c r="AB142"/>
  <c r="AB183"/>
  <c r="AB167"/>
  <c r="AB146"/>
  <c r="AB178"/>
  <c r="AB77"/>
  <c r="AB96"/>
  <c r="AB58"/>
  <c r="AB88"/>
  <c r="AB107"/>
  <c r="AB124"/>
  <c r="AB149"/>
  <c r="AB109"/>
  <c r="AB173"/>
  <c r="AB123"/>
  <c r="AB118"/>
  <c r="AB145"/>
  <c r="AB113"/>
  <c r="AB157"/>
  <c r="AB99"/>
  <c r="AB141"/>
  <c r="AB82"/>
  <c r="AB128"/>
  <c r="AB103"/>
  <c r="AB129"/>
  <c r="AB120"/>
  <c r="AB122"/>
  <c r="AB152"/>
  <c r="AB56"/>
  <c r="AB76"/>
  <c r="AB155"/>
  <c r="AB159"/>
  <c r="AB134"/>
  <c r="AB131"/>
  <c r="AB116"/>
  <c r="AB127"/>
  <c r="AB114"/>
  <c r="AB135"/>
  <c r="AB161"/>
  <c r="AB177"/>
  <c r="AB104"/>
  <c r="AB171"/>
  <c r="AB172"/>
  <c r="AB83"/>
  <c r="AB150"/>
  <c r="AB133"/>
  <c r="AB140"/>
  <c r="AB87"/>
  <c r="AB144"/>
  <c r="AB106"/>
  <c r="AB100"/>
  <c r="AB165"/>
  <c r="AB181"/>
  <c r="AB185"/>
  <c r="AB156"/>
  <c r="AB84"/>
  <c r="AB68"/>
  <c r="AB110"/>
  <c r="AB101"/>
  <c r="AB154"/>
  <c r="AB163"/>
  <c r="AB112"/>
  <c r="AB125"/>
  <c r="AB70"/>
  <c r="AB81"/>
  <c r="AB74"/>
  <c r="AB75"/>
  <c r="AB54"/>
  <c r="AB121"/>
  <c r="AB147"/>
  <c r="AB95"/>
  <c r="AB186"/>
  <c r="AB97"/>
  <c r="AB164"/>
  <c r="AT475"/>
  <c r="AT261"/>
  <c r="AT77"/>
  <c r="AT67"/>
  <c r="AT370"/>
  <c r="AT330"/>
  <c r="AT182"/>
  <c r="AT142"/>
  <c r="AT421"/>
  <c r="AT459"/>
  <c r="AT239"/>
  <c r="AT49"/>
  <c r="AT231"/>
  <c r="AT132"/>
  <c r="AT308"/>
  <c r="AT160"/>
  <c r="AT156"/>
  <c r="AT441"/>
  <c r="AT257"/>
  <c r="AT247"/>
  <c r="AT33"/>
  <c r="AT510"/>
  <c r="AT362"/>
  <c r="AT322"/>
  <c r="AT102"/>
  <c r="AT350"/>
  <c r="AT130"/>
  <c r="AT27"/>
  <c r="AT195"/>
  <c r="AT47"/>
  <c r="AT488"/>
  <c r="AT340"/>
  <c r="AT336"/>
  <c r="AT116"/>
  <c r="AT437"/>
  <c r="AT427"/>
  <c r="AT213"/>
  <c r="AT173"/>
  <c r="AT19"/>
  <c r="AT201"/>
  <c r="AT498"/>
  <c r="AT107"/>
  <c r="AT404"/>
  <c r="AT436"/>
  <c r="AT216"/>
  <c r="AT501"/>
  <c r="AT461"/>
  <c r="AT307"/>
  <c r="AT273"/>
  <c r="AT89"/>
  <c r="AT115"/>
  <c r="AT382"/>
  <c r="AT198"/>
  <c r="AT410"/>
  <c r="AT226"/>
  <c r="AT244"/>
  <c r="AT96"/>
  <c r="AT56"/>
  <c r="AT377"/>
  <c r="AT403"/>
  <c r="AT189"/>
  <c r="AT486"/>
  <c r="AT482"/>
  <c r="AT298"/>
  <c r="AT258"/>
  <c r="AT110"/>
  <c r="AT286"/>
  <c r="AT66"/>
  <c r="AT207"/>
  <c r="AT374"/>
  <c r="AT190"/>
  <c r="AT150"/>
  <c r="AT507"/>
  <c r="AT467"/>
  <c r="AT241"/>
  <c r="AT279"/>
  <c r="AT59"/>
  <c r="AT356"/>
  <c r="AT316"/>
  <c r="AT168"/>
  <c r="AT344"/>
  <c r="AT196"/>
  <c r="AT290"/>
  <c r="AT91"/>
  <c r="AT166"/>
  <c r="AT466"/>
  <c r="AT373"/>
  <c r="AT145"/>
  <c r="AT260"/>
  <c r="AT445"/>
  <c r="AT456"/>
  <c r="AT365"/>
  <c r="AT430"/>
  <c r="AT337"/>
  <c r="AT143"/>
  <c r="AT321"/>
  <c r="AT422"/>
  <c r="AT505"/>
  <c r="AT223"/>
  <c r="AT78"/>
  <c r="AT292"/>
  <c r="AT406"/>
  <c r="AT275"/>
  <c r="AT412"/>
  <c r="AT276"/>
  <c r="AT185"/>
  <c r="AT357"/>
  <c r="AT171"/>
  <c r="AT468"/>
  <c r="AT248"/>
  <c r="AT208"/>
  <c r="AT60"/>
  <c r="AT20"/>
  <c r="AT341"/>
  <c r="AT367"/>
  <c r="AT153"/>
  <c r="AT450"/>
  <c r="AT446"/>
  <c r="AT262"/>
  <c r="AT438"/>
  <c r="AT162"/>
  <c r="AT34"/>
  <c r="AT313"/>
  <c r="AT351"/>
  <c r="AT131"/>
  <c r="AT428"/>
  <c r="AT388"/>
  <c r="AT240"/>
  <c r="AT200"/>
  <c r="AT52"/>
  <c r="AT48"/>
  <c r="AT333"/>
  <c r="AT149"/>
  <c r="AT355"/>
  <c r="AT229"/>
  <c r="AT402"/>
  <c r="AT254"/>
  <c r="AT214"/>
  <c r="AT493"/>
  <c r="AT26"/>
  <c r="AT311"/>
  <c r="AT121"/>
  <c r="AT87"/>
  <c r="AT420"/>
  <c r="AT380"/>
  <c r="AT232"/>
  <c r="AT444"/>
  <c r="AT224"/>
  <c r="AT314"/>
  <c r="AT94"/>
  <c r="AT409"/>
  <c r="AT375"/>
  <c r="AT227"/>
  <c r="AT181"/>
  <c r="AT39"/>
  <c r="AT516"/>
  <c r="AT296"/>
  <c r="AT220"/>
  <c r="AT108"/>
  <c r="AT393"/>
  <c r="AT64"/>
  <c r="AT415"/>
  <c r="AT469"/>
  <c r="AT327"/>
  <c r="AT287"/>
  <c r="AT61"/>
  <c r="AT99"/>
  <c r="AT396"/>
  <c r="AT176"/>
  <c r="AT136"/>
  <c r="AT487"/>
  <c r="AT453"/>
  <c r="AT269"/>
  <c r="AT511"/>
  <c r="AT297"/>
  <c r="AT113"/>
  <c r="AT28"/>
  <c r="AT379"/>
  <c r="AT345"/>
  <c r="AT161"/>
  <c r="AT187"/>
  <c r="AT454"/>
  <c r="AT270"/>
  <c r="AT266"/>
  <c r="AT82"/>
  <c r="AT42"/>
  <c r="AT399"/>
  <c r="AT70"/>
  <c r="AT349"/>
  <c r="AT133"/>
  <c r="AT245"/>
  <c r="AT386"/>
  <c r="AT515"/>
  <c r="AT58"/>
  <c r="AT484"/>
  <c r="AT288"/>
  <c r="AT157"/>
  <c r="AT44"/>
  <c r="AT470"/>
  <c r="AT303"/>
  <c r="AT440"/>
  <c r="AT281"/>
  <c r="AT202"/>
  <c r="AT363"/>
  <c r="AT490"/>
  <c r="AT435"/>
  <c r="AT203"/>
  <c r="AT366"/>
  <c r="AT495"/>
  <c r="AT73"/>
  <c r="AT424"/>
  <c r="AT369"/>
  <c r="AT506"/>
  <c r="AT508"/>
  <c r="AT158"/>
  <c r="AT479"/>
  <c r="AT433"/>
  <c r="AT291"/>
  <c r="AT251"/>
  <c r="AT25"/>
  <c r="AT63"/>
  <c r="AT360"/>
  <c r="AT140"/>
  <c r="AT100"/>
  <c r="AT451"/>
  <c r="AT128"/>
  <c r="AT83"/>
  <c r="AT259"/>
  <c r="AT45"/>
  <c r="AT342"/>
  <c r="AT338"/>
  <c r="AT154"/>
  <c r="AT114"/>
  <c r="AT471"/>
  <c r="AT431"/>
  <c r="AT205"/>
  <c r="AT243"/>
  <c r="AT23"/>
  <c r="AT320"/>
  <c r="AT496"/>
  <c r="AT141"/>
  <c r="AT92"/>
  <c r="AT413"/>
  <c r="AT439"/>
  <c r="AT225"/>
  <c r="AT41"/>
  <c r="AT31"/>
  <c r="AT334"/>
  <c r="AT294"/>
  <c r="AT146"/>
  <c r="AT106"/>
  <c r="AT385"/>
  <c r="AT423"/>
  <c r="AT419"/>
  <c r="AT40"/>
  <c r="AT319"/>
  <c r="AT105"/>
  <c r="AT65"/>
  <c r="AT434"/>
  <c r="AT394"/>
  <c r="AT174"/>
  <c r="AT206"/>
  <c r="AT491"/>
  <c r="AT301"/>
  <c r="AT267"/>
  <c r="AT119"/>
  <c r="AT289"/>
  <c r="AT147"/>
  <c r="AT165"/>
  <c r="AT462"/>
  <c r="AT494"/>
  <c r="AT274"/>
  <c r="AT90"/>
  <c r="AT86"/>
  <c r="AT407"/>
  <c r="AT361"/>
  <c r="AT219"/>
  <c r="AT179"/>
  <c r="AT476"/>
  <c r="AT112"/>
  <c r="AT504"/>
  <c r="AT284"/>
  <c r="AT253"/>
  <c r="AT111"/>
  <c r="AT71"/>
  <c r="AT368"/>
  <c r="AT400"/>
  <c r="AT180"/>
  <c r="AT465"/>
  <c r="AT425"/>
  <c r="AT271"/>
  <c r="AT237"/>
  <c r="AT53"/>
  <c r="AT295"/>
  <c r="AT81"/>
  <c r="AT378"/>
  <c r="AT500"/>
  <c r="AT57"/>
  <c r="AT194"/>
  <c r="AT278"/>
  <c r="AT339"/>
  <c r="AT480"/>
  <c r="AT68"/>
  <c r="AT347"/>
  <c r="AT268"/>
  <c r="AT329"/>
  <c r="AT242"/>
  <c r="AT155"/>
  <c r="AT256"/>
  <c r="AT93"/>
  <c r="AT517"/>
  <c r="AT381"/>
  <c r="AT302"/>
  <c r="AT395"/>
  <c r="AT103"/>
  <c r="AT457"/>
  <c r="AT384"/>
  <c r="AT464"/>
  <c r="AT84"/>
  <c r="AT137"/>
  <c r="AT317"/>
  <c r="AT163"/>
  <c r="AT129"/>
  <c r="AT426"/>
  <c r="AT458"/>
  <c r="AT238"/>
  <c r="AT54"/>
  <c r="AT50"/>
  <c r="AT371"/>
  <c r="AT325"/>
  <c r="AT183"/>
  <c r="AT359"/>
  <c r="AT449"/>
  <c r="AT472"/>
  <c r="AT252"/>
  <c r="AT32"/>
  <c r="AT497"/>
  <c r="AT343"/>
  <c r="AT309"/>
  <c r="AT125"/>
  <c r="AT151"/>
  <c r="AT418"/>
  <c r="AT234"/>
  <c r="AT230"/>
  <c r="AT46"/>
  <c r="AT222"/>
  <c r="AT74"/>
  <c r="AT323"/>
  <c r="AT97"/>
  <c r="AT135"/>
  <c r="AT432"/>
  <c r="AT212"/>
  <c r="AT172"/>
  <c r="AT24"/>
  <c r="AT489"/>
  <c r="AT305"/>
  <c r="AT331"/>
  <c r="AT117"/>
  <c r="AT414"/>
  <c r="AT139"/>
  <c r="AT148"/>
  <c r="AT460"/>
  <c r="AT312"/>
  <c r="AT272"/>
  <c r="AT124"/>
  <c r="AT120"/>
  <c r="AT405"/>
  <c r="AT221"/>
  <c r="AT211"/>
  <c r="AT514"/>
  <c r="AT474"/>
  <c r="AT326"/>
  <c r="AT502"/>
  <c r="AT282"/>
  <c r="AT408"/>
  <c r="AT188"/>
  <c r="AT509"/>
  <c r="AT499"/>
  <c r="AT285"/>
  <c r="AT354"/>
  <c r="AT481"/>
  <c r="AT246"/>
  <c r="AT191"/>
  <c r="AT184"/>
  <c r="AT123"/>
  <c r="AT264"/>
  <c r="AT101"/>
  <c r="AT22"/>
  <c r="AT109"/>
  <c r="AT36"/>
  <c r="AT390"/>
  <c r="AT335"/>
  <c r="AT197"/>
  <c r="AT118"/>
  <c r="AT134"/>
  <c r="AT178"/>
  <c r="AT51"/>
  <c r="AT167"/>
  <c r="AT88"/>
  <c r="AT478"/>
  <c r="AT37"/>
  <c r="AT376"/>
  <c r="AT372"/>
  <c r="AT152"/>
  <c r="AT473"/>
  <c r="AT463"/>
  <c r="AT249"/>
  <c r="AT209"/>
  <c r="AT55"/>
  <c r="AT21"/>
  <c r="AT318"/>
  <c r="AT79"/>
  <c r="AT346"/>
  <c r="AT76"/>
  <c r="AT411"/>
  <c r="AT263"/>
  <c r="AT217"/>
  <c r="AT75"/>
  <c r="AT35"/>
  <c r="AT332"/>
  <c r="AT364"/>
  <c r="AT144"/>
  <c r="AT429"/>
  <c r="AT389"/>
  <c r="AT235"/>
  <c r="AT417"/>
  <c r="AT233"/>
  <c r="AT43"/>
  <c r="AT310"/>
  <c r="AT126"/>
  <c r="AT122"/>
  <c r="AT443"/>
  <c r="AT397"/>
  <c r="AT255"/>
  <c r="AT215"/>
  <c r="AT512"/>
  <c r="AT328"/>
  <c r="AT324"/>
  <c r="AT104"/>
  <c r="AT280"/>
  <c r="AT442"/>
  <c r="AT186"/>
  <c r="AT38"/>
  <c r="AT503"/>
  <c r="AT277"/>
  <c r="AT315"/>
  <c r="AT95"/>
  <c r="AT392"/>
  <c r="AT352"/>
  <c r="AT204"/>
  <c r="AT164"/>
  <c r="AT485"/>
  <c r="AT228"/>
  <c r="AT513"/>
  <c r="AT98"/>
  <c r="AT383"/>
  <c r="AT193"/>
  <c r="AT159"/>
  <c r="AT492"/>
  <c r="AT452"/>
  <c r="AT304"/>
  <c r="AT300"/>
  <c r="AT80"/>
  <c r="AT401"/>
  <c r="AT391"/>
  <c r="AT177"/>
  <c r="AT353"/>
  <c r="AT199"/>
  <c r="AT192"/>
  <c r="AT477"/>
  <c r="AT293"/>
  <c r="AT283"/>
  <c r="AT69"/>
  <c r="AT29"/>
  <c r="AT398"/>
  <c r="AT358"/>
  <c r="AT138"/>
  <c r="AT170"/>
  <c r="AT455"/>
  <c r="AT265"/>
  <c r="AT447"/>
  <c r="AT299"/>
  <c r="AT348"/>
  <c r="AT250"/>
  <c r="AT30"/>
  <c r="AT62"/>
  <c r="AT416"/>
  <c r="AT72"/>
  <c r="AT210"/>
  <c r="AT448"/>
  <c r="AT127"/>
  <c r="AT483"/>
  <c r="AT306"/>
  <c r="AT169"/>
  <c r="AT218"/>
  <c r="AT85"/>
  <c r="AT387"/>
  <c r="AT236"/>
  <c r="AT175"/>
  <c r="AB37"/>
  <c r="AB42"/>
  <c r="AB43"/>
  <c r="AB50"/>
  <c r="AB51"/>
  <c r="AB39"/>
  <c r="AB35"/>
  <c r="AB34"/>
  <c r="AB38"/>
  <c r="AB49"/>
  <c r="AB48"/>
  <c r="AB47"/>
  <c r="AB36"/>
  <c r="AB40"/>
  <c r="AB44"/>
  <c r="AB32"/>
  <c r="AB45"/>
  <c r="AB52"/>
  <c r="AB41"/>
  <c r="AB31"/>
  <c r="AB46"/>
  <c r="AB53"/>
  <c r="AB33"/>
  <c r="AB20"/>
  <c r="AB23"/>
  <c r="AB26"/>
  <c r="AB29"/>
  <c r="AB19"/>
  <c r="AB22"/>
  <c r="AB25"/>
  <c r="AB28"/>
  <c r="AB18"/>
  <c r="AB21"/>
  <c r="AB24"/>
  <c r="AB27"/>
  <c r="AB30"/>
  <c r="AJ160"/>
  <c r="AJ55"/>
  <c r="AJ132"/>
  <c r="AJ66"/>
  <c r="AJ153"/>
  <c r="AJ136"/>
  <c r="AJ117"/>
  <c r="AJ90"/>
  <c r="AJ162"/>
  <c r="AJ67"/>
  <c r="AJ77"/>
  <c r="AJ149"/>
  <c r="AJ113"/>
  <c r="AJ103"/>
  <c r="AJ76"/>
  <c r="AJ127"/>
  <c r="AJ171"/>
  <c r="AJ87"/>
  <c r="AJ185"/>
  <c r="AJ154"/>
  <c r="AJ186"/>
  <c r="AJ43"/>
  <c r="AJ38"/>
  <c r="AJ44"/>
  <c r="AJ46"/>
  <c r="AJ175"/>
  <c r="AJ93"/>
  <c r="AJ71"/>
  <c r="AJ79"/>
  <c r="AJ86"/>
  <c r="AJ179"/>
  <c r="AJ98"/>
  <c r="AJ85"/>
  <c r="AJ91"/>
  <c r="AJ119"/>
  <c r="AJ178"/>
  <c r="AJ124"/>
  <c r="AJ145"/>
  <c r="AJ128"/>
  <c r="AJ56"/>
  <c r="AJ116"/>
  <c r="AJ104"/>
  <c r="AJ140"/>
  <c r="AJ181"/>
  <c r="AJ101"/>
  <c r="AJ81"/>
  <c r="AJ95"/>
  <c r="AJ42"/>
  <c r="AJ40"/>
  <c r="AJ166"/>
  <c r="AJ69"/>
  <c r="AJ60"/>
  <c r="AJ107"/>
  <c r="AJ82"/>
  <c r="AJ131"/>
  <c r="AJ133"/>
  <c r="AJ110"/>
  <c r="AJ147"/>
  <c r="AJ37"/>
  <c r="AJ41"/>
  <c r="AJ39"/>
  <c r="AJ52"/>
  <c r="AJ51"/>
  <c r="AJ47"/>
  <c r="AJ184"/>
  <c r="AJ148"/>
  <c r="AJ126"/>
  <c r="AJ168"/>
  <c r="AJ72"/>
  <c r="AJ61"/>
  <c r="AJ63"/>
  <c r="AJ146"/>
  <c r="AJ118"/>
  <c r="AJ152"/>
  <c r="AJ177"/>
  <c r="AJ165"/>
  <c r="AJ70"/>
  <c r="AJ36"/>
  <c r="AJ48"/>
  <c r="AJ130"/>
  <c r="AJ151"/>
  <c r="AJ108"/>
  <c r="AJ78"/>
  <c r="AJ180"/>
  <c r="AJ143"/>
  <c r="AJ65"/>
  <c r="AJ59"/>
  <c r="AJ64"/>
  <c r="AJ167"/>
  <c r="AJ88"/>
  <c r="AJ123"/>
  <c r="AJ141"/>
  <c r="AJ122"/>
  <c r="AJ134"/>
  <c r="AJ161"/>
  <c r="AJ150"/>
  <c r="AJ100"/>
  <c r="AJ68"/>
  <c r="AJ125"/>
  <c r="AJ121"/>
  <c r="AJ45"/>
  <c r="AJ102"/>
  <c r="AJ89"/>
  <c r="AJ158"/>
  <c r="AJ182"/>
  <c r="AJ137"/>
  <c r="AJ176"/>
  <c r="AJ57"/>
  <c r="AJ62"/>
  <c r="AJ139"/>
  <c r="AJ111"/>
  <c r="AJ183"/>
  <c r="AJ58"/>
  <c r="AJ173"/>
  <c r="AJ99"/>
  <c r="AJ120"/>
  <c r="AJ159"/>
  <c r="AJ135"/>
  <c r="AJ83"/>
  <c r="AJ106"/>
  <c r="AJ84"/>
  <c r="AJ112"/>
  <c r="AJ54"/>
  <c r="AJ164"/>
  <c r="AJ174"/>
  <c r="AJ105"/>
  <c r="AJ115"/>
  <c r="AJ94"/>
  <c r="AJ80"/>
  <c r="AJ92"/>
  <c r="AJ169"/>
  <c r="AJ170"/>
  <c r="AJ138"/>
  <c r="AJ142"/>
  <c r="AJ96"/>
  <c r="AJ109"/>
  <c r="AJ157"/>
  <c r="AJ129"/>
  <c r="AJ155"/>
  <c r="AJ114"/>
  <c r="AJ172"/>
  <c r="AJ144"/>
  <c r="AJ156"/>
  <c r="AJ163"/>
  <c r="AJ97"/>
  <c r="AJ50"/>
  <c r="AJ49"/>
  <c r="AJ53"/>
  <c r="AJ73"/>
  <c r="AJ33"/>
  <c r="AJ27"/>
  <c r="AJ32"/>
  <c r="AJ29"/>
  <c r="AJ35"/>
  <c r="AJ31"/>
  <c r="AJ28"/>
  <c r="AJ34"/>
  <c r="AJ22"/>
  <c r="AJ19"/>
  <c r="AJ24"/>
  <c r="AJ21"/>
  <c r="AJ26"/>
  <c r="AJ23"/>
  <c r="AJ20"/>
  <c r="AJ25"/>
  <c r="AJ30"/>
  <c r="AJ18"/>
  <c r="BC52" i="16"/>
  <c r="BC60" l="1" a="1"/>
  <c r="CG76" i="12"/>
  <c r="CG77" s="1"/>
  <c r="CG78" s="1"/>
  <c r="CG79" s="1"/>
  <c r="CG80" s="1"/>
  <c r="CG81" s="1"/>
  <c r="CG82" s="1"/>
  <c r="CG83" s="1"/>
  <c r="CG84" s="1"/>
  <c r="CG85" s="1"/>
  <c r="CG86" s="1"/>
  <c r="CG87" s="1"/>
  <c r="CG88" s="1"/>
  <c r="CG89" s="1"/>
  <c r="CG90" s="1"/>
  <c r="CG91" s="1"/>
  <c r="CG92" s="1"/>
  <c r="CG93" s="1"/>
  <c r="CG94" s="1"/>
  <c r="CG95" s="1"/>
  <c r="CI27"/>
  <c r="CK27" s="1"/>
  <c r="DE116"/>
  <c r="DE117" s="1"/>
  <c r="DE118" s="1"/>
  <c r="DE119" s="1"/>
  <c r="DE120" s="1"/>
  <c r="DE121" s="1"/>
  <c r="DE122" s="1"/>
  <c r="DE123" s="1"/>
  <c r="DE124" s="1"/>
  <c r="DE125" s="1"/>
  <c r="DE126" s="1"/>
  <c r="DE127" s="1"/>
  <c r="DE128" s="1"/>
  <c r="DE129" s="1"/>
  <c r="DE130" s="1"/>
  <c r="DE131" s="1"/>
  <c r="DE132" s="1"/>
  <c r="DE133" s="1"/>
  <c r="DE134" s="1"/>
  <c r="DE135" s="1"/>
  <c r="DG29"/>
  <c r="DI29" s="1"/>
  <c r="BC64" i="16" l="1"/>
  <c r="BC63"/>
  <c r="BC62"/>
  <c r="BC61"/>
  <c r="BC60"/>
  <c r="CG96" i="12"/>
  <c r="CG97" s="1"/>
  <c r="CG98" s="1"/>
  <c r="CG99" s="1"/>
  <c r="CG100" s="1"/>
  <c r="CG101" s="1"/>
  <c r="CG102" s="1"/>
  <c r="CG103" s="1"/>
  <c r="CG104" s="1"/>
  <c r="CG105" s="1"/>
  <c r="CG106" s="1"/>
  <c r="CG107" s="1"/>
  <c r="CG108" s="1"/>
  <c r="CG109" s="1"/>
  <c r="CG110" s="1"/>
  <c r="CG111" s="1"/>
  <c r="CG112" s="1"/>
  <c r="CG113" s="1"/>
  <c r="CG114" s="1"/>
  <c r="CG115" s="1"/>
  <c r="CI28"/>
  <c r="CK28" s="1"/>
  <c r="DG30"/>
  <c r="DI30" s="1"/>
  <c r="DE136"/>
  <c r="DE137" s="1"/>
  <c r="DE138" s="1"/>
  <c r="DE139" s="1"/>
  <c r="DE140" s="1"/>
  <c r="DE141" s="1"/>
  <c r="DE142" s="1"/>
  <c r="DE143" s="1"/>
  <c r="DE144" s="1"/>
  <c r="DE145" s="1"/>
  <c r="DE146" s="1"/>
  <c r="DE147" s="1"/>
  <c r="DE148" s="1"/>
  <c r="DE149" s="1"/>
  <c r="DE150" s="1"/>
  <c r="DE151" s="1"/>
  <c r="DE152" s="1"/>
  <c r="DE153" s="1"/>
  <c r="DE154" s="1"/>
  <c r="DE155" s="1"/>
  <c r="J11" i="10" a="1"/>
  <c r="CI29" i="12" l="1"/>
  <c r="CK29" s="1"/>
  <c r="CG116"/>
  <c r="CG117" s="1"/>
  <c r="CG118" s="1"/>
  <c r="CG119" s="1"/>
  <c r="CG120" s="1"/>
  <c r="CG121" s="1"/>
  <c r="CG122" s="1"/>
  <c r="CG123" s="1"/>
  <c r="CG124" s="1"/>
  <c r="CG125" s="1"/>
  <c r="CG126" s="1"/>
  <c r="CG127" s="1"/>
  <c r="CG128" s="1"/>
  <c r="CG129" s="1"/>
  <c r="CG130" s="1"/>
  <c r="CG131" s="1"/>
  <c r="CG132" s="1"/>
  <c r="CG133" s="1"/>
  <c r="CG134" s="1"/>
  <c r="CG135" s="1"/>
  <c r="DG31"/>
  <c r="DI31" s="1"/>
  <c r="DE156"/>
  <c r="DE157" s="1"/>
  <c r="DE158" s="1"/>
  <c r="DE159" s="1"/>
  <c r="DE160" s="1"/>
  <c r="DE161" s="1"/>
  <c r="DE162" s="1"/>
  <c r="DE163" s="1"/>
  <c r="DE164" s="1"/>
  <c r="DE165" s="1"/>
  <c r="DE166" s="1"/>
  <c r="DE167" s="1"/>
  <c r="DE168" s="1"/>
  <c r="DE169" s="1"/>
  <c r="DE170" s="1"/>
  <c r="DE171" s="1"/>
  <c r="DE172" s="1"/>
  <c r="DE173" s="1"/>
  <c r="DE174" s="1"/>
  <c r="DE175" s="1"/>
  <c r="J13" i="10"/>
  <c r="BI14" s="1"/>
  <c r="J15"/>
  <c r="BN14" s="1"/>
  <c r="J12"/>
  <c r="BH14" s="1"/>
  <c r="J11"/>
  <c r="J14"/>
  <c r="J16"/>
  <c r="BO14" s="1"/>
  <c r="BI18" a="1"/>
  <c r="AY18" a="1"/>
  <c r="BN18" a="1"/>
  <c r="BO18" a="1"/>
  <c r="BH18" a="1"/>
  <c r="CI30" i="12" l="1"/>
  <c r="CK30" s="1"/>
  <c r="CG136"/>
  <c r="CG137" s="1"/>
  <c r="CG138" s="1"/>
  <c r="CG139" s="1"/>
  <c r="CG140" s="1"/>
  <c r="CG141" s="1"/>
  <c r="CG142" s="1"/>
  <c r="CG143" s="1"/>
  <c r="CG144" s="1"/>
  <c r="CG145" s="1"/>
  <c r="CG146" s="1"/>
  <c r="CG147" s="1"/>
  <c r="CG148" s="1"/>
  <c r="CG149" s="1"/>
  <c r="CG150" s="1"/>
  <c r="CG151" s="1"/>
  <c r="CG152" s="1"/>
  <c r="CG153" s="1"/>
  <c r="CG154" s="1"/>
  <c r="CG155" s="1"/>
  <c r="DG32"/>
  <c r="DI32" s="1"/>
  <c r="DE176"/>
  <c r="DE177" s="1"/>
  <c r="DE178" s="1"/>
  <c r="DE179" s="1"/>
  <c r="DE180" s="1"/>
  <c r="DE181" s="1"/>
  <c r="DE182" s="1"/>
  <c r="DE183" s="1"/>
  <c r="DE184" s="1"/>
  <c r="DE185" s="1"/>
  <c r="DE186" s="1"/>
  <c r="DE187" s="1"/>
  <c r="DE188" s="1"/>
  <c r="DE189" s="1"/>
  <c r="DE190" s="1"/>
  <c r="DE191" s="1"/>
  <c r="DE192" s="1"/>
  <c r="DE193" s="1"/>
  <c r="DE194" s="1"/>
  <c r="DE195" s="1"/>
  <c r="DE196" s="1"/>
  <c r="DE197" s="1"/>
  <c r="DE198" s="1"/>
  <c r="DE199" s="1"/>
  <c r="DE200" s="1"/>
  <c r="DE201" s="1"/>
  <c r="DE202" s="1"/>
  <c r="DE203" s="1"/>
  <c r="DE204" s="1"/>
  <c r="DE205" s="1"/>
  <c r="DE206" s="1"/>
  <c r="DE207" s="1"/>
  <c r="DE208" s="1"/>
  <c r="DE209" s="1"/>
  <c r="DE210" s="1"/>
  <c r="DE211" s="1"/>
  <c r="DE212" s="1"/>
  <c r="DE213" s="1"/>
  <c r="DE214" s="1"/>
  <c r="DE215" s="1"/>
  <c r="DE216" s="1"/>
  <c r="DE217" s="1"/>
  <c r="DE218" s="1"/>
  <c r="DE219" s="1"/>
  <c r="DE220" s="1"/>
  <c r="DE221" s="1"/>
  <c r="DE222" s="1"/>
  <c r="DE223" s="1"/>
  <c r="DE224" s="1"/>
  <c r="DE225" s="1"/>
  <c r="DE226" s="1"/>
  <c r="DE227" s="1"/>
  <c r="DE228" s="1"/>
  <c r="DE229" s="1"/>
  <c r="DE230" s="1"/>
  <c r="DE231" s="1"/>
  <c r="DE232" s="1"/>
  <c r="DE233" s="1"/>
  <c r="DE234" s="1"/>
  <c r="DE235" s="1"/>
  <c r="DE236" s="1"/>
  <c r="DE237" s="1"/>
  <c r="DE238" s="1"/>
  <c r="DE239" s="1"/>
  <c r="DE240" s="1"/>
  <c r="DE241" s="1"/>
  <c r="DE242" s="1"/>
  <c r="DE243" s="1"/>
  <c r="DE244" s="1"/>
  <c r="DE245" s="1"/>
  <c r="DE246" s="1"/>
  <c r="DE247" s="1"/>
  <c r="DE248" s="1"/>
  <c r="DE249" s="1"/>
  <c r="DE250" s="1"/>
  <c r="DE251" s="1"/>
  <c r="DE252" s="1"/>
  <c r="DE253" s="1"/>
  <c r="DE254" s="1"/>
  <c r="DE255" s="1"/>
  <c r="DE256" s="1"/>
  <c r="DE257" s="1"/>
  <c r="DE258" s="1"/>
  <c r="DE259" s="1"/>
  <c r="DE260" s="1"/>
  <c r="DE261" s="1"/>
  <c r="DE262" s="1"/>
  <c r="DE263" s="1"/>
  <c r="DE264" s="1"/>
  <c r="DE265" s="1"/>
  <c r="DE266" s="1"/>
  <c r="DE267" s="1"/>
  <c r="DE268" s="1"/>
  <c r="DE269" s="1"/>
  <c r="DE270" s="1"/>
  <c r="DE271" s="1"/>
  <c r="DE272" s="1"/>
  <c r="DE273" s="1"/>
  <c r="DE274" s="1"/>
  <c r="DE275" s="1"/>
  <c r="DE276" s="1"/>
  <c r="DE277" s="1"/>
  <c r="DE278" s="1"/>
  <c r="DE279" s="1"/>
  <c r="DE280" s="1"/>
  <c r="DE281" s="1"/>
  <c r="DE282" s="1"/>
  <c r="DE283" s="1"/>
  <c r="DE284" s="1"/>
  <c r="DE285" s="1"/>
  <c r="DE286" s="1"/>
  <c r="DE287" s="1"/>
  <c r="DE288" s="1"/>
  <c r="DE289" s="1"/>
  <c r="DE290" s="1"/>
  <c r="DE291" s="1"/>
  <c r="DE292" s="1"/>
  <c r="DE293" s="1"/>
  <c r="DE294" s="1"/>
  <c r="DE295" s="1"/>
  <c r="DE296" s="1"/>
  <c r="DE297" s="1"/>
  <c r="DE298" s="1"/>
  <c r="DE299" s="1"/>
  <c r="DE300" s="1"/>
  <c r="DE301" s="1"/>
  <c r="DE302" s="1"/>
  <c r="DE303" s="1"/>
  <c r="DE304" s="1"/>
  <c r="DE305" s="1"/>
  <c r="DE306" s="1"/>
  <c r="DE307" s="1"/>
  <c r="DE308" s="1"/>
  <c r="DE309" s="1"/>
  <c r="DE310" s="1"/>
  <c r="DE311" s="1"/>
  <c r="DE312" s="1"/>
  <c r="DE313" s="1"/>
  <c r="DE314" s="1"/>
  <c r="DE315" s="1"/>
  <c r="DE316" s="1"/>
  <c r="DE317" s="1"/>
  <c r="DE318" s="1"/>
  <c r="DE319" s="1"/>
  <c r="DE320" s="1"/>
  <c r="DE321" s="1"/>
  <c r="DE322" s="1"/>
  <c r="DE323" s="1"/>
  <c r="DE324" s="1"/>
  <c r="DE325" s="1"/>
  <c r="DE326" s="1"/>
  <c r="DE327" s="1"/>
  <c r="DE328" s="1"/>
  <c r="DE329" s="1"/>
  <c r="DE330" s="1"/>
  <c r="DE331" s="1"/>
  <c r="DE332" s="1"/>
  <c r="DE333" s="1"/>
  <c r="DE334" s="1"/>
  <c r="DE335" s="1"/>
  <c r="DE336" s="1"/>
  <c r="DE337" s="1"/>
  <c r="DE338" s="1"/>
  <c r="DE339" s="1"/>
  <c r="DE340" s="1"/>
  <c r="DE341" s="1"/>
  <c r="DE342" s="1"/>
  <c r="DE343" s="1"/>
  <c r="DE344" s="1"/>
  <c r="DE345" s="1"/>
  <c r="DE346" s="1"/>
  <c r="DE347" s="1"/>
  <c r="DE348" s="1"/>
  <c r="DE349" s="1"/>
  <c r="DE350" s="1"/>
  <c r="DE351" s="1"/>
  <c r="DE352" s="1"/>
  <c r="DE353" s="1"/>
  <c r="DE354" s="1"/>
  <c r="DE355" s="1"/>
  <c r="DE356" s="1"/>
  <c r="DE357" s="1"/>
  <c r="DE358" s="1"/>
  <c r="DE359" s="1"/>
  <c r="DE360" s="1"/>
  <c r="DE361" s="1"/>
  <c r="DE362" s="1"/>
  <c r="DE363" s="1"/>
  <c r="DE364" s="1"/>
  <c r="DE365" s="1"/>
  <c r="DE366" s="1"/>
  <c r="DE367" s="1"/>
  <c r="DE368" s="1"/>
  <c r="DE369" s="1"/>
  <c r="DE370" s="1"/>
  <c r="DE371" s="1"/>
  <c r="DE372" s="1"/>
  <c r="DE373" s="1"/>
  <c r="DE374" s="1"/>
  <c r="DE375" s="1"/>
  <c r="DE376" s="1"/>
  <c r="DE377" s="1"/>
  <c r="DE378" s="1"/>
  <c r="DE379" s="1"/>
  <c r="DE380" s="1"/>
  <c r="DE381" s="1"/>
  <c r="DE382" s="1"/>
  <c r="DE383" s="1"/>
  <c r="DE384" s="1"/>
  <c r="DE385" s="1"/>
  <c r="DE386" s="1"/>
  <c r="DE387" s="1"/>
  <c r="DE388" s="1"/>
  <c r="DE389" s="1"/>
  <c r="DE390" s="1"/>
  <c r="DE391" s="1"/>
  <c r="DE392" s="1"/>
  <c r="DE393" s="1"/>
  <c r="DE394" s="1"/>
  <c r="DE395" s="1"/>
  <c r="DE396" s="1"/>
  <c r="DE397" s="1"/>
  <c r="DE398" s="1"/>
  <c r="DE399" s="1"/>
  <c r="DE400" s="1"/>
  <c r="DE401" s="1"/>
  <c r="DE402" s="1"/>
  <c r="DE403" s="1"/>
  <c r="DE404" s="1"/>
  <c r="DE405" s="1"/>
  <c r="DE406" s="1"/>
  <c r="DE407" s="1"/>
  <c r="DE408" s="1"/>
  <c r="DE409" s="1"/>
  <c r="DE410" s="1"/>
  <c r="DE411" s="1"/>
  <c r="DE412" s="1"/>
  <c r="DE413" s="1"/>
  <c r="DE414" s="1"/>
  <c r="DE415" s="1"/>
  <c r="DE416" s="1"/>
  <c r="DE417" s="1"/>
  <c r="DE418" s="1"/>
  <c r="DE419" s="1"/>
  <c r="DE420" s="1"/>
  <c r="DE421" s="1"/>
  <c r="DE422" s="1"/>
  <c r="DE423" s="1"/>
  <c r="DE424" s="1"/>
  <c r="DE425" s="1"/>
  <c r="DE426" s="1"/>
  <c r="DE427" s="1"/>
  <c r="DE428" s="1"/>
  <c r="DE429" s="1"/>
  <c r="DE430" s="1"/>
  <c r="DE431" s="1"/>
  <c r="DE432" s="1"/>
  <c r="DE433" s="1"/>
  <c r="DE434" s="1"/>
  <c r="DE435" s="1"/>
  <c r="DE436" s="1"/>
  <c r="DE437" s="1"/>
  <c r="DE438" s="1"/>
  <c r="DE439" s="1"/>
  <c r="DE440" s="1"/>
  <c r="DE441" s="1"/>
  <c r="DE442" s="1"/>
  <c r="DE443" s="1"/>
  <c r="DE444" s="1"/>
  <c r="DE445" s="1"/>
  <c r="DE446" s="1"/>
  <c r="DE447" s="1"/>
  <c r="DE448" s="1"/>
  <c r="DE449" s="1"/>
  <c r="DE450" s="1"/>
  <c r="DE451" s="1"/>
  <c r="DE452" s="1"/>
  <c r="DE453" s="1"/>
  <c r="DE454" s="1"/>
  <c r="DE455" s="1"/>
  <c r="DE456" s="1"/>
  <c r="DE457" s="1"/>
  <c r="DE458" s="1"/>
  <c r="DE459" s="1"/>
  <c r="DE460" s="1"/>
  <c r="DE461" s="1"/>
  <c r="DE462" s="1"/>
  <c r="DE463" s="1"/>
  <c r="DE464" s="1"/>
  <c r="DE465" s="1"/>
  <c r="DE466" s="1"/>
  <c r="DE467" s="1"/>
  <c r="DE468" s="1"/>
  <c r="DE469" s="1"/>
  <c r="DE470" s="1"/>
  <c r="DE471" s="1"/>
  <c r="DE472" s="1"/>
  <c r="DE473" s="1"/>
  <c r="DE474" s="1"/>
  <c r="DE475" s="1"/>
  <c r="DE476" s="1"/>
  <c r="DE477" s="1"/>
  <c r="DE478" s="1"/>
  <c r="DE479" s="1"/>
  <c r="DE480" s="1"/>
  <c r="DE481" s="1"/>
  <c r="DE482" s="1"/>
  <c r="DE483" s="1"/>
  <c r="DE484" s="1"/>
  <c r="DE485" s="1"/>
  <c r="DE486" s="1"/>
  <c r="DE487" s="1"/>
  <c r="DE488" s="1"/>
  <c r="DE489" s="1"/>
  <c r="DE490" s="1"/>
  <c r="DE491" s="1"/>
  <c r="DE492" s="1"/>
  <c r="DE493" s="1"/>
  <c r="DE494" s="1"/>
  <c r="DE495" s="1"/>
  <c r="DE496" s="1"/>
  <c r="DE497" s="1"/>
  <c r="DE498" s="1"/>
  <c r="DE499" s="1"/>
  <c r="DE500" s="1"/>
  <c r="DE501" s="1"/>
  <c r="DE502" s="1"/>
  <c r="DE503" s="1"/>
  <c r="DE504" s="1"/>
  <c r="DE505" s="1"/>
  <c r="DE506" s="1"/>
  <c r="DE507" s="1"/>
  <c r="DE508" s="1"/>
  <c r="DE509" s="1"/>
  <c r="DE510" s="1"/>
  <c r="DE511" s="1"/>
  <c r="DE512" s="1"/>
  <c r="DE513" s="1"/>
  <c r="DE514" s="1"/>
  <c r="BN511" i="10"/>
  <c r="BN505"/>
  <c r="BN499"/>
  <c r="BN493"/>
  <c r="BN487"/>
  <c r="BN481"/>
  <c r="BN475"/>
  <c r="BN469"/>
  <c r="BN463"/>
  <c r="BN457"/>
  <c r="BN451"/>
  <c r="BN445"/>
  <c r="BN439"/>
  <c r="BN433"/>
  <c r="BN427"/>
  <c r="BN421"/>
  <c r="BN415"/>
  <c r="BN409"/>
  <c r="BN403"/>
  <c r="BN397"/>
  <c r="BN391"/>
  <c r="BN385"/>
  <c r="BN379"/>
  <c r="BN373"/>
  <c r="BN367"/>
  <c r="BN361"/>
  <c r="BN355"/>
  <c r="BN349"/>
  <c r="BN343"/>
  <c r="BN337"/>
  <c r="BN331"/>
  <c r="BN325"/>
  <c r="BN319"/>
  <c r="BN313"/>
  <c r="BN307"/>
  <c r="BN301"/>
  <c r="BN295"/>
  <c r="BN289"/>
  <c r="BN283"/>
  <c r="BN277"/>
  <c r="BN271"/>
  <c r="BN265"/>
  <c r="BN259"/>
  <c r="BN253"/>
  <c r="BN247"/>
  <c r="BN241"/>
  <c r="BN235"/>
  <c r="BN229"/>
  <c r="BN223"/>
  <c r="BN217"/>
  <c r="BN211"/>
  <c r="BN205"/>
  <c r="BN199"/>
  <c r="BN193"/>
  <c r="BN187"/>
  <c r="BN181"/>
  <c r="BN175"/>
  <c r="BN169"/>
  <c r="BN163"/>
  <c r="BN157"/>
  <c r="BN151"/>
  <c r="BN145"/>
  <c r="BN139"/>
  <c r="BN133"/>
  <c r="BN127"/>
  <c r="BN121"/>
  <c r="BN115"/>
  <c r="BN109"/>
  <c r="BN103"/>
  <c r="BN97"/>
  <c r="BN91"/>
  <c r="BN85"/>
  <c r="BN79"/>
  <c r="BN73"/>
  <c r="BN67"/>
  <c r="BN61"/>
  <c r="BN55"/>
  <c r="BN49"/>
  <c r="BN43"/>
  <c r="BN37"/>
  <c r="BN31"/>
  <c r="BN25"/>
  <c r="BN19"/>
  <c r="BN512"/>
  <c r="BN506"/>
  <c r="BN500"/>
  <c r="BN494"/>
  <c r="BN488"/>
  <c r="BN482"/>
  <c r="BN476"/>
  <c r="BN470"/>
  <c r="BN464"/>
  <c r="BN458"/>
  <c r="BN452"/>
  <c r="BN446"/>
  <c r="BN440"/>
  <c r="BN434"/>
  <c r="BN428"/>
  <c r="BN422"/>
  <c r="BN416"/>
  <c r="BN410"/>
  <c r="BN404"/>
  <c r="BN398"/>
  <c r="BN392"/>
  <c r="BN386"/>
  <c r="BN380"/>
  <c r="BN374"/>
  <c r="BN368"/>
  <c r="BN362"/>
  <c r="BN356"/>
  <c r="BN350"/>
  <c r="BN344"/>
  <c r="BN338"/>
  <c r="BN332"/>
  <c r="BN326"/>
  <c r="BN320"/>
  <c r="BN314"/>
  <c r="BN308"/>
  <c r="BN302"/>
  <c r="BN296"/>
  <c r="BN290"/>
  <c r="BN284"/>
  <c r="BN278"/>
  <c r="BN272"/>
  <c r="BN266"/>
  <c r="BN260"/>
  <c r="BN254"/>
  <c r="BN248"/>
  <c r="BN242"/>
  <c r="BN236"/>
  <c r="BN230"/>
  <c r="BN224"/>
  <c r="BN218"/>
  <c r="BN212"/>
  <c r="BN206"/>
  <c r="BN200"/>
  <c r="BN194"/>
  <c r="BN188"/>
  <c r="BN182"/>
  <c r="BN176"/>
  <c r="BN170"/>
  <c r="BN164"/>
  <c r="BN158"/>
  <c r="BN152"/>
  <c r="BN146"/>
  <c r="BN140"/>
  <c r="BN134"/>
  <c r="BN128"/>
  <c r="BN122"/>
  <c r="BN116"/>
  <c r="BN110"/>
  <c r="BN104"/>
  <c r="BN98"/>
  <c r="BN92"/>
  <c r="BN86"/>
  <c r="BN80"/>
  <c r="BN74"/>
  <c r="BN68"/>
  <c r="BN62"/>
  <c r="BN56"/>
  <c r="BN50"/>
  <c r="BN44"/>
  <c r="BN38"/>
  <c r="BN32"/>
  <c r="BN26"/>
  <c r="BN20"/>
  <c r="BN513"/>
  <c r="BN507"/>
  <c r="BN501"/>
  <c r="BN495"/>
  <c r="BN489"/>
  <c r="BN483"/>
  <c r="BN477"/>
  <c r="BN471"/>
  <c r="BN465"/>
  <c r="BN459"/>
  <c r="BN453"/>
  <c r="BN447"/>
  <c r="BN441"/>
  <c r="BN435"/>
  <c r="BN429"/>
  <c r="BN423"/>
  <c r="BN417"/>
  <c r="BN411"/>
  <c r="BN405"/>
  <c r="BN399"/>
  <c r="BN393"/>
  <c r="BN387"/>
  <c r="BN381"/>
  <c r="BN375"/>
  <c r="BN369"/>
  <c r="BN363"/>
  <c r="BN357"/>
  <c r="BN351"/>
  <c r="BN345"/>
  <c r="BN339"/>
  <c r="BN333"/>
  <c r="BN327"/>
  <c r="BN321"/>
  <c r="BN315"/>
  <c r="BN309"/>
  <c r="BN303"/>
  <c r="BN297"/>
  <c r="BN291"/>
  <c r="BN285"/>
  <c r="BN279"/>
  <c r="BN273"/>
  <c r="BN267"/>
  <c r="BN261"/>
  <c r="BN255"/>
  <c r="BN249"/>
  <c r="BN243"/>
  <c r="BN237"/>
  <c r="BN231"/>
  <c r="BN225"/>
  <c r="BN219"/>
  <c r="BN213"/>
  <c r="BN207"/>
  <c r="BN201"/>
  <c r="BN195"/>
  <c r="BN189"/>
  <c r="BN183"/>
  <c r="BN177"/>
  <c r="BN171"/>
  <c r="BN165"/>
  <c r="BN159"/>
  <c r="BN153"/>
  <c r="BN147"/>
  <c r="BN141"/>
  <c r="BN135"/>
  <c r="BN129"/>
  <c r="BN123"/>
  <c r="BN117"/>
  <c r="BN111"/>
  <c r="BN105"/>
  <c r="BN99"/>
  <c r="BN93"/>
  <c r="BN87"/>
  <c r="BN81"/>
  <c r="BN75"/>
  <c r="BN69"/>
  <c r="BN63"/>
  <c r="BN57"/>
  <c r="BN51"/>
  <c r="BN45"/>
  <c r="BN39"/>
  <c r="BN33"/>
  <c r="BN27"/>
  <c r="BN21"/>
  <c r="BN514"/>
  <c r="BN508"/>
  <c r="BN502"/>
  <c r="BN496"/>
  <c r="BN490"/>
  <c r="BN484"/>
  <c r="BN478"/>
  <c r="BN503"/>
  <c r="BN485"/>
  <c r="BN468"/>
  <c r="BN456"/>
  <c r="BN444"/>
  <c r="BN432"/>
  <c r="BN420"/>
  <c r="BN408"/>
  <c r="BN396"/>
  <c r="BN384"/>
  <c r="BN372"/>
  <c r="BN360"/>
  <c r="BN348"/>
  <c r="BN336"/>
  <c r="BN324"/>
  <c r="BN312"/>
  <c r="BN300"/>
  <c r="BN288"/>
  <c r="BN276"/>
  <c r="BN264"/>
  <c r="BN252"/>
  <c r="BN240"/>
  <c r="BN228"/>
  <c r="BN216"/>
  <c r="BN204"/>
  <c r="BN192"/>
  <c r="BN180"/>
  <c r="BN168"/>
  <c r="BN156"/>
  <c r="BN144"/>
  <c r="BN132"/>
  <c r="BN120"/>
  <c r="BN108"/>
  <c r="BN96"/>
  <c r="BN84"/>
  <c r="BN72"/>
  <c r="BN60"/>
  <c r="BN48"/>
  <c r="BN36"/>
  <c r="BN24"/>
  <c r="BN504"/>
  <c r="BN486"/>
  <c r="BN472"/>
  <c r="BN460"/>
  <c r="BN448"/>
  <c r="BN436"/>
  <c r="BN424"/>
  <c r="BN412"/>
  <c r="BN400"/>
  <c r="BN388"/>
  <c r="BN376"/>
  <c r="BN364"/>
  <c r="BN352"/>
  <c r="BN340"/>
  <c r="BN328"/>
  <c r="BN316"/>
  <c r="BN304"/>
  <c r="BN292"/>
  <c r="BN280"/>
  <c r="BN268"/>
  <c r="BN256"/>
  <c r="BN244"/>
  <c r="BN232"/>
  <c r="BN220"/>
  <c r="BN208"/>
  <c r="BN196"/>
  <c r="BN184"/>
  <c r="BN172"/>
  <c r="BN160"/>
  <c r="BN148"/>
  <c r="BN136"/>
  <c r="BN124"/>
  <c r="BN112"/>
  <c r="BN100"/>
  <c r="BN88"/>
  <c r="BN76"/>
  <c r="BN64"/>
  <c r="BN52"/>
  <c r="BN40"/>
  <c r="BN28"/>
  <c r="BN509"/>
  <c r="BN491"/>
  <c r="BN473"/>
  <c r="BN461"/>
  <c r="BN449"/>
  <c r="BN437"/>
  <c r="BN425"/>
  <c r="BN413"/>
  <c r="BN401"/>
  <c r="BN389"/>
  <c r="BN377"/>
  <c r="BN365"/>
  <c r="BN353"/>
  <c r="BN341"/>
  <c r="BN329"/>
  <c r="BN317"/>
  <c r="BN305"/>
  <c r="BN293"/>
  <c r="BN281"/>
  <c r="BN269"/>
  <c r="BN257"/>
  <c r="BN245"/>
  <c r="BN233"/>
  <c r="BN221"/>
  <c r="BN209"/>
  <c r="BN197"/>
  <c r="BN185"/>
  <c r="BN173"/>
  <c r="BN161"/>
  <c r="BN149"/>
  <c r="BN137"/>
  <c r="BN125"/>
  <c r="BN113"/>
  <c r="BN101"/>
  <c r="BN89"/>
  <c r="BN77"/>
  <c r="BN65"/>
  <c r="BN53"/>
  <c r="BN41"/>
  <c r="BN29"/>
  <c r="BN510"/>
  <c r="BN492"/>
  <c r="BN474"/>
  <c r="BN462"/>
  <c r="BN450"/>
  <c r="BN438"/>
  <c r="BN426"/>
  <c r="BN414"/>
  <c r="BN402"/>
  <c r="BN390"/>
  <c r="BN378"/>
  <c r="BN366"/>
  <c r="BN354"/>
  <c r="BN342"/>
  <c r="BN330"/>
  <c r="BN318"/>
  <c r="BN306"/>
  <c r="BN294"/>
  <c r="BN282"/>
  <c r="BN270"/>
  <c r="BN258"/>
  <c r="BN246"/>
  <c r="BN234"/>
  <c r="BN222"/>
  <c r="BN210"/>
  <c r="BN198"/>
  <c r="BN186"/>
  <c r="BN174"/>
  <c r="BN162"/>
  <c r="BN150"/>
  <c r="BN138"/>
  <c r="BN126"/>
  <c r="BN114"/>
  <c r="BN102"/>
  <c r="BN90"/>
  <c r="BN78"/>
  <c r="BN66"/>
  <c r="BN54"/>
  <c r="BN42"/>
  <c r="BN30"/>
  <c r="BN18"/>
  <c r="BN515"/>
  <c r="BN497"/>
  <c r="BN479"/>
  <c r="BN466"/>
  <c r="BN454"/>
  <c r="BN442"/>
  <c r="BN430"/>
  <c r="BN418"/>
  <c r="BN406"/>
  <c r="BN394"/>
  <c r="BN382"/>
  <c r="BN370"/>
  <c r="BN358"/>
  <c r="BN346"/>
  <c r="BN334"/>
  <c r="BN322"/>
  <c r="BN310"/>
  <c r="BN298"/>
  <c r="BN286"/>
  <c r="BN274"/>
  <c r="BN262"/>
  <c r="BN250"/>
  <c r="BN238"/>
  <c r="BN226"/>
  <c r="BN214"/>
  <c r="BN202"/>
  <c r="BN190"/>
  <c r="BN178"/>
  <c r="BN166"/>
  <c r="BN154"/>
  <c r="BN142"/>
  <c r="BN130"/>
  <c r="BN118"/>
  <c r="BN106"/>
  <c r="BN94"/>
  <c r="BN82"/>
  <c r="BN70"/>
  <c r="BN58"/>
  <c r="BN46"/>
  <c r="BN34"/>
  <c r="BN22"/>
  <c r="BN516"/>
  <c r="BN498"/>
  <c r="BN480"/>
  <c r="BN467"/>
  <c r="BN455"/>
  <c r="BN443"/>
  <c r="BN431"/>
  <c r="BN419"/>
  <c r="BN407"/>
  <c r="BN395"/>
  <c r="BN383"/>
  <c r="BN371"/>
  <c r="BN359"/>
  <c r="BN347"/>
  <c r="BN335"/>
  <c r="BN323"/>
  <c r="BN311"/>
  <c r="BN299"/>
  <c r="BN287"/>
  <c r="BN275"/>
  <c r="BN263"/>
  <c r="BN251"/>
  <c r="BN239"/>
  <c r="BN227"/>
  <c r="BN215"/>
  <c r="BN203"/>
  <c r="BN191"/>
  <c r="BN179"/>
  <c r="BN167"/>
  <c r="BN155"/>
  <c r="BN143"/>
  <c r="BN131"/>
  <c r="BN119"/>
  <c r="BN107"/>
  <c r="BN95"/>
  <c r="BN83"/>
  <c r="BN71"/>
  <c r="BN59"/>
  <c r="BN47"/>
  <c r="BN35"/>
  <c r="BN23"/>
  <c r="BO511"/>
  <c r="BO505"/>
  <c r="BO499"/>
  <c r="BO493"/>
  <c r="BO487"/>
  <c r="BO481"/>
  <c r="BO475"/>
  <c r="BO469"/>
  <c r="BO463"/>
  <c r="BO457"/>
  <c r="BO451"/>
  <c r="BO445"/>
  <c r="BO439"/>
  <c r="BO433"/>
  <c r="BO427"/>
  <c r="BO421"/>
  <c r="BO415"/>
  <c r="BO409"/>
  <c r="BO403"/>
  <c r="BO397"/>
  <c r="BO391"/>
  <c r="BO385"/>
  <c r="BO379"/>
  <c r="BO373"/>
  <c r="BO367"/>
  <c r="BO361"/>
  <c r="BO355"/>
  <c r="BO349"/>
  <c r="BO343"/>
  <c r="BO337"/>
  <c r="BO331"/>
  <c r="BO325"/>
  <c r="BO319"/>
  <c r="BO313"/>
  <c r="BO307"/>
  <c r="BO301"/>
  <c r="BO295"/>
  <c r="BO289"/>
  <c r="BO283"/>
  <c r="BO277"/>
  <c r="BO271"/>
  <c r="BO265"/>
  <c r="BO259"/>
  <c r="BO253"/>
  <c r="BO247"/>
  <c r="BO241"/>
  <c r="BO235"/>
  <c r="BO229"/>
  <c r="BO223"/>
  <c r="BO217"/>
  <c r="BO211"/>
  <c r="BO205"/>
  <c r="BO199"/>
  <c r="BO193"/>
  <c r="BO187"/>
  <c r="BO181"/>
  <c r="BO175"/>
  <c r="BO169"/>
  <c r="BO163"/>
  <c r="BO157"/>
  <c r="BO151"/>
  <c r="BO145"/>
  <c r="BO139"/>
  <c r="BO133"/>
  <c r="BO127"/>
  <c r="BO121"/>
  <c r="BO115"/>
  <c r="BO109"/>
  <c r="BO103"/>
  <c r="BO97"/>
  <c r="BO91"/>
  <c r="BO85"/>
  <c r="BO79"/>
  <c r="BO73"/>
  <c r="BO67"/>
  <c r="BO61"/>
  <c r="BO55"/>
  <c r="BO49"/>
  <c r="BO43"/>
  <c r="BO37"/>
  <c r="BO31"/>
  <c r="BO25"/>
  <c r="BO19"/>
  <c r="BO512"/>
  <c r="BO506"/>
  <c r="BO500"/>
  <c r="BO494"/>
  <c r="BO488"/>
  <c r="BO482"/>
  <c r="BO476"/>
  <c r="BO470"/>
  <c r="BO464"/>
  <c r="BO458"/>
  <c r="BO452"/>
  <c r="BO446"/>
  <c r="BO440"/>
  <c r="BO434"/>
  <c r="BO428"/>
  <c r="BO422"/>
  <c r="BO416"/>
  <c r="BO410"/>
  <c r="BO404"/>
  <c r="BO398"/>
  <c r="BO392"/>
  <c r="BO386"/>
  <c r="BO380"/>
  <c r="BO374"/>
  <c r="BO368"/>
  <c r="BO362"/>
  <c r="BO356"/>
  <c r="BO350"/>
  <c r="BO344"/>
  <c r="BO338"/>
  <c r="BO332"/>
  <c r="BO326"/>
  <c r="BO320"/>
  <c r="BO314"/>
  <c r="BO308"/>
  <c r="BO302"/>
  <c r="BO296"/>
  <c r="BO290"/>
  <c r="BO284"/>
  <c r="BO278"/>
  <c r="BO272"/>
  <c r="BO266"/>
  <c r="BO260"/>
  <c r="BO254"/>
  <c r="BO248"/>
  <c r="BO242"/>
  <c r="BO236"/>
  <c r="BO230"/>
  <c r="BO224"/>
  <c r="BO218"/>
  <c r="BO212"/>
  <c r="BO206"/>
  <c r="BO200"/>
  <c r="BO194"/>
  <c r="BO188"/>
  <c r="BO182"/>
  <c r="BO176"/>
  <c r="BO170"/>
  <c r="BO164"/>
  <c r="BO158"/>
  <c r="BO152"/>
  <c r="BO146"/>
  <c r="BO140"/>
  <c r="BO134"/>
  <c r="BO128"/>
  <c r="BO122"/>
  <c r="BO116"/>
  <c r="BO110"/>
  <c r="BO104"/>
  <c r="BO98"/>
  <c r="BO92"/>
  <c r="BO86"/>
  <c r="BO80"/>
  <c r="BO74"/>
  <c r="BO68"/>
  <c r="BO62"/>
  <c r="BO56"/>
  <c r="BO50"/>
  <c r="BO44"/>
  <c r="BO38"/>
  <c r="BO26"/>
  <c r="BO20"/>
  <c r="BO513"/>
  <c r="BO507"/>
  <c r="BO501"/>
  <c r="BO495"/>
  <c r="BO489"/>
  <c r="BO483"/>
  <c r="BO477"/>
  <c r="BO471"/>
  <c r="BO465"/>
  <c r="BO459"/>
  <c r="BO453"/>
  <c r="BO447"/>
  <c r="BO441"/>
  <c r="BO435"/>
  <c r="BO429"/>
  <c r="BO423"/>
  <c r="BO417"/>
  <c r="BO411"/>
  <c r="BO405"/>
  <c r="BO399"/>
  <c r="BO393"/>
  <c r="BO387"/>
  <c r="BO381"/>
  <c r="BO375"/>
  <c r="BO369"/>
  <c r="BO363"/>
  <c r="BO357"/>
  <c r="BO351"/>
  <c r="BO345"/>
  <c r="BO339"/>
  <c r="BO333"/>
  <c r="BO327"/>
  <c r="BO321"/>
  <c r="BO315"/>
  <c r="BO309"/>
  <c r="BO303"/>
  <c r="BO297"/>
  <c r="BO291"/>
  <c r="BO285"/>
  <c r="BO279"/>
  <c r="BO273"/>
  <c r="BO267"/>
  <c r="BO261"/>
  <c r="BO255"/>
  <c r="BO249"/>
  <c r="BO243"/>
  <c r="BO237"/>
  <c r="BO231"/>
  <c r="BO225"/>
  <c r="BO219"/>
  <c r="BO213"/>
  <c r="BO207"/>
  <c r="BO201"/>
  <c r="BO195"/>
  <c r="BO189"/>
  <c r="BO183"/>
  <c r="BO177"/>
  <c r="BO171"/>
  <c r="BO165"/>
  <c r="BO159"/>
  <c r="BO153"/>
  <c r="BO147"/>
  <c r="BO141"/>
  <c r="BO135"/>
  <c r="BO129"/>
  <c r="BO123"/>
  <c r="BO117"/>
  <c r="BO111"/>
  <c r="BO105"/>
  <c r="BO99"/>
  <c r="BO93"/>
  <c r="BO87"/>
  <c r="BO81"/>
  <c r="BO75"/>
  <c r="BO69"/>
  <c r="BO63"/>
  <c r="BO51"/>
  <c r="BO33"/>
  <c r="BO508"/>
  <c r="BO502"/>
  <c r="BO496"/>
  <c r="BO490"/>
  <c r="BO478"/>
  <c r="BO472"/>
  <c r="BO460"/>
  <c r="BO448"/>
  <c r="BO436"/>
  <c r="BO424"/>
  <c r="BO412"/>
  <c r="BO400"/>
  <c r="BO388"/>
  <c r="BO32"/>
  <c r="BO57"/>
  <c r="BO45"/>
  <c r="BO39"/>
  <c r="BO27"/>
  <c r="BO21"/>
  <c r="BO514"/>
  <c r="BO484"/>
  <c r="BO466"/>
  <c r="BO454"/>
  <c r="BO442"/>
  <c r="BO430"/>
  <c r="BO418"/>
  <c r="BO406"/>
  <c r="BO394"/>
  <c r="BO382"/>
  <c r="BO370"/>
  <c r="BO503"/>
  <c r="BO485"/>
  <c r="BO467"/>
  <c r="BO449"/>
  <c r="BO431"/>
  <c r="BO413"/>
  <c r="BO395"/>
  <c r="BO377"/>
  <c r="BO364"/>
  <c r="BO352"/>
  <c r="BO340"/>
  <c r="BO328"/>
  <c r="BO316"/>
  <c r="BO304"/>
  <c r="BO292"/>
  <c r="BO280"/>
  <c r="BO268"/>
  <c r="BO256"/>
  <c r="BO244"/>
  <c r="BO232"/>
  <c r="BO220"/>
  <c r="BO208"/>
  <c r="BO196"/>
  <c r="BO184"/>
  <c r="BO172"/>
  <c r="BO160"/>
  <c r="BO148"/>
  <c r="BO136"/>
  <c r="BO124"/>
  <c r="BO112"/>
  <c r="BO100"/>
  <c r="BO88"/>
  <c r="BO76"/>
  <c r="BO64"/>
  <c r="BO52"/>
  <c r="BO40"/>
  <c r="BO28"/>
  <c r="BO89"/>
  <c r="BO65"/>
  <c r="BO41"/>
  <c r="BO504"/>
  <c r="BO486"/>
  <c r="BO468"/>
  <c r="BO450"/>
  <c r="BO432"/>
  <c r="BO414"/>
  <c r="BO396"/>
  <c r="BO378"/>
  <c r="BO365"/>
  <c r="BO353"/>
  <c r="BO341"/>
  <c r="BO329"/>
  <c r="BO317"/>
  <c r="BO305"/>
  <c r="BO293"/>
  <c r="BO281"/>
  <c r="BO269"/>
  <c r="BO257"/>
  <c r="BO245"/>
  <c r="BO233"/>
  <c r="BO221"/>
  <c r="BO209"/>
  <c r="BO197"/>
  <c r="BO185"/>
  <c r="BO173"/>
  <c r="BO161"/>
  <c r="BO149"/>
  <c r="BO137"/>
  <c r="BO125"/>
  <c r="BO113"/>
  <c r="BO101"/>
  <c r="BO77"/>
  <c r="BO29"/>
  <c r="BO78"/>
  <c r="BO54"/>
  <c r="BO30"/>
  <c r="BO178"/>
  <c r="BO142"/>
  <c r="BO118"/>
  <c r="BO82"/>
  <c r="BO58"/>
  <c r="BO34"/>
  <c r="BO143"/>
  <c r="BO95"/>
  <c r="BO71"/>
  <c r="BO35"/>
  <c r="BO509"/>
  <c r="BO491"/>
  <c r="BO473"/>
  <c r="BO455"/>
  <c r="BO437"/>
  <c r="BO419"/>
  <c r="BO401"/>
  <c r="BO383"/>
  <c r="BO366"/>
  <c r="BO354"/>
  <c r="BO342"/>
  <c r="BO330"/>
  <c r="BO318"/>
  <c r="BO306"/>
  <c r="BO294"/>
  <c r="BO282"/>
  <c r="BO270"/>
  <c r="BO258"/>
  <c r="BO246"/>
  <c r="BO234"/>
  <c r="BO222"/>
  <c r="BO210"/>
  <c r="BO198"/>
  <c r="BO186"/>
  <c r="BO162"/>
  <c r="BO138"/>
  <c r="BO90"/>
  <c r="BO107"/>
  <c r="BO59"/>
  <c r="BO23"/>
  <c r="BO510"/>
  <c r="BO492"/>
  <c r="BO474"/>
  <c r="BO456"/>
  <c r="BO438"/>
  <c r="BO420"/>
  <c r="BO402"/>
  <c r="BO384"/>
  <c r="BO371"/>
  <c r="BO358"/>
  <c r="BO346"/>
  <c r="BO334"/>
  <c r="BO322"/>
  <c r="BO310"/>
  <c r="BO298"/>
  <c r="BO286"/>
  <c r="BO274"/>
  <c r="BO262"/>
  <c r="BO250"/>
  <c r="BO238"/>
  <c r="BO226"/>
  <c r="BO214"/>
  <c r="BO202"/>
  <c r="BO190"/>
  <c r="BO154"/>
  <c r="BO94"/>
  <c r="BO515"/>
  <c r="BO497"/>
  <c r="BO479"/>
  <c r="BO461"/>
  <c r="BO443"/>
  <c r="BO425"/>
  <c r="BO407"/>
  <c r="BO389"/>
  <c r="BO372"/>
  <c r="BO359"/>
  <c r="BO347"/>
  <c r="BO335"/>
  <c r="BO323"/>
  <c r="BO311"/>
  <c r="BO299"/>
  <c r="BO287"/>
  <c r="BO275"/>
  <c r="BO263"/>
  <c r="BO251"/>
  <c r="BO239"/>
  <c r="BO227"/>
  <c r="BO215"/>
  <c r="BO203"/>
  <c r="BO191"/>
  <c r="BO179"/>
  <c r="BO167"/>
  <c r="BO155"/>
  <c r="BO119"/>
  <c r="BO516"/>
  <c r="BO498"/>
  <c r="BO480"/>
  <c r="BO462"/>
  <c r="BO444"/>
  <c r="BO426"/>
  <c r="BO408"/>
  <c r="BO390"/>
  <c r="BO376"/>
  <c r="BO360"/>
  <c r="BO348"/>
  <c r="BO336"/>
  <c r="BO324"/>
  <c r="BO312"/>
  <c r="BO300"/>
  <c r="BO288"/>
  <c r="BO276"/>
  <c r="BO264"/>
  <c r="BO252"/>
  <c r="BO240"/>
  <c r="BO228"/>
  <c r="BO216"/>
  <c r="BO204"/>
  <c r="BO192"/>
  <c r="BO180"/>
  <c r="BO168"/>
  <c r="BO156"/>
  <c r="BO144"/>
  <c r="BO132"/>
  <c r="BO120"/>
  <c r="BO108"/>
  <c r="BO96"/>
  <c r="BO84"/>
  <c r="BO72"/>
  <c r="BO60"/>
  <c r="BO48"/>
  <c r="BO36"/>
  <c r="BO24"/>
  <c r="BO53"/>
  <c r="BO174"/>
  <c r="BO150"/>
  <c r="BO126"/>
  <c r="BO114"/>
  <c r="BO102"/>
  <c r="BO66"/>
  <c r="BO42"/>
  <c r="BO18"/>
  <c r="BO166"/>
  <c r="BO130"/>
  <c r="BO106"/>
  <c r="BO70"/>
  <c r="BO46"/>
  <c r="BO22"/>
  <c r="BO131"/>
  <c r="BO83"/>
  <c r="BO47"/>
  <c r="BH22"/>
  <c r="BH28"/>
  <c r="BH34"/>
  <c r="BH40"/>
  <c r="BH46"/>
  <c r="BH52"/>
  <c r="BH58"/>
  <c r="BH64"/>
  <c r="BH70"/>
  <c r="BH76"/>
  <c r="BH82"/>
  <c r="BH88"/>
  <c r="BH94"/>
  <c r="BH100"/>
  <c r="BH106"/>
  <c r="BH112"/>
  <c r="BH118"/>
  <c r="BH124"/>
  <c r="BH130"/>
  <c r="BH136"/>
  <c r="BH142"/>
  <c r="BH148"/>
  <c r="BH154"/>
  <c r="BH160"/>
  <c r="BH166"/>
  <c r="BH172"/>
  <c r="BH178"/>
  <c r="BH184"/>
  <c r="BH190"/>
  <c r="BH196"/>
  <c r="BH202"/>
  <c r="BH208"/>
  <c r="BH214"/>
  <c r="BH220"/>
  <c r="BH226"/>
  <c r="BH232"/>
  <c r="BH238"/>
  <c r="BH244"/>
  <c r="BH250"/>
  <c r="BH256"/>
  <c r="BH262"/>
  <c r="BH268"/>
  <c r="BH274"/>
  <c r="BH280"/>
  <c r="BH286"/>
  <c r="BH292"/>
  <c r="BH298"/>
  <c r="BH304"/>
  <c r="BH310"/>
  <c r="BH316"/>
  <c r="BH322"/>
  <c r="BH328"/>
  <c r="BH334"/>
  <c r="BH340"/>
  <c r="BH346"/>
  <c r="BH352"/>
  <c r="BH358"/>
  <c r="BH364"/>
  <c r="BH370"/>
  <c r="BH376"/>
  <c r="BH382"/>
  <c r="BH388"/>
  <c r="BH394"/>
  <c r="BH400"/>
  <c r="BH406"/>
  <c r="BH412"/>
  <c r="BH418"/>
  <c r="BH424"/>
  <c r="BH430"/>
  <c r="BH436"/>
  <c r="BH442"/>
  <c r="BH448"/>
  <c r="BH454"/>
  <c r="BH460"/>
  <c r="BH466"/>
  <c r="BH472"/>
  <c r="BH478"/>
  <c r="BH484"/>
  <c r="BH490"/>
  <c r="BH496"/>
  <c r="BH502"/>
  <c r="BH508"/>
  <c r="BH514"/>
  <c r="BH21"/>
  <c r="BH27"/>
  <c r="BH33"/>
  <c r="BH39"/>
  <c r="BH45"/>
  <c r="BH51"/>
  <c r="BH57"/>
  <c r="BH63"/>
  <c r="BH69"/>
  <c r="BH75"/>
  <c r="BH81"/>
  <c r="BH87"/>
  <c r="BH93"/>
  <c r="BH99"/>
  <c r="BH105"/>
  <c r="BH111"/>
  <c r="BH117"/>
  <c r="BH123"/>
  <c r="BH129"/>
  <c r="BH135"/>
  <c r="BH141"/>
  <c r="BH147"/>
  <c r="BH153"/>
  <c r="BH159"/>
  <c r="BH165"/>
  <c r="BH171"/>
  <c r="BH177"/>
  <c r="BH183"/>
  <c r="BH189"/>
  <c r="BH195"/>
  <c r="BH201"/>
  <c r="BH207"/>
  <c r="BH213"/>
  <c r="BH219"/>
  <c r="BH225"/>
  <c r="BH231"/>
  <c r="BH237"/>
  <c r="BH243"/>
  <c r="BH249"/>
  <c r="BH255"/>
  <c r="BH261"/>
  <c r="BH267"/>
  <c r="BH273"/>
  <c r="BH279"/>
  <c r="BH285"/>
  <c r="BH291"/>
  <c r="BH297"/>
  <c r="BH303"/>
  <c r="BH309"/>
  <c r="BH315"/>
  <c r="BH321"/>
  <c r="BH327"/>
  <c r="BH333"/>
  <c r="BH339"/>
  <c r="BH345"/>
  <c r="BH351"/>
  <c r="BH357"/>
  <c r="BH363"/>
  <c r="BH369"/>
  <c r="BH375"/>
  <c r="BH381"/>
  <c r="BH387"/>
  <c r="BH393"/>
  <c r="BH399"/>
  <c r="BH405"/>
  <c r="BH411"/>
  <c r="BH417"/>
  <c r="BH423"/>
  <c r="BH429"/>
  <c r="BH435"/>
  <c r="BH441"/>
  <c r="BH447"/>
  <c r="BH453"/>
  <c r="BH459"/>
  <c r="BH465"/>
  <c r="BH471"/>
  <c r="BH477"/>
  <c r="BH483"/>
  <c r="BH489"/>
  <c r="BH495"/>
  <c r="BH501"/>
  <c r="BH507"/>
  <c r="BH513"/>
  <c r="BH20"/>
  <c r="BH26"/>
  <c r="BH32"/>
  <c r="BH38"/>
  <c r="BH44"/>
  <c r="BH50"/>
  <c r="BH56"/>
  <c r="BH62"/>
  <c r="BH68"/>
  <c r="BH74"/>
  <c r="BH80"/>
  <c r="BH86"/>
  <c r="BH92"/>
  <c r="BH98"/>
  <c r="BH104"/>
  <c r="BH110"/>
  <c r="BH116"/>
  <c r="BH122"/>
  <c r="BH128"/>
  <c r="BH134"/>
  <c r="BH140"/>
  <c r="BH146"/>
  <c r="BH152"/>
  <c r="BH158"/>
  <c r="BH164"/>
  <c r="BH170"/>
  <c r="BH176"/>
  <c r="BH182"/>
  <c r="BH188"/>
  <c r="BH194"/>
  <c r="BH200"/>
  <c r="BH206"/>
  <c r="BH212"/>
  <c r="BH218"/>
  <c r="BH224"/>
  <c r="BH230"/>
  <c r="BH236"/>
  <c r="BH242"/>
  <c r="BH248"/>
  <c r="BH254"/>
  <c r="BH260"/>
  <c r="BH266"/>
  <c r="BH272"/>
  <c r="BH278"/>
  <c r="BH284"/>
  <c r="BH290"/>
  <c r="BH296"/>
  <c r="BH302"/>
  <c r="BH308"/>
  <c r="BH314"/>
  <c r="BH320"/>
  <c r="BH326"/>
  <c r="BH332"/>
  <c r="BH338"/>
  <c r="BH344"/>
  <c r="BH350"/>
  <c r="BH356"/>
  <c r="BH362"/>
  <c r="BH368"/>
  <c r="BH374"/>
  <c r="BH380"/>
  <c r="BH386"/>
  <c r="BH392"/>
  <c r="BH398"/>
  <c r="BH404"/>
  <c r="BH410"/>
  <c r="BH416"/>
  <c r="BH422"/>
  <c r="BH428"/>
  <c r="BH434"/>
  <c r="BH440"/>
  <c r="BH446"/>
  <c r="BH452"/>
  <c r="BH458"/>
  <c r="BH464"/>
  <c r="BH470"/>
  <c r="BH476"/>
  <c r="BH482"/>
  <c r="BH488"/>
  <c r="BH494"/>
  <c r="BH500"/>
  <c r="BH506"/>
  <c r="BH512"/>
  <c r="BH19"/>
  <c r="BH25"/>
  <c r="BH31"/>
  <c r="BH37"/>
  <c r="BH43"/>
  <c r="BH49"/>
  <c r="BH55"/>
  <c r="BH30"/>
  <c r="BH48"/>
  <c r="BH65"/>
  <c r="BH77"/>
  <c r="BH89"/>
  <c r="BH101"/>
  <c r="BH113"/>
  <c r="BH125"/>
  <c r="BH137"/>
  <c r="BH149"/>
  <c r="BH161"/>
  <c r="BH173"/>
  <c r="BH185"/>
  <c r="BH197"/>
  <c r="BH209"/>
  <c r="BH221"/>
  <c r="BH233"/>
  <c r="BH245"/>
  <c r="BH257"/>
  <c r="BH269"/>
  <c r="BH281"/>
  <c r="BH293"/>
  <c r="BH305"/>
  <c r="BH317"/>
  <c r="BH329"/>
  <c r="BH341"/>
  <c r="BH353"/>
  <c r="BH365"/>
  <c r="BH377"/>
  <c r="BH389"/>
  <c r="BH401"/>
  <c r="BH413"/>
  <c r="BH425"/>
  <c r="BH437"/>
  <c r="BH449"/>
  <c r="BH461"/>
  <c r="BH473"/>
  <c r="BH485"/>
  <c r="BH497"/>
  <c r="BH509"/>
  <c r="BH29"/>
  <c r="BH47"/>
  <c r="BH61"/>
  <c r="BH73"/>
  <c r="BH85"/>
  <c r="BH97"/>
  <c r="BH109"/>
  <c r="BH121"/>
  <c r="BH133"/>
  <c r="BH145"/>
  <c r="BH157"/>
  <c r="BH169"/>
  <c r="BH181"/>
  <c r="BH193"/>
  <c r="BH205"/>
  <c r="BH217"/>
  <c r="BH229"/>
  <c r="BH241"/>
  <c r="BH253"/>
  <c r="BH265"/>
  <c r="BH277"/>
  <c r="BH289"/>
  <c r="BH301"/>
  <c r="BH313"/>
  <c r="BH325"/>
  <c r="BH337"/>
  <c r="BH349"/>
  <c r="BH361"/>
  <c r="BH373"/>
  <c r="BH385"/>
  <c r="BH397"/>
  <c r="BH409"/>
  <c r="BH421"/>
  <c r="BH433"/>
  <c r="BH445"/>
  <c r="BH457"/>
  <c r="BH469"/>
  <c r="BH481"/>
  <c r="BH493"/>
  <c r="BH505"/>
  <c r="BH24"/>
  <c r="BH42"/>
  <c r="BH60"/>
  <c r="BH72"/>
  <c r="BH84"/>
  <c r="BH96"/>
  <c r="BH108"/>
  <c r="BH120"/>
  <c r="BH132"/>
  <c r="BH144"/>
  <c r="BH156"/>
  <c r="BH168"/>
  <c r="BH180"/>
  <c r="BH192"/>
  <c r="BH204"/>
  <c r="BH216"/>
  <c r="BH228"/>
  <c r="BH240"/>
  <c r="BH252"/>
  <c r="BH264"/>
  <c r="BH276"/>
  <c r="BH288"/>
  <c r="BH300"/>
  <c r="BH312"/>
  <c r="BH324"/>
  <c r="BH336"/>
  <c r="BH348"/>
  <c r="BH360"/>
  <c r="BH372"/>
  <c r="BH384"/>
  <c r="BH396"/>
  <c r="BH408"/>
  <c r="BH420"/>
  <c r="BH432"/>
  <c r="BH444"/>
  <c r="BH456"/>
  <c r="BH468"/>
  <c r="BH480"/>
  <c r="BH492"/>
  <c r="BH504"/>
  <c r="BH516"/>
  <c r="BH23"/>
  <c r="BH41"/>
  <c r="BH59"/>
  <c r="BH71"/>
  <c r="BH83"/>
  <c r="BH95"/>
  <c r="BH107"/>
  <c r="BH119"/>
  <c r="BH131"/>
  <c r="BH143"/>
  <c r="BH155"/>
  <c r="BH167"/>
  <c r="BH179"/>
  <c r="BH191"/>
  <c r="BH203"/>
  <c r="BH215"/>
  <c r="BH227"/>
  <c r="BH239"/>
  <c r="BH251"/>
  <c r="BH263"/>
  <c r="BH275"/>
  <c r="BH287"/>
  <c r="BH299"/>
  <c r="BH311"/>
  <c r="BH323"/>
  <c r="BH335"/>
  <c r="BH347"/>
  <c r="BH359"/>
  <c r="BH371"/>
  <c r="BH383"/>
  <c r="BH395"/>
  <c r="BH407"/>
  <c r="BH419"/>
  <c r="BH431"/>
  <c r="BH443"/>
  <c r="BH455"/>
  <c r="BH467"/>
  <c r="BH479"/>
  <c r="BH491"/>
  <c r="BH503"/>
  <c r="BH515"/>
  <c r="BH18"/>
  <c r="BH36"/>
  <c r="BH54"/>
  <c r="BH67"/>
  <c r="BH79"/>
  <c r="BH91"/>
  <c r="BH103"/>
  <c r="BH115"/>
  <c r="BH127"/>
  <c r="BH139"/>
  <c r="BH151"/>
  <c r="BH163"/>
  <c r="BH175"/>
  <c r="BH187"/>
  <c r="BH199"/>
  <c r="BH211"/>
  <c r="BH223"/>
  <c r="BH235"/>
  <c r="BH247"/>
  <c r="BH259"/>
  <c r="BH271"/>
  <c r="BH283"/>
  <c r="BH295"/>
  <c r="BH307"/>
  <c r="BH319"/>
  <c r="BH331"/>
  <c r="BH343"/>
  <c r="BH355"/>
  <c r="BH367"/>
  <c r="BH379"/>
  <c r="BH391"/>
  <c r="BH403"/>
  <c r="BH415"/>
  <c r="BH427"/>
  <c r="BH439"/>
  <c r="BH451"/>
  <c r="BH463"/>
  <c r="BH475"/>
  <c r="BH487"/>
  <c r="BH499"/>
  <c r="BH511"/>
  <c r="BH35"/>
  <c r="BH53"/>
  <c r="BH66"/>
  <c r="BH78"/>
  <c r="BH90"/>
  <c r="BH102"/>
  <c r="BH114"/>
  <c r="BH126"/>
  <c r="BH138"/>
  <c r="BH150"/>
  <c r="BH162"/>
  <c r="BH174"/>
  <c r="BH186"/>
  <c r="BH198"/>
  <c r="BH210"/>
  <c r="BH222"/>
  <c r="BH234"/>
  <c r="BH246"/>
  <c r="BH258"/>
  <c r="BH270"/>
  <c r="BH282"/>
  <c r="BH294"/>
  <c r="BH306"/>
  <c r="BH318"/>
  <c r="BH330"/>
  <c r="BH342"/>
  <c r="BH354"/>
  <c r="BH366"/>
  <c r="BH378"/>
  <c r="BH390"/>
  <c r="BH402"/>
  <c r="BH414"/>
  <c r="BH426"/>
  <c r="BH438"/>
  <c r="BH450"/>
  <c r="BH462"/>
  <c r="BH474"/>
  <c r="BH486"/>
  <c r="BH498"/>
  <c r="BH510"/>
  <c r="BI22"/>
  <c r="BI28"/>
  <c r="BI34"/>
  <c r="BI40"/>
  <c r="BI46"/>
  <c r="BI52"/>
  <c r="BI58"/>
  <c r="BI64"/>
  <c r="BI70"/>
  <c r="BI76"/>
  <c r="BI82"/>
  <c r="BI88"/>
  <c r="BI94"/>
  <c r="BI100"/>
  <c r="BI106"/>
  <c r="BI112"/>
  <c r="BI118"/>
  <c r="BI124"/>
  <c r="BI130"/>
  <c r="BI136"/>
  <c r="BI142"/>
  <c r="BI148"/>
  <c r="BI154"/>
  <c r="BI160"/>
  <c r="BI166"/>
  <c r="BI172"/>
  <c r="BI178"/>
  <c r="BI184"/>
  <c r="BI190"/>
  <c r="BI196"/>
  <c r="BI202"/>
  <c r="BI208"/>
  <c r="BI214"/>
  <c r="BI220"/>
  <c r="BI226"/>
  <c r="BI232"/>
  <c r="BI238"/>
  <c r="BI244"/>
  <c r="BI250"/>
  <c r="BI256"/>
  <c r="BI262"/>
  <c r="BI268"/>
  <c r="BI274"/>
  <c r="BI280"/>
  <c r="BI286"/>
  <c r="BI292"/>
  <c r="BI298"/>
  <c r="BI304"/>
  <c r="BI310"/>
  <c r="BI316"/>
  <c r="BI322"/>
  <c r="BI328"/>
  <c r="BI334"/>
  <c r="BI340"/>
  <c r="BI346"/>
  <c r="BI352"/>
  <c r="BI358"/>
  <c r="BI364"/>
  <c r="BI370"/>
  <c r="BI376"/>
  <c r="BI382"/>
  <c r="BI388"/>
  <c r="BI394"/>
  <c r="BI400"/>
  <c r="BI406"/>
  <c r="BI412"/>
  <c r="BI418"/>
  <c r="BI424"/>
  <c r="BI430"/>
  <c r="BI436"/>
  <c r="BI442"/>
  <c r="BI448"/>
  <c r="BI454"/>
  <c r="BI460"/>
  <c r="BI466"/>
  <c r="BI472"/>
  <c r="BI478"/>
  <c r="BI484"/>
  <c r="BI490"/>
  <c r="BI496"/>
  <c r="BI502"/>
  <c r="BI508"/>
  <c r="BI514"/>
  <c r="BI21"/>
  <c r="BI27"/>
  <c r="BI33"/>
  <c r="BI39"/>
  <c r="BI45"/>
  <c r="BI51"/>
  <c r="BI57"/>
  <c r="BI63"/>
  <c r="BI69"/>
  <c r="BI75"/>
  <c r="BI81"/>
  <c r="BI87"/>
  <c r="BI93"/>
  <c r="BI99"/>
  <c r="BI105"/>
  <c r="BI111"/>
  <c r="BI117"/>
  <c r="BI123"/>
  <c r="BI129"/>
  <c r="BI135"/>
  <c r="BI141"/>
  <c r="BI147"/>
  <c r="BI153"/>
  <c r="BI159"/>
  <c r="BI165"/>
  <c r="BI171"/>
  <c r="BI177"/>
  <c r="BI183"/>
  <c r="BI189"/>
  <c r="BI195"/>
  <c r="BI201"/>
  <c r="BI207"/>
  <c r="BI213"/>
  <c r="BI219"/>
  <c r="BI225"/>
  <c r="BI231"/>
  <c r="BI237"/>
  <c r="BI243"/>
  <c r="BI249"/>
  <c r="BI255"/>
  <c r="BI261"/>
  <c r="BI267"/>
  <c r="BI273"/>
  <c r="BI279"/>
  <c r="BI285"/>
  <c r="BI291"/>
  <c r="BI297"/>
  <c r="BI303"/>
  <c r="BI309"/>
  <c r="BI315"/>
  <c r="BI321"/>
  <c r="BI327"/>
  <c r="BI333"/>
  <c r="BI339"/>
  <c r="BI345"/>
  <c r="BI351"/>
  <c r="BI357"/>
  <c r="BI363"/>
  <c r="BI369"/>
  <c r="BI375"/>
  <c r="BI381"/>
  <c r="BI387"/>
  <c r="BI393"/>
  <c r="BI399"/>
  <c r="BI405"/>
  <c r="BI411"/>
  <c r="BI417"/>
  <c r="BI423"/>
  <c r="BI429"/>
  <c r="BI435"/>
  <c r="BI441"/>
  <c r="BI447"/>
  <c r="BI453"/>
  <c r="BI459"/>
  <c r="BI465"/>
  <c r="BI471"/>
  <c r="BI477"/>
  <c r="BI483"/>
  <c r="BI489"/>
  <c r="BI495"/>
  <c r="BI501"/>
  <c r="BI507"/>
  <c r="BI513"/>
  <c r="BI20"/>
  <c r="BI26"/>
  <c r="BI32"/>
  <c r="BI38"/>
  <c r="BI44"/>
  <c r="BI50"/>
  <c r="BI56"/>
  <c r="BI62"/>
  <c r="BI68"/>
  <c r="BI74"/>
  <c r="BI80"/>
  <c r="BI86"/>
  <c r="BI92"/>
  <c r="BI98"/>
  <c r="BI104"/>
  <c r="BI110"/>
  <c r="BI116"/>
  <c r="BI122"/>
  <c r="BI128"/>
  <c r="BI134"/>
  <c r="BI140"/>
  <c r="BI146"/>
  <c r="BI152"/>
  <c r="BI158"/>
  <c r="BI164"/>
  <c r="BI170"/>
  <c r="BI176"/>
  <c r="BI182"/>
  <c r="BI188"/>
  <c r="BI194"/>
  <c r="BI200"/>
  <c r="BI206"/>
  <c r="BI212"/>
  <c r="BI218"/>
  <c r="BI224"/>
  <c r="BI230"/>
  <c r="BI236"/>
  <c r="BI242"/>
  <c r="BI248"/>
  <c r="BI254"/>
  <c r="BI260"/>
  <c r="BI266"/>
  <c r="BI272"/>
  <c r="BI278"/>
  <c r="BI284"/>
  <c r="BI290"/>
  <c r="BI296"/>
  <c r="BI302"/>
  <c r="BI308"/>
  <c r="BI314"/>
  <c r="BI320"/>
  <c r="BI326"/>
  <c r="BI332"/>
  <c r="BI338"/>
  <c r="BI344"/>
  <c r="BI350"/>
  <c r="BI356"/>
  <c r="BI362"/>
  <c r="BI368"/>
  <c r="BI374"/>
  <c r="BI380"/>
  <c r="BI386"/>
  <c r="BI392"/>
  <c r="BI398"/>
  <c r="BI404"/>
  <c r="BI410"/>
  <c r="BI416"/>
  <c r="BI422"/>
  <c r="BI428"/>
  <c r="BI434"/>
  <c r="BI440"/>
  <c r="BI446"/>
  <c r="BI452"/>
  <c r="BI458"/>
  <c r="BI464"/>
  <c r="BI470"/>
  <c r="BI476"/>
  <c r="BI482"/>
  <c r="BI488"/>
  <c r="BI494"/>
  <c r="BI500"/>
  <c r="BI506"/>
  <c r="BI512"/>
  <c r="BI19"/>
  <c r="BI25"/>
  <c r="BI31"/>
  <c r="BI37"/>
  <c r="BI43"/>
  <c r="BI49"/>
  <c r="BI55"/>
  <c r="BI30"/>
  <c r="BI48"/>
  <c r="BI65"/>
  <c r="BI77"/>
  <c r="BI89"/>
  <c r="BI101"/>
  <c r="BI113"/>
  <c r="BI125"/>
  <c r="BI137"/>
  <c r="BI149"/>
  <c r="BI161"/>
  <c r="BI173"/>
  <c r="BI185"/>
  <c r="BI197"/>
  <c r="BI209"/>
  <c r="BI221"/>
  <c r="BI233"/>
  <c r="BI245"/>
  <c r="BI257"/>
  <c r="BI269"/>
  <c r="BI281"/>
  <c r="BI293"/>
  <c r="BI305"/>
  <c r="BI317"/>
  <c r="BI329"/>
  <c r="BI341"/>
  <c r="BI353"/>
  <c r="BI365"/>
  <c r="BI377"/>
  <c r="BI389"/>
  <c r="BI401"/>
  <c r="BI413"/>
  <c r="BI425"/>
  <c r="BI437"/>
  <c r="BI449"/>
  <c r="BI461"/>
  <c r="BI473"/>
  <c r="BI485"/>
  <c r="BI497"/>
  <c r="BI509"/>
  <c r="BI29"/>
  <c r="BI47"/>
  <c r="BI61"/>
  <c r="BI73"/>
  <c r="BI85"/>
  <c r="BI97"/>
  <c r="BI109"/>
  <c r="BI121"/>
  <c r="BI133"/>
  <c r="BI145"/>
  <c r="BI157"/>
  <c r="BI169"/>
  <c r="BI181"/>
  <c r="BI193"/>
  <c r="BI205"/>
  <c r="BI217"/>
  <c r="BI229"/>
  <c r="BI241"/>
  <c r="BI253"/>
  <c r="BI265"/>
  <c r="BI277"/>
  <c r="BI289"/>
  <c r="BI301"/>
  <c r="BI313"/>
  <c r="BI325"/>
  <c r="BI337"/>
  <c r="BI349"/>
  <c r="BI361"/>
  <c r="BI373"/>
  <c r="BI385"/>
  <c r="BI397"/>
  <c r="BI409"/>
  <c r="BI421"/>
  <c r="BI433"/>
  <c r="BI445"/>
  <c r="BI457"/>
  <c r="BI469"/>
  <c r="BI481"/>
  <c r="BI493"/>
  <c r="BI505"/>
  <c r="BI24"/>
  <c r="BI42"/>
  <c r="BI60"/>
  <c r="BI72"/>
  <c r="BI84"/>
  <c r="BI96"/>
  <c r="BI108"/>
  <c r="BI120"/>
  <c r="BI132"/>
  <c r="BI144"/>
  <c r="BI156"/>
  <c r="BI168"/>
  <c r="BI180"/>
  <c r="BI192"/>
  <c r="BI204"/>
  <c r="BI216"/>
  <c r="BI228"/>
  <c r="BI240"/>
  <c r="BI252"/>
  <c r="BI264"/>
  <c r="BI276"/>
  <c r="BI288"/>
  <c r="BI300"/>
  <c r="BI312"/>
  <c r="BI324"/>
  <c r="BI336"/>
  <c r="BI348"/>
  <c r="BI360"/>
  <c r="BI372"/>
  <c r="BI384"/>
  <c r="BI396"/>
  <c r="BI408"/>
  <c r="BI420"/>
  <c r="BI432"/>
  <c r="BI444"/>
  <c r="BI456"/>
  <c r="BI468"/>
  <c r="BI480"/>
  <c r="BI492"/>
  <c r="BI504"/>
  <c r="BI516"/>
  <c r="BI23"/>
  <c r="BI41"/>
  <c r="BI59"/>
  <c r="BI71"/>
  <c r="BI83"/>
  <c r="BI95"/>
  <c r="BI107"/>
  <c r="BI119"/>
  <c r="BI131"/>
  <c r="BI143"/>
  <c r="BI155"/>
  <c r="BI167"/>
  <c r="BI179"/>
  <c r="BI191"/>
  <c r="BI203"/>
  <c r="BI215"/>
  <c r="BI227"/>
  <c r="BI239"/>
  <c r="BI251"/>
  <c r="BI263"/>
  <c r="BI275"/>
  <c r="BI287"/>
  <c r="BI299"/>
  <c r="BI311"/>
  <c r="BI323"/>
  <c r="BI335"/>
  <c r="BI347"/>
  <c r="BI359"/>
  <c r="BI371"/>
  <c r="BI383"/>
  <c r="BI395"/>
  <c r="BI407"/>
  <c r="BI419"/>
  <c r="BI431"/>
  <c r="BI443"/>
  <c r="BI455"/>
  <c r="BI467"/>
  <c r="BI479"/>
  <c r="BI491"/>
  <c r="BI503"/>
  <c r="BI515"/>
  <c r="BI18"/>
  <c r="BI36"/>
  <c r="BI54"/>
  <c r="BI67"/>
  <c r="BI79"/>
  <c r="BI91"/>
  <c r="BI103"/>
  <c r="BI115"/>
  <c r="BI127"/>
  <c r="BI139"/>
  <c r="BI151"/>
  <c r="BI163"/>
  <c r="BI175"/>
  <c r="BI187"/>
  <c r="BI199"/>
  <c r="BI211"/>
  <c r="BI223"/>
  <c r="BI235"/>
  <c r="BI247"/>
  <c r="BI259"/>
  <c r="BI271"/>
  <c r="BI283"/>
  <c r="BI295"/>
  <c r="BI307"/>
  <c r="BI319"/>
  <c r="BI331"/>
  <c r="BI343"/>
  <c r="BI355"/>
  <c r="BI367"/>
  <c r="BI379"/>
  <c r="BI391"/>
  <c r="BI403"/>
  <c r="BI415"/>
  <c r="BI427"/>
  <c r="BI439"/>
  <c r="BI451"/>
  <c r="BI463"/>
  <c r="BI475"/>
  <c r="BI487"/>
  <c r="BI499"/>
  <c r="BI511"/>
  <c r="BI35"/>
  <c r="BI53"/>
  <c r="BI66"/>
  <c r="BI78"/>
  <c r="BI90"/>
  <c r="BI102"/>
  <c r="BI114"/>
  <c r="BI126"/>
  <c r="BI138"/>
  <c r="BI150"/>
  <c r="BI162"/>
  <c r="BI174"/>
  <c r="BI186"/>
  <c r="BI198"/>
  <c r="BI210"/>
  <c r="BI222"/>
  <c r="BI234"/>
  <c r="BI246"/>
  <c r="BI258"/>
  <c r="BI270"/>
  <c r="BI282"/>
  <c r="BI294"/>
  <c r="BI306"/>
  <c r="BI318"/>
  <c r="BI330"/>
  <c r="BI342"/>
  <c r="BI354"/>
  <c r="BI366"/>
  <c r="BI378"/>
  <c r="BI390"/>
  <c r="BI402"/>
  <c r="BI414"/>
  <c r="BI426"/>
  <c r="BI438"/>
  <c r="BI450"/>
  <c r="BI462"/>
  <c r="BI474"/>
  <c r="BI486"/>
  <c r="BI498"/>
  <c r="BI510"/>
  <c r="AY439"/>
  <c r="AY25"/>
  <c r="AY323"/>
  <c r="AY487"/>
  <c r="AY62"/>
  <c r="AY488"/>
  <c r="AY112"/>
  <c r="AY418"/>
  <c r="AY259"/>
  <c r="AY420"/>
  <c r="AY165"/>
  <c r="AY269"/>
  <c r="AY130"/>
  <c r="AY389"/>
  <c r="AY208"/>
  <c r="AY264"/>
  <c r="AY242"/>
  <c r="AY149"/>
  <c r="AY29"/>
  <c r="AY412"/>
  <c r="AY216"/>
  <c r="AY273"/>
  <c r="AY248"/>
  <c r="AY120"/>
  <c r="AY424"/>
  <c r="AY478"/>
  <c r="AY491"/>
  <c r="AY313"/>
  <c r="AY28"/>
  <c r="AY463"/>
  <c r="AY141"/>
  <c r="AY374"/>
  <c r="AY90"/>
  <c r="AY84"/>
  <c r="AY154"/>
  <c r="AY354"/>
  <c r="AY124"/>
  <c r="AY346"/>
  <c r="AY88"/>
  <c r="AY416"/>
  <c r="AY222"/>
  <c r="AY207"/>
  <c r="AY144"/>
  <c r="AY137"/>
  <c r="AY185"/>
  <c r="AY509"/>
  <c r="AY94"/>
  <c r="AY496"/>
  <c r="AY297"/>
  <c r="AY177"/>
  <c r="AY79"/>
  <c r="AY322"/>
  <c r="AY411"/>
  <c r="AY486"/>
  <c r="AY34"/>
  <c r="AY426"/>
  <c r="AY341"/>
  <c r="AY423"/>
  <c r="AY329"/>
  <c r="AY457"/>
  <c r="AY126"/>
  <c r="AY236"/>
  <c r="AY206"/>
  <c r="AY221"/>
  <c r="AY289"/>
  <c r="AY253"/>
  <c r="AY448"/>
  <c r="AY224"/>
  <c r="AY331"/>
  <c r="AY387"/>
  <c r="AY348"/>
  <c r="AY410"/>
  <c r="AY96"/>
  <c r="AY372"/>
  <c r="AY364"/>
  <c r="AY196"/>
  <c r="AY260"/>
  <c r="AY128"/>
  <c r="AY443"/>
  <c r="AY20"/>
  <c r="AY414"/>
  <c r="AY291"/>
  <c r="AY427"/>
  <c r="AY440"/>
  <c r="AY73"/>
  <c r="AY489"/>
  <c r="AY57"/>
  <c r="AY333"/>
  <c r="AY506"/>
  <c r="AY516"/>
  <c r="AY369"/>
  <c r="AY138"/>
  <c r="AY490"/>
  <c r="AY378"/>
  <c r="AY512"/>
  <c r="AY82"/>
  <c r="AY171"/>
  <c r="AY465"/>
  <c r="AY513"/>
  <c r="AY474"/>
  <c r="AY267"/>
  <c r="AY101"/>
  <c r="AY67"/>
  <c r="AY335"/>
  <c r="AY392"/>
  <c r="AY102"/>
  <c r="AY464"/>
  <c r="AY78"/>
  <c r="AY45"/>
  <c r="AY110"/>
  <c r="AY66"/>
  <c r="AY435"/>
  <c r="AY296"/>
  <c r="AY246"/>
  <c r="AY403"/>
  <c r="AY170"/>
  <c r="AY484"/>
  <c r="AY401"/>
  <c r="AY60"/>
  <c r="AY352"/>
  <c r="AY295"/>
  <c r="AY198"/>
  <c r="AY505"/>
  <c r="AY278"/>
  <c r="AY310"/>
  <c r="AY381"/>
  <c r="AY515"/>
  <c r="AY359"/>
  <c r="AY129"/>
  <c r="AY281"/>
  <c r="AY195"/>
  <c r="AY349"/>
  <c r="AY37"/>
  <c r="AY167"/>
  <c r="AY453"/>
  <c r="AY472"/>
  <c r="AY74"/>
  <c r="AY481"/>
  <c r="AY134"/>
  <c r="AY33"/>
  <c r="AY95"/>
  <c r="AY31"/>
  <c r="AY41"/>
  <c r="AY255"/>
  <c r="AY413"/>
  <c r="AY332"/>
  <c r="AY22"/>
  <c r="AY320"/>
  <c r="AY497"/>
  <c r="AY205"/>
  <c r="AY365"/>
  <c r="AY27"/>
  <c r="AY51"/>
  <c r="AY514"/>
  <c r="AY245"/>
  <c r="AY111"/>
  <c r="AY76"/>
  <c r="AY306"/>
  <c r="AY89"/>
  <c r="AY241"/>
  <c r="AY495"/>
  <c r="AY337"/>
  <c r="AY380"/>
  <c r="AY344"/>
  <c r="AY391"/>
  <c r="AY116"/>
  <c r="AY316"/>
  <c r="AY115"/>
  <c r="AY43"/>
  <c r="AY462"/>
  <c r="AY172"/>
  <c r="AY47"/>
  <c r="AY305"/>
  <c r="AY502"/>
  <c r="AY36"/>
  <c r="AY454"/>
  <c r="AY19"/>
  <c r="AY107"/>
  <c r="AY466"/>
  <c r="AY324"/>
  <c r="AY334"/>
  <c r="AY298"/>
  <c r="AY318"/>
  <c r="AY388"/>
  <c r="AY408"/>
  <c r="AY132"/>
  <c r="AY163"/>
  <c r="AY445"/>
  <c r="AY26"/>
  <c r="AY262"/>
  <c r="AY251"/>
  <c r="AY317"/>
  <c r="AY314"/>
  <c r="AY499"/>
  <c r="AY279"/>
  <c r="AY68"/>
  <c r="AY282"/>
  <c r="AY508"/>
  <c r="AY92"/>
  <c r="AY405"/>
  <c r="AY56"/>
  <c r="AY436"/>
  <c r="AY467"/>
  <c r="AY376"/>
  <c r="AY97"/>
  <c r="AY230"/>
  <c r="AY404"/>
  <c r="AY511"/>
  <c r="AY194"/>
  <c r="AY203"/>
  <c r="AY158"/>
  <c r="AY164"/>
  <c r="AY379"/>
  <c r="AY468"/>
  <c r="AY507"/>
  <c r="AY181"/>
  <c r="AY161"/>
  <c r="AY183"/>
  <c r="AY87"/>
  <c r="AY450"/>
  <c r="AY361"/>
  <c r="AY266"/>
  <c r="AY52"/>
  <c r="AY77"/>
  <c r="AY71"/>
  <c r="AY419"/>
  <c r="AY299"/>
  <c r="AY272"/>
  <c r="AY482"/>
  <c r="AY437"/>
  <c r="AY48"/>
  <c r="AY459"/>
  <c r="AY493"/>
  <c r="AY125"/>
  <c r="AY190"/>
  <c r="AY492"/>
  <c r="AY238"/>
  <c r="AY258"/>
  <c r="AY283"/>
  <c r="AY252"/>
  <c r="AY434"/>
  <c r="AY214"/>
  <c r="AY494"/>
  <c r="AY470"/>
  <c r="AY309"/>
  <c r="AY42"/>
  <c r="AY325"/>
  <c r="AY135"/>
  <c r="AY99"/>
  <c r="AY500"/>
  <c r="AY63"/>
  <c r="AY265"/>
  <c r="AY121"/>
  <c r="AY53"/>
  <c r="AY438"/>
  <c r="AY157"/>
  <c r="AY143"/>
  <c r="AY321"/>
  <c r="AY209"/>
  <c r="AY308"/>
  <c r="AY293"/>
  <c r="AY225"/>
  <c r="AY233"/>
  <c r="AY447"/>
  <c r="AY174"/>
  <c r="AY398"/>
  <c r="AY189"/>
  <c r="AY23"/>
  <c r="AY430"/>
  <c r="AY59"/>
  <c r="AY21"/>
  <c r="AY461"/>
  <c r="AY355"/>
  <c r="AY75"/>
  <c r="AY504"/>
  <c r="AY229"/>
  <c r="AY429"/>
  <c r="AY476"/>
  <c r="AY375"/>
  <c r="AY350"/>
  <c r="AY433"/>
  <c r="AY187"/>
  <c r="AY409"/>
  <c r="AY98"/>
  <c r="AY231"/>
  <c r="AY186"/>
  <c r="AY145"/>
  <c r="AY155"/>
  <c r="AY340"/>
  <c r="AY292"/>
  <c r="AY400"/>
  <c r="AY366"/>
  <c r="AY422"/>
  <c r="AY261"/>
  <c r="AY501"/>
  <c r="AY223"/>
  <c r="AY83"/>
  <c r="AY54"/>
  <c r="AY160"/>
  <c r="AY330"/>
  <c r="AY311"/>
  <c r="AY117"/>
  <c r="AY303"/>
  <c r="AY370"/>
  <c r="AY217"/>
  <c r="AY277"/>
  <c r="AY285"/>
  <c r="AY93"/>
  <c r="AY249"/>
  <c r="AY460"/>
  <c r="AY432"/>
  <c r="AY275"/>
  <c r="AY210"/>
  <c r="AY290"/>
  <c r="AY108"/>
  <c r="AY441"/>
  <c r="AY215"/>
  <c r="AY72"/>
  <c r="AY268"/>
  <c r="AY49"/>
  <c r="AY156"/>
  <c r="AY162"/>
  <c r="AY50"/>
  <c r="AY244"/>
  <c r="J18"/>
  <c r="AY100"/>
  <c r="AY204"/>
  <c r="AY39"/>
  <c r="AY118"/>
  <c r="AY312"/>
  <c r="AY91"/>
  <c r="AY106"/>
  <c r="AY377"/>
  <c r="AY371"/>
  <c r="AY428"/>
  <c r="AY133"/>
  <c r="AY35"/>
  <c r="AY284"/>
  <c r="AY270"/>
  <c r="AY168"/>
  <c r="AY18"/>
  <c r="AY64"/>
  <c r="AY247"/>
  <c r="AY65"/>
  <c r="AY113"/>
  <c r="AY237"/>
  <c r="AY517"/>
  <c r="AY122"/>
  <c r="AY131"/>
  <c r="AY159"/>
  <c r="AY179"/>
  <c r="AY396"/>
  <c r="AY152"/>
  <c r="AY280"/>
  <c r="AY319"/>
  <c r="AY146"/>
  <c r="AY353"/>
  <c r="AY483"/>
  <c r="AY243"/>
  <c r="AY81"/>
  <c r="AY386"/>
  <c r="AY180"/>
  <c r="AY201"/>
  <c r="AY451"/>
  <c r="AY166"/>
  <c r="AY136"/>
  <c r="AY480"/>
  <c r="AY86"/>
  <c r="AY184"/>
  <c r="AY257"/>
  <c r="AY458"/>
  <c r="AY182"/>
  <c r="AY456"/>
  <c r="AY32"/>
  <c r="AY425"/>
  <c r="AY178"/>
  <c r="AY342"/>
  <c r="AY46"/>
  <c r="AY250"/>
  <c r="AY287"/>
  <c r="AY385"/>
  <c r="AY301"/>
  <c r="AY345"/>
  <c r="AY239"/>
  <c r="AY415"/>
  <c r="AY452"/>
  <c r="AY302"/>
  <c r="AY240"/>
  <c r="AY211"/>
  <c r="AY395"/>
  <c r="AY212"/>
  <c r="AY382"/>
  <c r="AY294"/>
  <c r="AY202"/>
  <c r="AY85"/>
  <c r="AY307"/>
  <c r="AY402"/>
  <c r="AY363"/>
  <c r="AY169"/>
  <c r="AY61"/>
  <c r="AY503"/>
  <c r="AY24"/>
  <c r="AY218"/>
  <c r="AY226"/>
  <c r="AY469"/>
  <c r="AY442"/>
  <c r="AY227"/>
  <c r="AY271"/>
  <c r="AY150"/>
  <c r="AY30"/>
  <c r="AY173"/>
  <c r="AY455"/>
  <c r="AY234"/>
  <c r="AY477"/>
  <c r="AY407"/>
  <c r="AY220"/>
  <c r="AY109"/>
  <c r="AY274"/>
  <c r="AY199"/>
  <c r="AY485"/>
  <c r="AY232"/>
  <c r="AY347"/>
  <c r="AY263"/>
  <c r="AY406"/>
  <c r="AY175"/>
  <c r="AY288"/>
  <c r="AY431"/>
  <c r="AY276"/>
  <c r="AY153"/>
  <c r="AY304"/>
  <c r="AY356"/>
  <c r="AY219"/>
  <c r="AY326"/>
  <c r="AY119"/>
  <c r="AY80"/>
  <c r="BK14"/>
  <c r="AY343"/>
  <c r="AY58"/>
  <c r="AY373"/>
  <c r="AY444"/>
  <c r="AY70"/>
  <c r="AY191"/>
  <c r="AY446"/>
  <c r="AY69"/>
  <c r="AY384"/>
  <c r="AY449"/>
  <c r="AY351"/>
  <c r="AY479"/>
  <c r="AY367"/>
  <c r="AY368"/>
  <c r="AY328"/>
  <c r="AY148"/>
  <c r="AY357"/>
  <c r="AY142"/>
  <c r="AY188"/>
  <c r="AY193"/>
  <c r="AY254"/>
  <c r="AY390"/>
  <c r="AY286"/>
  <c r="AY510"/>
  <c r="AY104"/>
  <c r="AY473"/>
  <c r="AY399"/>
  <c r="AY339"/>
  <c r="AY40"/>
  <c r="AY498"/>
  <c r="AY114"/>
  <c r="AY336"/>
  <c r="AY471"/>
  <c r="AY192"/>
  <c r="AY397"/>
  <c r="AY421"/>
  <c r="AY393"/>
  <c r="AY103"/>
  <c r="AY44"/>
  <c r="AY300"/>
  <c r="AY200"/>
  <c r="AY197"/>
  <c r="AY315"/>
  <c r="AY228"/>
  <c r="AY383"/>
  <c r="AY338"/>
  <c r="AY475"/>
  <c r="AY176"/>
  <c r="AY151"/>
  <c r="AY256"/>
  <c r="AY147"/>
  <c r="AY140"/>
  <c r="AY213"/>
  <c r="AY358"/>
  <c r="AY123"/>
  <c r="AY55"/>
  <c r="AY417"/>
  <c r="AY105"/>
  <c r="AY362"/>
  <c r="AY394"/>
  <c r="AY127"/>
  <c r="AY235"/>
  <c r="AY360"/>
  <c r="AY139"/>
  <c r="AY327"/>
  <c r="AY38"/>
  <c r="BY266"/>
  <c r="BY120"/>
  <c r="BY21"/>
  <c r="BY232"/>
  <c r="BY476"/>
  <c r="BY31"/>
  <c r="BY318"/>
  <c r="BY49"/>
  <c r="BY349"/>
  <c r="BY442"/>
  <c r="BY473"/>
  <c r="BY150"/>
  <c r="BY216"/>
  <c r="BY71"/>
  <c r="BY418"/>
  <c r="BY452"/>
  <c r="BY131"/>
  <c r="BY36"/>
  <c r="BY257"/>
  <c r="BY60"/>
  <c r="BY303"/>
  <c r="BY280"/>
  <c r="BY381"/>
  <c r="BY136"/>
  <c r="BY88"/>
  <c r="BY159"/>
  <c r="BY464"/>
  <c r="BY122"/>
  <c r="BY311"/>
  <c r="BY299"/>
  <c r="BY82"/>
  <c r="BY252"/>
  <c r="BY404"/>
  <c r="BJ18" a="1"/>
  <c r="BY383"/>
  <c r="BY469"/>
  <c r="BY409"/>
  <c r="BY321"/>
  <c r="BY86"/>
  <c r="BY375"/>
  <c r="BY242"/>
  <c r="BY481"/>
  <c r="BY222"/>
  <c r="BY357"/>
  <c r="BY300"/>
  <c r="BY411"/>
  <c r="BY114"/>
  <c r="BY169"/>
  <c r="BY42"/>
  <c r="BY378"/>
  <c r="BY81"/>
  <c r="BY52"/>
  <c r="BY415"/>
  <c r="BY428"/>
  <c r="BY212"/>
  <c r="BY121"/>
  <c r="BY141"/>
  <c r="BY90"/>
  <c r="BY509"/>
  <c r="BY189"/>
  <c r="BY477"/>
  <c r="BY109"/>
  <c r="BY507"/>
  <c r="BY517"/>
  <c r="BY45"/>
  <c r="BY237"/>
  <c r="BY361"/>
  <c r="BY333"/>
  <c r="BY388"/>
  <c r="BY447"/>
  <c r="BY94"/>
  <c r="BY243"/>
  <c r="BY173"/>
  <c r="BY380"/>
  <c r="BY370"/>
  <c r="BY39"/>
  <c r="BY435"/>
  <c r="BY284"/>
  <c r="BY202"/>
  <c r="BY170"/>
  <c r="BY391"/>
  <c r="BY127"/>
  <c r="BY184"/>
  <c r="BY392"/>
  <c r="BY199"/>
  <c r="BY19"/>
  <c r="BY267"/>
  <c r="BY403"/>
  <c r="BY197"/>
  <c r="BY76"/>
  <c r="BY220"/>
  <c r="BY371"/>
  <c r="BY366"/>
  <c r="BY137"/>
  <c r="BY505"/>
  <c r="BY443"/>
  <c r="BY408"/>
  <c r="BY27"/>
  <c r="BY91"/>
  <c r="BY96"/>
  <c r="BY51"/>
  <c r="BY107"/>
  <c r="BY405"/>
  <c r="BY278"/>
  <c r="BY312"/>
  <c r="BY221"/>
  <c r="BY246"/>
  <c r="BY384"/>
  <c r="BY335"/>
  <c r="BY500"/>
  <c r="BY201"/>
  <c r="BY182"/>
  <c r="BY176"/>
  <c r="BY261"/>
  <c r="BY322"/>
  <c r="BY502"/>
  <c r="BY301"/>
  <c r="BY465"/>
  <c r="BY125"/>
  <c r="BY441"/>
  <c r="BY247"/>
  <c r="BY30"/>
  <c r="BY20"/>
  <c r="BY218"/>
  <c r="BY28"/>
  <c r="BY50"/>
  <c r="BY377"/>
  <c r="BY372"/>
  <c r="BY179"/>
  <c r="BY345"/>
  <c r="BY421"/>
  <c r="BY489"/>
  <c r="BY175"/>
  <c r="BY219"/>
  <c r="BY113"/>
  <c r="BY487"/>
  <c r="BY208"/>
  <c r="BY478"/>
  <c r="BY279"/>
  <c r="BY152"/>
  <c r="BY513"/>
  <c r="BY334"/>
  <c r="BY439"/>
  <c r="BY181"/>
  <c r="BY41"/>
  <c r="BY338"/>
  <c r="BY69"/>
  <c r="BY308"/>
  <c r="BY130"/>
  <c r="BY225"/>
  <c r="BY329"/>
  <c r="BY89"/>
  <c r="BY147"/>
  <c r="BY126"/>
  <c r="BY56"/>
  <c r="BY254"/>
  <c r="BY410"/>
  <c r="BY461"/>
  <c r="BY492"/>
  <c r="BY440"/>
  <c r="BY244"/>
  <c r="BY314"/>
  <c r="BY155"/>
  <c r="BY62"/>
  <c r="BY153"/>
  <c r="BY453"/>
  <c r="BY270"/>
  <c r="BY429"/>
  <c r="BY336"/>
  <c r="BY394"/>
  <c r="BY294"/>
  <c r="BY374"/>
  <c r="BY417"/>
  <c r="BY53"/>
  <c r="BY255"/>
  <c r="BY195"/>
  <c r="BY511"/>
  <c r="BY506"/>
  <c r="BY129"/>
  <c r="BK18" a="1"/>
  <c r="BY504"/>
  <c r="BY73"/>
  <c r="BY204"/>
  <c r="BY123"/>
  <c r="BY346"/>
  <c r="BY172"/>
  <c r="BY445"/>
  <c r="BY407"/>
  <c r="BY115"/>
  <c r="BY110"/>
  <c r="BY488"/>
  <c r="BY203"/>
  <c r="BY283"/>
  <c r="BY55"/>
  <c r="BY515"/>
  <c r="BY245"/>
  <c r="BY143"/>
  <c r="BY65"/>
  <c r="BY59"/>
  <c r="BY84"/>
  <c r="BY54"/>
  <c r="BY295"/>
  <c r="BY342"/>
  <c r="BY323"/>
  <c r="BY264"/>
  <c r="BY281"/>
  <c r="BY35"/>
  <c r="BY310"/>
  <c r="BY291"/>
  <c r="BY128"/>
  <c r="BY177"/>
  <c r="BY57"/>
  <c r="BY83"/>
  <c r="BY277"/>
  <c r="BY343"/>
  <c r="BY289"/>
  <c r="BY307"/>
  <c r="BY40"/>
  <c r="BY434"/>
  <c r="BY43"/>
  <c r="BY425"/>
  <c r="BY194"/>
  <c r="BY135"/>
  <c r="BY95"/>
  <c r="BY340"/>
  <c r="BY282"/>
  <c r="BY178"/>
  <c r="BY166"/>
  <c r="BY436"/>
  <c r="BY475"/>
  <c r="BY510"/>
  <c r="BY249"/>
  <c r="BY29"/>
  <c r="BY337"/>
  <c r="BY206"/>
  <c r="BY227"/>
  <c r="BY32"/>
  <c r="BY433"/>
  <c r="BY183"/>
  <c r="BY422"/>
  <c r="BY304"/>
  <c r="BY140"/>
  <c r="BY503"/>
  <c r="BY462"/>
  <c r="BY251"/>
  <c r="BY236"/>
  <c r="BY358"/>
  <c r="BY444"/>
  <c r="BY38"/>
  <c r="BY496"/>
  <c r="BY373"/>
  <c r="BY463"/>
  <c r="BY315"/>
  <c r="BY499"/>
  <c r="BY397"/>
  <c r="BY138"/>
  <c r="BY350"/>
  <c r="BY448"/>
  <c r="BY99"/>
  <c r="BY226"/>
  <c r="BY24"/>
  <c r="BY285"/>
  <c r="BY265"/>
  <c r="BY75"/>
  <c r="BY23"/>
  <c r="BY459"/>
  <c r="BY231"/>
  <c r="BY187"/>
  <c r="BY479"/>
  <c r="BY413"/>
  <c r="BY263"/>
  <c r="BY74"/>
  <c r="BY298"/>
  <c r="BY146"/>
  <c r="BY356"/>
  <c r="BY142"/>
  <c r="BY134"/>
  <c r="BY382"/>
  <c r="BY424"/>
  <c r="BY190"/>
  <c r="BY108"/>
  <c r="BY420"/>
  <c r="BY498"/>
  <c r="BY98"/>
  <c r="BY400"/>
  <c r="BY348"/>
  <c r="BY275"/>
  <c r="BY93"/>
  <c r="BY228"/>
  <c r="BY103"/>
  <c r="BY164"/>
  <c r="BY313"/>
  <c r="BY145"/>
  <c r="BY364"/>
  <c r="BY180"/>
  <c r="BY390"/>
  <c r="BY102"/>
  <c r="BY162"/>
  <c r="BY256"/>
  <c r="BY240"/>
  <c r="BY68"/>
  <c r="BY87"/>
  <c r="BY80"/>
  <c r="BY501"/>
  <c r="BY100"/>
  <c r="BY215"/>
  <c r="BY151"/>
  <c r="BY457"/>
  <c r="BY401"/>
  <c r="BY224"/>
  <c r="BY22"/>
  <c r="BY430"/>
  <c r="BY274"/>
  <c r="BY209"/>
  <c r="BY253"/>
  <c r="BY286"/>
  <c r="BY144"/>
  <c r="BY402"/>
  <c r="BY118"/>
  <c r="BY258"/>
  <c r="BY363"/>
  <c r="BY168"/>
  <c r="BY369"/>
  <c r="BY198"/>
  <c r="BY192"/>
  <c r="BY262"/>
  <c r="BY223"/>
  <c r="BY161"/>
  <c r="BY259"/>
  <c r="BY393"/>
  <c r="BY456"/>
  <c r="BY196"/>
  <c r="BY234"/>
  <c r="BY328"/>
  <c r="BY305"/>
  <c r="BY207"/>
  <c r="BY516"/>
  <c r="BY101"/>
  <c r="BY437"/>
  <c r="BY484"/>
  <c r="BY317"/>
  <c r="BY67"/>
  <c r="BY493"/>
  <c r="BY327"/>
  <c r="BY451"/>
  <c r="BY186"/>
  <c r="BY325"/>
  <c r="BY205"/>
  <c r="BY355"/>
  <c r="BY494"/>
  <c r="BY508"/>
  <c r="BY339"/>
  <c r="BY116"/>
  <c r="BY238"/>
  <c r="BY250"/>
  <c r="BY450"/>
  <c r="BY61"/>
  <c r="BY213"/>
  <c r="BY360"/>
  <c r="BY354"/>
  <c r="BY233"/>
  <c r="BY287"/>
  <c r="BY92"/>
  <c r="BY188"/>
  <c r="BY47"/>
  <c r="BY111"/>
  <c r="BY330"/>
  <c r="BY105"/>
  <c r="BY72"/>
  <c r="BY331"/>
  <c r="BY427"/>
  <c r="BY165"/>
  <c r="BY132"/>
  <c r="BY474"/>
  <c r="BY117"/>
  <c r="BY458"/>
  <c r="BY449"/>
  <c r="BY416"/>
  <c r="BY191"/>
  <c r="BY58"/>
  <c r="BY297"/>
  <c r="BY353"/>
  <c r="BY467"/>
  <c r="BY139"/>
  <c r="BY46"/>
  <c r="BY379"/>
  <c r="BY133"/>
  <c r="BY200"/>
  <c r="BY472"/>
  <c r="BY112"/>
  <c r="BY167"/>
  <c r="BY432"/>
  <c r="BY495"/>
  <c r="BY292"/>
  <c r="BY210"/>
  <c r="BY399"/>
  <c r="BY48"/>
  <c r="BY33"/>
  <c r="BY248"/>
  <c r="BY149"/>
  <c r="BY320"/>
  <c r="BY344"/>
  <c r="BY326"/>
  <c r="BY154"/>
  <c r="BY77"/>
  <c r="BY124"/>
  <c r="BY446"/>
  <c r="BY276"/>
  <c r="BY485"/>
  <c r="BY351"/>
  <c r="BY193"/>
  <c r="BY241"/>
  <c r="BY158"/>
  <c r="BY471"/>
  <c r="BY470"/>
  <c r="BY97"/>
  <c r="BY365"/>
  <c r="BY268"/>
  <c r="BY386"/>
  <c r="BY514"/>
  <c r="BY85"/>
  <c r="BY174"/>
  <c r="BY316"/>
  <c r="BY368"/>
  <c r="BY269"/>
  <c r="BY319"/>
  <c r="BY483"/>
  <c r="BY426"/>
  <c r="BY70"/>
  <c r="BY171"/>
  <c r="BY185"/>
  <c r="BY438"/>
  <c r="BY63"/>
  <c r="BY398"/>
  <c r="BY273"/>
  <c r="BY423"/>
  <c r="BY148"/>
  <c r="BY119"/>
  <c r="BY106"/>
  <c r="BY406"/>
  <c r="BY271"/>
  <c r="BY302"/>
  <c r="BY37"/>
  <c r="BY466"/>
  <c r="BY362"/>
  <c r="BY468"/>
  <c r="BY296"/>
  <c r="BY387"/>
  <c r="BY66"/>
  <c r="BY309"/>
  <c r="BY25"/>
  <c r="BY64"/>
  <c r="BY332"/>
  <c r="BY272"/>
  <c r="BY260"/>
  <c r="BY512"/>
  <c r="BY455"/>
  <c r="BY359"/>
  <c r="BY389"/>
  <c r="BY376"/>
  <c r="BY293"/>
  <c r="BY211"/>
  <c r="BY78"/>
  <c r="BY482"/>
  <c r="BY396"/>
  <c r="BY288"/>
  <c r="BY79"/>
  <c r="BY352"/>
  <c r="BY239"/>
  <c r="BY454"/>
  <c r="BY44"/>
  <c r="BY156"/>
  <c r="BY497"/>
  <c r="BY385"/>
  <c r="BY419"/>
  <c r="BY431"/>
  <c r="BY460"/>
  <c r="BY230"/>
  <c r="BY235"/>
  <c r="BY412"/>
  <c r="BY217"/>
  <c r="BY157"/>
  <c r="BY324"/>
  <c r="BY306"/>
  <c r="BY414"/>
  <c r="BY341"/>
  <c r="BY367"/>
  <c r="BY26"/>
  <c r="BY229"/>
  <c r="BY214"/>
  <c r="BY347"/>
  <c r="BY34"/>
  <c r="BY163"/>
  <c r="BY491"/>
  <c r="BY160"/>
  <c r="BY290"/>
  <c r="BY480"/>
  <c r="BY104"/>
  <c r="BY395"/>
  <c r="BY490"/>
  <c r="BY486"/>
  <c r="CI31" i="12" l="1"/>
  <c r="CK31" s="1"/>
  <c r="CG156"/>
  <c r="CG157" s="1"/>
  <c r="CG158" s="1"/>
  <c r="CG159" s="1"/>
  <c r="CG160" s="1"/>
  <c r="CG161" s="1"/>
  <c r="CG162" s="1"/>
  <c r="CG163" s="1"/>
  <c r="CG164" s="1"/>
  <c r="CG165" s="1"/>
  <c r="CG166" s="1"/>
  <c r="CG167" s="1"/>
  <c r="CG168" s="1"/>
  <c r="CG169" s="1"/>
  <c r="CG170" s="1"/>
  <c r="CG171" s="1"/>
  <c r="CG172" s="1"/>
  <c r="CG173" s="1"/>
  <c r="CG174" s="1"/>
  <c r="CG175" s="1"/>
  <c r="BJ21" i="10"/>
  <c r="BJ27"/>
  <c r="BJ33"/>
  <c r="BJ39"/>
  <c r="BJ45"/>
  <c r="BJ51"/>
  <c r="BJ57"/>
  <c r="BJ63"/>
  <c r="BJ69"/>
  <c r="BJ75"/>
  <c r="BJ81"/>
  <c r="BJ87"/>
  <c r="BJ93"/>
  <c r="BJ99"/>
  <c r="BJ105"/>
  <c r="BJ111"/>
  <c r="BJ117"/>
  <c r="BJ123"/>
  <c r="BJ129"/>
  <c r="BJ135"/>
  <c r="BJ141"/>
  <c r="BJ147"/>
  <c r="BJ153"/>
  <c r="BJ159"/>
  <c r="BJ165"/>
  <c r="BJ171"/>
  <c r="BJ177"/>
  <c r="BJ183"/>
  <c r="BJ189"/>
  <c r="BJ195"/>
  <c r="BJ201"/>
  <c r="BJ207"/>
  <c r="BJ213"/>
  <c r="BJ219"/>
  <c r="BJ225"/>
  <c r="BJ231"/>
  <c r="BJ237"/>
  <c r="BJ243"/>
  <c r="BJ249"/>
  <c r="BJ255"/>
  <c r="BJ261"/>
  <c r="BJ267"/>
  <c r="BJ273"/>
  <c r="BJ279"/>
  <c r="BJ285"/>
  <c r="BJ291"/>
  <c r="BJ297"/>
  <c r="BJ303"/>
  <c r="BJ309"/>
  <c r="BJ315"/>
  <c r="BJ321"/>
  <c r="BJ327"/>
  <c r="BJ333"/>
  <c r="BJ339"/>
  <c r="BJ345"/>
  <c r="BJ351"/>
  <c r="BJ357"/>
  <c r="BJ363"/>
  <c r="BJ369"/>
  <c r="BJ375"/>
  <c r="BJ381"/>
  <c r="BJ387"/>
  <c r="BJ393"/>
  <c r="BJ399"/>
  <c r="BJ405"/>
  <c r="BJ411"/>
  <c r="BJ417"/>
  <c r="BJ423"/>
  <c r="BJ429"/>
  <c r="BJ435"/>
  <c r="BJ441"/>
  <c r="BJ447"/>
  <c r="BJ453"/>
  <c r="BJ459"/>
  <c r="BJ465"/>
  <c r="BJ471"/>
  <c r="BJ477"/>
  <c r="BJ483"/>
  <c r="BJ489"/>
  <c r="BJ495"/>
  <c r="BJ501"/>
  <c r="BJ507"/>
  <c r="BJ513"/>
  <c r="BJ20"/>
  <c r="BJ26"/>
  <c r="BJ32"/>
  <c r="BJ38"/>
  <c r="BJ44"/>
  <c r="BJ50"/>
  <c r="BJ56"/>
  <c r="BJ62"/>
  <c r="BJ68"/>
  <c r="BJ74"/>
  <c r="BJ80"/>
  <c r="BJ86"/>
  <c r="BJ92"/>
  <c r="BJ98"/>
  <c r="BJ104"/>
  <c r="BJ110"/>
  <c r="BJ116"/>
  <c r="BJ122"/>
  <c r="BJ128"/>
  <c r="BJ134"/>
  <c r="BJ140"/>
  <c r="BJ146"/>
  <c r="BJ152"/>
  <c r="BJ158"/>
  <c r="BJ164"/>
  <c r="BJ170"/>
  <c r="BJ176"/>
  <c r="BJ182"/>
  <c r="BJ188"/>
  <c r="BJ194"/>
  <c r="BJ200"/>
  <c r="BJ206"/>
  <c r="BJ212"/>
  <c r="BJ218"/>
  <c r="BJ224"/>
  <c r="BJ230"/>
  <c r="BJ236"/>
  <c r="BJ242"/>
  <c r="BJ248"/>
  <c r="BJ254"/>
  <c r="BJ260"/>
  <c r="BJ266"/>
  <c r="BJ272"/>
  <c r="BJ278"/>
  <c r="BJ284"/>
  <c r="BJ290"/>
  <c r="BJ296"/>
  <c r="BJ302"/>
  <c r="BJ308"/>
  <c r="BJ314"/>
  <c r="BJ320"/>
  <c r="BJ326"/>
  <c r="BJ332"/>
  <c r="BJ338"/>
  <c r="BJ344"/>
  <c r="BJ350"/>
  <c r="BJ356"/>
  <c r="BJ362"/>
  <c r="BJ368"/>
  <c r="BJ374"/>
  <c r="BJ380"/>
  <c r="BJ386"/>
  <c r="BJ392"/>
  <c r="BJ398"/>
  <c r="BJ404"/>
  <c r="BJ410"/>
  <c r="BJ416"/>
  <c r="BJ422"/>
  <c r="BJ428"/>
  <c r="BJ434"/>
  <c r="BJ440"/>
  <c r="BJ446"/>
  <c r="BJ452"/>
  <c r="BJ458"/>
  <c r="BJ464"/>
  <c r="BJ470"/>
  <c r="BJ476"/>
  <c r="BJ482"/>
  <c r="BJ488"/>
  <c r="BJ494"/>
  <c r="BJ500"/>
  <c r="BJ506"/>
  <c r="BJ512"/>
  <c r="BJ19"/>
  <c r="BJ25"/>
  <c r="BJ31"/>
  <c r="BJ37"/>
  <c r="BJ43"/>
  <c r="BJ49"/>
  <c r="BJ55"/>
  <c r="BJ61"/>
  <c r="BJ67"/>
  <c r="BJ73"/>
  <c r="BJ79"/>
  <c r="BJ85"/>
  <c r="BJ91"/>
  <c r="BJ97"/>
  <c r="BJ103"/>
  <c r="BJ109"/>
  <c r="BJ115"/>
  <c r="BJ121"/>
  <c r="BJ127"/>
  <c r="BJ133"/>
  <c r="BJ139"/>
  <c r="BJ145"/>
  <c r="BJ151"/>
  <c r="BJ157"/>
  <c r="BJ163"/>
  <c r="BJ169"/>
  <c r="BJ175"/>
  <c r="BJ181"/>
  <c r="BJ187"/>
  <c r="BJ193"/>
  <c r="BJ199"/>
  <c r="BJ205"/>
  <c r="BJ211"/>
  <c r="BJ217"/>
  <c r="BJ223"/>
  <c r="BJ229"/>
  <c r="BJ235"/>
  <c r="BJ241"/>
  <c r="BJ247"/>
  <c r="BJ253"/>
  <c r="BJ259"/>
  <c r="BJ265"/>
  <c r="BJ271"/>
  <c r="BJ277"/>
  <c r="BJ283"/>
  <c r="BJ289"/>
  <c r="BJ295"/>
  <c r="BJ301"/>
  <c r="BJ307"/>
  <c r="BJ313"/>
  <c r="BJ319"/>
  <c r="BJ325"/>
  <c r="BJ331"/>
  <c r="BJ337"/>
  <c r="BJ343"/>
  <c r="BJ349"/>
  <c r="BJ355"/>
  <c r="BJ361"/>
  <c r="BJ367"/>
  <c r="BJ373"/>
  <c r="BJ379"/>
  <c r="BJ385"/>
  <c r="BJ391"/>
  <c r="BJ397"/>
  <c r="BJ403"/>
  <c r="BJ409"/>
  <c r="BJ415"/>
  <c r="BJ421"/>
  <c r="BJ427"/>
  <c r="BJ433"/>
  <c r="BJ439"/>
  <c r="BJ445"/>
  <c r="BJ451"/>
  <c r="BJ457"/>
  <c r="BJ463"/>
  <c r="BJ469"/>
  <c r="BJ475"/>
  <c r="BJ481"/>
  <c r="BJ487"/>
  <c r="BJ493"/>
  <c r="BJ499"/>
  <c r="BJ505"/>
  <c r="BJ511"/>
  <c r="BJ18"/>
  <c r="BJ24"/>
  <c r="BJ30"/>
  <c r="BJ36"/>
  <c r="BJ42"/>
  <c r="BJ48"/>
  <c r="BJ54"/>
  <c r="BJ34"/>
  <c r="BJ52"/>
  <c r="BJ65"/>
  <c r="BJ77"/>
  <c r="BJ89"/>
  <c r="BJ101"/>
  <c r="BJ113"/>
  <c r="BJ125"/>
  <c r="BJ137"/>
  <c r="BJ149"/>
  <c r="BJ161"/>
  <c r="BJ173"/>
  <c r="BJ185"/>
  <c r="BJ197"/>
  <c r="BJ209"/>
  <c r="BJ221"/>
  <c r="BJ233"/>
  <c r="BJ245"/>
  <c r="BJ257"/>
  <c r="BJ269"/>
  <c r="BJ281"/>
  <c r="BJ293"/>
  <c r="BJ305"/>
  <c r="BJ317"/>
  <c r="BJ329"/>
  <c r="BJ341"/>
  <c r="BJ353"/>
  <c r="BJ365"/>
  <c r="BJ377"/>
  <c r="BJ389"/>
  <c r="BJ401"/>
  <c r="BJ413"/>
  <c r="BJ425"/>
  <c r="BJ437"/>
  <c r="BJ449"/>
  <c r="BJ461"/>
  <c r="BJ473"/>
  <c r="BJ485"/>
  <c r="BJ497"/>
  <c r="BJ509"/>
  <c r="BJ29"/>
  <c r="BJ47"/>
  <c r="BJ64"/>
  <c r="BJ76"/>
  <c r="BJ88"/>
  <c r="BJ100"/>
  <c r="BJ112"/>
  <c r="BJ124"/>
  <c r="BJ136"/>
  <c r="BJ148"/>
  <c r="BJ160"/>
  <c r="BJ172"/>
  <c r="BJ184"/>
  <c r="BJ196"/>
  <c r="BJ208"/>
  <c r="BJ220"/>
  <c r="BJ232"/>
  <c r="BJ244"/>
  <c r="BJ256"/>
  <c r="BJ268"/>
  <c r="BJ280"/>
  <c r="BJ292"/>
  <c r="BJ304"/>
  <c r="BJ316"/>
  <c r="BJ328"/>
  <c r="BJ340"/>
  <c r="BJ352"/>
  <c r="BJ364"/>
  <c r="BJ376"/>
  <c r="BJ388"/>
  <c r="BJ400"/>
  <c r="BJ412"/>
  <c r="BJ424"/>
  <c r="BJ436"/>
  <c r="BJ448"/>
  <c r="BJ460"/>
  <c r="BJ472"/>
  <c r="BJ484"/>
  <c r="BJ496"/>
  <c r="BJ508"/>
  <c r="BJ28"/>
  <c r="BJ46"/>
  <c r="BJ60"/>
  <c r="BJ72"/>
  <c r="BJ84"/>
  <c r="BJ96"/>
  <c r="BJ108"/>
  <c r="BJ120"/>
  <c r="BJ132"/>
  <c r="BJ144"/>
  <c r="BJ156"/>
  <c r="BJ168"/>
  <c r="BJ180"/>
  <c r="BJ192"/>
  <c r="BJ204"/>
  <c r="BJ216"/>
  <c r="BJ228"/>
  <c r="BJ240"/>
  <c r="BJ252"/>
  <c r="BJ264"/>
  <c r="BJ276"/>
  <c r="BJ288"/>
  <c r="BJ300"/>
  <c r="BJ312"/>
  <c r="BJ324"/>
  <c r="BJ336"/>
  <c r="BJ348"/>
  <c r="BJ360"/>
  <c r="BJ372"/>
  <c r="BJ384"/>
  <c r="BJ396"/>
  <c r="BJ408"/>
  <c r="BJ420"/>
  <c r="BJ432"/>
  <c r="BJ444"/>
  <c r="BJ456"/>
  <c r="BJ468"/>
  <c r="BJ480"/>
  <c r="BJ492"/>
  <c r="BJ504"/>
  <c r="BJ516"/>
  <c r="BJ23"/>
  <c r="BJ41"/>
  <c r="BJ59"/>
  <c r="BJ71"/>
  <c r="BJ83"/>
  <c r="BJ95"/>
  <c r="BJ107"/>
  <c r="BJ119"/>
  <c r="BJ131"/>
  <c r="BJ143"/>
  <c r="BJ155"/>
  <c r="BJ167"/>
  <c r="BJ179"/>
  <c r="BJ191"/>
  <c r="BJ203"/>
  <c r="BJ215"/>
  <c r="BJ227"/>
  <c r="BJ239"/>
  <c r="BJ251"/>
  <c r="BJ263"/>
  <c r="BJ275"/>
  <c r="BJ287"/>
  <c r="BJ299"/>
  <c r="BJ311"/>
  <c r="BJ323"/>
  <c r="BJ335"/>
  <c r="BJ347"/>
  <c r="BJ359"/>
  <c r="BJ371"/>
  <c r="BJ383"/>
  <c r="BJ395"/>
  <c r="BJ407"/>
  <c r="BJ419"/>
  <c r="BJ431"/>
  <c r="BJ443"/>
  <c r="BJ455"/>
  <c r="BJ467"/>
  <c r="BJ479"/>
  <c r="BJ491"/>
  <c r="BJ503"/>
  <c r="BJ515"/>
  <c r="BJ22"/>
  <c r="BJ40"/>
  <c r="BJ58"/>
  <c r="BJ70"/>
  <c r="BJ82"/>
  <c r="BJ94"/>
  <c r="BJ106"/>
  <c r="BJ118"/>
  <c r="BJ130"/>
  <c r="BJ142"/>
  <c r="BJ154"/>
  <c r="BJ166"/>
  <c r="BJ178"/>
  <c r="BJ190"/>
  <c r="BJ202"/>
  <c r="BJ214"/>
  <c r="BJ226"/>
  <c r="BJ238"/>
  <c r="BJ250"/>
  <c r="BJ262"/>
  <c r="BJ274"/>
  <c r="BJ286"/>
  <c r="BJ298"/>
  <c r="BJ310"/>
  <c r="BJ322"/>
  <c r="BJ334"/>
  <c r="BJ346"/>
  <c r="BJ358"/>
  <c r="BJ370"/>
  <c r="BJ382"/>
  <c r="BJ394"/>
  <c r="BJ406"/>
  <c r="BJ418"/>
  <c r="BJ430"/>
  <c r="BJ442"/>
  <c r="BJ454"/>
  <c r="BJ466"/>
  <c r="BJ478"/>
  <c r="BJ490"/>
  <c r="BJ502"/>
  <c r="BJ514"/>
  <c r="BJ35"/>
  <c r="BJ53"/>
  <c r="BJ66"/>
  <c r="BJ78"/>
  <c r="BJ90"/>
  <c r="BJ102"/>
  <c r="BJ114"/>
  <c r="BJ126"/>
  <c r="BJ138"/>
  <c r="BJ150"/>
  <c r="BJ162"/>
  <c r="BJ174"/>
  <c r="BJ186"/>
  <c r="BJ198"/>
  <c r="BJ210"/>
  <c r="BJ222"/>
  <c r="BJ234"/>
  <c r="BJ246"/>
  <c r="BJ258"/>
  <c r="BJ270"/>
  <c r="BJ282"/>
  <c r="BJ294"/>
  <c r="BJ306"/>
  <c r="BJ318"/>
  <c r="BJ330"/>
  <c r="BJ342"/>
  <c r="BJ354"/>
  <c r="BJ366"/>
  <c r="BJ378"/>
  <c r="BJ390"/>
  <c r="BJ402"/>
  <c r="BJ414"/>
  <c r="BJ426"/>
  <c r="BJ438"/>
  <c r="BJ450"/>
  <c r="BJ462"/>
  <c r="BJ474"/>
  <c r="BJ486"/>
  <c r="BJ498"/>
  <c r="BJ510"/>
  <c r="BK22"/>
  <c r="BL22" s="1"/>
  <c r="BM22" s="1"/>
  <c r="BK28"/>
  <c r="BL28" s="1"/>
  <c r="BM28" s="1"/>
  <c r="BK34"/>
  <c r="BL34" s="1"/>
  <c r="BM34" s="1"/>
  <c r="BK40"/>
  <c r="BL40" s="1"/>
  <c r="BM40" s="1"/>
  <c r="BK46"/>
  <c r="BL46" s="1"/>
  <c r="BM46" s="1"/>
  <c r="BK52"/>
  <c r="BL52" s="1"/>
  <c r="BM52" s="1"/>
  <c r="BK58"/>
  <c r="BL58" s="1"/>
  <c r="BM58" s="1"/>
  <c r="BK64"/>
  <c r="BL64" s="1"/>
  <c r="BM64" s="1"/>
  <c r="BK70"/>
  <c r="BL70" s="1"/>
  <c r="BM70" s="1"/>
  <c r="BK76"/>
  <c r="BL76" s="1"/>
  <c r="BM76" s="1"/>
  <c r="BK82"/>
  <c r="BL82" s="1"/>
  <c r="BM82" s="1"/>
  <c r="BK88"/>
  <c r="BL88" s="1"/>
  <c r="BM88" s="1"/>
  <c r="BK94"/>
  <c r="BL94" s="1"/>
  <c r="BM94" s="1"/>
  <c r="BK100"/>
  <c r="BL100" s="1"/>
  <c r="BM100" s="1"/>
  <c r="BK106"/>
  <c r="BL106" s="1"/>
  <c r="BM106" s="1"/>
  <c r="BK112"/>
  <c r="BL112" s="1"/>
  <c r="BM112" s="1"/>
  <c r="BK118"/>
  <c r="BL118" s="1"/>
  <c r="BM118" s="1"/>
  <c r="BK124"/>
  <c r="BL124" s="1"/>
  <c r="BM124" s="1"/>
  <c r="BK130"/>
  <c r="BL130" s="1"/>
  <c r="BM130" s="1"/>
  <c r="BK136"/>
  <c r="BL136" s="1"/>
  <c r="BM136" s="1"/>
  <c r="BK142"/>
  <c r="BL142" s="1"/>
  <c r="BM142" s="1"/>
  <c r="BK148"/>
  <c r="BL148" s="1"/>
  <c r="BM148" s="1"/>
  <c r="BK154"/>
  <c r="BL154" s="1"/>
  <c r="BM154" s="1"/>
  <c r="BK160"/>
  <c r="BL160" s="1"/>
  <c r="BM160" s="1"/>
  <c r="BK166"/>
  <c r="BL166" s="1"/>
  <c r="BM166" s="1"/>
  <c r="BK172"/>
  <c r="BL172" s="1"/>
  <c r="BM172" s="1"/>
  <c r="BK178"/>
  <c r="BL178" s="1"/>
  <c r="BM178" s="1"/>
  <c r="BK184"/>
  <c r="BL184" s="1"/>
  <c r="BM184" s="1"/>
  <c r="BK190"/>
  <c r="BL190" s="1"/>
  <c r="BM190" s="1"/>
  <c r="BK196"/>
  <c r="BL196" s="1"/>
  <c r="BM196" s="1"/>
  <c r="BK202"/>
  <c r="BL202" s="1"/>
  <c r="BM202" s="1"/>
  <c r="BK208"/>
  <c r="BL208" s="1"/>
  <c r="BM208" s="1"/>
  <c r="BK214"/>
  <c r="BL214" s="1"/>
  <c r="BM214" s="1"/>
  <c r="BK220"/>
  <c r="BL220" s="1"/>
  <c r="BM220" s="1"/>
  <c r="BK226"/>
  <c r="BK232"/>
  <c r="BL232" s="1"/>
  <c r="BM232" s="1"/>
  <c r="BK238"/>
  <c r="BL238" s="1"/>
  <c r="BM238" s="1"/>
  <c r="BK244"/>
  <c r="BL244" s="1"/>
  <c r="BM244" s="1"/>
  <c r="BK250"/>
  <c r="BL250" s="1"/>
  <c r="BM250" s="1"/>
  <c r="BK256"/>
  <c r="BK262"/>
  <c r="BL262" s="1"/>
  <c r="BM262" s="1"/>
  <c r="BK268"/>
  <c r="BL268" s="1"/>
  <c r="BM268" s="1"/>
  <c r="BK274"/>
  <c r="BL274" s="1"/>
  <c r="BM274" s="1"/>
  <c r="BK280"/>
  <c r="BL280" s="1"/>
  <c r="BM280" s="1"/>
  <c r="BK286"/>
  <c r="BL286" s="1"/>
  <c r="BM286" s="1"/>
  <c r="BK292"/>
  <c r="BL292" s="1"/>
  <c r="BM292" s="1"/>
  <c r="BK298"/>
  <c r="BL298" s="1"/>
  <c r="BM298" s="1"/>
  <c r="BK304"/>
  <c r="BL304" s="1"/>
  <c r="BM304" s="1"/>
  <c r="BK310"/>
  <c r="BL310" s="1"/>
  <c r="BM310" s="1"/>
  <c r="BK316"/>
  <c r="BL316" s="1"/>
  <c r="BM316" s="1"/>
  <c r="BK322"/>
  <c r="BL322" s="1"/>
  <c r="BM322" s="1"/>
  <c r="BK328"/>
  <c r="BL328" s="1"/>
  <c r="BM328" s="1"/>
  <c r="BK334"/>
  <c r="BL334" s="1"/>
  <c r="BM334" s="1"/>
  <c r="BK340"/>
  <c r="BL340" s="1"/>
  <c r="BM340" s="1"/>
  <c r="BK346"/>
  <c r="BL346" s="1"/>
  <c r="BM346" s="1"/>
  <c r="BK352"/>
  <c r="BL352" s="1"/>
  <c r="BM352" s="1"/>
  <c r="BK358"/>
  <c r="BL358" s="1"/>
  <c r="BM358" s="1"/>
  <c r="BK364"/>
  <c r="BL364" s="1"/>
  <c r="BM364" s="1"/>
  <c r="BK370"/>
  <c r="BK376"/>
  <c r="BL376" s="1"/>
  <c r="BM376" s="1"/>
  <c r="BK382"/>
  <c r="BL382" s="1"/>
  <c r="BM382" s="1"/>
  <c r="BK388"/>
  <c r="BL388" s="1"/>
  <c r="BM388" s="1"/>
  <c r="BK394"/>
  <c r="BL394" s="1"/>
  <c r="BM394" s="1"/>
  <c r="BK400"/>
  <c r="BL400" s="1"/>
  <c r="BM400" s="1"/>
  <c r="BK406"/>
  <c r="BK412"/>
  <c r="BL412" s="1"/>
  <c r="BM412" s="1"/>
  <c r="BK418"/>
  <c r="BL418" s="1"/>
  <c r="BM418" s="1"/>
  <c r="BK424"/>
  <c r="BL424" s="1"/>
  <c r="BM424" s="1"/>
  <c r="BK430"/>
  <c r="BL430" s="1"/>
  <c r="BM430" s="1"/>
  <c r="BK436"/>
  <c r="BL436" s="1"/>
  <c r="BM436" s="1"/>
  <c r="BK442"/>
  <c r="BL442" s="1"/>
  <c r="BM442" s="1"/>
  <c r="BK448"/>
  <c r="BL448" s="1"/>
  <c r="BM448" s="1"/>
  <c r="BK454"/>
  <c r="BL454" s="1"/>
  <c r="BM454" s="1"/>
  <c r="BK460"/>
  <c r="BL460" s="1"/>
  <c r="BM460" s="1"/>
  <c r="BK466"/>
  <c r="BL466" s="1"/>
  <c r="BM466" s="1"/>
  <c r="BK472"/>
  <c r="BL472" s="1"/>
  <c r="BM472" s="1"/>
  <c r="BK478"/>
  <c r="BK484"/>
  <c r="BL484" s="1"/>
  <c r="BM484" s="1"/>
  <c r="BK490"/>
  <c r="BL490" s="1"/>
  <c r="BM490" s="1"/>
  <c r="BK496"/>
  <c r="BL496" s="1"/>
  <c r="BM496" s="1"/>
  <c r="BK502"/>
  <c r="BL502" s="1"/>
  <c r="BM502" s="1"/>
  <c r="BK508"/>
  <c r="BL508" s="1"/>
  <c r="BM508" s="1"/>
  <c r="BK514"/>
  <c r="BL514" s="1"/>
  <c r="BM514" s="1"/>
  <c r="BK21"/>
  <c r="BL21" s="1"/>
  <c r="BM21" s="1"/>
  <c r="BK27"/>
  <c r="BL27" s="1"/>
  <c r="BM27" s="1"/>
  <c r="BK33"/>
  <c r="BL33" s="1"/>
  <c r="BM33" s="1"/>
  <c r="BK39"/>
  <c r="BL39" s="1"/>
  <c r="BM39" s="1"/>
  <c r="BK45"/>
  <c r="BL45" s="1"/>
  <c r="BM45" s="1"/>
  <c r="BK51"/>
  <c r="BL51" s="1"/>
  <c r="BM51" s="1"/>
  <c r="BK57"/>
  <c r="BL57" s="1"/>
  <c r="BM57" s="1"/>
  <c r="BK63"/>
  <c r="BL63" s="1"/>
  <c r="BM63" s="1"/>
  <c r="BK69"/>
  <c r="BL69" s="1"/>
  <c r="BM69" s="1"/>
  <c r="BK75"/>
  <c r="BL75" s="1"/>
  <c r="BM75" s="1"/>
  <c r="BK81"/>
  <c r="BL81" s="1"/>
  <c r="BM81" s="1"/>
  <c r="BK87"/>
  <c r="BL87" s="1"/>
  <c r="BM87" s="1"/>
  <c r="BK93"/>
  <c r="BL93" s="1"/>
  <c r="BM93" s="1"/>
  <c r="BK99"/>
  <c r="BL99" s="1"/>
  <c r="BM99" s="1"/>
  <c r="BK105"/>
  <c r="BL105" s="1"/>
  <c r="BM105" s="1"/>
  <c r="BK111"/>
  <c r="BL111" s="1"/>
  <c r="BM111" s="1"/>
  <c r="BK117"/>
  <c r="BL117" s="1"/>
  <c r="BM117" s="1"/>
  <c r="BK123"/>
  <c r="BL123" s="1"/>
  <c r="BM123" s="1"/>
  <c r="BK129"/>
  <c r="BL129" s="1"/>
  <c r="BM129" s="1"/>
  <c r="BK135"/>
  <c r="BL135" s="1"/>
  <c r="BM135" s="1"/>
  <c r="BK141"/>
  <c r="BK147"/>
  <c r="BL147" s="1"/>
  <c r="BM147" s="1"/>
  <c r="BK153"/>
  <c r="BL153" s="1"/>
  <c r="BM153" s="1"/>
  <c r="BK159"/>
  <c r="BL159" s="1"/>
  <c r="BM159" s="1"/>
  <c r="BK165"/>
  <c r="BL165" s="1"/>
  <c r="BM165" s="1"/>
  <c r="BK171"/>
  <c r="BL171" s="1"/>
  <c r="BM171" s="1"/>
  <c r="BK177"/>
  <c r="BL177" s="1"/>
  <c r="BM177" s="1"/>
  <c r="BK183"/>
  <c r="BL183" s="1"/>
  <c r="BM183" s="1"/>
  <c r="BK189"/>
  <c r="BL189" s="1"/>
  <c r="BM189" s="1"/>
  <c r="BK195"/>
  <c r="BK201"/>
  <c r="BL201" s="1"/>
  <c r="BM201" s="1"/>
  <c r="BK207"/>
  <c r="BL207" s="1"/>
  <c r="BM207" s="1"/>
  <c r="BK213"/>
  <c r="BL213" s="1"/>
  <c r="BM213" s="1"/>
  <c r="BK219"/>
  <c r="BL219" s="1"/>
  <c r="BM219" s="1"/>
  <c r="BK225"/>
  <c r="BK231"/>
  <c r="BL231" s="1"/>
  <c r="BM231" s="1"/>
  <c r="BK237"/>
  <c r="BL237" s="1"/>
  <c r="BM237" s="1"/>
  <c r="BK243"/>
  <c r="BL243" s="1"/>
  <c r="BM243" s="1"/>
  <c r="BK249"/>
  <c r="BL249" s="1"/>
  <c r="BM249" s="1"/>
  <c r="BK255"/>
  <c r="BL255" s="1"/>
  <c r="BM255" s="1"/>
  <c r="BK261"/>
  <c r="BL261" s="1"/>
  <c r="BM261" s="1"/>
  <c r="BK267"/>
  <c r="BK273"/>
  <c r="BL273" s="1"/>
  <c r="BM273" s="1"/>
  <c r="BK279"/>
  <c r="BL279" s="1"/>
  <c r="BM279" s="1"/>
  <c r="BK285"/>
  <c r="BL285" s="1"/>
  <c r="BM285" s="1"/>
  <c r="BK291"/>
  <c r="BL291" s="1"/>
  <c r="BM291" s="1"/>
  <c r="BK297"/>
  <c r="BL297" s="1"/>
  <c r="BM297" s="1"/>
  <c r="BK303"/>
  <c r="BK309"/>
  <c r="BL309" s="1"/>
  <c r="BM309" s="1"/>
  <c r="BK315"/>
  <c r="BL315" s="1"/>
  <c r="BM315" s="1"/>
  <c r="BK321"/>
  <c r="BL321" s="1"/>
  <c r="BM321" s="1"/>
  <c r="BK327"/>
  <c r="BL327" s="1"/>
  <c r="BM327" s="1"/>
  <c r="BK333"/>
  <c r="BL333" s="1"/>
  <c r="BM333" s="1"/>
  <c r="BK339"/>
  <c r="BL339" s="1"/>
  <c r="BM339" s="1"/>
  <c r="BK345"/>
  <c r="BL345" s="1"/>
  <c r="BM345" s="1"/>
  <c r="BK351"/>
  <c r="BL351" s="1"/>
  <c r="BM351" s="1"/>
  <c r="BK357"/>
  <c r="BL357" s="1"/>
  <c r="BM357" s="1"/>
  <c r="BK363"/>
  <c r="BL363" s="1"/>
  <c r="BM363" s="1"/>
  <c r="BK369"/>
  <c r="BL369" s="1"/>
  <c r="BM369" s="1"/>
  <c r="BK375"/>
  <c r="BK381"/>
  <c r="BL381" s="1"/>
  <c r="BM381" s="1"/>
  <c r="BK387"/>
  <c r="BL387" s="1"/>
  <c r="BM387" s="1"/>
  <c r="BK393"/>
  <c r="BL393" s="1"/>
  <c r="BM393" s="1"/>
  <c r="BK399"/>
  <c r="BL399" s="1"/>
  <c r="BM399" s="1"/>
  <c r="BK405"/>
  <c r="BK411"/>
  <c r="BL411" s="1"/>
  <c r="BM411" s="1"/>
  <c r="BK417"/>
  <c r="BL417" s="1"/>
  <c r="BM417" s="1"/>
  <c r="BK423"/>
  <c r="BL423" s="1"/>
  <c r="BM423" s="1"/>
  <c r="BK429"/>
  <c r="BL429" s="1"/>
  <c r="BM429" s="1"/>
  <c r="BK435"/>
  <c r="BL435" s="1"/>
  <c r="BM435" s="1"/>
  <c r="BK441"/>
  <c r="BL441" s="1"/>
  <c r="BM441" s="1"/>
  <c r="BK447"/>
  <c r="BL447" s="1"/>
  <c r="BM447" s="1"/>
  <c r="BK453"/>
  <c r="BL453" s="1"/>
  <c r="BM453" s="1"/>
  <c r="BK459"/>
  <c r="BL459" s="1"/>
  <c r="BM459" s="1"/>
  <c r="BK465"/>
  <c r="BL465" s="1"/>
  <c r="BM465" s="1"/>
  <c r="BK471"/>
  <c r="BL471" s="1"/>
  <c r="BM471" s="1"/>
  <c r="BK477"/>
  <c r="BK483"/>
  <c r="BK489"/>
  <c r="BL489" s="1"/>
  <c r="BM489" s="1"/>
  <c r="BK495"/>
  <c r="BL495" s="1"/>
  <c r="BM495" s="1"/>
  <c r="BK501"/>
  <c r="BL501" s="1"/>
  <c r="BM501" s="1"/>
  <c r="BK507"/>
  <c r="BL507" s="1"/>
  <c r="BM507" s="1"/>
  <c r="BK513"/>
  <c r="BL513" s="1"/>
  <c r="BM513" s="1"/>
  <c r="BK20"/>
  <c r="BL20" s="1"/>
  <c r="BM20" s="1"/>
  <c r="BK26"/>
  <c r="BL26" s="1"/>
  <c r="BM26" s="1"/>
  <c r="BK32"/>
  <c r="BL32" s="1"/>
  <c r="BM32" s="1"/>
  <c r="BK38"/>
  <c r="BL38" s="1"/>
  <c r="BM38" s="1"/>
  <c r="BK44"/>
  <c r="BL44" s="1"/>
  <c r="BM44" s="1"/>
  <c r="BK50"/>
  <c r="BL50" s="1"/>
  <c r="BM50" s="1"/>
  <c r="BK56"/>
  <c r="BL56" s="1"/>
  <c r="BM56" s="1"/>
  <c r="BK62"/>
  <c r="BL62" s="1"/>
  <c r="BM62" s="1"/>
  <c r="BK68"/>
  <c r="BL68" s="1"/>
  <c r="BM68" s="1"/>
  <c r="BK74"/>
  <c r="BL74" s="1"/>
  <c r="BM74" s="1"/>
  <c r="BK80"/>
  <c r="BK86"/>
  <c r="BR86" s="1"/>
  <c r="BK92"/>
  <c r="BL92" s="1"/>
  <c r="BM92" s="1"/>
  <c r="BK98"/>
  <c r="BL98" s="1"/>
  <c r="BM98" s="1"/>
  <c r="BK104"/>
  <c r="BL104" s="1"/>
  <c r="BM104" s="1"/>
  <c r="BK110"/>
  <c r="BL110" s="1"/>
  <c r="BM110" s="1"/>
  <c r="BK116"/>
  <c r="BL116" s="1"/>
  <c r="BM116" s="1"/>
  <c r="BK122"/>
  <c r="BL122" s="1"/>
  <c r="BM122" s="1"/>
  <c r="BK128"/>
  <c r="BL128" s="1"/>
  <c r="BM128" s="1"/>
  <c r="BK134"/>
  <c r="BL134" s="1"/>
  <c r="BM134" s="1"/>
  <c r="BK140"/>
  <c r="BL140" s="1"/>
  <c r="BM140" s="1"/>
  <c r="BK146"/>
  <c r="BL146" s="1"/>
  <c r="BM146" s="1"/>
  <c r="BK152"/>
  <c r="BK158"/>
  <c r="BL158" s="1"/>
  <c r="BM158" s="1"/>
  <c r="BK164"/>
  <c r="BL164" s="1"/>
  <c r="BM164" s="1"/>
  <c r="BK170"/>
  <c r="BL170" s="1"/>
  <c r="BM170" s="1"/>
  <c r="BK176"/>
  <c r="BK182"/>
  <c r="BL182" s="1"/>
  <c r="BM182" s="1"/>
  <c r="BK188"/>
  <c r="BL188" s="1"/>
  <c r="BM188" s="1"/>
  <c r="BK194"/>
  <c r="BL194" s="1"/>
  <c r="BM194" s="1"/>
  <c r="BK200"/>
  <c r="BL200" s="1"/>
  <c r="BM200" s="1"/>
  <c r="BK206"/>
  <c r="BL206" s="1"/>
  <c r="BM206" s="1"/>
  <c r="BK212"/>
  <c r="BL212" s="1"/>
  <c r="BM212" s="1"/>
  <c r="BK218"/>
  <c r="BL218" s="1"/>
  <c r="BM218" s="1"/>
  <c r="BK224"/>
  <c r="BL224" s="1"/>
  <c r="BM224" s="1"/>
  <c r="BK230"/>
  <c r="BL230" s="1"/>
  <c r="BM230" s="1"/>
  <c r="BK236"/>
  <c r="BL236" s="1"/>
  <c r="BM236" s="1"/>
  <c r="BK242"/>
  <c r="BL242" s="1"/>
  <c r="BM242" s="1"/>
  <c r="BK248"/>
  <c r="BL248" s="1"/>
  <c r="BM248" s="1"/>
  <c r="BK254"/>
  <c r="BL254" s="1"/>
  <c r="BM254" s="1"/>
  <c r="BK260"/>
  <c r="BL260" s="1"/>
  <c r="BM260" s="1"/>
  <c r="BK266"/>
  <c r="BL266" s="1"/>
  <c r="BM266" s="1"/>
  <c r="BK272"/>
  <c r="BL272" s="1"/>
  <c r="BM272" s="1"/>
  <c r="BK278"/>
  <c r="BL278" s="1"/>
  <c r="BM278" s="1"/>
  <c r="BK284"/>
  <c r="BL284" s="1"/>
  <c r="BM284" s="1"/>
  <c r="BK290"/>
  <c r="BL290" s="1"/>
  <c r="BM290" s="1"/>
  <c r="BK296"/>
  <c r="BL296" s="1"/>
  <c r="BM296" s="1"/>
  <c r="BK302"/>
  <c r="BL302" s="1"/>
  <c r="BM302" s="1"/>
  <c r="BK308"/>
  <c r="BK314"/>
  <c r="BL314" s="1"/>
  <c r="BM314" s="1"/>
  <c r="BK320"/>
  <c r="BL320" s="1"/>
  <c r="BM320" s="1"/>
  <c r="BK326"/>
  <c r="BL326" s="1"/>
  <c r="BM326" s="1"/>
  <c r="BK332"/>
  <c r="BL332" s="1"/>
  <c r="BM332" s="1"/>
  <c r="BK338"/>
  <c r="BL338" s="1"/>
  <c r="BM338" s="1"/>
  <c r="BK344"/>
  <c r="BL344" s="1"/>
  <c r="BM344" s="1"/>
  <c r="BK350"/>
  <c r="BL350" s="1"/>
  <c r="BM350" s="1"/>
  <c r="BK356"/>
  <c r="BL356" s="1"/>
  <c r="BM356" s="1"/>
  <c r="BK362"/>
  <c r="BL362" s="1"/>
  <c r="BM362" s="1"/>
  <c r="BK368"/>
  <c r="BL368" s="1"/>
  <c r="BM368" s="1"/>
  <c r="BK374"/>
  <c r="BL374" s="1"/>
  <c r="BM374" s="1"/>
  <c r="BK380"/>
  <c r="BL380" s="1"/>
  <c r="BM380" s="1"/>
  <c r="BK386"/>
  <c r="BL386" s="1"/>
  <c r="BM386" s="1"/>
  <c r="BK392"/>
  <c r="BL392" s="1"/>
  <c r="BM392" s="1"/>
  <c r="BK398"/>
  <c r="BL398" s="1"/>
  <c r="BM398" s="1"/>
  <c r="BK404"/>
  <c r="BL404" s="1"/>
  <c r="BM404" s="1"/>
  <c r="BK410"/>
  <c r="BL410" s="1"/>
  <c r="BM410" s="1"/>
  <c r="BK416"/>
  <c r="BL416" s="1"/>
  <c r="BM416" s="1"/>
  <c r="BK422"/>
  <c r="BL422" s="1"/>
  <c r="BM422" s="1"/>
  <c r="BK428"/>
  <c r="BL428" s="1"/>
  <c r="BM428" s="1"/>
  <c r="BK434"/>
  <c r="BL434" s="1"/>
  <c r="BM434" s="1"/>
  <c r="BK440"/>
  <c r="BL440" s="1"/>
  <c r="BM440" s="1"/>
  <c r="BK446"/>
  <c r="BL446" s="1"/>
  <c r="BM446" s="1"/>
  <c r="BK452"/>
  <c r="BL452" s="1"/>
  <c r="BM452" s="1"/>
  <c r="BK458"/>
  <c r="BL458" s="1"/>
  <c r="BM458" s="1"/>
  <c r="BK464"/>
  <c r="BL464" s="1"/>
  <c r="BM464" s="1"/>
  <c r="BK470"/>
  <c r="BL470" s="1"/>
  <c r="BM470" s="1"/>
  <c r="BK476"/>
  <c r="BL476" s="1"/>
  <c r="BM476" s="1"/>
  <c r="BK482"/>
  <c r="BL482" s="1"/>
  <c r="BM482" s="1"/>
  <c r="BK488"/>
  <c r="BL488" s="1"/>
  <c r="BM488" s="1"/>
  <c r="BK494"/>
  <c r="BL494" s="1"/>
  <c r="BM494" s="1"/>
  <c r="BK500"/>
  <c r="BL500" s="1"/>
  <c r="BM500" s="1"/>
  <c r="BK506"/>
  <c r="BL506" s="1"/>
  <c r="BM506" s="1"/>
  <c r="BK512"/>
  <c r="BL512" s="1"/>
  <c r="BM512" s="1"/>
  <c r="BK19"/>
  <c r="BL19" s="1"/>
  <c r="BM19" s="1"/>
  <c r="BK25"/>
  <c r="BL25" s="1"/>
  <c r="BM25" s="1"/>
  <c r="BK31"/>
  <c r="BL31" s="1"/>
  <c r="BM31" s="1"/>
  <c r="BK37"/>
  <c r="BL37" s="1"/>
  <c r="BM37" s="1"/>
  <c r="BK43"/>
  <c r="BL43" s="1"/>
  <c r="BM43" s="1"/>
  <c r="BK49"/>
  <c r="BK55"/>
  <c r="BL55" s="1"/>
  <c r="BM55" s="1"/>
  <c r="BK30"/>
  <c r="BL30" s="1"/>
  <c r="BM30" s="1"/>
  <c r="BK48"/>
  <c r="BL48" s="1"/>
  <c r="BM48" s="1"/>
  <c r="BK65"/>
  <c r="BR65" s="1"/>
  <c r="BK77"/>
  <c r="BL77" s="1"/>
  <c r="BM77" s="1"/>
  <c r="BK89"/>
  <c r="BL89" s="1"/>
  <c r="BM89" s="1"/>
  <c r="BK101"/>
  <c r="BL101" s="1"/>
  <c r="BM101" s="1"/>
  <c r="BK113"/>
  <c r="BL113" s="1"/>
  <c r="BM113" s="1"/>
  <c r="BK125"/>
  <c r="BL125" s="1"/>
  <c r="BM125" s="1"/>
  <c r="BK137"/>
  <c r="BL137" s="1"/>
  <c r="BM137" s="1"/>
  <c r="BK149"/>
  <c r="BL149" s="1"/>
  <c r="BM149" s="1"/>
  <c r="BK161"/>
  <c r="BL161" s="1"/>
  <c r="BM161" s="1"/>
  <c r="BK173"/>
  <c r="BL173" s="1"/>
  <c r="BM173" s="1"/>
  <c r="BK185"/>
  <c r="BL185" s="1"/>
  <c r="BM185" s="1"/>
  <c r="BK197"/>
  <c r="BL197" s="1"/>
  <c r="BM197" s="1"/>
  <c r="BK209"/>
  <c r="BL209" s="1"/>
  <c r="BM209" s="1"/>
  <c r="BK221"/>
  <c r="BL221" s="1"/>
  <c r="BM221" s="1"/>
  <c r="BK233"/>
  <c r="BL233" s="1"/>
  <c r="BM233" s="1"/>
  <c r="BK245"/>
  <c r="BL245" s="1"/>
  <c r="BM245" s="1"/>
  <c r="BK257"/>
  <c r="BK269"/>
  <c r="BL269" s="1"/>
  <c r="BM269" s="1"/>
  <c r="BK281"/>
  <c r="BL281" s="1"/>
  <c r="BM281" s="1"/>
  <c r="BK293"/>
  <c r="BL293" s="1"/>
  <c r="BM293" s="1"/>
  <c r="BK305"/>
  <c r="BL305" s="1"/>
  <c r="BM305" s="1"/>
  <c r="BK317"/>
  <c r="BL317" s="1"/>
  <c r="BM317" s="1"/>
  <c r="BK329"/>
  <c r="BK341"/>
  <c r="BL341" s="1"/>
  <c r="BM341" s="1"/>
  <c r="BK353"/>
  <c r="BL353" s="1"/>
  <c r="BM353" s="1"/>
  <c r="BK365"/>
  <c r="BL365" s="1"/>
  <c r="BM365" s="1"/>
  <c r="BK377"/>
  <c r="BL377" s="1"/>
  <c r="BM377" s="1"/>
  <c r="BK389"/>
  <c r="BL389" s="1"/>
  <c r="BM389" s="1"/>
  <c r="BK401"/>
  <c r="BL401" s="1"/>
  <c r="BM401" s="1"/>
  <c r="BK413"/>
  <c r="BL413" s="1"/>
  <c r="BM413" s="1"/>
  <c r="BK425"/>
  <c r="BL425" s="1"/>
  <c r="BM425" s="1"/>
  <c r="BK437"/>
  <c r="BL437" s="1"/>
  <c r="BM437" s="1"/>
  <c r="BK449"/>
  <c r="BL449" s="1"/>
  <c r="BM449" s="1"/>
  <c r="BK461"/>
  <c r="BL461" s="1"/>
  <c r="BM461" s="1"/>
  <c r="BK473"/>
  <c r="BK485"/>
  <c r="BL485" s="1"/>
  <c r="BM485" s="1"/>
  <c r="BK497"/>
  <c r="BL497" s="1"/>
  <c r="BM497" s="1"/>
  <c r="BK509"/>
  <c r="BL509" s="1"/>
  <c r="BM509" s="1"/>
  <c r="BK29"/>
  <c r="BL29" s="1"/>
  <c r="BM29" s="1"/>
  <c r="BK47"/>
  <c r="BL47" s="1"/>
  <c r="BM47" s="1"/>
  <c r="BK61"/>
  <c r="BL61" s="1"/>
  <c r="BM61" s="1"/>
  <c r="BK73"/>
  <c r="BL73" s="1"/>
  <c r="BM73" s="1"/>
  <c r="BK85"/>
  <c r="BK97"/>
  <c r="BL97" s="1"/>
  <c r="BM97" s="1"/>
  <c r="BK109"/>
  <c r="BK121"/>
  <c r="BL121" s="1"/>
  <c r="BM121" s="1"/>
  <c r="BK133"/>
  <c r="BL133" s="1"/>
  <c r="BM133" s="1"/>
  <c r="BK145"/>
  <c r="BL145" s="1"/>
  <c r="BM145" s="1"/>
  <c r="BK157"/>
  <c r="BL157" s="1"/>
  <c r="BM157" s="1"/>
  <c r="BK169"/>
  <c r="BL169" s="1"/>
  <c r="BM169" s="1"/>
  <c r="BK181"/>
  <c r="BK193"/>
  <c r="BL193" s="1"/>
  <c r="BM193" s="1"/>
  <c r="BK205"/>
  <c r="BK217"/>
  <c r="BL217" s="1"/>
  <c r="BM217" s="1"/>
  <c r="BK229"/>
  <c r="BL229" s="1"/>
  <c r="BM229" s="1"/>
  <c r="BK241"/>
  <c r="BL241" s="1"/>
  <c r="BM241" s="1"/>
  <c r="BK253"/>
  <c r="BL253" s="1"/>
  <c r="BM253" s="1"/>
  <c r="BK265"/>
  <c r="BL265" s="1"/>
  <c r="BM265" s="1"/>
  <c r="BK277"/>
  <c r="BK289"/>
  <c r="BL289" s="1"/>
  <c r="BM289" s="1"/>
  <c r="BK301"/>
  <c r="BL301" s="1"/>
  <c r="BM301" s="1"/>
  <c r="BK313"/>
  <c r="BL313" s="1"/>
  <c r="BM313" s="1"/>
  <c r="BK325"/>
  <c r="BL325" s="1"/>
  <c r="BM325" s="1"/>
  <c r="BK337"/>
  <c r="BL337" s="1"/>
  <c r="BM337" s="1"/>
  <c r="BK349"/>
  <c r="BL349" s="1"/>
  <c r="BM349" s="1"/>
  <c r="BK361"/>
  <c r="BL361" s="1"/>
  <c r="BM361" s="1"/>
  <c r="BK373"/>
  <c r="BL373" s="1"/>
  <c r="BM373" s="1"/>
  <c r="BK385"/>
  <c r="BL385" s="1"/>
  <c r="BM385" s="1"/>
  <c r="BK397"/>
  <c r="BL397" s="1"/>
  <c r="BM397" s="1"/>
  <c r="BK409"/>
  <c r="BL409" s="1"/>
  <c r="BM409" s="1"/>
  <c r="BK421"/>
  <c r="BL421" s="1"/>
  <c r="BM421" s="1"/>
  <c r="BK433"/>
  <c r="BL433" s="1"/>
  <c r="BM433" s="1"/>
  <c r="BK445"/>
  <c r="BL445" s="1"/>
  <c r="BM445" s="1"/>
  <c r="BK457"/>
  <c r="BL457" s="1"/>
  <c r="BM457" s="1"/>
  <c r="BK469"/>
  <c r="BL469" s="1"/>
  <c r="BM469" s="1"/>
  <c r="BK481"/>
  <c r="BL481" s="1"/>
  <c r="BM481" s="1"/>
  <c r="BK493"/>
  <c r="BL493" s="1"/>
  <c r="BM493" s="1"/>
  <c r="BK505"/>
  <c r="BL505" s="1"/>
  <c r="BM505" s="1"/>
  <c r="BK24"/>
  <c r="BL24" s="1"/>
  <c r="BM24" s="1"/>
  <c r="BK42"/>
  <c r="BL42" s="1"/>
  <c r="BM42" s="1"/>
  <c r="BK60"/>
  <c r="BK72"/>
  <c r="BL72" s="1"/>
  <c r="BM72" s="1"/>
  <c r="BK84"/>
  <c r="BL84" s="1"/>
  <c r="BM84" s="1"/>
  <c r="BK96"/>
  <c r="BL96" s="1"/>
  <c r="BM96" s="1"/>
  <c r="BK108"/>
  <c r="BL108" s="1"/>
  <c r="BM108" s="1"/>
  <c r="BK120"/>
  <c r="BL120" s="1"/>
  <c r="BM120" s="1"/>
  <c r="BK132"/>
  <c r="BK144"/>
  <c r="BK156"/>
  <c r="BL156" s="1"/>
  <c r="BM156" s="1"/>
  <c r="BK168"/>
  <c r="BL168" s="1"/>
  <c r="BM168" s="1"/>
  <c r="BK180"/>
  <c r="BK192"/>
  <c r="BL192" s="1"/>
  <c r="BM192" s="1"/>
  <c r="BK204"/>
  <c r="BL204" s="1"/>
  <c r="BM204" s="1"/>
  <c r="BK216"/>
  <c r="BK228"/>
  <c r="BK240"/>
  <c r="BL240" s="1"/>
  <c r="BM240" s="1"/>
  <c r="BK252"/>
  <c r="BL252" s="1"/>
  <c r="BM252" s="1"/>
  <c r="BK264"/>
  <c r="BL264" s="1"/>
  <c r="BM264" s="1"/>
  <c r="BK276"/>
  <c r="BL276" s="1"/>
  <c r="BM276" s="1"/>
  <c r="BK288"/>
  <c r="BL288" s="1"/>
  <c r="BM288" s="1"/>
  <c r="BK300"/>
  <c r="BL300" s="1"/>
  <c r="BM300" s="1"/>
  <c r="BK312"/>
  <c r="BL312" s="1"/>
  <c r="BM312" s="1"/>
  <c r="BK324"/>
  <c r="BL324" s="1"/>
  <c r="BM324" s="1"/>
  <c r="BK336"/>
  <c r="BL336" s="1"/>
  <c r="BM336" s="1"/>
  <c r="BK348"/>
  <c r="BL348" s="1"/>
  <c r="BM348" s="1"/>
  <c r="BK360"/>
  <c r="BL360" s="1"/>
  <c r="BM360" s="1"/>
  <c r="BK372"/>
  <c r="BL372" s="1"/>
  <c r="BM372" s="1"/>
  <c r="BK384"/>
  <c r="BL384" s="1"/>
  <c r="BM384" s="1"/>
  <c r="BK396"/>
  <c r="BL396" s="1"/>
  <c r="BM396" s="1"/>
  <c r="BK408"/>
  <c r="BL408" s="1"/>
  <c r="BM408" s="1"/>
  <c r="BK420"/>
  <c r="BL420" s="1"/>
  <c r="BM420" s="1"/>
  <c r="BK432"/>
  <c r="BL432" s="1"/>
  <c r="BM432" s="1"/>
  <c r="BK444"/>
  <c r="BL444" s="1"/>
  <c r="BM444" s="1"/>
  <c r="BK456"/>
  <c r="BL456" s="1"/>
  <c r="BM456" s="1"/>
  <c r="BK468"/>
  <c r="BL468" s="1"/>
  <c r="BM468" s="1"/>
  <c r="BK480"/>
  <c r="BL480" s="1"/>
  <c r="BM480" s="1"/>
  <c r="BK492"/>
  <c r="BL492" s="1"/>
  <c r="BM492" s="1"/>
  <c r="BK504"/>
  <c r="BL504" s="1"/>
  <c r="BM504" s="1"/>
  <c r="BK516"/>
  <c r="BL516" s="1"/>
  <c r="BM516" s="1"/>
  <c r="BK23"/>
  <c r="BL23" s="1"/>
  <c r="BM23" s="1"/>
  <c r="BK41"/>
  <c r="BL41" s="1"/>
  <c r="BM41" s="1"/>
  <c r="BK59"/>
  <c r="BL59" s="1"/>
  <c r="BM59" s="1"/>
  <c r="BK71"/>
  <c r="BK83"/>
  <c r="BL83" s="1"/>
  <c r="BM83" s="1"/>
  <c r="BK95"/>
  <c r="BL95" s="1"/>
  <c r="BM95" s="1"/>
  <c r="BK107"/>
  <c r="BL107" s="1"/>
  <c r="BM107" s="1"/>
  <c r="BK119"/>
  <c r="BL119" s="1"/>
  <c r="BM119" s="1"/>
  <c r="BK131"/>
  <c r="BL131" s="1"/>
  <c r="BM131" s="1"/>
  <c r="BK143"/>
  <c r="BL143" s="1"/>
  <c r="BM143" s="1"/>
  <c r="BK155"/>
  <c r="BK167"/>
  <c r="BL167" s="1"/>
  <c r="BM167" s="1"/>
  <c r="BK179"/>
  <c r="BL179" s="1"/>
  <c r="BM179" s="1"/>
  <c r="BK191"/>
  <c r="BL191" s="1"/>
  <c r="BM191" s="1"/>
  <c r="BK203"/>
  <c r="BL203" s="1"/>
  <c r="BM203" s="1"/>
  <c r="BK215"/>
  <c r="BL215" s="1"/>
  <c r="BM215" s="1"/>
  <c r="BK227"/>
  <c r="BL227" s="1"/>
  <c r="BM227" s="1"/>
  <c r="BK239"/>
  <c r="BK251"/>
  <c r="BL251" s="1"/>
  <c r="BM251" s="1"/>
  <c r="BK263"/>
  <c r="BL263" s="1"/>
  <c r="BM263" s="1"/>
  <c r="BK275"/>
  <c r="BL275" s="1"/>
  <c r="BM275" s="1"/>
  <c r="BK287"/>
  <c r="BL287" s="1"/>
  <c r="BM287" s="1"/>
  <c r="BK299"/>
  <c r="BL299" s="1"/>
  <c r="BM299" s="1"/>
  <c r="BK311"/>
  <c r="BL311" s="1"/>
  <c r="BM311" s="1"/>
  <c r="BK323"/>
  <c r="BL323" s="1"/>
  <c r="BM323" s="1"/>
  <c r="BK335"/>
  <c r="BL335" s="1"/>
  <c r="BM335" s="1"/>
  <c r="BK347"/>
  <c r="BL347" s="1"/>
  <c r="BM347" s="1"/>
  <c r="BK359"/>
  <c r="BL359" s="1"/>
  <c r="BM359" s="1"/>
  <c r="BK371"/>
  <c r="BL371" s="1"/>
  <c r="BM371" s="1"/>
  <c r="BK383"/>
  <c r="BL383" s="1"/>
  <c r="BM383" s="1"/>
  <c r="BK395"/>
  <c r="BL395" s="1"/>
  <c r="BM395" s="1"/>
  <c r="BK407"/>
  <c r="BL407" s="1"/>
  <c r="BM407" s="1"/>
  <c r="BK419"/>
  <c r="BL419" s="1"/>
  <c r="BM419" s="1"/>
  <c r="BK431"/>
  <c r="BL431" s="1"/>
  <c r="BM431" s="1"/>
  <c r="BK443"/>
  <c r="BL443" s="1"/>
  <c r="BM443" s="1"/>
  <c r="BK455"/>
  <c r="BL455" s="1"/>
  <c r="BM455" s="1"/>
  <c r="BK467"/>
  <c r="BL467" s="1"/>
  <c r="BM467" s="1"/>
  <c r="BK479"/>
  <c r="BL479" s="1"/>
  <c r="BM479" s="1"/>
  <c r="BK491"/>
  <c r="BL491" s="1"/>
  <c r="BM491" s="1"/>
  <c r="BK503"/>
  <c r="BL503" s="1"/>
  <c r="BM503" s="1"/>
  <c r="BK515"/>
  <c r="BL515" s="1"/>
  <c r="BM515" s="1"/>
  <c r="BK18"/>
  <c r="BL18" s="1"/>
  <c r="BM18" s="1"/>
  <c r="BK36"/>
  <c r="BL36" s="1"/>
  <c r="BM36" s="1"/>
  <c r="BK54"/>
  <c r="BL54" s="1"/>
  <c r="BM54" s="1"/>
  <c r="BK67"/>
  <c r="BL67" s="1"/>
  <c r="BM67" s="1"/>
  <c r="BK79"/>
  <c r="BK91"/>
  <c r="BL91" s="1"/>
  <c r="BM91" s="1"/>
  <c r="BK103"/>
  <c r="BL103" s="1"/>
  <c r="BM103" s="1"/>
  <c r="BK115"/>
  <c r="BL115" s="1"/>
  <c r="BM115" s="1"/>
  <c r="BK127"/>
  <c r="BK139"/>
  <c r="BK151"/>
  <c r="BL151" s="1"/>
  <c r="BM151" s="1"/>
  <c r="BK163"/>
  <c r="BL163" s="1"/>
  <c r="BM163" s="1"/>
  <c r="BK175"/>
  <c r="BL175" s="1"/>
  <c r="BM175" s="1"/>
  <c r="BK187"/>
  <c r="BL187" s="1"/>
  <c r="BM187" s="1"/>
  <c r="BK199"/>
  <c r="BL199" s="1"/>
  <c r="BM199" s="1"/>
  <c r="BK211"/>
  <c r="BL211" s="1"/>
  <c r="BM211" s="1"/>
  <c r="BK223"/>
  <c r="BK235"/>
  <c r="BL235" s="1"/>
  <c r="BM235" s="1"/>
  <c r="BK247"/>
  <c r="BK259"/>
  <c r="BL259" s="1"/>
  <c r="BM259" s="1"/>
  <c r="BK271"/>
  <c r="BL271" s="1"/>
  <c r="BM271" s="1"/>
  <c r="BK283"/>
  <c r="BL283" s="1"/>
  <c r="BM283" s="1"/>
  <c r="BK295"/>
  <c r="BL295" s="1"/>
  <c r="BM295" s="1"/>
  <c r="BK307"/>
  <c r="BL307" s="1"/>
  <c r="BM307" s="1"/>
  <c r="BK319"/>
  <c r="BL319" s="1"/>
  <c r="BM319" s="1"/>
  <c r="BK331"/>
  <c r="BL331" s="1"/>
  <c r="BM331" s="1"/>
  <c r="BK343"/>
  <c r="BL343" s="1"/>
  <c r="BM343" s="1"/>
  <c r="BK355"/>
  <c r="BL355" s="1"/>
  <c r="BM355" s="1"/>
  <c r="BK367"/>
  <c r="BL367" s="1"/>
  <c r="BM367" s="1"/>
  <c r="BK379"/>
  <c r="BL379" s="1"/>
  <c r="BM379" s="1"/>
  <c r="BK391"/>
  <c r="BK403"/>
  <c r="BL403" s="1"/>
  <c r="BM403" s="1"/>
  <c r="BK415"/>
  <c r="BL415" s="1"/>
  <c r="BM415" s="1"/>
  <c r="BK427"/>
  <c r="BL427" s="1"/>
  <c r="BM427" s="1"/>
  <c r="BK439"/>
  <c r="BL439" s="1"/>
  <c r="BM439" s="1"/>
  <c r="BK451"/>
  <c r="BL451" s="1"/>
  <c r="BM451" s="1"/>
  <c r="BK463"/>
  <c r="BK475"/>
  <c r="BL475" s="1"/>
  <c r="BM475" s="1"/>
  <c r="BK487"/>
  <c r="BL487" s="1"/>
  <c r="BM487" s="1"/>
  <c r="BK499"/>
  <c r="BL499" s="1"/>
  <c r="BM499" s="1"/>
  <c r="BK511"/>
  <c r="BL511" s="1"/>
  <c r="BM511" s="1"/>
  <c r="BK35"/>
  <c r="BL35" s="1"/>
  <c r="BM35" s="1"/>
  <c r="BK53"/>
  <c r="BL53" s="1"/>
  <c r="BM53" s="1"/>
  <c r="BK66"/>
  <c r="BL66" s="1"/>
  <c r="BM66" s="1"/>
  <c r="BK78"/>
  <c r="BR78" s="1"/>
  <c r="BK90"/>
  <c r="BL90" s="1"/>
  <c r="BM90" s="1"/>
  <c r="BK102"/>
  <c r="BL102" s="1"/>
  <c r="BM102" s="1"/>
  <c r="BK114"/>
  <c r="BL114" s="1"/>
  <c r="BM114" s="1"/>
  <c r="BK126"/>
  <c r="BL126" s="1"/>
  <c r="BM126" s="1"/>
  <c r="BK138"/>
  <c r="BL138" s="1"/>
  <c r="BM138" s="1"/>
  <c r="BK150"/>
  <c r="BL150" s="1"/>
  <c r="BM150" s="1"/>
  <c r="BK162"/>
  <c r="BK174"/>
  <c r="BK186"/>
  <c r="BL186" s="1"/>
  <c r="BM186" s="1"/>
  <c r="BK198"/>
  <c r="BL198" s="1"/>
  <c r="BM198" s="1"/>
  <c r="BK210"/>
  <c r="BL210" s="1"/>
  <c r="BM210" s="1"/>
  <c r="BK222"/>
  <c r="BL222" s="1"/>
  <c r="BM222" s="1"/>
  <c r="BK234"/>
  <c r="BL234" s="1"/>
  <c r="BM234" s="1"/>
  <c r="BK246"/>
  <c r="BL246" s="1"/>
  <c r="BM246" s="1"/>
  <c r="BK258"/>
  <c r="BL258" s="1"/>
  <c r="BM258" s="1"/>
  <c r="BK270"/>
  <c r="BL270" s="1"/>
  <c r="BM270" s="1"/>
  <c r="BK282"/>
  <c r="BL282" s="1"/>
  <c r="BM282" s="1"/>
  <c r="BK294"/>
  <c r="BL294" s="1"/>
  <c r="BM294" s="1"/>
  <c r="BK306"/>
  <c r="BL306" s="1"/>
  <c r="BM306" s="1"/>
  <c r="BK318"/>
  <c r="BL318" s="1"/>
  <c r="BM318" s="1"/>
  <c r="BK330"/>
  <c r="BL330" s="1"/>
  <c r="BM330" s="1"/>
  <c r="BK342"/>
  <c r="BL342" s="1"/>
  <c r="BM342" s="1"/>
  <c r="BK354"/>
  <c r="BL354" s="1"/>
  <c r="BM354" s="1"/>
  <c r="BK366"/>
  <c r="BL366" s="1"/>
  <c r="BM366" s="1"/>
  <c r="BK378"/>
  <c r="BL378" s="1"/>
  <c r="BM378" s="1"/>
  <c r="BK390"/>
  <c r="BL390" s="1"/>
  <c r="BM390" s="1"/>
  <c r="BK402"/>
  <c r="BL402" s="1"/>
  <c r="BM402" s="1"/>
  <c r="BK414"/>
  <c r="BL414" s="1"/>
  <c r="BM414" s="1"/>
  <c r="BK426"/>
  <c r="BL426" s="1"/>
  <c r="BM426" s="1"/>
  <c r="BK438"/>
  <c r="BL438" s="1"/>
  <c r="BM438" s="1"/>
  <c r="BK450"/>
  <c r="BL450" s="1"/>
  <c r="BM450" s="1"/>
  <c r="BK462"/>
  <c r="BL462" s="1"/>
  <c r="BM462" s="1"/>
  <c r="BK474"/>
  <c r="BL474" s="1"/>
  <c r="BM474" s="1"/>
  <c r="BK486"/>
  <c r="BL486" s="1"/>
  <c r="BM486" s="1"/>
  <c r="BK498"/>
  <c r="BL498" s="1"/>
  <c r="BM498" s="1"/>
  <c r="BK510"/>
  <c r="BL510" s="1"/>
  <c r="BM510" s="1"/>
  <c r="BX6"/>
  <c r="BR187"/>
  <c r="CB373"/>
  <c r="CB328"/>
  <c r="CB147"/>
  <c r="CB315"/>
  <c r="CB60"/>
  <c r="CB185"/>
  <c r="CB441"/>
  <c r="CB158"/>
  <c r="CB128"/>
  <c r="CB360"/>
  <c r="CB419"/>
  <c r="CB489"/>
  <c r="CB25"/>
  <c r="CB119"/>
  <c r="CB71"/>
  <c r="CB56"/>
  <c r="CB280"/>
  <c r="CB470"/>
  <c r="CB321"/>
  <c r="CB406"/>
  <c r="CB169"/>
  <c r="CB282"/>
  <c r="CB127"/>
  <c r="CB82"/>
  <c r="CB301"/>
  <c r="CB217"/>
  <c r="CB208"/>
  <c r="CB162"/>
  <c r="CB294"/>
  <c r="CB51"/>
  <c r="CB281"/>
  <c r="CB50"/>
  <c r="CB289"/>
  <c r="CB191"/>
  <c r="CB140"/>
  <c r="CB110"/>
  <c r="CB134"/>
  <c r="CB83"/>
  <c r="CB308"/>
  <c r="CB476"/>
  <c r="CB209"/>
  <c r="CB24"/>
  <c r="CB355"/>
  <c r="CB348"/>
  <c r="CB72"/>
  <c r="CB45"/>
  <c r="CB210"/>
  <c r="CB234"/>
  <c r="CB171"/>
  <c r="CB213"/>
  <c r="CB309"/>
  <c r="CB126"/>
  <c r="CB303"/>
  <c r="CB471"/>
  <c r="CB431"/>
  <c r="CB106"/>
  <c r="CB341"/>
  <c r="CB340"/>
  <c r="CB391"/>
  <c r="CB79"/>
  <c r="CB502"/>
  <c r="CB481"/>
  <c r="CB487"/>
  <c r="CB102"/>
  <c r="CB394"/>
  <c r="CB96"/>
  <c r="CB264"/>
  <c r="CB28"/>
  <c r="CB212"/>
  <c r="CB416"/>
  <c r="CB304"/>
  <c r="CB115"/>
  <c r="CB142"/>
  <c r="CB334"/>
  <c r="CB313"/>
  <c r="CB232"/>
  <c r="CB274"/>
  <c r="CB226"/>
  <c r="CB205"/>
  <c r="CB400"/>
  <c r="CB105"/>
  <c r="CB517"/>
  <c r="CB292"/>
  <c r="CB307"/>
  <c r="CB230"/>
  <c r="CB437"/>
  <c r="CB512"/>
  <c r="CB63"/>
  <c r="CB510"/>
  <c r="CB137"/>
  <c r="CB195"/>
  <c r="CB132"/>
  <c r="CB461"/>
  <c r="CB37"/>
  <c r="CB239"/>
  <c r="CB152"/>
  <c r="CB446"/>
  <c r="CB251"/>
  <c r="CB369"/>
  <c r="CB114"/>
  <c r="CB432"/>
  <c r="CB384"/>
  <c r="CB393"/>
  <c r="CB95"/>
  <c r="CB227"/>
  <c r="CB483"/>
  <c r="CB401"/>
  <c r="CB170"/>
  <c r="CB250"/>
  <c r="CB34"/>
  <c r="CB296"/>
  <c r="CB299"/>
  <c r="CB380"/>
  <c r="CB329"/>
  <c r="CB154"/>
  <c r="CB322"/>
  <c r="CB36"/>
  <c r="CB192"/>
  <c r="CB412"/>
  <c r="CB193"/>
  <c r="CB123"/>
  <c r="CB385"/>
  <c r="CB113"/>
  <c r="CB69"/>
  <c r="CB390"/>
  <c r="CB423"/>
  <c r="CB375"/>
  <c r="CB336"/>
  <c r="CB91"/>
  <c r="CB323"/>
  <c r="CB218"/>
  <c r="CB181"/>
  <c r="CB449"/>
  <c r="CB422"/>
  <c r="CB407"/>
  <c r="CB356"/>
  <c r="CB52"/>
  <c r="CB40"/>
  <c r="CB21"/>
  <c r="CB430"/>
  <c r="CB99"/>
  <c r="CB325"/>
  <c r="CB98"/>
  <c r="CB330"/>
  <c r="CB507"/>
  <c r="CB495"/>
  <c r="CB456"/>
  <c r="CB426"/>
  <c r="CB450"/>
  <c r="CB387"/>
  <c r="CB89"/>
  <c r="CB257"/>
  <c r="CB241"/>
  <c r="CB409"/>
  <c r="CB148"/>
  <c r="CB414"/>
  <c r="CB135"/>
  <c r="CB202"/>
  <c r="CB288"/>
  <c r="CB261"/>
  <c r="CB242"/>
  <c r="CB219"/>
  <c r="CB180"/>
  <c r="CB429"/>
  <c r="CB27"/>
  <c r="CB342"/>
  <c r="CB20"/>
  <c r="CB160"/>
  <c r="CB458"/>
  <c r="CB183"/>
  <c r="CB445"/>
  <c r="CB146"/>
  <c r="CB57"/>
  <c r="CB90"/>
  <c r="CB120"/>
  <c r="CB22"/>
  <c r="CB448"/>
  <c r="CB186"/>
  <c r="CB498"/>
  <c r="CB111"/>
  <c r="CB109"/>
  <c r="CB46"/>
  <c r="CB62"/>
  <c r="CB320"/>
  <c r="CB263"/>
  <c r="CB389"/>
  <c r="CB378"/>
  <c r="CB404"/>
  <c r="CB347"/>
  <c r="CB221"/>
  <c r="CB262"/>
  <c r="CB516"/>
  <c r="CB272"/>
  <c r="CB310"/>
  <c r="CB199"/>
  <c r="CB357"/>
  <c r="CB278"/>
  <c r="CB121"/>
  <c r="CB415"/>
  <c r="CB155"/>
  <c r="CB411"/>
  <c r="CB159"/>
  <c r="CB194"/>
  <c r="CB143"/>
  <c r="CB368"/>
  <c r="CB284"/>
  <c r="CB269"/>
  <c r="CB311"/>
  <c r="CB443"/>
  <c r="CB176"/>
  <c r="CB337"/>
  <c r="CB76"/>
  <c r="CB235"/>
  <c r="CB124"/>
  <c r="CB175"/>
  <c r="CB457"/>
  <c r="CB108"/>
  <c r="CB364"/>
  <c r="CB453"/>
  <c r="CB270"/>
  <c r="CB215"/>
  <c r="CB408"/>
  <c r="CB129"/>
  <c r="CB78"/>
  <c r="CB295"/>
  <c r="CB291"/>
  <c r="CB30"/>
  <c r="CB161"/>
  <c r="CB74"/>
  <c r="CB428"/>
  <c r="CB133"/>
  <c r="CB117"/>
  <c r="CB496"/>
  <c r="CB187"/>
  <c r="CB433"/>
  <c r="CB397"/>
  <c r="CB172"/>
  <c r="CB112"/>
  <c r="CB343"/>
  <c r="CB298"/>
  <c r="CB216"/>
  <c r="CB168"/>
  <c r="CB177"/>
  <c r="CB371"/>
  <c r="CB104"/>
  <c r="CB383"/>
  <c r="CB497"/>
  <c r="CB266"/>
  <c r="CB141"/>
  <c r="CB224"/>
  <c r="CB173"/>
  <c r="CB326"/>
  <c r="CB350"/>
  <c r="CB484"/>
  <c r="CB472"/>
  <c r="CB451"/>
  <c r="CB188"/>
  <c r="CB420"/>
  <c r="CB346"/>
  <c r="CB314"/>
  <c r="CB47"/>
  <c r="CB293"/>
  <c r="CB504"/>
  <c r="CB477"/>
  <c r="CB223"/>
  <c r="CB167"/>
  <c r="CB116"/>
  <c r="CB259"/>
  <c r="CB319"/>
  <c r="CB238"/>
  <c r="CB468"/>
  <c r="CB225"/>
  <c r="CB32"/>
  <c r="CB131"/>
  <c r="CB351"/>
  <c r="CB469"/>
  <c r="CB273"/>
  <c r="CB306"/>
  <c r="CB425"/>
  <c r="CB435"/>
  <c r="CB396"/>
  <c r="CB182"/>
  <c r="CB122"/>
  <c r="CB300"/>
  <c r="CB473"/>
  <c r="CB231"/>
  <c r="CB43"/>
  <c r="CB67"/>
  <c r="CB440"/>
  <c r="CB505"/>
  <c r="CB267"/>
  <c r="CB153"/>
  <c r="CB80"/>
  <c r="CB421"/>
  <c r="CB103"/>
  <c r="CB335"/>
  <c r="CB268"/>
  <c r="CB436"/>
  <c r="CB65"/>
  <c r="CB68"/>
  <c r="CB179"/>
  <c r="CB283"/>
  <c r="CB29"/>
  <c r="CB197"/>
  <c r="CB463"/>
  <c r="CB190"/>
  <c r="CB452"/>
  <c r="CB327"/>
  <c r="CB100"/>
  <c r="CB506"/>
  <c r="CB85"/>
  <c r="CB500"/>
  <c r="CB485"/>
  <c r="CB247"/>
  <c r="CB379"/>
  <c r="CB38"/>
  <c r="CB198"/>
  <c r="CB418"/>
  <c r="CB201"/>
  <c r="CB189"/>
  <c r="CB150"/>
  <c r="CB363"/>
  <c r="CB44"/>
  <c r="CB276"/>
  <c r="CB362"/>
  <c r="CB486"/>
  <c r="CB243"/>
  <c r="CB344"/>
  <c r="CB77"/>
  <c r="CB59"/>
  <c r="CB398"/>
  <c r="CB455"/>
  <c r="CB244"/>
  <c r="CB376"/>
  <c r="CB211"/>
  <c r="CB370"/>
  <c r="CB39"/>
  <c r="CB214"/>
  <c r="CB249"/>
  <c r="CB403"/>
  <c r="CB246"/>
  <c r="CB339"/>
  <c r="CB84"/>
  <c r="CB513"/>
  <c r="CB501"/>
  <c r="CB511"/>
  <c r="CB245"/>
  <c r="CB413"/>
  <c r="CB444"/>
  <c r="CB220"/>
  <c r="CB482"/>
  <c r="CB130"/>
  <c r="CB258"/>
  <c r="CB94"/>
  <c r="CB514"/>
  <c r="CB206"/>
  <c r="CB136"/>
  <c r="CB53"/>
  <c r="CB479"/>
  <c r="CB338"/>
  <c r="CB434"/>
  <c r="CB275"/>
  <c r="CB493"/>
  <c r="CB196"/>
  <c r="CB139"/>
  <c r="CB331"/>
  <c r="CB358"/>
  <c r="CB515"/>
  <c r="CB316"/>
  <c r="CB439"/>
  <c r="CB490"/>
  <c r="CB442"/>
  <c r="CB118"/>
  <c r="CB459"/>
  <c r="CB204"/>
  <c r="CB164"/>
  <c r="CB474"/>
  <c r="CB447"/>
  <c r="CB149"/>
  <c r="CB101"/>
  <c r="CB86"/>
  <c r="CB92"/>
  <c r="CB260"/>
  <c r="CB492"/>
  <c r="CB88"/>
  <c r="CB386"/>
  <c r="CB499"/>
  <c r="CB466"/>
  <c r="CB229"/>
  <c r="CB475"/>
  <c r="CB19"/>
  <c r="CB454"/>
  <c r="CB156"/>
  <c r="CB324"/>
  <c r="CB81"/>
  <c r="CB87"/>
  <c r="CB255"/>
  <c r="CB312"/>
  <c r="CB125"/>
  <c r="CB345"/>
  <c r="CB480"/>
  <c r="CB467"/>
  <c r="CB236"/>
  <c r="CB55"/>
  <c r="CB151"/>
  <c r="CB491"/>
  <c r="CB145"/>
  <c r="CB349"/>
  <c r="CB402"/>
  <c r="CB23"/>
  <c r="CB388"/>
  <c r="CB248"/>
  <c r="CB287"/>
  <c r="CB42"/>
  <c r="CB353"/>
  <c r="CB138"/>
  <c r="CB70"/>
  <c r="CB49"/>
  <c r="CB237"/>
  <c r="CB54"/>
  <c r="CB61"/>
  <c r="CB399"/>
  <c r="CB144"/>
  <c r="CB200"/>
  <c r="CB66"/>
  <c r="CB75"/>
  <c r="CB424"/>
  <c r="CB228"/>
  <c r="CB165"/>
  <c r="CB333"/>
  <c r="CB33"/>
  <c r="CB207"/>
  <c r="CB464"/>
  <c r="CB233"/>
  <c r="CB332"/>
  <c r="CB410"/>
  <c r="CB359"/>
  <c r="CB365"/>
  <c r="CB317"/>
  <c r="CB302"/>
  <c r="CB26"/>
  <c r="CB166"/>
  <c r="CB392"/>
  <c r="CB252"/>
  <c r="CB508"/>
  <c r="CB157"/>
  <c r="CB279"/>
  <c r="CB240"/>
  <c r="CB417"/>
  <c r="CB405"/>
  <c r="CB366"/>
  <c r="CB372"/>
  <c r="CB41"/>
  <c r="CB297"/>
  <c r="CB462"/>
  <c r="CB203"/>
  <c r="CB438"/>
  <c r="CB277"/>
  <c r="CB509"/>
  <c r="CB318"/>
  <c r="CB286"/>
  <c r="CB265"/>
  <c r="CB460"/>
  <c r="CB93"/>
  <c r="CB427"/>
  <c r="CB361"/>
  <c r="CB48"/>
  <c r="CB305"/>
  <c r="CB465"/>
  <c r="CB354"/>
  <c r="CB64"/>
  <c r="CB254"/>
  <c r="CB381"/>
  <c r="CB97"/>
  <c r="CB35"/>
  <c r="CB271"/>
  <c r="CB367"/>
  <c r="CB178"/>
  <c r="CB184"/>
  <c r="CB352"/>
  <c r="CB174"/>
  <c r="CB222"/>
  <c r="CB478"/>
  <c r="CB256"/>
  <c r="CB374"/>
  <c r="CB107"/>
  <c r="CB382"/>
  <c r="CB377"/>
  <c r="CB290"/>
  <c r="CB58"/>
  <c r="CB503"/>
  <c r="CB488"/>
  <c r="CB494"/>
  <c r="CB163"/>
  <c r="CB395"/>
  <c r="CB31"/>
  <c r="CB253"/>
  <c r="CB285"/>
  <c r="CB73"/>
  <c r="BR155"/>
  <c r="BR88"/>
  <c r="BR98"/>
  <c r="BR154"/>
  <c r="BR108"/>
  <c r="BR101"/>
  <c r="BR58"/>
  <c r="BR166"/>
  <c r="BR120"/>
  <c r="BR137"/>
  <c r="BR69"/>
  <c r="BR135"/>
  <c r="BR124"/>
  <c r="BR164"/>
  <c r="BR178"/>
  <c r="BR142"/>
  <c r="BR171"/>
  <c r="BR167"/>
  <c r="BR151"/>
  <c r="BR147"/>
  <c r="BR38"/>
  <c r="BR140"/>
  <c r="BR89"/>
  <c r="BR42"/>
  <c r="BR156"/>
  <c r="BR160"/>
  <c r="BR105"/>
  <c r="BR103"/>
  <c r="BR149"/>
  <c r="BR115"/>
  <c r="BR117"/>
  <c r="BR57"/>
  <c r="BR59"/>
  <c r="BR114"/>
  <c r="BR150"/>
  <c r="BR139"/>
  <c r="BR183"/>
  <c r="BR148"/>
  <c r="BR33"/>
  <c r="BR49"/>
  <c r="BR173"/>
  <c r="BR43"/>
  <c r="BR106"/>
  <c r="BR144"/>
  <c r="BR134"/>
  <c r="BR133"/>
  <c r="BR153"/>
  <c r="BR125"/>
  <c r="BR136"/>
  <c r="BR184"/>
  <c r="BR161"/>
  <c r="BR121"/>
  <c r="BR129"/>
  <c r="BR127"/>
  <c r="BR180"/>
  <c r="BR97"/>
  <c r="BR122"/>
  <c r="BR181"/>
  <c r="BR39"/>
  <c r="BR163"/>
  <c r="BR90"/>
  <c r="BR32"/>
  <c r="BR80"/>
  <c r="BR175"/>
  <c r="BR169"/>
  <c r="BR70"/>
  <c r="BR100"/>
  <c r="BR128"/>
  <c r="BR170"/>
  <c r="BR176"/>
  <c r="BR131"/>
  <c r="BR94"/>
  <c r="BR102"/>
  <c r="BR85"/>
  <c r="BR143"/>
  <c r="BR107"/>
  <c r="BR141"/>
  <c r="BR126"/>
  <c r="BR64"/>
  <c r="BR177"/>
  <c r="BR112"/>
  <c r="BR79"/>
  <c r="BR111"/>
  <c r="BR174"/>
  <c r="BR113"/>
  <c r="BR185"/>
  <c r="BR172"/>
  <c r="BR110"/>
  <c r="BR119"/>
  <c r="BR186"/>
  <c r="BR77"/>
  <c r="BR71"/>
  <c r="BR146"/>
  <c r="BR152"/>
  <c r="BR104"/>
  <c r="BR165"/>
  <c r="BR60"/>
  <c r="BR34"/>
  <c r="BR138"/>
  <c r="BR168"/>
  <c r="BR157"/>
  <c r="BR132"/>
  <c r="BR158"/>
  <c r="BR130"/>
  <c r="BR162"/>
  <c r="BR123"/>
  <c r="BR118"/>
  <c r="BR116"/>
  <c r="BR179"/>
  <c r="BR182"/>
  <c r="BR159"/>
  <c r="BR145"/>
  <c r="BR109"/>
  <c r="BR99"/>
  <c r="BR44"/>
  <c r="BR52"/>
  <c r="BR21" l="1"/>
  <c r="BR46"/>
  <c r="BR55"/>
  <c r="BR76"/>
  <c r="BR96"/>
  <c r="BR35"/>
  <c r="BR73"/>
  <c r="BR53"/>
  <c r="BR48"/>
  <c r="BR50"/>
  <c r="BR51"/>
  <c r="BR37"/>
  <c r="BR41"/>
  <c r="BR68"/>
  <c r="BR40"/>
  <c r="BR72"/>
  <c r="BR47"/>
  <c r="BR95"/>
  <c r="BR83"/>
  <c r="BR56"/>
  <c r="BR87"/>
  <c r="BR93"/>
  <c r="BR61"/>
  <c r="BR45"/>
  <c r="BR82"/>
  <c r="BR63"/>
  <c r="BR62"/>
  <c r="BR92"/>
  <c r="BR36"/>
  <c r="BR84"/>
  <c r="BR66"/>
  <c r="BR30"/>
  <c r="BR91"/>
  <c r="BR31"/>
  <c r="BR54"/>
  <c r="BR81"/>
  <c r="BR67"/>
  <c r="BR26"/>
  <c r="BR23"/>
  <c r="BR24"/>
  <c r="BR27"/>
  <c r="BR18"/>
  <c r="BR20"/>
  <c r="BR22"/>
  <c r="BR19"/>
  <c r="BR29"/>
  <c r="BR25"/>
  <c r="BR28"/>
  <c r="CI32" i="12"/>
  <c r="CK32" s="1"/>
  <c r="CG176"/>
  <c r="CG177" s="1"/>
  <c r="CG178" s="1"/>
  <c r="CG179" s="1"/>
  <c r="CG180" s="1"/>
  <c r="CG181" s="1"/>
  <c r="CG182" s="1"/>
  <c r="CG183" s="1"/>
  <c r="CG184" s="1"/>
  <c r="CG185" s="1"/>
  <c r="CG186" s="1"/>
  <c r="CG187" s="1"/>
  <c r="CG188" s="1"/>
  <c r="CG189" s="1"/>
  <c r="CG190" s="1"/>
  <c r="CG191" s="1"/>
  <c r="CG192" s="1"/>
  <c r="CG193" s="1"/>
  <c r="CG194" s="1"/>
  <c r="CG195" s="1"/>
  <c r="CG196" s="1"/>
  <c r="CG197" s="1"/>
  <c r="CG198" s="1"/>
  <c r="CG199" s="1"/>
  <c r="CG200" s="1"/>
  <c r="CG201" s="1"/>
  <c r="CG202" s="1"/>
  <c r="CG203" s="1"/>
  <c r="CG204" s="1"/>
  <c r="CG205" s="1"/>
  <c r="CG206" s="1"/>
  <c r="CG207" s="1"/>
  <c r="CG208" s="1"/>
  <c r="CG209" s="1"/>
  <c r="CG210" s="1"/>
  <c r="CG211" s="1"/>
  <c r="CG212" s="1"/>
  <c r="CG213" s="1"/>
  <c r="CG214" s="1"/>
  <c r="CG215" s="1"/>
  <c r="CG216" s="1"/>
  <c r="CG217" s="1"/>
  <c r="CG218" s="1"/>
  <c r="CG219" s="1"/>
  <c r="CG220" s="1"/>
  <c r="CG221" s="1"/>
  <c r="CG222" s="1"/>
  <c r="CG223" s="1"/>
  <c r="CG224" s="1"/>
  <c r="CG225" s="1"/>
  <c r="CG226" s="1"/>
  <c r="CG227" s="1"/>
  <c r="CG228" s="1"/>
  <c r="CG229" s="1"/>
  <c r="CG230" s="1"/>
  <c r="CG231" s="1"/>
  <c r="CG232" s="1"/>
  <c r="CG233" s="1"/>
  <c r="CG234" s="1"/>
  <c r="CG235" s="1"/>
  <c r="CG236" s="1"/>
  <c r="CG237" s="1"/>
  <c r="CG238" s="1"/>
  <c r="CG239" s="1"/>
  <c r="CG240" s="1"/>
  <c r="CG241" s="1"/>
  <c r="CG242" s="1"/>
  <c r="CG243" s="1"/>
  <c r="CG244" s="1"/>
  <c r="CG245" s="1"/>
  <c r="CG246" s="1"/>
  <c r="CG247" s="1"/>
  <c r="CG248" s="1"/>
  <c r="CG249" s="1"/>
  <c r="CG250" s="1"/>
  <c r="CG251" s="1"/>
  <c r="CG252" s="1"/>
  <c r="CG253" s="1"/>
  <c r="CG254" s="1"/>
  <c r="CG255" s="1"/>
  <c r="CG256" s="1"/>
  <c r="CG257" s="1"/>
  <c r="CG258" s="1"/>
  <c r="CG259" s="1"/>
  <c r="CG260" s="1"/>
  <c r="CG261" s="1"/>
  <c r="CG262" s="1"/>
  <c r="CG263" s="1"/>
  <c r="CG264" s="1"/>
  <c r="CG265" s="1"/>
  <c r="CG266" s="1"/>
  <c r="CG267" s="1"/>
  <c r="CG268" s="1"/>
  <c r="CG269" s="1"/>
  <c r="CG270" s="1"/>
  <c r="CG271" s="1"/>
  <c r="CG272" s="1"/>
  <c r="CG273" s="1"/>
  <c r="CG274" s="1"/>
  <c r="CG275" s="1"/>
  <c r="CG276" s="1"/>
  <c r="CG277" s="1"/>
  <c r="CG278" s="1"/>
  <c r="CG279" s="1"/>
  <c r="CG280" s="1"/>
  <c r="CG281" s="1"/>
  <c r="CG282" s="1"/>
  <c r="CG283" s="1"/>
  <c r="CG284" s="1"/>
  <c r="CG285" s="1"/>
  <c r="CG286" s="1"/>
  <c r="CG287" s="1"/>
  <c r="CG288" s="1"/>
  <c r="CG289" s="1"/>
  <c r="CG290" s="1"/>
  <c r="CG291" s="1"/>
  <c r="CG292" s="1"/>
  <c r="CG293" s="1"/>
  <c r="CG294" s="1"/>
  <c r="CG295" s="1"/>
  <c r="CG296" s="1"/>
  <c r="CG297" s="1"/>
  <c r="CG298" s="1"/>
  <c r="CG299" s="1"/>
  <c r="CG300" s="1"/>
  <c r="CG301" s="1"/>
  <c r="CG302" s="1"/>
  <c r="CG303" s="1"/>
  <c r="CG304" s="1"/>
  <c r="CG305" s="1"/>
  <c r="CG306" s="1"/>
  <c r="CG307" s="1"/>
  <c r="CG308" s="1"/>
  <c r="CG309" s="1"/>
  <c r="CG310" s="1"/>
  <c r="CG311" s="1"/>
  <c r="CG312" s="1"/>
  <c r="CG313" s="1"/>
  <c r="CG314" s="1"/>
  <c r="CG315" s="1"/>
  <c r="CG316" s="1"/>
  <c r="CG317" s="1"/>
  <c r="CG318" s="1"/>
  <c r="CG319" s="1"/>
  <c r="CG320" s="1"/>
  <c r="CG321" s="1"/>
  <c r="CG322" s="1"/>
  <c r="CG323" s="1"/>
  <c r="CG324" s="1"/>
  <c r="CG325" s="1"/>
  <c r="CG326" s="1"/>
  <c r="CG327" s="1"/>
  <c r="CG328" s="1"/>
  <c r="CG329" s="1"/>
  <c r="CG330" s="1"/>
  <c r="CG331" s="1"/>
  <c r="CG332" s="1"/>
  <c r="CG333" s="1"/>
  <c r="CG334" s="1"/>
  <c r="CG335" s="1"/>
  <c r="CG336" s="1"/>
  <c r="CG337" s="1"/>
  <c r="CG338" s="1"/>
  <c r="CG339" s="1"/>
  <c r="CG340" s="1"/>
  <c r="CG341" s="1"/>
  <c r="CG342" s="1"/>
  <c r="CG343" s="1"/>
  <c r="CG344" s="1"/>
  <c r="CG345" s="1"/>
  <c r="CG346" s="1"/>
  <c r="CG347" s="1"/>
  <c r="CG348" s="1"/>
  <c r="CG349" s="1"/>
  <c r="CG350" s="1"/>
  <c r="CG351" s="1"/>
  <c r="CG352" s="1"/>
  <c r="CG353" s="1"/>
  <c r="CG354" s="1"/>
  <c r="CG355" s="1"/>
  <c r="CG356" s="1"/>
  <c r="CG357" s="1"/>
  <c r="CG358" s="1"/>
  <c r="CG359" s="1"/>
  <c r="CG360" s="1"/>
  <c r="CG361" s="1"/>
  <c r="CG362" s="1"/>
  <c r="CG363" s="1"/>
  <c r="CG364" s="1"/>
  <c r="CG365" s="1"/>
  <c r="CG366" s="1"/>
  <c r="CG367" s="1"/>
  <c r="CG368" s="1"/>
  <c r="CG369" s="1"/>
  <c r="CG370" s="1"/>
  <c r="CG371" s="1"/>
  <c r="CG372" s="1"/>
  <c r="CG373" s="1"/>
  <c r="CG374" s="1"/>
  <c r="CG375" s="1"/>
  <c r="CG376" s="1"/>
  <c r="CG377" s="1"/>
  <c r="CG378" s="1"/>
  <c r="CG379" s="1"/>
  <c r="CG380" s="1"/>
  <c r="CG381" s="1"/>
  <c r="CG382" s="1"/>
  <c r="CG383" s="1"/>
  <c r="CG384" s="1"/>
  <c r="CG385" s="1"/>
  <c r="CG386" s="1"/>
  <c r="CG387" s="1"/>
  <c r="CG388" s="1"/>
  <c r="CG389" s="1"/>
  <c r="CG390" s="1"/>
  <c r="CG391" s="1"/>
  <c r="CG392" s="1"/>
  <c r="CG393" s="1"/>
  <c r="CG394" s="1"/>
  <c r="CG395" s="1"/>
  <c r="CG396" s="1"/>
  <c r="CG397" s="1"/>
  <c r="CG398" s="1"/>
  <c r="CG399" s="1"/>
  <c r="CG400" s="1"/>
  <c r="CG401" s="1"/>
  <c r="CG402" s="1"/>
  <c r="CG403" s="1"/>
  <c r="CG404" s="1"/>
  <c r="CG405" s="1"/>
  <c r="CG406" s="1"/>
  <c r="CG407" s="1"/>
  <c r="CG408" s="1"/>
  <c r="CG409" s="1"/>
  <c r="CG410" s="1"/>
  <c r="CG411" s="1"/>
  <c r="CG412" s="1"/>
  <c r="CG413" s="1"/>
  <c r="CG414" s="1"/>
  <c r="CG415" s="1"/>
  <c r="CG416" s="1"/>
  <c r="CG417" s="1"/>
  <c r="CG418" s="1"/>
  <c r="CG419" s="1"/>
  <c r="CG420" s="1"/>
  <c r="CG421" s="1"/>
  <c r="CG422" s="1"/>
  <c r="CG423" s="1"/>
  <c r="CG424" s="1"/>
  <c r="CG425" s="1"/>
  <c r="CG426" s="1"/>
  <c r="CG427" s="1"/>
  <c r="CG428" s="1"/>
  <c r="CG429" s="1"/>
  <c r="CG430" s="1"/>
  <c r="CG431" s="1"/>
  <c r="CG432" s="1"/>
  <c r="CG433" s="1"/>
  <c r="CG434" s="1"/>
  <c r="CG435" s="1"/>
  <c r="CG436" s="1"/>
  <c r="CG437" s="1"/>
  <c r="CG438" s="1"/>
  <c r="CG439" s="1"/>
  <c r="CG440" s="1"/>
  <c r="CG441" s="1"/>
  <c r="CG442" s="1"/>
  <c r="CG443" s="1"/>
  <c r="CG444" s="1"/>
  <c r="CG445" s="1"/>
  <c r="CG446" s="1"/>
  <c r="CG447" s="1"/>
  <c r="CG448" s="1"/>
  <c r="CG449" s="1"/>
  <c r="CG450" s="1"/>
  <c r="CG451" s="1"/>
  <c r="CG452" s="1"/>
  <c r="CG453" s="1"/>
  <c r="CG454" s="1"/>
  <c r="CG455" s="1"/>
  <c r="CG456" s="1"/>
  <c r="CG457" s="1"/>
  <c r="CG458" s="1"/>
  <c r="CG459" s="1"/>
  <c r="CG460" s="1"/>
  <c r="CG461" s="1"/>
  <c r="CG462" s="1"/>
  <c r="CG463" s="1"/>
  <c r="CG464" s="1"/>
  <c r="CG465" s="1"/>
  <c r="CG466" s="1"/>
  <c r="CG467" s="1"/>
  <c r="CG468" s="1"/>
  <c r="CG469" s="1"/>
  <c r="CG470" s="1"/>
  <c r="CG471" s="1"/>
  <c r="CG472" s="1"/>
  <c r="CG473" s="1"/>
  <c r="CG474" s="1"/>
  <c r="CG475" s="1"/>
  <c r="CG476" s="1"/>
  <c r="CG477" s="1"/>
  <c r="CG478" s="1"/>
  <c r="CG479" s="1"/>
  <c r="CG480" s="1"/>
  <c r="CG481" s="1"/>
  <c r="CG482" s="1"/>
  <c r="CG483" s="1"/>
  <c r="CG484" s="1"/>
  <c r="CG485" s="1"/>
  <c r="CG486" s="1"/>
  <c r="CG487" s="1"/>
  <c r="CG488" s="1"/>
  <c r="CG489" s="1"/>
  <c r="CG490" s="1"/>
  <c r="CG491" s="1"/>
  <c r="CG492" s="1"/>
  <c r="CG493" s="1"/>
  <c r="CG494" s="1"/>
  <c r="CG495" s="1"/>
  <c r="CG496" s="1"/>
  <c r="CG497" s="1"/>
  <c r="CG498" s="1"/>
  <c r="CG499" s="1"/>
  <c r="CG500" s="1"/>
  <c r="CG501" s="1"/>
  <c r="CG502" s="1"/>
  <c r="CG503" s="1"/>
  <c r="CG504" s="1"/>
  <c r="CG505" s="1"/>
  <c r="CG506" s="1"/>
  <c r="CG507" s="1"/>
  <c r="CG508" s="1"/>
  <c r="CG509" s="1"/>
  <c r="CG510" s="1"/>
  <c r="CG511" s="1"/>
  <c r="CG512" s="1"/>
  <c r="CG513" s="1"/>
  <c r="CG514" s="1"/>
  <c r="BL127" i="10"/>
  <c r="BM127" s="1"/>
  <c r="BL80"/>
  <c r="BM80" s="1"/>
  <c r="BL86"/>
  <c r="BM86" s="1"/>
  <c r="BL144"/>
  <c r="BM144" s="1"/>
  <c r="BL174"/>
  <c r="BM174" s="1"/>
  <c r="BL85"/>
  <c r="BM85" s="1"/>
  <c r="BL155"/>
  <c r="BM155" s="1"/>
  <c r="BL71"/>
  <c r="BM71" s="1"/>
  <c r="BL79"/>
  <c r="BM79" s="1"/>
  <c r="BL49"/>
  <c r="BM49" s="1"/>
  <c r="BL78"/>
  <c r="BM78" s="1"/>
  <c r="BL141"/>
  <c r="BM141" s="1"/>
  <c r="BL60"/>
  <c r="BM60" s="1"/>
  <c r="BL152"/>
  <c r="BM152" s="1"/>
  <c r="BL181"/>
  <c r="BM181" s="1"/>
  <c r="BL109"/>
  <c r="BM109" s="1"/>
  <c r="BL180"/>
  <c r="BM180" s="1"/>
  <c r="BL162"/>
  <c r="BM162" s="1"/>
  <c r="BL65"/>
  <c r="BM65" s="1"/>
  <c r="BL139"/>
  <c r="BM139" s="1"/>
  <c r="BL176"/>
  <c r="BM176" s="1"/>
  <c r="BL132"/>
  <c r="BM132" s="1"/>
  <c r="BL223"/>
  <c r="BM223" s="1"/>
  <c r="BL216"/>
  <c r="BM216" s="1"/>
  <c r="BL477"/>
  <c r="BM477" s="1"/>
  <c r="BL405"/>
  <c r="BM405" s="1"/>
  <c r="BL225"/>
  <c r="BM225" s="1"/>
  <c r="BL256"/>
  <c r="BM256" s="1"/>
  <c r="BL463"/>
  <c r="BM463" s="1"/>
  <c r="BL391"/>
  <c r="BM391" s="1"/>
  <c r="BL247"/>
  <c r="BM247" s="1"/>
  <c r="BL239"/>
  <c r="BM239" s="1"/>
  <c r="BL228"/>
  <c r="BM228" s="1"/>
  <c r="BL277"/>
  <c r="BM277" s="1"/>
  <c r="BL205"/>
  <c r="BM205" s="1"/>
  <c r="BL473"/>
  <c r="BM473" s="1"/>
  <c r="BL329"/>
  <c r="BM329" s="1"/>
  <c r="BL257"/>
  <c r="BM257" s="1"/>
  <c r="BL308"/>
  <c r="BM308" s="1"/>
  <c r="BL483"/>
  <c r="BM483" s="1"/>
  <c r="BL375"/>
  <c r="BM375" s="1"/>
  <c r="BL303"/>
  <c r="BM303" s="1"/>
  <c r="BL267"/>
  <c r="BM267" s="1"/>
  <c r="BL195"/>
  <c r="BM195" s="1"/>
  <c r="BL478"/>
  <c r="BM478" s="1"/>
  <c r="BL406"/>
  <c r="BM406" s="1"/>
  <c r="BL370"/>
  <c r="BM370" s="1"/>
  <c r="BL226"/>
  <c r="BM226" s="1"/>
  <c r="CB15"/>
  <c r="AT6" s="1"/>
  <c r="CE18" a="1"/>
  <c r="CE139" l="1"/>
  <c r="CE107"/>
  <c r="CE398"/>
  <c r="CE74"/>
  <c r="CE454"/>
  <c r="CE51"/>
  <c r="CE311"/>
  <c r="CE175"/>
  <c r="CE453"/>
  <c r="CE350"/>
  <c r="CE89"/>
  <c r="CE143"/>
  <c r="CE109"/>
  <c r="CE478"/>
  <c r="CE254"/>
  <c r="CE131"/>
  <c r="CE434"/>
  <c r="CE243"/>
  <c r="CE399"/>
  <c r="CE328"/>
  <c r="CE77"/>
  <c r="CE118"/>
  <c r="CE65"/>
  <c r="CE199"/>
  <c r="CE380"/>
  <c r="CE491"/>
  <c r="CE369"/>
  <c r="CE45"/>
  <c r="CE138"/>
  <c r="CE355"/>
  <c r="CE64"/>
  <c r="CE499"/>
  <c r="CE129"/>
  <c r="CE457"/>
  <c r="CE259"/>
  <c r="CE149"/>
  <c r="CE290"/>
  <c r="CE43"/>
  <c r="CE210"/>
  <c r="CE441"/>
  <c r="CE382"/>
  <c r="CE122"/>
  <c r="CE394"/>
  <c r="CE325"/>
  <c r="CE242"/>
  <c r="CE479"/>
  <c r="CE480"/>
  <c r="CE72"/>
  <c r="CE293"/>
  <c r="CE497"/>
  <c r="CE451"/>
  <c r="CE485"/>
  <c r="CE458"/>
  <c r="CE205"/>
  <c r="CE273"/>
  <c r="CE159"/>
  <c r="CE471"/>
  <c r="CE126"/>
  <c r="CE55"/>
  <c r="CE327"/>
  <c r="CE302"/>
  <c r="CE477"/>
  <c r="CE132"/>
  <c r="CE498"/>
  <c r="CE409"/>
  <c r="CE80"/>
  <c r="CE229"/>
  <c r="CE192"/>
  <c r="CE108"/>
  <c r="CE329"/>
  <c r="CE502"/>
  <c r="CE277"/>
  <c r="CE250"/>
  <c r="CE23"/>
  <c r="CE312"/>
  <c r="CE508"/>
  <c r="CE29"/>
  <c r="CE127"/>
  <c r="CE468"/>
  <c r="CE358"/>
  <c r="CE209"/>
  <c r="CE303"/>
  <c r="CE272"/>
  <c r="CE54"/>
  <c r="CE368"/>
  <c r="CE206"/>
  <c r="CE385"/>
  <c r="CE195"/>
  <c r="CE370"/>
  <c r="CE429"/>
  <c r="CE275"/>
  <c r="CE333"/>
  <c r="CE38"/>
  <c r="CE133"/>
  <c r="CE18"/>
  <c r="CE216"/>
  <c r="CE391"/>
  <c r="CE271"/>
  <c r="CE233"/>
  <c r="CE184"/>
  <c r="CE296"/>
  <c r="CE231"/>
  <c r="CE323"/>
  <c r="CE263"/>
  <c r="CE475"/>
  <c r="CE505"/>
  <c r="CE84"/>
  <c r="CE314"/>
  <c r="CE105"/>
  <c r="CE349"/>
  <c r="CE456"/>
  <c r="CE463"/>
  <c r="CE321"/>
  <c r="CE284"/>
  <c r="CE144"/>
  <c r="CE31"/>
  <c r="CE274"/>
  <c r="CE102"/>
  <c r="CE264"/>
  <c r="CE330"/>
  <c r="CE220"/>
  <c r="CE516"/>
  <c r="CE146"/>
  <c r="CE439"/>
  <c r="CE473"/>
  <c r="CE177"/>
  <c r="CE198"/>
  <c r="CE345"/>
  <c r="CE201"/>
  <c r="CE376"/>
  <c r="CE465"/>
  <c r="CE75"/>
  <c r="CE493"/>
  <c r="CE292"/>
  <c r="CE362"/>
  <c r="CE164"/>
  <c r="CE364"/>
  <c r="CE503"/>
  <c r="CE116"/>
  <c r="CE291"/>
  <c r="CE204"/>
  <c r="CE106"/>
  <c r="CE247"/>
  <c r="CE60"/>
  <c r="CE61"/>
  <c r="CE134"/>
  <c r="CE309"/>
  <c r="CE353"/>
  <c r="CE356"/>
  <c r="CE436"/>
  <c r="CE335"/>
  <c r="CE193"/>
  <c r="CE114"/>
  <c r="CE404"/>
  <c r="CE495"/>
  <c r="CE514"/>
  <c r="CE339"/>
  <c r="CE467"/>
  <c r="CE373"/>
  <c r="CE378"/>
  <c r="CE236"/>
  <c r="CE301"/>
  <c r="CE510"/>
  <c r="CE412"/>
  <c r="CE406"/>
  <c r="CE224"/>
  <c r="CE397"/>
  <c r="CE289"/>
  <c r="CE110"/>
  <c r="CE285"/>
  <c r="CE319"/>
  <c r="CE188"/>
  <c r="CE154"/>
  <c r="CE278"/>
  <c r="CE286"/>
  <c r="CE424"/>
  <c r="CE182"/>
  <c r="CE357"/>
  <c r="CE402"/>
  <c r="CE172"/>
  <c r="CE94"/>
  <c r="CE91"/>
  <c r="CE487"/>
  <c r="CE253"/>
  <c r="CE211"/>
  <c r="CE375"/>
  <c r="CE341"/>
  <c r="CE386"/>
  <c r="CE222"/>
  <c r="CE265"/>
  <c r="CE218"/>
  <c r="CE379"/>
  <c r="CE202"/>
  <c r="CE384"/>
  <c r="CE448"/>
  <c r="CE307"/>
  <c r="CE377"/>
  <c r="CE82"/>
  <c r="CE354"/>
  <c r="CE288"/>
  <c r="CE422"/>
  <c r="CE509"/>
  <c r="CE294"/>
  <c r="CE347"/>
  <c r="CE455"/>
  <c r="CE67"/>
  <c r="CE446"/>
  <c r="CE48"/>
  <c r="CE227"/>
  <c r="CE135"/>
  <c r="CE459"/>
  <c r="CE381"/>
  <c r="CE388"/>
  <c r="CE262"/>
  <c r="CE112"/>
  <c r="CE405"/>
  <c r="CE178"/>
  <c r="CE34"/>
  <c r="CE203"/>
  <c r="CE486"/>
  <c r="CE340"/>
  <c r="CE226"/>
  <c r="CE423"/>
  <c r="CE196"/>
  <c r="CE221"/>
  <c r="CE97"/>
  <c r="CE298"/>
  <c r="CE71"/>
  <c r="CE57"/>
  <c r="CE442"/>
  <c r="CE237"/>
  <c r="CE155"/>
  <c r="CE24"/>
  <c r="CE28"/>
  <c r="CE466"/>
  <c r="CE142"/>
  <c r="CE313"/>
  <c r="CE76"/>
  <c r="CE450"/>
  <c r="CE147"/>
  <c r="CE433"/>
  <c r="CE215"/>
  <c r="CE157"/>
  <c r="CE395"/>
  <c r="CE501"/>
  <c r="CE437"/>
  <c r="CE449"/>
  <c r="CE440"/>
  <c r="CE279"/>
  <c r="CE374"/>
  <c r="CE248"/>
  <c r="CE472"/>
  <c r="CE162"/>
  <c r="CE438"/>
  <c r="CE322"/>
  <c r="CE461"/>
  <c r="CE161"/>
  <c r="CE414"/>
  <c r="CE123"/>
  <c r="CE431"/>
  <c r="CE246"/>
  <c r="CE153"/>
  <c r="CE92"/>
  <c r="CE52"/>
  <c r="CE255"/>
  <c r="CE496"/>
  <c r="CE90"/>
  <c r="CE117"/>
  <c r="CE511"/>
  <c r="CE344"/>
  <c r="CE168"/>
  <c r="CE103"/>
  <c r="CE46"/>
  <c r="CE156"/>
  <c r="CE270"/>
  <c r="CE26"/>
  <c r="CE282"/>
  <c r="CE257"/>
  <c r="CE213"/>
  <c r="CE408"/>
  <c r="CE348"/>
  <c r="CE99"/>
  <c r="CE483"/>
  <c r="CE343"/>
  <c r="CE240"/>
  <c r="CE387"/>
  <c r="CE69"/>
  <c r="CE169"/>
  <c r="CE191"/>
  <c r="CE219"/>
  <c r="CE331"/>
  <c r="CE214"/>
  <c r="CE58"/>
  <c r="CE425"/>
  <c r="CE37"/>
  <c r="CE371"/>
  <c r="CE186"/>
  <c r="CE173"/>
  <c r="CE464"/>
  <c r="CE488"/>
  <c r="CE363"/>
  <c r="CE390"/>
  <c r="CE217"/>
  <c r="CE351"/>
  <c r="CE484"/>
  <c r="CE160"/>
  <c r="CE36"/>
  <c r="CE372"/>
  <c r="CE359"/>
  <c r="CE306"/>
  <c r="CE95"/>
  <c r="CE256"/>
  <c r="CE342"/>
  <c r="CE462"/>
  <c r="CE79"/>
  <c r="CE145"/>
  <c r="CE360"/>
  <c r="CE283"/>
  <c r="CE403"/>
  <c r="CE70"/>
  <c r="CE305"/>
  <c r="CE83"/>
  <c r="CE490"/>
  <c r="CE252"/>
  <c r="CE346"/>
  <c r="CE251"/>
  <c r="CE150"/>
  <c r="CE482"/>
  <c r="CE35"/>
  <c r="CE179"/>
  <c r="CE419"/>
  <c r="CE136"/>
  <c r="CE63"/>
  <c r="CE234"/>
  <c r="CE113"/>
  <c r="CE33"/>
  <c r="CE326"/>
  <c r="CE517"/>
  <c r="CE124"/>
  <c r="CE396"/>
  <c r="CE249"/>
  <c r="CE383"/>
  <c r="CE415"/>
  <c r="CE481"/>
  <c r="CE232"/>
  <c r="CE470"/>
  <c r="CE207"/>
  <c r="CE189"/>
  <c r="CE513"/>
  <c r="CE416"/>
  <c r="CE20"/>
  <c r="CE316"/>
  <c r="CE266"/>
  <c r="CE121"/>
  <c r="CE392"/>
  <c r="CE59"/>
  <c r="CE230"/>
  <c r="CE86"/>
  <c r="CE261"/>
  <c r="CE280"/>
  <c r="CE22"/>
  <c r="CE308"/>
  <c r="CE444"/>
  <c r="CE187"/>
  <c r="CE352"/>
  <c r="CE176"/>
  <c r="CE317"/>
  <c r="CE258"/>
  <c r="CE492"/>
  <c r="CE130"/>
  <c r="CE158"/>
  <c r="CE315"/>
  <c r="CE304"/>
  <c r="CE443"/>
  <c r="CE287"/>
  <c r="CE238"/>
  <c r="CE418"/>
  <c r="CE310"/>
  <c r="CE165"/>
  <c r="CE174"/>
  <c r="CE21"/>
  <c r="CE366"/>
  <c r="CE85"/>
  <c r="CE269"/>
  <c r="CE96"/>
  <c r="CE469"/>
  <c r="CE212"/>
  <c r="CE101"/>
  <c r="CE281"/>
  <c r="CE40"/>
  <c r="CE245"/>
  <c r="CE125"/>
  <c r="CE337"/>
  <c r="CE223"/>
  <c r="CE120"/>
  <c r="CE78"/>
  <c r="CE68"/>
  <c r="CE141"/>
  <c r="CE27"/>
  <c r="CE39"/>
  <c r="CE151"/>
  <c r="CE338"/>
  <c r="CE111"/>
  <c r="CE389"/>
  <c r="CE410"/>
  <c r="CE185"/>
  <c r="CE49"/>
  <c r="CE445"/>
  <c r="CE241"/>
  <c r="CE30"/>
  <c r="CE47"/>
  <c r="CE318"/>
  <c r="CE98"/>
  <c r="CE235"/>
  <c r="CE56"/>
  <c r="CE411"/>
  <c r="CE87"/>
  <c r="CE300"/>
  <c r="CE515"/>
  <c r="CE427"/>
  <c r="CE208"/>
  <c r="CE489"/>
  <c r="CE88"/>
  <c r="CE393"/>
  <c r="CE428"/>
  <c r="CE334"/>
  <c r="CE166"/>
  <c r="CE267"/>
  <c r="CE295"/>
  <c r="CE447"/>
  <c r="CE148"/>
  <c r="CE268"/>
  <c r="CE140"/>
  <c r="CE361"/>
  <c r="CE506"/>
  <c r="CE512"/>
  <c r="CE190"/>
  <c r="CE41"/>
  <c r="CE420"/>
  <c r="CE171"/>
  <c r="CE426"/>
  <c r="CE500"/>
  <c r="CE163"/>
  <c r="CE413"/>
  <c r="CE225"/>
  <c r="CE66"/>
  <c r="CE452"/>
  <c r="CE81"/>
  <c r="CE128"/>
  <c r="CE401"/>
  <c r="CE365"/>
  <c r="CE167"/>
  <c r="CE320"/>
  <c r="CE73"/>
  <c r="CE104"/>
  <c r="CE62"/>
  <c r="CE435"/>
  <c r="CE260"/>
  <c r="CE19"/>
  <c r="CE194"/>
  <c r="CE32"/>
  <c r="CE200"/>
  <c r="CE430"/>
  <c r="CE297"/>
  <c r="CE407"/>
  <c r="CE476"/>
  <c r="CE332"/>
  <c r="CE507"/>
  <c r="CE228"/>
  <c r="CE197"/>
  <c r="CE504"/>
  <c r="CE42"/>
  <c r="CE494"/>
  <c r="CE239"/>
  <c r="CE119"/>
  <c r="CE336"/>
  <c r="CE152"/>
  <c r="CE244"/>
  <c r="CE100"/>
  <c r="CE180"/>
  <c r="CE474"/>
  <c r="CE276"/>
  <c r="CE400"/>
  <c r="CE170"/>
  <c r="CE53"/>
  <c r="CE417"/>
  <c r="CE93"/>
  <c r="CE421"/>
  <c r="CE25"/>
  <c r="CE299"/>
  <c r="CE367"/>
  <c r="CE432"/>
  <c r="CE44"/>
  <c r="CE137"/>
  <c r="CE50"/>
  <c r="CE181"/>
  <c r="CE324"/>
  <c r="CE460"/>
  <c r="CE115"/>
  <c r="CE183"/>
  <c r="AU6"/>
  <c r="AJ75"/>
  <c r="AJ74"/>
  <c r="BR74"/>
  <c r="BR75"/>
  <c r="U28" i="7"/>
  <c r="BJ25"/>
  <c r="BJ13"/>
  <c r="BK26" l="1"/>
  <c r="BM26" s="1"/>
  <c r="BK14"/>
  <c r="BM14" s="1"/>
  <c r="BL6" s="1"/>
  <c r="J30" l="1"/>
  <c r="K30" s="1"/>
  <c r="U5" l="1"/>
  <c r="U26" s="1"/>
  <c r="U25" l="1"/>
  <c r="U16"/>
  <c r="U18"/>
  <c r="U21"/>
  <c r="U23"/>
  <c r="U15"/>
  <c r="U14"/>
  <c r="U17"/>
  <c r="U22"/>
  <c r="U24"/>
  <c r="U19"/>
  <c r="U20"/>
  <c r="BL5" l="1"/>
  <c r="BL7" s="1"/>
  <c r="BM7" s="1"/>
  <c r="EP30" i="12"/>
  <c r="EQ30" s="1"/>
  <c r="ES23" l="1"/>
  <c r="ES14"/>
  <c r="ED7" s="1"/>
  <c r="ES25"/>
  <c r="ES17"/>
  <c r="ES28"/>
  <c r="ES19"/>
  <c r="ES16"/>
  <c r="ES27"/>
  <c r="ES33"/>
  <c r="ES24"/>
  <c r="ES21"/>
  <c r="ES26"/>
  <c r="ES18"/>
  <c r="ES29"/>
  <c r="ES15"/>
  <c r="ES20"/>
  <c r="ES32"/>
  <c r="ES22"/>
  <c r="ES35" l="1"/>
  <c r="EO35" s="1"/>
  <c r="ES34"/>
  <c r="EO34" s="1"/>
  <c r="EQ34" s="1"/>
  <c r="EO20"/>
  <c r="EO32"/>
  <c r="EO16"/>
  <c r="EO23"/>
  <c r="EO29"/>
  <c r="EO15"/>
  <c r="EO27"/>
  <c r="EO17"/>
  <c r="EO18"/>
  <c r="EO33"/>
  <c r="EO19"/>
  <c r="EO22"/>
  <c r="EO21"/>
  <c r="EO24"/>
  <c r="EO25"/>
  <c r="EO26"/>
  <c r="EO28"/>
  <c r="X31" i="11"/>
  <c r="AE31"/>
  <c r="Q31"/>
  <c r="J31"/>
  <c r="CO69" i="1"/>
  <c r="CO82"/>
  <c r="CO7"/>
  <c r="CO30"/>
  <c r="CO17"/>
  <c r="CO43"/>
  <c r="CO95"/>
  <c r="CO56"/>
  <c r="BC50" i="18"/>
  <c r="BW7" a="1"/>
  <c r="BX7" a="1"/>
  <c r="BU7" a="1"/>
  <c r="BV7" a="1"/>
  <c r="BU16" l="1"/>
  <c r="BU20"/>
  <c r="BU22"/>
  <c r="BV18"/>
  <c r="BV17"/>
  <c r="BV23"/>
  <c r="BV7"/>
  <c r="BW12"/>
  <c r="BW14"/>
  <c r="BW18"/>
  <c r="BW15"/>
  <c r="BX9"/>
  <c r="BX25"/>
  <c r="BX28"/>
  <c r="BC53"/>
  <c r="BU11"/>
  <c r="BU7"/>
  <c r="BU25"/>
  <c r="BU26"/>
  <c r="BV21"/>
  <c r="BV16"/>
  <c r="BV11"/>
  <c r="BW23"/>
  <c r="BW8"/>
  <c r="BW10"/>
  <c r="BW16"/>
  <c r="BX21"/>
  <c r="BX17"/>
  <c r="BX15"/>
  <c r="BX19"/>
  <c r="BU19"/>
  <c r="BU9"/>
  <c r="BU13"/>
  <c r="BV14"/>
  <c r="BV28"/>
  <c r="BV12"/>
  <c r="BW24"/>
  <c r="BW20"/>
  <c r="BW13"/>
  <c r="BW26"/>
  <c r="BX8"/>
  <c r="BX18"/>
  <c r="BX16"/>
  <c r="BX11"/>
  <c r="BV25"/>
  <c r="BX26"/>
  <c r="BU24"/>
  <c r="BU18"/>
  <c r="BU10"/>
  <c r="BV13"/>
  <c r="BV19"/>
  <c r="BV9"/>
  <c r="BW11"/>
  <c r="BW21"/>
  <c r="BW28"/>
  <c r="BX27"/>
  <c r="BU15"/>
  <c r="BU27"/>
  <c r="BU12"/>
  <c r="BU21"/>
  <c r="BU14"/>
  <c r="BV15"/>
  <c r="BV24"/>
  <c r="BV10"/>
  <c r="BW7"/>
  <c r="BW22"/>
  <c r="BW27"/>
  <c r="BX20"/>
  <c r="BX10"/>
  <c r="BX14"/>
  <c r="BX12"/>
  <c r="BU28"/>
  <c r="BU23"/>
  <c r="BU8"/>
  <c r="BU17"/>
  <c r="BV8"/>
  <c r="BV26"/>
  <c r="BV27"/>
  <c r="BV22"/>
  <c r="BW19"/>
  <c r="BW9"/>
  <c r="BW25"/>
  <c r="BX7"/>
  <c r="BX13"/>
  <c r="BX23"/>
  <c r="BV20"/>
  <c r="BW17"/>
  <c r="BX22"/>
  <c r="BX24"/>
  <c r="BC58"/>
  <c r="CQ15" i="12" a="1"/>
  <c r="BC51" i="18"/>
  <c r="BC55"/>
  <c r="BC52"/>
  <c r="BC54"/>
  <c r="CQ48" i="12" l="1"/>
  <c r="CQ165"/>
  <c r="CQ39"/>
  <c r="CQ402"/>
  <c r="CQ267"/>
  <c r="CQ67"/>
  <c r="CQ450"/>
  <c r="CQ183"/>
  <c r="CQ210"/>
  <c r="CQ431"/>
  <c r="CQ162"/>
  <c r="CQ483"/>
  <c r="CQ496"/>
  <c r="CQ120"/>
  <c r="CQ202"/>
  <c r="CQ240"/>
  <c r="CQ201"/>
  <c r="CQ244"/>
  <c r="CQ268"/>
  <c r="CQ247"/>
  <c r="CQ106"/>
  <c r="CQ53"/>
  <c r="CQ326"/>
  <c r="CQ382"/>
  <c r="CQ257"/>
  <c r="CQ460"/>
  <c r="CQ442"/>
  <c r="CQ424"/>
  <c r="CQ126"/>
  <c r="CQ46"/>
  <c r="CQ465"/>
  <c r="CQ505"/>
  <c r="CQ469"/>
  <c r="CQ30"/>
  <c r="CQ418"/>
  <c r="CQ454"/>
  <c r="CQ185"/>
  <c r="CQ308"/>
  <c r="CQ242"/>
  <c r="CQ343"/>
  <c r="CQ422"/>
  <c r="CQ236"/>
  <c r="CQ365"/>
  <c r="CQ439"/>
  <c r="CQ21"/>
  <c r="CQ176"/>
  <c r="CQ195"/>
  <c r="CQ251"/>
  <c r="CQ497"/>
  <c r="CQ430"/>
  <c r="CQ279"/>
  <c r="CQ440"/>
  <c r="CQ500"/>
  <c r="CQ84"/>
  <c r="CQ338"/>
  <c r="CQ203"/>
  <c r="CQ325"/>
  <c r="CQ122"/>
  <c r="CQ311"/>
  <c r="CQ332"/>
  <c r="CQ481"/>
  <c r="CQ199"/>
  <c r="CQ445"/>
  <c r="CQ478"/>
  <c r="CQ200"/>
  <c r="CQ421"/>
  <c r="CQ370"/>
  <c r="CQ180"/>
  <c r="CQ318"/>
  <c r="CQ90"/>
  <c r="CQ131"/>
  <c r="CQ319"/>
  <c r="CQ266"/>
  <c r="CQ243"/>
  <c r="CQ196"/>
  <c r="CQ390"/>
  <c r="CQ136"/>
  <c r="CQ91"/>
  <c r="CQ144"/>
  <c r="CQ109"/>
  <c r="CQ383"/>
  <c r="CQ216"/>
  <c r="CQ231"/>
  <c r="CQ160"/>
  <c r="CQ337"/>
  <c r="CQ506"/>
  <c r="CQ498"/>
  <c r="CQ229"/>
  <c r="CQ459"/>
  <c r="CQ270"/>
  <c r="CQ63"/>
  <c r="CQ492"/>
  <c r="CQ16"/>
  <c r="CS16" s="1"/>
  <c r="CQ249"/>
  <c r="CQ381"/>
  <c r="CQ277"/>
  <c r="CQ226"/>
  <c r="CQ69"/>
  <c r="CQ61"/>
  <c r="CQ348"/>
  <c r="CQ413"/>
  <c r="CQ292"/>
  <c r="CQ340"/>
  <c r="CQ357"/>
  <c r="CQ466"/>
  <c r="CQ510"/>
  <c r="CQ145"/>
  <c r="CQ158"/>
  <c r="CQ208"/>
  <c r="CQ142"/>
  <c r="CQ28"/>
  <c r="CQ384"/>
  <c r="CQ255"/>
  <c r="CQ315"/>
  <c r="CQ427"/>
  <c r="CQ259"/>
  <c r="CQ214"/>
  <c r="CQ137"/>
  <c r="CQ434"/>
  <c r="CQ264"/>
  <c r="CQ446"/>
  <c r="CQ19"/>
  <c r="CQ143"/>
  <c r="CQ472"/>
  <c r="CQ327"/>
  <c r="CQ190"/>
  <c r="CQ396"/>
  <c r="CQ179"/>
  <c r="CQ491"/>
  <c r="CQ140"/>
  <c r="CQ324"/>
  <c r="CQ376"/>
  <c r="CQ93"/>
  <c r="CQ86"/>
  <c r="CQ470"/>
  <c r="CQ85"/>
  <c r="CQ462"/>
  <c r="CQ511"/>
  <c r="CQ221"/>
  <c r="CQ514"/>
  <c r="CQ252"/>
  <c r="CQ116"/>
  <c r="CQ323"/>
  <c r="CQ502"/>
  <c r="CQ57"/>
  <c r="CQ79"/>
  <c r="CQ404"/>
  <c r="CQ508"/>
  <c r="CQ92"/>
  <c r="CQ47"/>
  <c r="CQ347"/>
  <c r="CQ258"/>
  <c r="CQ156"/>
  <c r="CQ38"/>
  <c r="CQ260"/>
  <c r="CQ55"/>
  <c r="CQ222"/>
  <c r="CQ56"/>
  <c r="CQ479"/>
  <c r="CQ150"/>
  <c r="CQ414"/>
  <c r="CQ41"/>
  <c r="CQ322"/>
  <c r="CQ35"/>
  <c r="CQ64"/>
  <c r="CQ112"/>
  <c r="CQ27"/>
  <c r="CQ406"/>
  <c r="CQ363"/>
  <c r="CQ211"/>
  <c r="CQ191"/>
  <c r="CQ349"/>
  <c r="CQ241"/>
  <c r="CQ298"/>
  <c r="CQ489"/>
  <c r="CQ104"/>
  <c r="CQ321"/>
  <c r="CQ130"/>
  <c r="CQ177"/>
  <c r="CQ464"/>
  <c r="CQ81"/>
  <c r="CQ213"/>
  <c r="CQ75"/>
  <c r="CQ471"/>
  <c r="CQ99"/>
  <c r="CQ354"/>
  <c r="CQ60"/>
  <c r="CQ184"/>
  <c r="CQ507"/>
  <c r="CQ379"/>
  <c r="CQ391"/>
  <c r="CQ174"/>
  <c r="CQ313"/>
  <c r="CQ235"/>
  <c r="CQ397"/>
  <c r="CQ312"/>
  <c r="CQ246"/>
  <c r="CQ387"/>
  <c r="CQ443"/>
  <c r="CQ504"/>
  <c r="CQ209"/>
  <c r="CQ261"/>
  <c r="CQ163"/>
  <c r="CQ336"/>
  <c r="CQ433"/>
  <c r="CQ121"/>
  <c r="CQ18"/>
  <c r="CQ289"/>
  <c r="CQ80"/>
  <c r="CQ423"/>
  <c r="CQ411"/>
  <c r="CQ455"/>
  <c r="CQ467"/>
  <c r="CQ294"/>
  <c r="CQ512"/>
  <c r="CQ83"/>
  <c r="CQ453"/>
  <c r="CQ146"/>
  <c r="CQ449"/>
  <c r="CQ484"/>
  <c r="CQ364"/>
  <c r="CQ22"/>
  <c r="CQ97"/>
  <c r="CQ361"/>
  <c r="CQ426"/>
  <c r="CQ300"/>
  <c r="CQ262"/>
  <c r="CQ148"/>
  <c r="CQ134"/>
  <c r="CQ233"/>
  <c r="CQ103"/>
  <c r="CQ108"/>
  <c r="CQ297"/>
  <c r="CQ372"/>
  <c r="CQ334"/>
  <c r="CQ458"/>
  <c r="CQ353"/>
  <c r="CQ359"/>
  <c r="CQ488"/>
  <c r="CQ37"/>
  <c r="CQ253"/>
  <c r="CQ290"/>
  <c r="CQ307"/>
  <c r="CQ461"/>
  <c r="CQ193"/>
  <c r="CQ408"/>
  <c r="CQ205"/>
  <c r="CQ317"/>
  <c r="CQ101"/>
  <c r="CQ110"/>
  <c r="CQ503"/>
  <c r="CQ407"/>
  <c r="CQ380"/>
  <c r="CQ416"/>
  <c r="CQ432"/>
  <c r="CQ273"/>
  <c r="CQ124"/>
  <c r="CQ20"/>
  <c r="CQ29"/>
  <c r="CQ275"/>
  <c r="CQ287"/>
  <c r="CQ366"/>
  <c r="CQ157"/>
  <c r="CQ182"/>
  <c r="CQ118"/>
  <c r="CQ87"/>
  <c r="CQ283"/>
  <c r="CQ495"/>
  <c r="CQ412"/>
  <c r="CQ288"/>
  <c r="CQ398"/>
  <c r="CQ278"/>
  <c r="CQ265"/>
  <c r="CQ401"/>
  <c r="CQ225"/>
  <c r="CQ395"/>
  <c r="CQ474"/>
  <c r="CQ286"/>
  <c r="CQ237"/>
  <c r="CQ356"/>
  <c r="CQ456"/>
  <c r="CQ88"/>
  <c r="CQ415"/>
  <c r="CQ74"/>
  <c r="CQ147"/>
  <c r="CQ405"/>
  <c r="CQ245"/>
  <c r="CQ494"/>
  <c r="CQ132"/>
  <c r="CQ306"/>
  <c r="CQ378"/>
  <c r="CQ239"/>
  <c r="CQ32"/>
  <c r="CQ468"/>
  <c r="CQ330"/>
  <c r="CQ161"/>
  <c r="CQ170"/>
  <c r="CQ218"/>
  <c r="CQ388"/>
  <c r="CQ490"/>
  <c r="CQ66"/>
  <c r="CQ368"/>
  <c r="CQ166"/>
  <c r="CQ291"/>
  <c r="CQ26"/>
  <c r="CQ17"/>
  <c r="CQ34"/>
  <c r="CQ95"/>
  <c r="CQ78"/>
  <c r="CQ192"/>
  <c r="CQ58"/>
  <c r="CQ335"/>
  <c r="CQ476"/>
  <c r="CQ173"/>
  <c r="CQ33"/>
  <c r="CQ328"/>
  <c r="CQ386"/>
  <c r="CQ351"/>
  <c r="CQ133"/>
  <c r="CQ425"/>
  <c r="CQ374"/>
  <c r="CQ220"/>
  <c r="CQ341"/>
  <c r="CQ435"/>
  <c r="CQ444"/>
  <c r="CQ480"/>
  <c r="CQ271"/>
  <c r="CQ181"/>
  <c r="CQ49"/>
  <c r="CQ72"/>
  <c r="CQ486"/>
  <c r="CQ367"/>
  <c r="CQ509"/>
  <c r="CQ280"/>
  <c r="CQ373"/>
  <c r="CQ73"/>
  <c r="CQ187"/>
  <c r="CQ223"/>
  <c r="CQ263"/>
  <c r="CQ96"/>
  <c r="CQ107"/>
  <c r="CQ68"/>
  <c r="CQ178"/>
  <c r="CQ82"/>
  <c r="CQ448"/>
  <c r="CQ77"/>
  <c r="CQ42"/>
  <c r="CQ394"/>
  <c r="CQ219"/>
  <c r="CQ417"/>
  <c r="CQ452"/>
  <c r="CQ420"/>
  <c r="CQ355"/>
  <c r="CQ227"/>
  <c r="CQ76"/>
  <c r="CQ51"/>
  <c r="CQ168"/>
  <c r="CQ154"/>
  <c r="CQ113"/>
  <c r="CQ284"/>
  <c r="CQ385"/>
  <c r="CQ127"/>
  <c r="CQ438"/>
  <c r="CQ94"/>
  <c r="CQ125"/>
  <c r="CQ207"/>
  <c r="CQ189"/>
  <c r="CQ392"/>
  <c r="CQ206"/>
  <c r="CQ43"/>
  <c r="CQ342"/>
  <c r="CQ451"/>
  <c r="CQ285"/>
  <c r="CQ152"/>
  <c r="CQ333"/>
  <c r="CQ159"/>
  <c r="CQ377"/>
  <c r="CQ403"/>
  <c r="CQ477"/>
  <c r="CQ499"/>
  <c r="CQ111"/>
  <c r="CQ215"/>
  <c r="CQ393"/>
  <c r="CQ230"/>
  <c r="CQ475"/>
  <c r="CQ320"/>
  <c r="CQ70"/>
  <c r="CQ194"/>
  <c r="CQ169"/>
  <c r="CQ36"/>
  <c r="CQ457"/>
  <c r="CQ151"/>
  <c r="CQ24"/>
  <c r="CQ167"/>
  <c r="CQ419"/>
  <c r="CQ52"/>
  <c r="CQ400"/>
  <c r="CQ138"/>
  <c r="CQ212"/>
  <c r="CQ304"/>
  <c r="CQ276"/>
  <c r="CQ45"/>
  <c r="CQ310"/>
  <c r="CQ429"/>
  <c r="CQ296"/>
  <c r="CQ352"/>
  <c r="CQ135"/>
  <c r="CQ175"/>
  <c r="CQ149"/>
  <c r="CQ360"/>
  <c r="CQ485"/>
  <c r="CQ309"/>
  <c r="CQ344"/>
  <c r="CQ89"/>
  <c r="CQ23"/>
  <c r="CQ198"/>
  <c r="CQ238"/>
  <c r="CQ204"/>
  <c r="CQ463"/>
  <c r="CQ31"/>
  <c r="CQ346"/>
  <c r="CQ256"/>
  <c r="CQ65"/>
  <c r="CQ301"/>
  <c r="CQ119"/>
  <c r="CQ329"/>
  <c r="CQ371"/>
  <c r="CQ188"/>
  <c r="CQ493"/>
  <c r="CQ100"/>
  <c r="CQ197"/>
  <c r="CQ389"/>
  <c r="CQ305"/>
  <c r="CQ274"/>
  <c r="CQ293"/>
  <c r="CQ487"/>
  <c r="CQ44"/>
  <c r="CQ482"/>
  <c r="CQ295"/>
  <c r="CQ228"/>
  <c r="CQ172"/>
  <c r="CQ436"/>
  <c r="CQ369"/>
  <c r="CQ71"/>
  <c r="CQ224"/>
  <c r="CQ153"/>
  <c r="CQ25"/>
  <c r="CQ513"/>
  <c r="CQ15"/>
  <c r="CQ375"/>
  <c r="CQ473"/>
  <c r="CQ345"/>
  <c r="CQ281"/>
  <c r="CQ399"/>
  <c r="CQ123"/>
  <c r="CQ409"/>
  <c r="CQ254"/>
  <c r="CQ115"/>
  <c r="CQ339"/>
  <c r="CQ62"/>
  <c r="CQ316"/>
  <c r="CQ186"/>
  <c r="CQ441"/>
  <c r="CQ447"/>
  <c r="CQ331"/>
  <c r="CQ269"/>
  <c r="CQ59"/>
  <c r="CQ117"/>
  <c r="CQ248"/>
  <c r="CQ299"/>
  <c r="CQ40"/>
  <c r="CQ234"/>
  <c r="CQ54"/>
  <c r="CQ129"/>
  <c r="CQ437"/>
  <c r="CQ141"/>
  <c r="CQ362"/>
  <c r="CQ217"/>
  <c r="CQ105"/>
  <c r="CQ171"/>
  <c r="CQ302"/>
  <c r="CQ114"/>
  <c r="CQ282"/>
  <c r="CQ272"/>
  <c r="CQ155"/>
  <c r="CQ102"/>
  <c r="CQ50"/>
  <c r="CQ303"/>
  <c r="CQ501"/>
  <c r="CQ164"/>
  <c r="CQ410"/>
  <c r="CQ250"/>
  <c r="CQ428"/>
  <c r="CQ232"/>
  <c r="CQ98"/>
  <c r="CQ350"/>
  <c r="CQ139"/>
  <c r="CQ128"/>
  <c r="CQ314"/>
  <c r="CQ358"/>
  <c r="BC59" i="18" a="1"/>
  <c r="BC60" s="1"/>
  <c r="BC62"/>
  <c r="CS17" i="12" l="1"/>
  <c r="CS18" s="1"/>
  <c r="CS19" s="1"/>
  <c r="BC61" i="18"/>
  <c r="BC63"/>
  <c r="BC59"/>
  <c r="CS20" i="12" l="1"/>
  <c r="CS21" s="1"/>
  <c r="CS22" s="1"/>
  <c r="CS23" s="1"/>
  <c r="CU16"/>
  <c r="CW16" s="1"/>
  <c r="CU17" l="1"/>
  <c r="CW17" s="1"/>
  <c r="CS24"/>
  <c r="CS25" s="1"/>
  <c r="CS26" s="1"/>
  <c r="CS27" s="1"/>
  <c r="CS28" l="1"/>
  <c r="CS29" s="1"/>
  <c r="CS30" s="1"/>
  <c r="CS31" s="1"/>
  <c r="CS32" s="1"/>
  <c r="CS33" s="1"/>
  <c r="CS34" s="1"/>
  <c r="CS35" s="1"/>
  <c r="CU18"/>
  <c r="CW18" s="1"/>
  <c r="CS36" l="1"/>
  <c r="CS37" s="1"/>
  <c r="CS38" s="1"/>
  <c r="CS39" s="1"/>
  <c r="CU19"/>
  <c r="CW19" s="1"/>
  <c r="CS40" l="1"/>
  <c r="CS41" s="1"/>
  <c r="CS42" s="1"/>
  <c r="CS43" s="1"/>
  <c r="CU20"/>
  <c r="CW20" s="1"/>
  <c r="CS44" l="1"/>
  <c r="CS45" s="1"/>
  <c r="CS46" s="1"/>
  <c r="CS47" s="1"/>
  <c r="CU21"/>
  <c r="CW21" s="1"/>
  <c r="CU22" l="1"/>
  <c r="CW22" s="1"/>
  <c r="CS48"/>
  <c r="CS49" s="1"/>
  <c r="CS50" s="1"/>
  <c r="CS51" s="1"/>
  <c r="CS52" l="1"/>
  <c r="CS53" s="1"/>
  <c r="CS54" s="1"/>
  <c r="CS55" s="1"/>
  <c r="CU23"/>
  <c r="CW23" s="1"/>
  <c r="CU24" l="1"/>
  <c r="CW24" s="1"/>
  <c r="CS56"/>
  <c r="CS57" s="1"/>
  <c r="CS58" s="1"/>
  <c r="CS59" s="1"/>
  <c r="CU25" l="1"/>
  <c r="CW25" s="1"/>
  <c r="CS60"/>
  <c r="CS61" s="1"/>
  <c r="CS62" s="1"/>
  <c r="CS63" s="1"/>
  <c r="CS64" l="1"/>
  <c r="CS65" s="1"/>
  <c r="CS66" s="1"/>
  <c r="CS67" s="1"/>
  <c r="CS68" s="1"/>
  <c r="CS69" s="1"/>
  <c r="CS70" s="1"/>
  <c r="CS71" s="1"/>
  <c r="CS72" s="1"/>
  <c r="CS73" s="1"/>
  <c r="CS74" s="1"/>
  <c r="CS75" s="1"/>
  <c r="CU26"/>
  <c r="CW26" s="1"/>
  <c r="CU27" l="1"/>
  <c r="CW27" s="1"/>
  <c r="CS76"/>
  <c r="CS77" s="1"/>
  <c r="CS78" s="1"/>
  <c r="CS79" s="1"/>
  <c r="CS80" s="1"/>
  <c r="CS81" s="1"/>
  <c r="CS82" s="1"/>
  <c r="CS83" s="1"/>
  <c r="CS84" s="1"/>
  <c r="CS85" s="1"/>
  <c r="CS86" s="1"/>
  <c r="CS87" s="1"/>
  <c r="CS88" s="1"/>
  <c r="CS89" s="1"/>
  <c r="CS90" s="1"/>
  <c r="CS91" s="1"/>
  <c r="CS92" s="1"/>
  <c r="CS93" s="1"/>
  <c r="CS94" s="1"/>
  <c r="CS95" s="1"/>
  <c r="CU28" l="1"/>
  <c r="CW28" s="1"/>
  <c r="CS96"/>
  <c r="CS97" s="1"/>
  <c r="CS98" s="1"/>
  <c r="CS99" s="1"/>
  <c r="CS100" s="1"/>
  <c r="CS101" s="1"/>
  <c r="CS102" s="1"/>
  <c r="CS103" s="1"/>
  <c r="CS104" s="1"/>
  <c r="CS105" s="1"/>
  <c r="CS106" s="1"/>
  <c r="CS107" s="1"/>
  <c r="CS108" s="1"/>
  <c r="CS109" s="1"/>
  <c r="CS110" s="1"/>
  <c r="CS111" s="1"/>
  <c r="CS112" s="1"/>
  <c r="CS113" s="1"/>
  <c r="CS114" s="1"/>
  <c r="CS115" s="1"/>
  <c r="CU29" l="1"/>
  <c r="CW29" s="1"/>
  <c r="CS116"/>
  <c r="CS117" s="1"/>
  <c r="CS118" s="1"/>
  <c r="CS119" s="1"/>
  <c r="CS120" s="1"/>
  <c r="CS121" s="1"/>
  <c r="CS122" s="1"/>
  <c r="CS123" s="1"/>
  <c r="CS124" s="1"/>
  <c r="CS125" s="1"/>
  <c r="CS126" s="1"/>
  <c r="CS127" s="1"/>
  <c r="CS128" s="1"/>
  <c r="CS129" s="1"/>
  <c r="CS130" s="1"/>
  <c r="CS131" s="1"/>
  <c r="CS132" s="1"/>
  <c r="CS133" s="1"/>
  <c r="CS134" s="1"/>
  <c r="CS135" s="1"/>
  <c r="CU30" l="1"/>
  <c r="CW30" s="1"/>
  <c r="CS136"/>
  <c r="CS137" s="1"/>
  <c r="CS138" s="1"/>
  <c r="CS139" s="1"/>
  <c r="CS140" s="1"/>
  <c r="CS141" s="1"/>
  <c r="CS142" s="1"/>
  <c r="CS143" s="1"/>
  <c r="CS144" s="1"/>
  <c r="CS145" s="1"/>
  <c r="CS146" s="1"/>
  <c r="CS147" s="1"/>
  <c r="CS148" s="1"/>
  <c r="CS149" s="1"/>
  <c r="CS150" s="1"/>
  <c r="CS151" s="1"/>
  <c r="CS152" s="1"/>
  <c r="CS153" s="1"/>
  <c r="CS154" s="1"/>
  <c r="CS155" s="1"/>
  <c r="CS156" l="1"/>
  <c r="CS157" s="1"/>
  <c r="CS158" s="1"/>
  <c r="CS159" s="1"/>
  <c r="CS160" s="1"/>
  <c r="CS161" s="1"/>
  <c r="CS162" s="1"/>
  <c r="CS163" s="1"/>
  <c r="CS164" s="1"/>
  <c r="CS165" s="1"/>
  <c r="CS166" s="1"/>
  <c r="CS167" s="1"/>
  <c r="CS168" s="1"/>
  <c r="CS169" s="1"/>
  <c r="CS170" s="1"/>
  <c r="CS171" s="1"/>
  <c r="CS172" s="1"/>
  <c r="CS173" s="1"/>
  <c r="CS174" s="1"/>
  <c r="CS175" s="1"/>
  <c r="CU31"/>
  <c r="CW31" s="1"/>
  <c r="CU32" l="1"/>
  <c r="CW32" s="1"/>
  <c r="CS176"/>
  <c r="CS177" s="1"/>
  <c r="CS178" s="1"/>
  <c r="CS179" s="1"/>
  <c r="CS180" s="1"/>
  <c r="CS181" s="1"/>
  <c r="CS182" s="1"/>
  <c r="CS183" s="1"/>
  <c r="CS184" s="1"/>
  <c r="CS185" s="1"/>
  <c r="CS186" s="1"/>
  <c r="CS187" s="1"/>
  <c r="CS188" s="1"/>
  <c r="CS189" s="1"/>
  <c r="CS190" s="1"/>
  <c r="CS191" s="1"/>
  <c r="CS192" s="1"/>
  <c r="CS193" s="1"/>
  <c r="CS194" s="1"/>
  <c r="CS195" s="1"/>
  <c r="CS196" s="1"/>
  <c r="CS197" s="1"/>
  <c r="CS198" s="1"/>
  <c r="CS199" s="1"/>
  <c r="CS200" s="1"/>
  <c r="CS201" s="1"/>
  <c r="CS202" s="1"/>
  <c r="CS203" s="1"/>
  <c r="CS204" s="1"/>
  <c r="CS205" s="1"/>
  <c r="CS206" s="1"/>
  <c r="CS207" s="1"/>
  <c r="CS208" s="1"/>
  <c r="CS209" s="1"/>
  <c r="CS210" s="1"/>
  <c r="CS211" s="1"/>
  <c r="CS212" s="1"/>
  <c r="CS213" s="1"/>
  <c r="CS214" s="1"/>
  <c r="CS215" s="1"/>
  <c r="CS216" s="1"/>
  <c r="CS217" s="1"/>
  <c r="CS218" s="1"/>
  <c r="CS219" s="1"/>
  <c r="CS220" s="1"/>
  <c r="CS221" s="1"/>
  <c r="CS222" s="1"/>
  <c r="CS223" s="1"/>
  <c r="CS224" s="1"/>
  <c r="CS225" s="1"/>
  <c r="CS226" s="1"/>
  <c r="CS227" s="1"/>
  <c r="CS228" s="1"/>
  <c r="CS229" s="1"/>
  <c r="CS230" s="1"/>
  <c r="CS231" s="1"/>
  <c r="CS232" s="1"/>
  <c r="CS233" s="1"/>
  <c r="CS234" s="1"/>
  <c r="CS235" s="1"/>
  <c r="CS236" s="1"/>
  <c r="CS237" s="1"/>
  <c r="CS238" s="1"/>
  <c r="CS239" s="1"/>
  <c r="CS240" s="1"/>
  <c r="CS241" s="1"/>
  <c r="CS242" s="1"/>
  <c r="CS243" s="1"/>
  <c r="CS244" s="1"/>
  <c r="CS245" s="1"/>
  <c r="CS246" s="1"/>
  <c r="CS247" s="1"/>
  <c r="CS248" s="1"/>
  <c r="CS249" s="1"/>
  <c r="CS250" s="1"/>
  <c r="CS251" s="1"/>
  <c r="CS252" s="1"/>
  <c r="CS253" s="1"/>
  <c r="CS254" s="1"/>
  <c r="CS255" s="1"/>
  <c r="CS256" s="1"/>
  <c r="CS257" s="1"/>
  <c r="CS258" s="1"/>
  <c r="CS259" s="1"/>
  <c r="CS260" s="1"/>
  <c r="CS261" s="1"/>
  <c r="CS262" s="1"/>
  <c r="CS263" s="1"/>
  <c r="CS264" s="1"/>
  <c r="CS265" s="1"/>
  <c r="CS266" s="1"/>
  <c r="CS267" s="1"/>
  <c r="CS268" s="1"/>
  <c r="CS269" s="1"/>
  <c r="CS270" s="1"/>
  <c r="CS271" s="1"/>
  <c r="CS272" s="1"/>
  <c r="CS273" s="1"/>
  <c r="CS274" s="1"/>
  <c r="CS275" s="1"/>
  <c r="CS276" s="1"/>
  <c r="CS277" s="1"/>
  <c r="CS278" s="1"/>
  <c r="CS279" s="1"/>
  <c r="CS280" s="1"/>
  <c r="CS281" s="1"/>
  <c r="CS282" s="1"/>
  <c r="CS283" s="1"/>
  <c r="CS284" s="1"/>
  <c r="CS285" s="1"/>
  <c r="CS286" s="1"/>
  <c r="CS287" s="1"/>
  <c r="CS288" s="1"/>
  <c r="CS289" s="1"/>
  <c r="CS290" s="1"/>
  <c r="CS291" s="1"/>
  <c r="CS292" s="1"/>
  <c r="CS293" s="1"/>
  <c r="CS294" s="1"/>
  <c r="CS295" s="1"/>
  <c r="CS296" s="1"/>
  <c r="CS297" s="1"/>
  <c r="CS298" s="1"/>
  <c r="CS299" s="1"/>
  <c r="CS300" s="1"/>
  <c r="CS301" s="1"/>
  <c r="CS302" s="1"/>
  <c r="CS303" s="1"/>
  <c r="CS304" s="1"/>
  <c r="CS305" s="1"/>
  <c r="CS306" s="1"/>
  <c r="CS307" s="1"/>
  <c r="CS308" s="1"/>
  <c r="CS309" s="1"/>
  <c r="CS310" s="1"/>
  <c r="CS311" s="1"/>
  <c r="CS312" s="1"/>
  <c r="CS313" s="1"/>
  <c r="CS314" s="1"/>
  <c r="CS315" s="1"/>
  <c r="CS316" s="1"/>
  <c r="CS317" s="1"/>
  <c r="CS318" s="1"/>
  <c r="CS319" s="1"/>
  <c r="CS320" s="1"/>
  <c r="CS321" s="1"/>
  <c r="CS322" s="1"/>
  <c r="CS323" s="1"/>
  <c r="CS324" s="1"/>
  <c r="CS325" s="1"/>
  <c r="CS326" s="1"/>
  <c r="CS327" s="1"/>
  <c r="CS328" s="1"/>
  <c r="CS329" s="1"/>
  <c r="CS330" s="1"/>
  <c r="CS331" s="1"/>
  <c r="CS332" s="1"/>
  <c r="CS333" s="1"/>
  <c r="CS334" s="1"/>
  <c r="CS335" s="1"/>
  <c r="CS336" s="1"/>
  <c r="CS337" s="1"/>
  <c r="CS338" s="1"/>
  <c r="CS339" s="1"/>
  <c r="CS340" s="1"/>
  <c r="CS341" s="1"/>
  <c r="CS342" s="1"/>
  <c r="CS343" s="1"/>
  <c r="CS344" s="1"/>
  <c r="CS345" s="1"/>
  <c r="CS346" s="1"/>
  <c r="CS347" s="1"/>
  <c r="CS348" s="1"/>
  <c r="CS349" s="1"/>
  <c r="CS350" s="1"/>
  <c r="CS351" s="1"/>
  <c r="CS352" s="1"/>
  <c r="CS353" s="1"/>
  <c r="CS354" s="1"/>
  <c r="CS355" s="1"/>
  <c r="CS356" s="1"/>
  <c r="CS357" s="1"/>
  <c r="CS358" s="1"/>
  <c r="CS359" s="1"/>
  <c r="CS360" s="1"/>
  <c r="CS361" s="1"/>
  <c r="CS362" s="1"/>
  <c r="CS363" s="1"/>
  <c r="CS364" s="1"/>
  <c r="CS365" s="1"/>
  <c r="CS366" s="1"/>
  <c r="CS367" s="1"/>
  <c r="CS368" s="1"/>
  <c r="CS369" s="1"/>
  <c r="CS370" s="1"/>
  <c r="CS371" s="1"/>
  <c r="CS372" s="1"/>
  <c r="CS373" s="1"/>
  <c r="CS374" s="1"/>
  <c r="CS375" s="1"/>
  <c r="CS376" s="1"/>
  <c r="CS377" s="1"/>
  <c r="CS378" s="1"/>
  <c r="CS379" s="1"/>
  <c r="CS380" s="1"/>
  <c r="CS381" s="1"/>
  <c r="CS382" s="1"/>
  <c r="CS383" s="1"/>
  <c r="CS384" s="1"/>
  <c r="CS385" s="1"/>
  <c r="CS386" s="1"/>
  <c r="CS387" s="1"/>
  <c r="CS388" s="1"/>
  <c r="CS389" s="1"/>
  <c r="CS390" s="1"/>
  <c r="CS391" s="1"/>
  <c r="CS392" s="1"/>
  <c r="CS393" s="1"/>
  <c r="CS394" s="1"/>
  <c r="CS395" s="1"/>
  <c r="CS396" s="1"/>
  <c r="CS397" s="1"/>
  <c r="CS398" s="1"/>
  <c r="CS399" s="1"/>
  <c r="CS400" s="1"/>
  <c r="CS401" s="1"/>
  <c r="CS402" s="1"/>
  <c r="CS403" s="1"/>
  <c r="CS404" s="1"/>
  <c r="CS405" s="1"/>
  <c r="CS406" s="1"/>
  <c r="CS407" s="1"/>
  <c r="CS408" s="1"/>
  <c r="CS409" s="1"/>
  <c r="CS410" s="1"/>
  <c r="CS411" s="1"/>
  <c r="CS412" s="1"/>
  <c r="CS413" s="1"/>
  <c r="CS414" s="1"/>
  <c r="CS415" s="1"/>
  <c r="CS416" s="1"/>
  <c r="CS417" s="1"/>
  <c r="CS418" s="1"/>
  <c r="CS419" s="1"/>
  <c r="CS420" s="1"/>
  <c r="CS421" s="1"/>
  <c r="CS422" s="1"/>
  <c r="CS423" s="1"/>
  <c r="CS424" s="1"/>
  <c r="CS425" s="1"/>
  <c r="CS426" s="1"/>
  <c r="CS427" s="1"/>
  <c r="CS428" s="1"/>
  <c r="CS429" s="1"/>
  <c r="CS430" s="1"/>
  <c r="CS431" s="1"/>
  <c r="CS432" s="1"/>
  <c r="CS433" s="1"/>
  <c r="CS434" s="1"/>
  <c r="CS435" s="1"/>
  <c r="CS436" s="1"/>
  <c r="CS437" s="1"/>
  <c r="CS438" s="1"/>
  <c r="CS439" s="1"/>
  <c r="CS440" s="1"/>
  <c r="CS441" s="1"/>
  <c r="CS442" s="1"/>
  <c r="CS443" s="1"/>
  <c r="CS444" s="1"/>
  <c r="CS445" s="1"/>
  <c r="CS446" s="1"/>
  <c r="CS447" s="1"/>
  <c r="CS448" s="1"/>
  <c r="CS449" s="1"/>
  <c r="CS450" s="1"/>
  <c r="CS451" s="1"/>
  <c r="CS452" s="1"/>
  <c r="CS453" s="1"/>
  <c r="CS454" s="1"/>
  <c r="CS455" s="1"/>
  <c r="CS456" s="1"/>
  <c r="CS457" s="1"/>
  <c r="CS458" s="1"/>
  <c r="CS459" s="1"/>
  <c r="CS460" s="1"/>
  <c r="CS461" s="1"/>
  <c r="CS462" s="1"/>
  <c r="CS463" s="1"/>
  <c r="CS464" s="1"/>
  <c r="CS465" s="1"/>
  <c r="CS466" s="1"/>
  <c r="CS467" s="1"/>
  <c r="CS468" s="1"/>
  <c r="CS469" s="1"/>
  <c r="CS470" s="1"/>
  <c r="CS471" s="1"/>
  <c r="CS472" s="1"/>
  <c r="CS473" s="1"/>
  <c r="CS474" s="1"/>
  <c r="CS475" s="1"/>
  <c r="CS476" s="1"/>
  <c r="CS477" s="1"/>
  <c r="CS478" s="1"/>
  <c r="CS479" s="1"/>
  <c r="CS480" s="1"/>
  <c r="CS481" s="1"/>
  <c r="CS482" s="1"/>
  <c r="CS483" s="1"/>
  <c r="CS484" s="1"/>
  <c r="CS485" s="1"/>
  <c r="CS486" s="1"/>
  <c r="CS487" s="1"/>
  <c r="CS488" s="1"/>
  <c r="CS489" s="1"/>
  <c r="CS490" s="1"/>
  <c r="CS491" s="1"/>
  <c r="CS492" s="1"/>
  <c r="CS493" s="1"/>
  <c r="CS494" s="1"/>
  <c r="CS495" s="1"/>
  <c r="CS496" s="1"/>
  <c r="CS497" s="1"/>
  <c r="CS498" s="1"/>
  <c r="CS499" s="1"/>
  <c r="CS500" s="1"/>
  <c r="CS501" s="1"/>
  <c r="CS502" s="1"/>
  <c r="CS503" s="1"/>
  <c r="CS504" s="1"/>
  <c r="CS505" s="1"/>
  <c r="CS506" s="1"/>
  <c r="CS507" s="1"/>
  <c r="CS508" s="1"/>
  <c r="CS509" s="1"/>
  <c r="CS510" s="1"/>
  <c r="CS511" s="1"/>
  <c r="CS512" s="1"/>
  <c r="CS513" s="1"/>
  <c r="CS514" s="1"/>
  <c r="O7" a="1"/>
  <c r="O9"/>
  <c r="O11"/>
  <c r="O8"/>
  <c r="O12"/>
  <c r="O7"/>
  <c r="O10"/>
  <c r="AB31" l="1"/>
  <c r="AB32"/>
  <c r="AB30"/>
  <c r="AB23"/>
  <c r="AB22"/>
  <c r="AB20"/>
  <c r="AB18"/>
  <c r="AB25"/>
  <c r="AB24"/>
  <c r="AB33"/>
  <c r="AB19"/>
  <c r="AB21"/>
  <c r="AB27"/>
  <c r="AB26"/>
  <c r="AB29"/>
  <c r="AB28"/>
  <c r="AL21"/>
  <c r="AS21"/>
  <c r="AN21"/>
  <c r="AM21"/>
  <c r="AO21"/>
  <c r="AP21"/>
  <c r="AR21"/>
  <c r="AT21"/>
  <c r="AI21"/>
  <c r="AV21"/>
  <c r="AJ21"/>
  <c r="AW21"/>
  <c r="AQ21"/>
  <c r="AK21"/>
  <c r="AI22"/>
  <c r="AV22"/>
  <c r="AQ22"/>
  <c r="AO22"/>
  <c r="AP22"/>
  <c r="AK22"/>
  <c r="AL22"/>
  <c r="AM22"/>
  <c r="AJ22"/>
  <c r="AW22"/>
  <c r="AR22"/>
  <c r="AS22"/>
  <c r="AT22"/>
  <c r="AN22"/>
  <c r="AO20"/>
  <c r="AP20"/>
  <c r="AK20"/>
  <c r="AJ20"/>
  <c r="AW20"/>
  <c r="AR20"/>
  <c r="AS20"/>
  <c r="AI20"/>
  <c r="AV20"/>
  <c r="AQ20"/>
  <c r="AL20"/>
  <c r="AM20"/>
  <c r="AT20"/>
  <c r="AN20"/>
  <c r="AO10"/>
  <c r="AI10"/>
  <c r="AJ10"/>
  <c r="AP10"/>
  <c r="AQ10"/>
  <c r="AR10"/>
  <c r="AS10"/>
  <c r="AV10"/>
  <c r="AW10"/>
  <c r="AK10"/>
  <c r="AL10"/>
  <c r="AM10"/>
  <c r="AT10"/>
  <c r="AN10"/>
  <c r="AI12"/>
  <c r="AP12"/>
  <c r="AO12"/>
  <c r="AV12"/>
  <c r="AW12"/>
  <c r="AK12"/>
  <c r="AL12"/>
  <c r="AS12"/>
  <c r="AJ12"/>
  <c r="AQ12"/>
  <c r="AR12"/>
  <c r="AM12"/>
  <c r="AT12"/>
  <c r="AN12"/>
  <c r="AR13"/>
  <c r="AL13"/>
  <c r="AM13"/>
  <c r="AT13"/>
  <c r="AI13"/>
  <c r="AP13"/>
  <c r="AS13"/>
  <c r="AN13"/>
  <c r="AO13"/>
  <c r="AV13"/>
  <c r="AJ13"/>
  <c r="AW13"/>
  <c r="AQ13"/>
  <c r="AK13"/>
  <c r="AP14"/>
  <c r="AK14"/>
  <c r="AI14"/>
  <c r="AJ14"/>
  <c r="AW14"/>
  <c r="AR14"/>
  <c r="AS14"/>
  <c r="AO14"/>
  <c r="AV14"/>
  <c r="AQ14"/>
  <c r="AL14"/>
  <c r="AM14"/>
  <c r="AT14"/>
  <c r="AN14"/>
  <c r="AL15"/>
  <c r="AS15"/>
  <c r="AN15"/>
  <c r="AR15"/>
  <c r="AM15"/>
  <c r="AO15"/>
  <c r="AP15"/>
  <c r="AT15"/>
  <c r="AI15"/>
  <c r="AV15"/>
  <c r="AJ15"/>
  <c r="AW15"/>
  <c r="AQ15"/>
  <c r="AK15"/>
  <c r="AO8"/>
  <c r="AI8"/>
  <c r="AP8"/>
  <c r="AJ8"/>
  <c r="AK8"/>
  <c r="AR8"/>
  <c r="AM8"/>
  <c r="AV8"/>
  <c r="AW8"/>
  <c r="AQ8"/>
  <c r="AL8"/>
  <c r="AS8"/>
  <c r="AT8"/>
  <c r="AN8"/>
  <c r="AT9"/>
  <c r="AR9"/>
  <c r="AM9"/>
  <c r="AN9"/>
  <c r="AV9"/>
  <c r="AP9"/>
  <c r="AJ9"/>
  <c r="AL9"/>
  <c r="AS9"/>
  <c r="AO9"/>
  <c r="AI9"/>
  <c r="AW9"/>
  <c r="AQ9"/>
  <c r="AK9"/>
  <c r="AO18"/>
  <c r="AJ18"/>
  <c r="AW18"/>
  <c r="AV18"/>
  <c r="AQ18"/>
  <c r="AR18"/>
  <c r="AS18"/>
  <c r="AI18"/>
  <c r="AP18"/>
  <c r="AK18"/>
  <c r="AL18"/>
  <c r="AM18"/>
  <c r="AT18"/>
  <c r="AN18"/>
  <c r="AR19"/>
  <c r="AM19"/>
  <c r="AI19"/>
  <c r="AL19"/>
  <c r="AT19"/>
  <c r="AV19"/>
  <c r="AS19"/>
  <c r="AN19"/>
  <c r="AO19"/>
  <c r="AP19"/>
  <c r="AJ19"/>
  <c r="AW19"/>
  <c r="AQ19"/>
  <c r="AK19"/>
  <c r="AO16"/>
  <c r="AV16"/>
  <c r="AQ16"/>
  <c r="AP16"/>
  <c r="AK16"/>
  <c r="AL16"/>
  <c r="AS16"/>
  <c r="AI16"/>
  <c r="AJ16"/>
  <c r="AW16"/>
  <c r="AR16"/>
  <c r="AM16"/>
  <c r="AT16"/>
  <c r="AN16"/>
  <c r="AR17"/>
  <c r="AT17"/>
  <c r="AL17"/>
  <c r="AS17"/>
  <c r="AN17"/>
  <c r="AI17"/>
  <c r="AP17"/>
  <c r="AM17"/>
  <c r="AO17"/>
  <c r="AV17"/>
  <c r="AJ17"/>
  <c r="AW17"/>
  <c r="AQ17"/>
  <c r="AK17"/>
  <c r="AR11"/>
  <c r="AL11"/>
  <c r="AM11"/>
  <c r="AS11"/>
  <c r="AN11"/>
  <c r="AO11"/>
  <c r="AV11"/>
  <c r="AT11"/>
  <c r="AI11"/>
  <c r="AP11"/>
  <c r="AJ11"/>
  <c r="AW11"/>
  <c r="AQ11"/>
  <c r="AK11"/>
  <c r="N63" i="11"/>
  <c r="BG59" i="1"/>
  <c r="D11" i="10" s="1"/>
  <c r="Q18" s="1" a="1"/>
  <c r="CD7" i="1" a="1"/>
  <c r="EK9" i="12"/>
  <c r="EL14" s="1" a="1"/>
  <c r="BS15" a="1"/>
  <c r="Q111" i="10" l="1"/>
  <c r="Q56"/>
  <c r="Q489"/>
  <c r="Q87"/>
  <c r="Q179"/>
  <c r="Q161"/>
  <c r="Q278"/>
  <c r="Q246"/>
  <c r="Q345"/>
  <c r="Q320"/>
  <c r="Q506"/>
  <c r="Q25"/>
  <c r="Q137"/>
  <c r="Q242"/>
  <c r="Q324"/>
  <c r="Q380"/>
  <c r="Q293"/>
  <c r="Q131"/>
  <c r="Q337"/>
  <c r="Q50"/>
  <c r="Q279"/>
  <c r="Q405"/>
  <c r="Q382"/>
  <c r="Q447"/>
  <c r="Q163"/>
  <c r="Q128"/>
  <c r="Q444"/>
  <c r="Q471"/>
  <c r="Q38"/>
  <c r="Q193"/>
  <c r="Q487"/>
  <c r="Q42"/>
  <c r="Q258"/>
  <c r="Q412"/>
  <c r="Q500"/>
  <c r="Q32"/>
  <c r="Q362"/>
  <c r="Q125"/>
  <c r="Q83"/>
  <c r="Q233"/>
  <c r="Q63"/>
  <c r="Q455"/>
  <c r="Q120"/>
  <c r="Q159"/>
  <c r="Q417"/>
  <c r="Q316"/>
  <c r="Q182"/>
  <c r="Q503"/>
  <c r="Q442"/>
  <c r="Q127"/>
  <c r="Q495"/>
  <c r="Q371"/>
  <c r="Q317"/>
  <c r="Q257"/>
  <c r="Q123"/>
  <c r="Q115"/>
  <c r="Q290"/>
  <c r="Q353"/>
  <c r="Q387"/>
  <c r="Q306"/>
  <c r="Q18"/>
  <c r="Q39"/>
  <c r="Q484"/>
  <c r="Q176"/>
  <c r="Q404"/>
  <c r="Q174"/>
  <c r="Q211"/>
  <c r="Q82"/>
  <c r="Q381"/>
  <c r="Q391"/>
  <c r="Q458"/>
  <c r="Q221"/>
  <c r="Q216"/>
  <c r="Q277"/>
  <c r="Q96"/>
  <c r="Q41"/>
  <c r="Q297"/>
  <c r="Q465"/>
  <c r="Q186"/>
  <c r="Q322"/>
  <c r="Q114"/>
  <c r="Q107"/>
  <c r="Q517"/>
  <c r="Q259"/>
  <c r="Q187"/>
  <c r="Q265"/>
  <c r="Q502"/>
  <c r="Q101"/>
  <c r="Q338"/>
  <c r="Q226"/>
  <c r="Q336"/>
  <c r="Q364"/>
  <c r="Q66"/>
  <c r="Q466"/>
  <c r="Q289"/>
  <c r="Q251"/>
  <c r="Q318"/>
  <c r="Q410"/>
  <c r="Q314"/>
  <c r="Q378"/>
  <c r="Q310"/>
  <c r="Q512"/>
  <c r="Q483"/>
  <c r="Q348"/>
  <c r="Q264"/>
  <c r="Q117"/>
  <c r="Q418"/>
  <c r="Q273"/>
  <c r="Q449"/>
  <c r="Q434"/>
  <c r="Q370"/>
  <c r="Q325"/>
  <c r="Q358"/>
  <c r="Q44"/>
  <c r="Q280"/>
  <c r="Q84"/>
  <c r="Q200"/>
  <c r="Q421"/>
  <c r="Q462"/>
  <c r="Q267"/>
  <c r="Q457"/>
  <c r="Q181"/>
  <c r="Q401"/>
  <c r="Q206"/>
  <c r="Q511"/>
  <c r="Q283"/>
  <c r="Q344"/>
  <c r="Q398"/>
  <c r="Q252"/>
  <c r="Q468"/>
  <c r="Q76"/>
  <c r="Q369"/>
  <c r="Q213"/>
  <c r="Q315"/>
  <c r="Q142"/>
  <c r="Q45"/>
  <c r="Q249"/>
  <c r="Q27"/>
  <c r="Q255"/>
  <c r="Q151"/>
  <c r="Q332"/>
  <c r="Q78"/>
  <c r="Q250"/>
  <c r="Q37"/>
  <c r="Q406"/>
  <c r="Q298"/>
  <c r="Q311"/>
  <c r="Q313"/>
  <c r="Q499"/>
  <c r="Q397"/>
  <c r="Q149"/>
  <c r="Q205"/>
  <c r="Q272"/>
  <c r="Q74"/>
  <c r="Q60"/>
  <c r="Q330"/>
  <c r="Q323"/>
  <c r="Q475"/>
  <c r="Q26"/>
  <c r="Q154"/>
  <c r="Q350"/>
  <c r="Q65"/>
  <c r="Q488"/>
  <c r="Q214"/>
  <c r="Q291"/>
  <c r="Q492"/>
  <c r="Q240"/>
  <c r="Q58"/>
  <c r="Q79"/>
  <c r="Q136"/>
  <c r="Q268"/>
  <c r="Q165"/>
  <c r="Q53"/>
  <c r="Q356"/>
  <c r="Q95"/>
  <c r="Q266"/>
  <c r="Q361"/>
  <c r="Q71"/>
  <c r="Q238"/>
  <c r="Q469"/>
  <c r="Q300"/>
  <c r="Q19"/>
  <c r="Q106"/>
  <c r="Q485"/>
  <c r="Q386"/>
  <c r="Q276"/>
  <c r="Q201"/>
  <c r="Q431"/>
  <c r="Q373"/>
  <c r="Q232"/>
  <c r="Q124"/>
  <c r="Q75"/>
  <c r="Q93"/>
  <c r="Q104"/>
  <c r="Q43"/>
  <c r="Q70"/>
  <c r="Q88"/>
  <c r="Q261"/>
  <c r="Q49"/>
  <c r="Q80"/>
  <c r="Q239"/>
  <c r="Q188"/>
  <c r="Q296"/>
  <c r="Q375"/>
  <c r="Q133"/>
  <c r="Q494"/>
  <c r="Q307"/>
  <c r="Q231"/>
  <c r="Q223"/>
  <c r="Q473"/>
  <c r="Q411"/>
  <c r="Q194"/>
  <c r="Q453"/>
  <c r="Q22"/>
  <c r="Q408"/>
  <c r="Q202"/>
  <c r="Q481"/>
  <c r="Q166"/>
  <c r="Q247"/>
  <c r="Q270"/>
  <c r="Q34"/>
  <c r="Q509"/>
  <c r="Q360"/>
  <c r="Q143"/>
  <c r="Q448"/>
  <c r="Q399"/>
  <c r="Q195"/>
  <c r="Q157"/>
  <c r="Q184"/>
  <c r="Q230"/>
  <c r="Q254"/>
  <c r="Q24"/>
  <c r="Q105"/>
  <c r="Q275"/>
  <c r="Q152"/>
  <c r="Q86"/>
  <c r="Q94"/>
  <c r="Q156"/>
  <c r="Q415"/>
  <c r="Q208"/>
  <c r="Q91"/>
  <c r="Q419"/>
  <c r="Q438"/>
  <c r="Q263"/>
  <c r="Q292"/>
  <c r="Q440"/>
  <c r="Q64"/>
  <c r="Q219"/>
  <c r="Q383"/>
  <c r="Q116"/>
  <c r="Q282"/>
  <c r="Q432"/>
  <c r="Q464"/>
  <c r="Q224"/>
  <c r="Q146"/>
  <c r="Q285"/>
  <c r="Q229"/>
  <c r="Q99"/>
  <c r="Q395"/>
  <c r="Q295"/>
  <c r="Q347"/>
  <c r="Q507"/>
  <c r="Q189"/>
  <c r="Q135"/>
  <c r="Q363"/>
  <c r="Q98"/>
  <c r="Q172"/>
  <c r="Q445"/>
  <c r="Q409"/>
  <c r="Q46"/>
  <c r="Q433"/>
  <c r="Q429"/>
  <c r="Q262"/>
  <c r="Q425"/>
  <c r="Q122"/>
  <c r="Q227"/>
  <c r="Q451"/>
  <c r="Q439"/>
  <c r="Q416"/>
  <c r="Q450"/>
  <c r="Q446"/>
  <c r="Q302"/>
  <c r="Q422"/>
  <c r="Q31"/>
  <c r="Q199"/>
  <c r="Q191"/>
  <c r="Q365"/>
  <c r="Q160"/>
  <c r="Q61"/>
  <c r="Q274"/>
  <c r="Q40"/>
  <c r="Q443"/>
  <c r="Q210"/>
  <c r="Q476"/>
  <c r="Q234"/>
  <c r="Q173"/>
  <c r="Q426"/>
  <c r="Q72"/>
  <c r="Q260"/>
  <c r="Q220"/>
  <c r="Q92"/>
  <c r="Q393"/>
  <c r="Q28"/>
  <c r="Q392"/>
  <c r="Q491"/>
  <c r="Q209"/>
  <c r="Q301"/>
  <c r="Q351"/>
  <c r="Q349"/>
  <c r="Q467"/>
  <c r="Q413"/>
  <c r="Q366"/>
  <c r="Q515"/>
  <c r="Q463"/>
  <c r="Q493"/>
  <c r="Q222"/>
  <c r="Q51"/>
  <c r="Q55"/>
  <c r="Q376"/>
  <c r="Q516"/>
  <c r="Q352"/>
  <c r="Q68"/>
  <c r="Q144"/>
  <c r="Q150"/>
  <c r="Q341"/>
  <c r="Q243"/>
  <c r="Q435"/>
  <c r="Q423"/>
  <c r="Q377"/>
  <c r="Q498"/>
  <c r="Q479"/>
  <c r="Q346"/>
  <c r="Q287"/>
  <c r="Q62"/>
  <c r="Q319"/>
  <c r="Q334"/>
  <c r="Q180"/>
  <c r="Q303"/>
  <c r="Q167"/>
  <c r="Q441"/>
  <c r="Q428"/>
  <c r="Q374"/>
  <c r="Q281"/>
  <c r="Q402"/>
  <c r="Q215"/>
  <c r="Q510"/>
  <c r="Q436"/>
  <c r="Q59"/>
  <c r="Q35"/>
  <c r="Q54"/>
  <c r="Q269"/>
  <c r="Q390"/>
  <c r="Q367"/>
  <c r="Q112"/>
  <c r="Q407"/>
  <c r="Q490"/>
  <c r="Q474"/>
  <c r="Q196"/>
  <c r="Q162"/>
  <c r="Q508"/>
  <c r="Q57"/>
  <c r="Q355"/>
  <c r="Q486"/>
  <c r="Q109"/>
  <c r="Q427"/>
  <c r="Q237"/>
  <c r="Q23"/>
  <c r="Q505"/>
  <c r="Q477"/>
  <c r="Q21"/>
  <c r="Q478"/>
  <c r="Q217"/>
  <c r="Q248"/>
  <c r="Q309"/>
  <c r="Q294"/>
  <c r="Q420"/>
  <c r="Q129"/>
  <c r="Q343"/>
  <c r="Q48"/>
  <c r="Q236"/>
  <c r="Q480"/>
  <c r="Q329"/>
  <c r="Q228"/>
  <c r="Q190"/>
  <c r="Q147"/>
  <c r="Q169"/>
  <c r="Q164"/>
  <c r="Q288"/>
  <c r="Q430"/>
  <c r="Q327"/>
  <c r="Q108"/>
  <c r="Q333"/>
  <c r="Q158"/>
  <c r="Q504"/>
  <c r="Q388"/>
  <c r="Q175"/>
  <c r="Q286"/>
  <c r="Q340"/>
  <c r="Q140"/>
  <c r="Q328"/>
  <c r="Q253"/>
  <c r="Q89"/>
  <c r="Q497"/>
  <c r="Q138"/>
  <c r="Q357"/>
  <c r="Q103"/>
  <c r="Q212"/>
  <c r="Q437"/>
  <c r="Q424"/>
  <c r="Q170"/>
  <c r="Q178"/>
  <c r="Q52"/>
  <c r="Q100"/>
  <c r="Q197"/>
  <c r="Q308"/>
  <c r="Q183"/>
  <c r="Q304"/>
  <c r="Q97"/>
  <c r="Q77"/>
  <c r="Q305"/>
  <c r="Q496"/>
  <c r="Q470"/>
  <c r="Q113"/>
  <c r="Q245"/>
  <c r="Q461"/>
  <c r="Q47"/>
  <c r="Q69"/>
  <c r="Q342"/>
  <c r="Q33"/>
  <c r="Q225"/>
  <c r="Q241"/>
  <c r="Q36"/>
  <c r="Q482"/>
  <c r="Q81"/>
  <c r="Q321"/>
  <c r="Q331"/>
  <c r="Q130"/>
  <c r="Q244"/>
  <c r="Q67"/>
  <c r="Q394"/>
  <c r="Q385"/>
  <c r="Q359"/>
  <c r="Q85"/>
  <c r="Q207"/>
  <c r="Q139"/>
  <c r="Q20"/>
  <c r="Q452"/>
  <c r="Q198"/>
  <c r="Q134"/>
  <c r="Q459"/>
  <c r="Q155"/>
  <c r="Q235"/>
  <c r="Q513"/>
  <c r="Q102"/>
  <c r="Q145"/>
  <c r="Q403"/>
  <c r="Q501"/>
  <c r="Q256"/>
  <c r="Q185"/>
  <c r="Q372"/>
  <c r="Q119"/>
  <c r="Q271"/>
  <c r="Q148"/>
  <c r="Q218"/>
  <c r="Q456"/>
  <c r="Q168"/>
  <c r="Q379"/>
  <c r="Q384"/>
  <c r="Q514"/>
  <c r="Q203"/>
  <c r="Q90"/>
  <c r="Q141"/>
  <c r="Q368"/>
  <c r="Q29"/>
  <c r="Q460"/>
  <c r="Q132"/>
  <c r="Q192"/>
  <c r="Q335"/>
  <c r="Q121"/>
  <c r="Q354"/>
  <c r="Q312"/>
  <c r="Q299"/>
  <c r="Q454"/>
  <c r="Q396"/>
  <c r="Q73"/>
  <c r="Q118"/>
  <c r="Q414"/>
  <c r="Q389"/>
  <c r="Q400"/>
  <c r="Q326"/>
  <c r="Q177"/>
  <c r="Q30"/>
  <c r="Q472"/>
  <c r="Q204"/>
  <c r="Q153"/>
  <c r="Q171"/>
  <c r="Q284"/>
  <c r="Q339"/>
  <c r="Q110"/>
  <c r="Q126"/>
  <c r="BS489" i="12"/>
  <c r="BS201"/>
  <c r="BS423"/>
  <c r="BS64"/>
  <c r="BS484"/>
  <c r="BS158"/>
  <c r="BS151"/>
  <c r="BS500"/>
  <c r="BS189"/>
  <c r="BS467"/>
  <c r="BS391"/>
  <c r="BS148"/>
  <c r="BS494"/>
  <c r="BS20"/>
  <c r="BS364"/>
  <c r="BS85"/>
  <c r="BS465"/>
  <c r="BS200"/>
  <c r="BS19"/>
  <c r="BS414"/>
  <c r="BS173"/>
  <c r="BS315"/>
  <c r="BS18"/>
  <c r="BS454"/>
  <c r="BS469"/>
  <c r="BS101"/>
  <c r="BS281"/>
  <c r="BS122"/>
  <c r="BS409"/>
  <c r="BS149"/>
  <c r="BS269"/>
  <c r="BS480"/>
  <c r="BS511"/>
  <c r="BS124"/>
  <c r="BS227"/>
  <c r="BS456"/>
  <c r="BS274"/>
  <c r="BS163"/>
  <c r="BS66"/>
  <c r="BS411"/>
  <c r="BS450"/>
  <c r="BS272"/>
  <c r="BS434"/>
  <c r="BS131"/>
  <c r="BS136"/>
  <c r="BS221"/>
  <c r="BS226"/>
  <c r="BS215"/>
  <c r="BS104"/>
  <c r="BS371"/>
  <c r="BS137"/>
  <c r="BS373"/>
  <c r="BS408"/>
  <c r="BS502"/>
  <c r="BS445"/>
  <c r="BS361"/>
  <c r="BS507"/>
  <c r="BS429"/>
  <c r="BS176"/>
  <c r="BS172"/>
  <c r="BS246"/>
  <c r="BS279"/>
  <c r="BS68"/>
  <c r="BS98"/>
  <c r="BS498"/>
  <c r="BS30"/>
  <c r="BS284"/>
  <c r="BS117"/>
  <c r="BS61"/>
  <c r="BS477"/>
  <c r="BS389"/>
  <c r="BS139"/>
  <c r="BS399"/>
  <c r="BS464"/>
  <c r="BS292"/>
  <c r="BS275"/>
  <c r="BS51"/>
  <c r="BS297"/>
  <c r="BS470"/>
  <c r="BS418"/>
  <c r="BS89"/>
  <c r="BS244"/>
  <c r="BS514"/>
  <c r="BS419"/>
  <c r="BS303"/>
  <c r="BS443"/>
  <c r="BS143"/>
  <c r="BS60"/>
  <c r="BS70"/>
  <c r="BS230"/>
  <c r="BS181"/>
  <c r="BS277"/>
  <c r="BS263"/>
  <c r="BS256"/>
  <c r="BS26"/>
  <c r="BS198"/>
  <c r="BS331"/>
  <c r="BS21"/>
  <c r="BS43"/>
  <c r="BS339"/>
  <c r="BS260"/>
  <c r="BS492"/>
  <c r="BS209"/>
  <c r="BS121"/>
  <c r="BS332"/>
  <c r="BS287"/>
  <c r="BS478"/>
  <c r="BS390"/>
  <c r="BS111"/>
  <c r="BS161"/>
  <c r="BS53"/>
  <c r="BS48"/>
  <c r="BS37"/>
  <c r="BS56"/>
  <c r="BS129"/>
  <c r="BS52"/>
  <c r="BS211"/>
  <c r="BS441"/>
  <c r="BS83"/>
  <c r="BS337"/>
  <c r="BS415"/>
  <c r="BS493"/>
  <c r="BS333"/>
  <c r="BS194"/>
  <c r="BS183"/>
  <c r="BS253"/>
  <c r="BS460"/>
  <c r="BS412"/>
  <c r="BS225"/>
  <c r="BS394"/>
  <c r="BS178"/>
  <c r="BS499"/>
  <c r="BS426"/>
  <c r="BS278"/>
  <c r="BS119"/>
  <c r="BS186"/>
  <c r="BS74"/>
  <c r="BS182"/>
  <c r="BS153"/>
  <c r="BS259"/>
  <c r="BS235"/>
  <c r="BS33"/>
  <c r="BS325"/>
  <c r="BS168"/>
  <c r="BS329"/>
  <c r="BS320"/>
  <c r="BS496"/>
  <c r="BS428"/>
  <c r="BS424"/>
  <c r="BS144"/>
  <c r="BS255"/>
  <c r="BS224"/>
  <c r="BS213"/>
  <c r="BS309"/>
  <c r="BS180"/>
  <c r="BS513"/>
  <c r="BS508"/>
  <c r="BS155"/>
  <c r="BS140"/>
  <c r="BS102"/>
  <c r="BS451"/>
  <c r="BS109"/>
  <c r="BS334"/>
  <c r="BS486"/>
  <c r="BS91"/>
  <c r="BS351"/>
  <c r="BS76"/>
  <c r="BS73"/>
  <c r="BS79"/>
  <c r="BS132"/>
  <c r="BS328"/>
  <c r="BS25"/>
  <c r="BS435"/>
  <c r="BS29"/>
  <c r="BS126"/>
  <c r="BS190"/>
  <c r="BS365"/>
  <c r="BS228"/>
  <c r="BS196"/>
  <c r="BS302"/>
  <c r="BS179"/>
  <c r="BS97"/>
  <c r="BS476"/>
  <c r="BS110"/>
  <c r="BS185"/>
  <c r="BS433"/>
  <c r="BS160"/>
  <c r="BS77"/>
  <c r="BS317"/>
  <c r="BS288"/>
  <c r="BS431"/>
  <c r="BS403"/>
  <c r="BS324"/>
  <c r="BS257"/>
  <c r="BS491"/>
  <c r="BS310"/>
  <c r="BS223"/>
  <c r="BS488"/>
  <c r="BS133"/>
  <c r="BS358"/>
  <c r="BS219"/>
  <c r="BS23"/>
  <c r="BS134"/>
  <c r="BS245"/>
  <c r="BS15"/>
  <c r="BS308"/>
  <c r="BS362"/>
  <c r="BS417"/>
  <c r="BS316"/>
  <c r="BS294"/>
  <c r="BS386"/>
  <c r="BS421"/>
  <c r="BS36"/>
  <c r="BS354"/>
  <c r="BS264"/>
  <c r="BS115"/>
  <c r="BS322"/>
  <c r="BS301"/>
  <c r="BS116"/>
  <c r="BS216"/>
  <c r="BS146"/>
  <c r="BS402"/>
  <c r="BS242"/>
  <c r="BS35"/>
  <c r="BS218"/>
  <c r="BS42"/>
  <c r="BS503"/>
  <c r="BS388"/>
  <c r="BS270"/>
  <c r="BS380"/>
  <c r="BS342"/>
  <c r="BS59"/>
  <c r="BS293"/>
  <c r="BS46"/>
  <c r="BS374"/>
  <c r="BS169"/>
  <c r="BS384"/>
  <c r="BS250"/>
  <c r="BS298"/>
  <c r="BS108"/>
  <c r="BS174"/>
  <c r="BS510"/>
  <c r="BS327"/>
  <c r="BS307"/>
  <c r="BS195"/>
  <c r="BS378"/>
  <c r="BS58"/>
  <c r="BS468"/>
  <c r="BS289"/>
  <c r="BS17"/>
  <c r="BS472"/>
  <c r="BS210"/>
  <c r="BS165"/>
  <c r="BS240"/>
  <c r="BS341"/>
  <c r="BS268"/>
  <c r="BS41"/>
  <c r="BS449"/>
  <c r="BS442"/>
  <c r="BS80"/>
  <c r="BS446"/>
  <c r="BS436"/>
  <c r="BS273"/>
  <c r="BS393"/>
  <c r="BS471"/>
  <c r="BS487"/>
  <c r="BS63"/>
  <c r="BS473"/>
  <c r="BS105"/>
  <c r="BS383"/>
  <c r="BS299"/>
  <c r="BS282"/>
  <c r="BS167"/>
  <c r="BS65"/>
  <c r="BS397"/>
  <c r="BS191"/>
  <c r="BS405"/>
  <c r="BS212"/>
  <c r="BS103"/>
  <c r="BS314"/>
  <c r="BS347"/>
  <c r="BS357"/>
  <c r="BS62"/>
  <c r="BS372"/>
  <c r="BS313"/>
  <c r="BS128"/>
  <c r="BS177"/>
  <c r="BS296"/>
  <c r="BS457"/>
  <c r="BS152"/>
  <c r="BS439"/>
  <c r="BS82"/>
  <c r="BS369"/>
  <c r="BS366"/>
  <c r="BS497"/>
  <c r="BS505"/>
  <c r="BS16"/>
  <c r="BU16" s="1"/>
  <c r="BS47"/>
  <c r="BS276"/>
  <c r="BS427"/>
  <c r="BS512"/>
  <c r="BS243"/>
  <c r="BS300"/>
  <c r="BS355"/>
  <c r="BS360"/>
  <c r="BS286"/>
  <c r="BS410"/>
  <c r="BS123"/>
  <c r="BS485"/>
  <c r="BS420"/>
  <c r="BS106"/>
  <c r="BS192"/>
  <c r="BS258"/>
  <c r="BS490"/>
  <c r="BS239"/>
  <c r="BS363"/>
  <c r="BS138"/>
  <c r="BS217"/>
  <c r="BS376"/>
  <c r="BS251"/>
  <c r="BS199"/>
  <c r="BS453"/>
  <c r="BS208"/>
  <c r="BS50"/>
  <c r="BS375"/>
  <c r="BS304"/>
  <c r="BS32"/>
  <c r="BS241"/>
  <c r="BS482"/>
  <c r="BS252"/>
  <c r="BS461"/>
  <c r="BS356"/>
  <c r="BS234"/>
  <c r="BS214"/>
  <c r="BS285"/>
  <c r="BS261"/>
  <c r="BS28"/>
  <c r="BS336"/>
  <c r="BS291"/>
  <c r="BS343"/>
  <c r="BS459"/>
  <c r="BS157"/>
  <c r="BS382"/>
  <c r="BS69"/>
  <c r="BS175"/>
  <c r="BS311"/>
  <c r="BS346"/>
  <c r="BS54"/>
  <c r="BS203"/>
  <c r="BS474"/>
  <c r="BS150"/>
  <c r="BS338"/>
  <c r="BS24"/>
  <c r="BS39"/>
  <c r="BS31"/>
  <c r="BS344"/>
  <c r="BS452"/>
  <c r="BS247"/>
  <c r="BS458"/>
  <c r="BS164"/>
  <c r="BS141"/>
  <c r="BS438"/>
  <c r="BS238"/>
  <c r="BS353"/>
  <c r="BS197"/>
  <c r="BS162"/>
  <c r="BS290"/>
  <c r="BS319"/>
  <c r="BS72"/>
  <c r="BS75"/>
  <c r="BS135"/>
  <c r="BS401"/>
  <c r="BS78"/>
  <c r="BS207"/>
  <c r="BS93"/>
  <c r="BS305"/>
  <c r="BS352"/>
  <c r="BS262"/>
  <c r="BS81"/>
  <c r="BS330"/>
  <c r="BS114"/>
  <c r="BS170"/>
  <c r="BS271"/>
  <c r="BS318"/>
  <c r="BS422"/>
  <c r="BS99"/>
  <c r="BS55"/>
  <c r="BS416"/>
  <c r="BS381"/>
  <c r="BS90"/>
  <c r="BS483"/>
  <c r="BS312"/>
  <c r="BS127"/>
  <c r="BS368"/>
  <c r="BS266"/>
  <c r="BS38"/>
  <c r="BS107"/>
  <c r="BS120"/>
  <c r="BS100"/>
  <c r="BS220"/>
  <c r="BS49"/>
  <c r="BS86"/>
  <c r="BS407"/>
  <c r="BS447"/>
  <c r="BS377"/>
  <c r="BS130"/>
  <c r="BS462"/>
  <c r="BS112"/>
  <c r="BS387"/>
  <c r="BS440"/>
  <c r="BS154"/>
  <c r="BS432"/>
  <c r="BS340"/>
  <c r="BS444"/>
  <c r="BS335"/>
  <c r="BS448"/>
  <c r="BS45"/>
  <c r="BS237"/>
  <c r="BS193"/>
  <c r="BS504"/>
  <c r="BS345"/>
  <c r="BS398"/>
  <c r="BS95"/>
  <c r="BS481"/>
  <c r="BS205"/>
  <c r="BS22"/>
  <c r="BS359"/>
  <c r="BS392"/>
  <c r="BS350"/>
  <c r="BS370"/>
  <c r="BS222"/>
  <c r="BS395"/>
  <c r="BS166"/>
  <c r="BS367"/>
  <c r="BS430"/>
  <c r="BS323"/>
  <c r="BS156"/>
  <c r="BS437"/>
  <c r="BS206"/>
  <c r="BS406"/>
  <c r="BS475"/>
  <c r="BS265"/>
  <c r="BS501"/>
  <c r="BS466"/>
  <c r="BS92"/>
  <c r="BS188"/>
  <c r="BS229"/>
  <c r="BS184"/>
  <c r="BS379"/>
  <c r="BS267"/>
  <c r="BS400"/>
  <c r="BS159"/>
  <c r="BS248"/>
  <c r="BS44"/>
  <c r="BS27"/>
  <c r="BS88"/>
  <c r="BS232"/>
  <c r="BS84"/>
  <c r="BS495"/>
  <c r="BS67"/>
  <c r="BS506"/>
  <c r="BS479"/>
  <c r="BS413"/>
  <c r="BS113"/>
  <c r="BS349"/>
  <c r="BS236"/>
  <c r="BS145"/>
  <c r="BS280"/>
  <c r="BS87"/>
  <c r="BS34"/>
  <c r="BS463"/>
  <c r="BS147"/>
  <c r="BS326"/>
  <c r="BS142"/>
  <c r="BS96"/>
  <c r="BS321"/>
  <c r="BS57"/>
  <c r="BS283"/>
  <c r="BS385"/>
  <c r="BS233"/>
  <c r="BS204"/>
  <c r="BS118"/>
  <c r="BS425"/>
  <c r="BS249"/>
  <c r="BS94"/>
  <c r="BS254"/>
  <c r="BS509"/>
  <c r="BS396"/>
  <c r="BS348"/>
  <c r="BS187"/>
  <c r="BS404"/>
  <c r="BS231"/>
  <c r="BS40"/>
  <c r="BS202"/>
  <c r="BS306"/>
  <c r="BS125"/>
  <c r="BS71"/>
  <c r="BS171"/>
  <c r="BS295"/>
  <c r="BS455"/>
  <c r="EL28"/>
  <c r="ET28" s="1"/>
  <c r="EL32"/>
  <c r="ET32" s="1"/>
  <c r="EL24"/>
  <c r="ET24" s="1"/>
  <c r="EL29"/>
  <c r="ET29" s="1"/>
  <c r="EL17"/>
  <c r="ET17" s="1"/>
  <c r="EL27"/>
  <c r="ET27" s="1"/>
  <c r="EL37"/>
  <c r="EL18"/>
  <c r="ET18" s="1"/>
  <c r="EL19"/>
  <c r="ET19" s="1"/>
  <c r="EL22"/>
  <c r="ET22" s="1"/>
  <c r="EL26"/>
  <c r="ET26" s="1"/>
  <c r="EL31"/>
  <c r="EL39"/>
  <c r="EL36"/>
  <c r="EL21"/>
  <c r="ET21" s="1"/>
  <c r="EL20"/>
  <c r="ET20" s="1"/>
  <c r="EL25"/>
  <c r="ET25" s="1"/>
  <c r="EL34"/>
  <c r="EL38"/>
  <c r="EL16"/>
  <c r="ET16" s="1"/>
  <c r="EL15"/>
  <c r="ET15" s="1"/>
  <c r="EL14"/>
  <c r="ET14" s="1"/>
  <c r="EL23"/>
  <c r="ET23" s="1"/>
  <c r="EL33"/>
  <c r="ET33" s="1"/>
  <c r="EL30"/>
  <c r="EL35"/>
  <c r="ET35" s="1"/>
  <c r="EL40"/>
  <c r="CD11" i="1"/>
  <c r="CD10"/>
  <c r="CD8"/>
  <c r="CD9"/>
  <c r="CD7"/>
  <c r="AT15" i="10" l="1"/>
  <c r="AT5" s="1"/>
  <c r="BX5"/>
  <c r="BX7" s="1"/>
  <c r="BU17" i="12"/>
  <c r="BU18" s="1"/>
  <c r="BU19" s="1"/>
  <c r="EP26"/>
  <c r="EQ26" s="1"/>
  <c r="EP23"/>
  <c r="EQ23" s="1"/>
  <c r="EP25"/>
  <c r="EQ25" s="1"/>
  <c r="EP17"/>
  <c r="EQ17" s="1"/>
  <c r="EP33"/>
  <c r="EQ33" s="1"/>
  <c r="EP27"/>
  <c r="EQ27" s="1"/>
  <c r="EP28"/>
  <c r="EQ28" s="1"/>
  <c r="EP35"/>
  <c r="EQ35" s="1"/>
  <c r="EP16"/>
  <c r="EQ16" s="1"/>
  <c r="EP18"/>
  <c r="EQ18" s="1"/>
  <c r="EP32"/>
  <c r="EQ32" s="1"/>
  <c r="EP15"/>
  <c r="EQ15" s="1"/>
  <c r="EP21"/>
  <c r="EQ21" s="1"/>
  <c r="EP19"/>
  <c r="EQ19" s="1"/>
  <c r="EP24"/>
  <c r="EQ24" s="1"/>
  <c r="EP20"/>
  <c r="EQ20" s="1"/>
  <c r="EP22"/>
  <c r="EQ22" s="1"/>
  <c r="EP29"/>
  <c r="EQ29" s="1"/>
  <c r="AU5" i="10" l="1"/>
  <c r="AT7"/>
  <c r="AU7" s="1"/>
  <c r="BW16" i="12"/>
  <c r="BY16" s="1"/>
  <c r="BU20"/>
  <c r="BU21" s="1"/>
  <c r="BU22" s="1"/>
  <c r="BU23" s="1"/>
  <c r="BU24" l="1"/>
  <c r="BU25" s="1"/>
  <c r="BU26" s="1"/>
  <c r="BU27" s="1"/>
  <c r="BW17"/>
  <c r="BY17" s="1"/>
  <c r="BU28" l="1"/>
  <c r="BU29" s="1"/>
  <c r="BU30" s="1"/>
  <c r="BU31" s="1"/>
  <c r="BU32" s="1"/>
  <c r="BU33" s="1"/>
  <c r="BU34" s="1"/>
  <c r="BU35" s="1"/>
  <c r="BW18"/>
  <c r="BY18" s="1"/>
  <c r="BU36" l="1"/>
  <c r="BU37" s="1"/>
  <c r="BU38" s="1"/>
  <c r="BU39" s="1"/>
  <c r="BW19"/>
  <c r="BY19" s="1"/>
  <c r="BU40" l="1"/>
  <c r="BU41" s="1"/>
  <c r="BU42" s="1"/>
  <c r="BU43" s="1"/>
  <c r="BW20"/>
  <c r="BY20" s="1"/>
  <c r="BU44" l="1"/>
  <c r="BU45" s="1"/>
  <c r="BU46" s="1"/>
  <c r="BU47" s="1"/>
  <c r="BW21"/>
  <c r="BY21" s="1"/>
  <c r="BU48" l="1"/>
  <c r="BU49" s="1"/>
  <c r="BU50" s="1"/>
  <c r="BU51" s="1"/>
  <c r="BW22"/>
  <c r="BY22" s="1"/>
  <c r="BW23" l="1"/>
  <c r="BY23" s="1"/>
  <c r="BU52"/>
  <c r="BU53" s="1"/>
  <c r="BU54" s="1"/>
  <c r="BU55" s="1"/>
  <c r="BU56" l="1"/>
  <c r="BU57" s="1"/>
  <c r="BU58" s="1"/>
  <c r="BU59" s="1"/>
  <c r="BW24"/>
  <c r="BY24" s="1"/>
  <c r="BU60" l="1"/>
  <c r="BU61" s="1"/>
  <c r="BU62" s="1"/>
  <c r="BU63" s="1"/>
  <c r="BW25"/>
  <c r="BY25" s="1"/>
  <c r="BU64" l="1"/>
  <c r="BU65" s="1"/>
  <c r="BU66" s="1"/>
  <c r="BU67" s="1"/>
  <c r="BU68" s="1"/>
  <c r="BU69" s="1"/>
  <c r="BU70" s="1"/>
  <c r="BU71" s="1"/>
  <c r="BU72" s="1"/>
  <c r="BU73" s="1"/>
  <c r="BU74" s="1"/>
  <c r="BU75" s="1"/>
  <c r="BW26"/>
  <c r="BY26" s="1"/>
  <c r="BU76" l="1"/>
  <c r="BU77" s="1"/>
  <c r="BU78" s="1"/>
  <c r="BU79" s="1"/>
  <c r="BU80" s="1"/>
  <c r="BU81" s="1"/>
  <c r="BU82" s="1"/>
  <c r="BU83" s="1"/>
  <c r="BU84" s="1"/>
  <c r="BU85" s="1"/>
  <c r="BU86" s="1"/>
  <c r="BU87" s="1"/>
  <c r="BU88" s="1"/>
  <c r="BU89" s="1"/>
  <c r="BU90" s="1"/>
  <c r="BU91" s="1"/>
  <c r="BU92" s="1"/>
  <c r="BU93" s="1"/>
  <c r="BU94" s="1"/>
  <c r="BU95" s="1"/>
  <c r="BW27"/>
  <c r="BY27" s="1"/>
  <c r="BU96" l="1"/>
  <c r="BU97" s="1"/>
  <c r="BU98" s="1"/>
  <c r="BU99" s="1"/>
  <c r="BU100" s="1"/>
  <c r="BU101" s="1"/>
  <c r="BU102" s="1"/>
  <c r="BU103" s="1"/>
  <c r="BU104" s="1"/>
  <c r="BU105" s="1"/>
  <c r="BU106" s="1"/>
  <c r="BU107" s="1"/>
  <c r="BU108" s="1"/>
  <c r="BU109" s="1"/>
  <c r="BU110" s="1"/>
  <c r="BU111" s="1"/>
  <c r="BU112" s="1"/>
  <c r="BU113" s="1"/>
  <c r="BU114" s="1"/>
  <c r="BU115" s="1"/>
  <c r="BW28"/>
  <c r="BY28" s="1"/>
  <c r="BU116" l="1"/>
  <c r="BU117" s="1"/>
  <c r="BU118" s="1"/>
  <c r="BU119" s="1"/>
  <c r="BU120" s="1"/>
  <c r="BU121" s="1"/>
  <c r="BU122" s="1"/>
  <c r="BU123" s="1"/>
  <c r="BU124" s="1"/>
  <c r="BU125" s="1"/>
  <c r="BU126" s="1"/>
  <c r="BU127" s="1"/>
  <c r="BU128" s="1"/>
  <c r="BU129" s="1"/>
  <c r="BU130" s="1"/>
  <c r="BU131" s="1"/>
  <c r="BU132" s="1"/>
  <c r="BU133" s="1"/>
  <c r="BU134" s="1"/>
  <c r="BU135" s="1"/>
  <c r="BW29"/>
  <c r="BY29" s="1"/>
  <c r="BU136" l="1"/>
  <c r="BU137" s="1"/>
  <c r="BU138" s="1"/>
  <c r="BU139" s="1"/>
  <c r="BU140" s="1"/>
  <c r="BU141" s="1"/>
  <c r="BU142" s="1"/>
  <c r="BU143" s="1"/>
  <c r="BU144" s="1"/>
  <c r="BU145" s="1"/>
  <c r="BU146" s="1"/>
  <c r="BU147" s="1"/>
  <c r="BU148" s="1"/>
  <c r="BU149" s="1"/>
  <c r="BU150" s="1"/>
  <c r="BU151" s="1"/>
  <c r="BU152" s="1"/>
  <c r="BU153" s="1"/>
  <c r="BU154" s="1"/>
  <c r="BU155" s="1"/>
  <c r="BW30"/>
  <c r="BY30" s="1"/>
  <c r="BU156" l="1"/>
  <c r="BU157" s="1"/>
  <c r="BU158" s="1"/>
  <c r="BU159" s="1"/>
  <c r="BU160" s="1"/>
  <c r="BU161" s="1"/>
  <c r="BU162" s="1"/>
  <c r="BU163" s="1"/>
  <c r="BU164" s="1"/>
  <c r="BU165" s="1"/>
  <c r="BU166" s="1"/>
  <c r="BU167" s="1"/>
  <c r="BU168" s="1"/>
  <c r="BU169" s="1"/>
  <c r="BU170" s="1"/>
  <c r="BU171" s="1"/>
  <c r="BU172" s="1"/>
  <c r="BU173" s="1"/>
  <c r="BU174" s="1"/>
  <c r="BU175" s="1"/>
  <c r="BW31"/>
  <c r="BY31" s="1"/>
  <c r="BU176" l="1"/>
  <c r="BU177" s="1"/>
  <c r="BU178" s="1"/>
  <c r="BU179" s="1"/>
  <c r="BU180" s="1"/>
  <c r="BU181" s="1"/>
  <c r="BU182" s="1"/>
  <c r="BU183" s="1"/>
  <c r="BU184" s="1"/>
  <c r="BU185" s="1"/>
  <c r="BU186" s="1"/>
  <c r="BU187" s="1"/>
  <c r="BU188" s="1"/>
  <c r="BU189" s="1"/>
  <c r="BU190" s="1"/>
  <c r="BU191" s="1"/>
  <c r="BU192" s="1"/>
  <c r="BU193" s="1"/>
  <c r="BU194" s="1"/>
  <c r="BU195" s="1"/>
  <c r="BU196" s="1"/>
  <c r="BU197" s="1"/>
  <c r="BU198" s="1"/>
  <c r="BU199" s="1"/>
  <c r="BU200" s="1"/>
  <c r="BU201" s="1"/>
  <c r="BU202" s="1"/>
  <c r="BU203" s="1"/>
  <c r="BU204" s="1"/>
  <c r="BU205" s="1"/>
  <c r="BU206" s="1"/>
  <c r="BU207" s="1"/>
  <c r="BU208" s="1"/>
  <c r="BU209" s="1"/>
  <c r="BU210" s="1"/>
  <c r="BU211" s="1"/>
  <c r="BU212" s="1"/>
  <c r="BU213" s="1"/>
  <c r="BU214" s="1"/>
  <c r="BU215" s="1"/>
  <c r="BU216" s="1"/>
  <c r="BU217" s="1"/>
  <c r="BU218" s="1"/>
  <c r="BU219" s="1"/>
  <c r="BU220" s="1"/>
  <c r="BU221" s="1"/>
  <c r="BU222" s="1"/>
  <c r="BU223" s="1"/>
  <c r="BU224" s="1"/>
  <c r="BU225" s="1"/>
  <c r="BU226" s="1"/>
  <c r="BU227" s="1"/>
  <c r="BU228" s="1"/>
  <c r="BU229" s="1"/>
  <c r="BU230" s="1"/>
  <c r="BU231" s="1"/>
  <c r="BU232" s="1"/>
  <c r="BU233" s="1"/>
  <c r="BU234" s="1"/>
  <c r="BU235" s="1"/>
  <c r="BU236" s="1"/>
  <c r="BU237" s="1"/>
  <c r="BU238" s="1"/>
  <c r="BU239" s="1"/>
  <c r="BU240" s="1"/>
  <c r="BU241" s="1"/>
  <c r="BU242" s="1"/>
  <c r="BU243" s="1"/>
  <c r="BU244" s="1"/>
  <c r="BU245" s="1"/>
  <c r="BU246" s="1"/>
  <c r="BU247" s="1"/>
  <c r="BU248" s="1"/>
  <c r="BU249" s="1"/>
  <c r="BU250" s="1"/>
  <c r="BU251" s="1"/>
  <c r="BU252" s="1"/>
  <c r="BU253" s="1"/>
  <c r="BU254" s="1"/>
  <c r="BU255" s="1"/>
  <c r="BU256" s="1"/>
  <c r="BU257" s="1"/>
  <c r="BU258" s="1"/>
  <c r="BU259" s="1"/>
  <c r="BU260" s="1"/>
  <c r="BU261" s="1"/>
  <c r="BU262" s="1"/>
  <c r="BU263" s="1"/>
  <c r="BU264" s="1"/>
  <c r="BU265" s="1"/>
  <c r="BU266" s="1"/>
  <c r="BU267" s="1"/>
  <c r="BU268" s="1"/>
  <c r="BU269" s="1"/>
  <c r="BU270" s="1"/>
  <c r="BU271" s="1"/>
  <c r="BU272" s="1"/>
  <c r="BU273" s="1"/>
  <c r="BU274" s="1"/>
  <c r="BU275" s="1"/>
  <c r="BU276" s="1"/>
  <c r="BU277" s="1"/>
  <c r="BU278" s="1"/>
  <c r="BU279" s="1"/>
  <c r="BU280" s="1"/>
  <c r="BU281" s="1"/>
  <c r="BU282" s="1"/>
  <c r="BU283" s="1"/>
  <c r="BU284" s="1"/>
  <c r="BU285" s="1"/>
  <c r="BU286" s="1"/>
  <c r="BU287" s="1"/>
  <c r="BU288" s="1"/>
  <c r="BU289" s="1"/>
  <c r="BU290" s="1"/>
  <c r="BU291" s="1"/>
  <c r="BU292" s="1"/>
  <c r="BU293" s="1"/>
  <c r="BU294" s="1"/>
  <c r="BU295" s="1"/>
  <c r="BU296" s="1"/>
  <c r="BU297" s="1"/>
  <c r="BU298" s="1"/>
  <c r="BU299" s="1"/>
  <c r="BU300" s="1"/>
  <c r="BU301" s="1"/>
  <c r="BU302" s="1"/>
  <c r="BU303" s="1"/>
  <c r="BU304" s="1"/>
  <c r="BU305" s="1"/>
  <c r="BU306" s="1"/>
  <c r="BU307" s="1"/>
  <c r="BU308" s="1"/>
  <c r="BU309" s="1"/>
  <c r="BU310" s="1"/>
  <c r="BU311" s="1"/>
  <c r="BU312" s="1"/>
  <c r="BU313" s="1"/>
  <c r="BU314" s="1"/>
  <c r="BU315" s="1"/>
  <c r="BU316" s="1"/>
  <c r="BU317" s="1"/>
  <c r="BU318" s="1"/>
  <c r="BU319" s="1"/>
  <c r="BU320" s="1"/>
  <c r="BU321" s="1"/>
  <c r="BU322" s="1"/>
  <c r="BU323" s="1"/>
  <c r="BU324" s="1"/>
  <c r="BU325" s="1"/>
  <c r="BU326" s="1"/>
  <c r="BU327" s="1"/>
  <c r="BU328" s="1"/>
  <c r="BU329" s="1"/>
  <c r="BU330" s="1"/>
  <c r="BU331" s="1"/>
  <c r="BU332" s="1"/>
  <c r="BU333" s="1"/>
  <c r="BU334" s="1"/>
  <c r="BU335" s="1"/>
  <c r="BU336" s="1"/>
  <c r="BU337" s="1"/>
  <c r="BU338" s="1"/>
  <c r="BU339" s="1"/>
  <c r="BU340" s="1"/>
  <c r="BU341" s="1"/>
  <c r="BU342" s="1"/>
  <c r="BU343" s="1"/>
  <c r="BU344" s="1"/>
  <c r="BU345" s="1"/>
  <c r="BU346" s="1"/>
  <c r="BU347" s="1"/>
  <c r="BU348" s="1"/>
  <c r="BU349" s="1"/>
  <c r="BU350" s="1"/>
  <c r="BU351" s="1"/>
  <c r="BU352" s="1"/>
  <c r="BU353" s="1"/>
  <c r="BU354" s="1"/>
  <c r="BU355" s="1"/>
  <c r="BU356" s="1"/>
  <c r="BU357" s="1"/>
  <c r="BU358" s="1"/>
  <c r="BU359" s="1"/>
  <c r="BU360" s="1"/>
  <c r="BU361" s="1"/>
  <c r="BU362" s="1"/>
  <c r="BU363" s="1"/>
  <c r="BU364" s="1"/>
  <c r="BU365" s="1"/>
  <c r="BU366" s="1"/>
  <c r="BU367" s="1"/>
  <c r="BU368" s="1"/>
  <c r="BU369" s="1"/>
  <c r="BU370" s="1"/>
  <c r="BU371" s="1"/>
  <c r="BU372" s="1"/>
  <c r="BU373" s="1"/>
  <c r="BU374" s="1"/>
  <c r="BU375" s="1"/>
  <c r="BU376" s="1"/>
  <c r="BU377" s="1"/>
  <c r="BU378" s="1"/>
  <c r="BU379" s="1"/>
  <c r="BU380" s="1"/>
  <c r="BU381" s="1"/>
  <c r="BU382" s="1"/>
  <c r="BU383" s="1"/>
  <c r="BU384" s="1"/>
  <c r="BU385" s="1"/>
  <c r="BU386" s="1"/>
  <c r="BU387" s="1"/>
  <c r="BU388" s="1"/>
  <c r="BU389" s="1"/>
  <c r="BU390" s="1"/>
  <c r="BU391" s="1"/>
  <c r="BU392" s="1"/>
  <c r="BU393" s="1"/>
  <c r="BU394" s="1"/>
  <c r="BU395" s="1"/>
  <c r="BU396" s="1"/>
  <c r="BU397" s="1"/>
  <c r="BU398" s="1"/>
  <c r="BU399" s="1"/>
  <c r="BU400" s="1"/>
  <c r="BU401" s="1"/>
  <c r="BU402" s="1"/>
  <c r="BU403" s="1"/>
  <c r="BU404" s="1"/>
  <c r="BU405" s="1"/>
  <c r="BU406" s="1"/>
  <c r="BU407" s="1"/>
  <c r="BU408" s="1"/>
  <c r="BU409" s="1"/>
  <c r="BU410" s="1"/>
  <c r="BU411" s="1"/>
  <c r="BU412" s="1"/>
  <c r="BU413" s="1"/>
  <c r="BU414" s="1"/>
  <c r="BU415" s="1"/>
  <c r="BU416" s="1"/>
  <c r="BU417" s="1"/>
  <c r="BU418" s="1"/>
  <c r="BU419" s="1"/>
  <c r="BU420" s="1"/>
  <c r="BU421" s="1"/>
  <c r="BU422" s="1"/>
  <c r="BU423" s="1"/>
  <c r="BU424" s="1"/>
  <c r="BU425" s="1"/>
  <c r="BU426" s="1"/>
  <c r="BU427" s="1"/>
  <c r="BU428" s="1"/>
  <c r="BU429" s="1"/>
  <c r="BU430" s="1"/>
  <c r="BU431" s="1"/>
  <c r="BU432" s="1"/>
  <c r="BU433" s="1"/>
  <c r="BU434" s="1"/>
  <c r="BU435" s="1"/>
  <c r="BU436" s="1"/>
  <c r="BU437" s="1"/>
  <c r="BU438" s="1"/>
  <c r="BU439" s="1"/>
  <c r="BU440" s="1"/>
  <c r="BU441" s="1"/>
  <c r="BU442" s="1"/>
  <c r="BU443" s="1"/>
  <c r="BU444" s="1"/>
  <c r="BU445" s="1"/>
  <c r="BU446" s="1"/>
  <c r="BU447" s="1"/>
  <c r="BU448" s="1"/>
  <c r="BU449" s="1"/>
  <c r="BU450" s="1"/>
  <c r="BU451" s="1"/>
  <c r="BU452" s="1"/>
  <c r="BU453" s="1"/>
  <c r="BU454" s="1"/>
  <c r="BU455" s="1"/>
  <c r="BU456" s="1"/>
  <c r="BU457" s="1"/>
  <c r="BU458" s="1"/>
  <c r="BU459" s="1"/>
  <c r="BU460" s="1"/>
  <c r="BU461" s="1"/>
  <c r="BU462" s="1"/>
  <c r="BU463" s="1"/>
  <c r="BU464" s="1"/>
  <c r="BU465" s="1"/>
  <c r="BU466" s="1"/>
  <c r="BU467" s="1"/>
  <c r="BU468" s="1"/>
  <c r="BU469" s="1"/>
  <c r="BU470" s="1"/>
  <c r="BU471" s="1"/>
  <c r="BU472" s="1"/>
  <c r="BU473" s="1"/>
  <c r="BU474" s="1"/>
  <c r="BU475" s="1"/>
  <c r="BU476" s="1"/>
  <c r="BU477" s="1"/>
  <c r="BU478" s="1"/>
  <c r="BU479" s="1"/>
  <c r="BU480" s="1"/>
  <c r="BU481" s="1"/>
  <c r="BU482" s="1"/>
  <c r="BU483" s="1"/>
  <c r="BU484" s="1"/>
  <c r="BU485" s="1"/>
  <c r="BU486" s="1"/>
  <c r="BU487" s="1"/>
  <c r="BU488" s="1"/>
  <c r="BU489" s="1"/>
  <c r="BU490" s="1"/>
  <c r="BU491" s="1"/>
  <c r="BU492" s="1"/>
  <c r="BU493" s="1"/>
  <c r="BU494" s="1"/>
  <c r="BU495" s="1"/>
  <c r="BU496" s="1"/>
  <c r="BU497" s="1"/>
  <c r="BU498" s="1"/>
  <c r="BU499" s="1"/>
  <c r="BU500" s="1"/>
  <c r="BU501" s="1"/>
  <c r="BU502" s="1"/>
  <c r="BU503" s="1"/>
  <c r="BU504" s="1"/>
  <c r="BU505" s="1"/>
  <c r="BU506" s="1"/>
  <c r="BU507" s="1"/>
  <c r="BU508" s="1"/>
  <c r="BU509" s="1"/>
  <c r="BU510" s="1"/>
  <c r="BU511" s="1"/>
  <c r="BU512" s="1"/>
  <c r="BU513" s="1"/>
  <c r="BU514" s="1"/>
  <c r="BW32"/>
  <c r="BY32" s="1"/>
</calcChain>
</file>

<file path=xl/sharedStrings.xml><?xml version="1.0" encoding="utf-8"?>
<sst xmlns="http://schemas.openxmlformats.org/spreadsheetml/2006/main" count="3063" uniqueCount="801">
  <si>
    <t>1M</t>
  </si>
  <si>
    <t>2M</t>
  </si>
  <si>
    <t>3M</t>
  </si>
  <si>
    <t>4M</t>
  </si>
  <si>
    <t>5M</t>
  </si>
  <si>
    <t>6M</t>
  </si>
  <si>
    <t>ON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</si>
  <si>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</si>
  <si>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</si>
  <si>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</si>
  <si>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</si>
  <si>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</si>
  <si>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</si>
  <si>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</si>
  <si>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</si>
  <si>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</si>
  <si>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</si>
  <si>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</si>
  <si>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</si>
  <si>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</si>
  <si>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MID</t>
  </si>
  <si>
    <t>BOND FUTURES</t>
  </si>
  <si>
    <t>BILL FUTURES</t>
  </si>
  <si>
    <t>CASH AND BILLS</t>
  </si>
  <si>
    <t>SWAPS</t>
  </si>
  <si>
    <t>RATE</t>
  </si>
  <si>
    <t>1Y</t>
  </si>
  <si>
    <t>2Y</t>
  </si>
  <si>
    <t>40Y</t>
  </si>
  <si>
    <t>M1</t>
  </si>
  <si>
    <t>EFP</t>
  </si>
  <si>
    <t>TN</t>
  </si>
  <si>
    <t>9M</t>
  </si>
  <si>
    <t>TODAY</t>
  </si>
  <si>
    <t>FRAS</t>
  </si>
  <si>
    <t>3v6</t>
  </si>
  <si>
    <t>1v3</t>
  </si>
  <si>
    <t>OIS</t>
  </si>
  <si>
    <t>Cash v 3M</t>
  </si>
  <si>
    <t>SHORT SWAPS</t>
  </si>
  <si>
    <t>REC</t>
  </si>
  <si>
    <t>PAY</t>
  </si>
  <si>
    <t xml:space="preserve">  ICAP</t>
  </si>
  <si>
    <t xml:space="preserve">    TULLET</t>
  </si>
  <si>
    <t xml:space="preserve">  BGC</t>
  </si>
  <si>
    <t>BID</t>
  </si>
  <si>
    <t>ASK</t>
  </si>
  <si>
    <t>EXPIRE DATE</t>
  </si>
  <si>
    <t>AUCASH=</t>
  </si>
  <si>
    <t>PRIMACT 1</t>
  </si>
  <si>
    <t>AUDQM3AB1Y=ICAA</t>
  </si>
  <si>
    <t>AUDQM3AB2Y=ICAA</t>
  </si>
  <si>
    <t>AUDQM3AB3Y=ICAA</t>
  </si>
  <si>
    <t>AUDSM6AB4Y=ICAA</t>
  </si>
  <si>
    <t>AUDSM6AB5Y=ICAA</t>
  </si>
  <si>
    <t>AUDSM6AB6Y=ICAA</t>
  </si>
  <si>
    <t>AUDSM6AB7Y=ICAA</t>
  </si>
  <si>
    <t>AUDSM6AB8Y=ICAA</t>
  </si>
  <si>
    <t>AUDSM6AB9Y=ICAA</t>
  </si>
  <si>
    <t>AUDSM6AB10Y=ICAA</t>
  </si>
  <si>
    <t>AUDSM6AB12Y=ICAA</t>
  </si>
  <si>
    <t>AUDSM6AB15Y=ICAA</t>
  </si>
  <si>
    <t>AUDSM6AB20Y=ICAA</t>
  </si>
  <si>
    <t>AUDSM6AB25Y=ICAA</t>
  </si>
  <si>
    <t>AUDSM6AB30Y=ICAA</t>
  </si>
  <si>
    <t>AUDSM6AB40Y=ICAA</t>
  </si>
  <si>
    <t>AUDQM3AB1Y=TTKL</t>
  </si>
  <si>
    <t>ROW80_13</t>
  </si>
  <si>
    <t>ROW80_14</t>
  </si>
  <si>
    <t>ROW80_15</t>
  </si>
  <si>
    <t>ROW80_16</t>
  </si>
  <si>
    <t>ROW80_17</t>
  </si>
  <si>
    <t>ROW80_18</t>
  </si>
  <si>
    <t>ROW80_19</t>
  </si>
  <si>
    <t>ROW80_20</t>
  </si>
  <si>
    <t>ROW80_21</t>
  </si>
  <si>
    <t>ROW80_22</t>
  </si>
  <si>
    <t>ROW80_23</t>
  </si>
  <si>
    <t>ROW80_24</t>
  </si>
  <si>
    <t>ROW80_25</t>
  </si>
  <si>
    <t>AUTTA5</t>
  </si>
  <si>
    <t xml:space="preserve"> </t>
  </si>
  <si>
    <t>FUTURES</t>
  </si>
  <si>
    <t>CASH</t>
  </si>
  <si>
    <t>GEN_VAL1</t>
  </si>
  <si>
    <t>GEN_VAL2</t>
  </si>
  <si>
    <t>BGCAUD</t>
  </si>
  <si>
    <t>ROW80_5</t>
  </si>
  <si>
    <t>ROW80_6</t>
  </si>
  <si>
    <t>ROW80_7</t>
  </si>
  <si>
    <t>ROW80_8</t>
  </si>
  <si>
    <t>ROW80_9</t>
  </si>
  <si>
    <t>ROW80_10</t>
  </si>
  <si>
    <t>ROW80_11</t>
  </si>
  <si>
    <t>ROW80_12</t>
  </si>
  <si>
    <t>AUDQM1AB2M=ICAA</t>
  </si>
  <si>
    <t>AUDQM1AB3M=ICAA</t>
  </si>
  <si>
    <t>AUDQM1AB4M=ICAA</t>
  </si>
  <si>
    <t>AUDQM1AB5M=ICAA</t>
  </si>
  <si>
    <t>AUDQM1AB6M=ICAA</t>
  </si>
  <si>
    <t>AUD=</t>
  </si>
  <si>
    <t>BBSW</t>
  </si>
  <si>
    <t>AU1MBA=</t>
  </si>
  <si>
    <t>AU2MBA=</t>
  </si>
  <si>
    <t>AU3MBA=</t>
  </si>
  <si>
    <t>AU4MBA=</t>
  </si>
  <si>
    <t>AU5MBA=</t>
  </si>
  <si>
    <t>AU6MBA=</t>
  </si>
  <si>
    <t>LAST</t>
  </si>
  <si>
    <t>Working</t>
  </si>
  <si>
    <t>Tenor</t>
  </si>
  <si>
    <t>LIBOR</t>
  </si>
  <si>
    <t>1Y q</t>
  </si>
  <si>
    <t>2Y q</t>
  </si>
  <si>
    <t>3Y q</t>
  </si>
  <si>
    <t>1B</t>
  </si>
  <si>
    <t>IB FUTURES</t>
  </si>
  <si>
    <t>c1</t>
  </si>
  <si>
    <t>AUDQM1AB9M=ICAA</t>
  </si>
  <si>
    <t>7M</t>
  </si>
  <si>
    <t>8M</t>
  </si>
  <si>
    <t>REUTERS UPDATE</t>
  </si>
  <si>
    <t>CONTRCT</t>
  </si>
  <si>
    <t>START</t>
  </si>
  <si>
    <t xml:space="preserve">  Bill</t>
  </si>
  <si>
    <t xml:space="preserve">  Bnd</t>
  </si>
  <si>
    <t>EARLY</t>
  </si>
  <si>
    <t>LATE</t>
  </si>
  <si>
    <t>0M</t>
  </si>
  <si>
    <t>GV4_TEXT</t>
  </si>
  <si>
    <t xml:space="preserve">MAY   </t>
  </si>
  <si>
    <t xml:space="preserve">JUN   </t>
  </si>
  <si>
    <t xml:space="preserve">JUL   </t>
  </si>
  <si>
    <t xml:space="preserve">AUG   </t>
  </si>
  <si>
    <t xml:space="preserve">SEP   </t>
  </si>
  <si>
    <t>GEN_VAL3</t>
  </si>
  <si>
    <t>CONVEXITY ADJUST</t>
  </si>
  <si>
    <t>USD Rates Input</t>
  </si>
  <si>
    <t>CASH DEPOSITS</t>
  </si>
  <si>
    <t xml:space="preserve">  ED</t>
  </si>
  <si>
    <t>Currency</t>
  </si>
  <si>
    <t>1b</t>
  </si>
  <si>
    <t>AUD</t>
  </si>
  <si>
    <t>FIXED LEG</t>
  </si>
  <si>
    <t>Frequency</t>
  </si>
  <si>
    <t>FIXED</t>
  </si>
  <si>
    <t>Discount</t>
  </si>
  <si>
    <t>Fixed Rate</t>
  </si>
  <si>
    <t>Act/365</t>
  </si>
  <si>
    <t>FRM</t>
  </si>
  <si>
    <t>M</t>
  </si>
  <si>
    <t>Face MM</t>
  </si>
  <si>
    <t>FLOATING</t>
  </si>
  <si>
    <t>DF</t>
  </si>
  <si>
    <t>Days</t>
  </si>
  <si>
    <t>Stubs</t>
  </si>
  <si>
    <t>S/S</t>
  </si>
  <si>
    <t>NumItems</t>
  </si>
  <si>
    <t>Fixed DV01  (per 1MM face)</t>
  </si>
  <si>
    <t>Interest Rate Swap Pricing</t>
  </si>
  <si>
    <t>WORKING</t>
  </si>
  <si>
    <t>Day Count</t>
  </si>
  <si>
    <t>Roll Anniv.</t>
  </si>
  <si>
    <t>Desired NPV</t>
  </si>
  <si>
    <t>Solve for fixed rate</t>
  </si>
  <si>
    <t>Days in Year</t>
  </si>
  <si>
    <t>Fees PV</t>
  </si>
  <si>
    <t>Years to Maturity</t>
  </si>
  <si>
    <t>1MM</t>
  </si>
  <si>
    <t>Fixed PV01  (Face amount)</t>
  </si>
  <si>
    <t>DAYS</t>
  </si>
  <si>
    <t>YRS</t>
  </si>
  <si>
    <t>FEES</t>
  </si>
  <si>
    <t>MARGIN</t>
  </si>
  <si>
    <t>TOTAL CFL</t>
  </si>
  <si>
    <t>OUTPUTS</t>
  </si>
  <si>
    <t>SERVICE MODE</t>
  </si>
  <si>
    <t>Version History</t>
  </si>
  <si>
    <t>Initial AUD sheet with initial IRS sheet</t>
  </si>
  <si>
    <t>Master Control / Configuration</t>
  </si>
  <si>
    <t>ED FUTURES</t>
  </si>
  <si>
    <t>cm1</t>
  </si>
  <si>
    <t>USDONFSR=</t>
  </si>
  <si>
    <t>USD1MFSR=</t>
  </si>
  <si>
    <t>USD2MFSR=</t>
  </si>
  <si>
    <t>USD3MFSR=</t>
  </si>
  <si>
    <t>USD4MFSR=</t>
  </si>
  <si>
    <t>USD5MFSR=</t>
  </si>
  <si>
    <t>USD6MFSR=</t>
  </si>
  <si>
    <t>BOND YIELDS</t>
  </si>
  <si>
    <t>US2YT=RR</t>
  </si>
  <si>
    <t>US3YT=RR</t>
  </si>
  <si>
    <t>US5YT=RR</t>
  </si>
  <si>
    <t>US7YT=RR</t>
  </si>
  <si>
    <t>US10YT=RR</t>
  </si>
  <si>
    <t>US30YT=RR</t>
  </si>
  <si>
    <t>RT YIELD 1</t>
  </si>
  <si>
    <t>SEC YLD 1</t>
  </si>
  <si>
    <t>FEDFUNDS v 3M</t>
  </si>
  <si>
    <t>1X4</t>
  </si>
  <si>
    <t>2X5</t>
  </si>
  <si>
    <t>3X6</t>
  </si>
  <si>
    <t>4X7</t>
  </si>
  <si>
    <t>5X8</t>
  </si>
  <si>
    <t>6X9</t>
  </si>
  <si>
    <t>2X1</t>
  </si>
  <si>
    <t>3X1</t>
  </si>
  <si>
    <t>4X1</t>
  </si>
  <si>
    <t>5X1</t>
  </si>
  <si>
    <t>6X1</t>
  </si>
  <si>
    <t>7X1</t>
  </si>
  <si>
    <t>8X1</t>
  </si>
  <si>
    <t>9X1</t>
  </si>
  <si>
    <t>50Y</t>
  </si>
  <si>
    <t>11Y</t>
  </si>
  <si>
    <t>35Y</t>
  </si>
  <si>
    <t>Discounting</t>
  </si>
  <si>
    <t>AUD Interest Rates</t>
  </si>
  <si>
    <t>AUD Volatility</t>
  </si>
  <si>
    <t xml:space="preserve">  FF</t>
  </si>
  <si>
    <t>VOL</t>
  </si>
  <si>
    <t>CAP FLOOR</t>
  </si>
  <si>
    <t>ATM</t>
  </si>
  <si>
    <t>PRIMACT_1</t>
  </si>
  <si>
    <t>OVR</t>
  </si>
  <si>
    <t>SWAPTION POINTS PER DAY / TICKS PER DAY</t>
  </si>
  <si>
    <t>AUD Inflation</t>
  </si>
  <si>
    <t>USD Volatilities</t>
  </si>
  <si>
    <t>Added USD sheet and VOLS section for AUD</t>
  </si>
  <si>
    <t>TOTAL</t>
  </si>
  <si>
    <t>HELP POP-UPS</t>
  </si>
  <si>
    <t>ZCIS</t>
  </si>
  <si>
    <t>CPI (0) VALUE</t>
  </si>
  <si>
    <t>CPI (0) DATE</t>
  </si>
  <si>
    <t>HST</t>
  </si>
  <si>
    <t>CRV</t>
  </si>
  <si>
    <t>QTR</t>
  </si>
  <si>
    <t>QoQ</t>
  </si>
  <si>
    <t>YoY</t>
  </si>
  <si>
    <t>p-Factor</t>
  </si>
  <si>
    <t>Historical</t>
  </si>
  <si>
    <t>13Y</t>
  </si>
  <si>
    <t>14Y</t>
  </si>
  <si>
    <t>Output Curves</t>
  </si>
  <si>
    <t>Leg 1</t>
  </si>
  <si>
    <t>Leg 2</t>
  </si>
  <si>
    <t>1D</t>
  </si>
  <si>
    <t>NumRows</t>
  </si>
  <si>
    <t xml:space="preserve">  start</t>
  </si>
  <si>
    <t xml:space="preserve">  end</t>
  </si>
  <si>
    <t>DATES</t>
  </si>
  <si>
    <t>FACE</t>
  </si>
  <si>
    <t>Generic Structured Swap Pricer</t>
  </si>
  <si>
    <t>GBP=</t>
  </si>
  <si>
    <t>EUR=</t>
  </si>
  <si>
    <t>NZD=</t>
  </si>
  <si>
    <t>GBP</t>
  </si>
  <si>
    <t>NZD</t>
  </si>
  <si>
    <t>EUR</t>
  </si>
  <si>
    <t>USD</t>
  </si>
  <si>
    <t>FACE'</t>
  </si>
  <si>
    <t>ZBX</t>
  </si>
  <si>
    <t>Curve Family</t>
  </si>
  <si>
    <t>DISC</t>
  </si>
  <si>
    <t>IRS or XCS</t>
  </si>
  <si>
    <t>Projection</t>
  </si>
  <si>
    <t>Added STR tab</t>
  </si>
  <si>
    <t>Intermediate save</t>
  </si>
  <si>
    <t>DCC</t>
  </si>
  <si>
    <t xml:space="preserve">  anniv</t>
  </si>
  <si>
    <t>Attempting to merge AUD, USD onto a single RTR page</t>
  </si>
  <si>
    <t>AUD Inflation Reuters / Working</t>
  </si>
  <si>
    <t>Reuters Update</t>
  </si>
  <si>
    <t>AUD Vol Reuters</t>
  </si>
  <si>
    <t>Cap Vols</t>
  </si>
  <si>
    <t>RtMode</t>
  </si>
  <si>
    <t>RIC CODE</t>
  </si>
  <si>
    <t>FIELDS</t>
  </si>
  <si>
    <t>Expiry</t>
  </si>
  <si>
    <t>Swaption 1Y</t>
  </si>
  <si>
    <t>Swaption 2Y</t>
  </si>
  <si>
    <t>Swaption 3Y</t>
  </si>
  <si>
    <t>Swaption 4Y</t>
  </si>
  <si>
    <t>Swaption 5Y</t>
  </si>
  <si>
    <t>Swaption 7Y</t>
  </si>
  <si>
    <t>Swaption 10Y</t>
  </si>
  <si>
    <t>RIC Codes</t>
  </si>
  <si>
    <t>LN(DF)</t>
  </si>
  <si>
    <t>Historical CPI</t>
  </si>
  <si>
    <t>FX</t>
  </si>
  <si>
    <t>Reuters</t>
  </si>
  <si>
    <t>1h</t>
  </si>
  <si>
    <t>Spot</t>
  </si>
  <si>
    <t>AUD FX</t>
  </si>
  <si>
    <t>GBP FX</t>
  </si>
  <si>
    <t>EUR FX</t>
  </si>
  <si>
    <t>NZD FX</t>
  </si>
  <si>
    <t>AUD XCS</t>
  </si>
  <si>
    <t>GBP XCS</t>
  </si>
  <si>
    <t>EUR XCS</t>
  </si>
  <si>
    <t>NZD XCS</t>
  </si>
  <si>
    <t>FX Curves</t>
  </si>
  <si>
    <t>1m</t>
  </si>
  <si>
    <t>Year end turn</t>
  </si>
  <si>
    <t>Rateset end of Qtr</t>
  </si>
  <si>
    <t>Rateset end of Mth</t>
  </si>
  <si>
    <t>Rateset Mid Month</t>
  </si>
  <si>
    <t>Attemped to merge AUD and USD pages, but failed because Reuters PPP does not acknowledge column beyond "IV"</t>
  </si>
  <si>
    <t>Separated out FX, AU and US tabs</t>
  </si>
  <si>
    <t>RTMODE</t>
  </si>
  <si>
    <t>Reuters Updates</t>
  </si>
  <si>
    <t>Raw Reuters</t>
  </si>
  <si>
    <t>USD Inflation not implemented.</t>
  </si>
  <si>
    <t>UNADJ</t>
  </si>
  <si>
    <t>ADJSTD</t>
  </si>
  <si>
    <t>USD.ZB.ON</t>
  </si>
  <si>
    <t>USD.ZB.1M</t>
  </si>
  <si>
    <t>USD.ZB.3M</t>
  </si>
  <si>
    <t>USD.ZB.6M</t>
  </si>
  <si>
    <t>USD.ZB.1Y</t>
  </si>
  <si>
    <t>USD.ZB.DISC</t>
  </si>
  <si>
    <t>3v12</t>
  </si>
  <si>
    <t>Ov3</t>
  </si>
  <si>
    <t>Zero Bank Family</t>
  </si>
  <si>
    <t>SYNTHETIC SPREADS SUMMARY</t>
  </si>
  <si>
    <t>Family of Curves</t>
  </si>
  <si>
    <t>XCS SPREADS</t>
  </si>
  <si>
    <t>AUD Basis Spreads</t>
  </si>
  <si>
    <t>bp</t>
  </si>
  <si>
    <t>XCS</t>
  </si>
  <si>
    <t>CCY</t>
  </si>
  <si>
    <t>FX Curve</t>
  </si>
  <si>
    <t>SPOT</t>
  </si>
  <si>
    <t>FX Curve Name</t>
  </si>
  <si>
    <t>FX Rate</t>
  </si>
  <si>
    <t>ZERO BANK (ZB)</t>
  </si>
  <si>
    <t>ZERO BANK XCS (ZBX)</t>
  </si>
  <si>
    <t>RtMode:</t>
  </si>
  <si>
    <t>USD Inflation</t>
  </si>
  <si>
    <t>MDUR</t>
  </si>
  <si>
    <t>TBA</t>
  </si>
  <si>
    <t>SOLVER</t>
  </si>
  <si>
    <t>Target Leg1</t>
  </si>
  <si>
    <t>Target Leg2</t>
  </si>
  <si>
    <t>Target Total</t>
  </si>
  <si>
    <t>LEG 1</t>
  </si>
  <si>
    <t>LEG 2</t>
  </si>
  <si>
    <t>BOTH</t>
  </si>
  <si>
    <t>FLOATING LEG</t>
  </si>
  <si>
    <t>PV of Fixed Leg</t>
  </si>
  <si>
    <t>PV of Float Leg</t>
  </si>
  <si>
    <t>Added solver to STR</t>
  </si>
  <si>
    <t xml:space="preserve">     PRINCIPAL</t>
  </si>
  <si>
    <t>Checks</t>
  </si>
  <si>
    <t>WARNINGS IF ANY</t>
  </si>
  <si>
    <t>RANK</t>
  </si>
  <si>
    <t>Fixed DCC :</t>
  </si>
  <si>
    <t>Float DCC :</t>
  </si>
  <si>
    <t>EOM :</t>
  </si>
  <si>
    <t>ADJ   :</t>
  </si>
  <si>
    <t>STUB :</t>
  </si>
  <si>
    <t>FREQ :</t>
  </si>
  <si>
    <t>FixedYrs</t>
  </si>
  <si>
    <t>FloatYrs</t>
  </si>
  <si>
    <t>Direction</t>
  </si>
  <si>
    <t>|</t>
  </si>
  <si>
    <t>Various workings but formatting became corrupted</t>
  </si>
  <si>
    <t>Fixed corruptions</t>
  </si>
  <si>
    <t>Zero Bank</t>
  </si>
  <si>
    <t>Q</t>
  </si>
  <si>
    <t>A</t>
  </si>
  <si>
    <t>S</t>
  </si>
  <si>
    <t>JPY</t>
  </si>
  <si>
    <t>FIXED FREQ</t>
  </si>
  <si>
    <t>FLOAT FREQ</t>
  </si>
  <si>
    <t>D</t>
  </si>
  <si>
    <t>FLOAT</t>
  </si>
  <si>
    <t>Daycount</t>
  </si>
  <si>
    <t>Quarterly</t>
  </si>
  <si>
    <t>Semi</t>
  </si>
  <si>
    <t>Monthly</t>
  </si>
  <si>
    <t>Annual</t>
  </si>
  <si>
    <t>Daily</t>
  </si>
  <si>
    <t>30/360</t>
  </si>
  <si>
    <t>Act/360</t>
  </si>
  <si>
    <t>SWAP TENORS</t>
  </si>
  <si>
    <t>FORWARD START PERIODS</t>
  </si>
  <si>
    <t>Floating</t>
  </si>
  <si>
    <t>DV01</t>
  </si>
  <si>
    <t xml:space="preserve">OCT   </t>
  </si>
  <si>
    <t>FREQ</t>
  </si>
  <si>
    <t>CUM</t>
  </si>
  <si>
    <t>Holidays:</t>
  </si>
  <si>
    <t>Type</t>
  </si>
  <si>
    <t>x</t>
  </si>
  <si>
    <t>CF</t>
  </si>
  <si>
    <t>HOLIDAYS</t>
  </si>
  <si>
    <t>Use?</t>
  </si>
  <si>
    <t>This section calculates spot and forward IRS rates</t>
  </si>
  <si>
    <t>This calculator converts DV01 basis point values from BASE currency to (up to 5 other) currencies.  The conversion factors</t>
  </si>
  <si>
    <t>multiplied by the OTHER currency basis points equals 1bp of the BASE currency</t>
  </si>
  <si>
    <t>PV01 (Float)</t>
  </si>
  <si>
    <t>DiscCrv</t>
  </si>
  <si>
    <t>Convert 1bp BASE CCY</t>
  </si>
  <si>
    <t>To CF bp of this CCY</t>
  </si>
  <si>
    <t>Added TBL tab -- Forward Swaps and Conversion Factor tables</t>
  </si>
  <si>
    <t>Using new qXLL which has different function parameters</t>
  </si>
  <si>
    <t>SYNTHESISED SCB SPREADS</t>
  </si>
  <si>
    <t>30m</t>
  </si>
  <si>
    <t>18M</t>
  </si>
  <si>
    <t>CUSTOM</t>
  </si>
  <si>
    <t>Perform FRM?</t>
  </si>
  <si>
    <t>FRM Details</t>
  </si>
  <si>
    <t>Standard Roll in days</t>
  </si>
  <si>
    <t>&lt;----------</t>
  </si>
  <si>
    <t>Fixed Leg</t>
  </si>
  <si>
    <t>Floating Leg</t>
  </si>
  <si>
    <t>Respect Fwd Period EOM?</t>
  </si>
  <si>
    <t>Busday Adj / EOM</t>
  </si>
  <si>
    <t>General Inputs</t>
  </si>
  <si>
    <t>Margin</t>
  </si>
  <si>
    <t>Dates</t>
  </si>
  <si>
    <t>IRS:  Allow swap to start in the past</t>
  </si>
  <si>
    <t>12M</t>
  </si>
  <si>
    <t>Outline Level</t>
  </si>
  <si>
    <t>Historical Data</t>
  </si>
  <si>
    <t>AUD CPI</t>
  </si>
  <si>
    <t>Holiday Override</t>
  </si>
  <si>
    <t>PER</t>
  </si>
  <si>
    <t>SYD</t>
  </si>
  <si>
    <t>Holiday Codes</t>
  </si>
  <si>
    <t>Adelaide</t>
  </si>
  <si>
    <t>ADL</t>
  </si>
  <si>
    <t>Bangkok</t>
  </si>
  <si>
    <t>BAK</t>
  </si>
  <si>
    <t>Beijing</t>
  </si>
  <si>
    <t>BEI</t>
  </si>
  <si>
    <t>Brisbane</t>
  </si>
  <si>
    <t>BRI</t>
  </si>
  <si>
    <t>Bucharest</t>
  </si>
  <si>
    <t>BRT</t>
  </si>
  <si>
    <t>Budapest</t>
  </si>
  <si>
    <t>BDP</t>
  </si>
  <si>
    <t>Buenos Aires</t>
  </si>
  <si>
    <t>BUA</t>
  </si>
  <si>
    <t>Cairo</t>
  </si>
  <si>
    <t>CAI</t>
  </si>
  <si>
    <t>Caracas</t>
  </si>
  <si>
    <t>CAR</t>
  </si>
  <si>
    <t>Copenhagen</t>
  </si>
  <si>
    <t>COP</t>
  </si>
  <si>
    <t>Frankfurt</t>
  </si>
  <si>
    <t>FRA</t>
  </si>
  <si>
    <t>Hong Kong</t>
  </si>
  <si>
    <t>HK</t>
  </si>
  <si>
    <t>Jakarta</t>
  </si>
  <si>
    <t>JAK</t>
  </si>
  <si>
    <t>Johannesburg</t>
  </si>
  <si>
    <t>JOH</t>
  </si>
  <si>
    <t>Kiev</t>
  </si>
  <si>
    <t>KEV</t>
  </si>
  <si>
    <t>Kuala Lumpur</t>
  </si>
  <si>
    <t>KLU</t>
  </si>
  <si>
    <t>Lima</t>
  </si>
  <si>
    <t>LMA</t>
  </si>
  <si>
    <t>London</t>
  </si>
  <si>
    <t>LON</t>
  </si>
  <si>
    <t>Manila</t>
  </si>
  <si>
    <t>MAN</t>
  </si>
  <si>
    <t>Melbourne</t>
  </si>
  <si>
    <t>MEL</t>
  </si>
  <si>
    <t>Milan</t>
  </si>
  <si>
    <t>MIL</t>
  </si>
  <si>
    <t>Moscow</t>
  </si>
  <si>
    <t>MOS</t>
  </si>
  <si>
    <t>Mumbai</t>
  </si>
  <si>
    <t>BOM</t>
  </si>
  <si>
    <t>New York</t>
  </si>
  <si>
    <t>NYC</t>
  </si>
  <si>
    <t>Oslo</t>
  </si>
  <si>
    <t>OSL</t>
  </si>
  <si>
    <t>Perth</t>
  </si>
  <si>
    <t>Prague</t>
  </si>
  <si>
    <t>PRA</t>
  </si>
  <si>
    <t>Santiago</t>
  </si>
  <si>
    <t>SAN</t>
  </si>
  <si>
    <t>Seoul</t>
  </si>
  <si>
    <t>SEO</t>
  </si>
  <si>
    <t>Singapore</t>
  </si>
  <si>
    <t>SIN</t>
  </si>
  <si>
    <t>Stockholm</t>
  </si>
  <si>
    <t>STO</t>
  </si>
  <si>
    <t>Sydney</t>
  </si>
  <si>
    <t>Taipei</t>
  </si>
  <si>
    <t>TAI</t>
  </si>
  <si>
    <t>Target</t>
  </si>
  <si>
    <t>Tokyo</t>
  </si>
  <si>
    <t>TOK</t>
  </si>
  <si>
    <t>Toronto</t>
  </si>
  <si>
    <t>TOR</t>
  </si>
  <si>
    <t>Warsaw</t>
  </si>
  <si>
    <t>WAR</t>
  </si>
  <si>
    <t>Wellington</t>
  </si>
  <si>
    <t>WEL</t>
  </si>
  <si>
    <t>Zurich</t>
  </si>
  <si>
    <t>ZUR</t>
  </si>
  <si>
    <t>TGT</t>
  </si>
  <si>
    <t>NOK</t>
  </si>
  <si>
    <t>SEK</t>
  </si>
  <si>
    <t>DKK</t>
  </si>
  <si>
    <t>CITY</t>
  </si>
  <si>
    <t>TWD</t>
  </si>
  <si>
    <t>CHF</t>
  </si>
  <si>
    <t>CAD</t>
  </si>
  <si>
    <t>SGD</t>
  </si>
  <si>
    <t>THB</t>
  </si>
  <si>
    <t>CNY</t>
  </si>
  <si>
    <t>HKD</t>
  </si>
  <si>
    <t>IDR</t>
  </si>
  <si>
    <t>ZAR</t>
  </si>
  <si>
    <t>Furthermore, adding holidays can be performed with the "+" operator.   Eg:  "AUD+GBP"</t>
  </si>
  <si>
    <t>Two stage holidays are also allowed, eg:  "AUD+GBP/NYC"   or   "SYD+LON/NYC"</t>
  </si>
  <si>
    <t>Where a holiday code is required, any of the 3char city or currency codes below may be used</t>
  </si>
  <si>
    <t>TIMESTAMP</t>
  </si>
  <si>
    <t>CLOSE</t>
  </si>
  <si>
    <t>DATE</t>
  </si>
  <si>
    <t/>
  </si>
  <si>
    <t>AU1YMIDREF=AFMA</t>
  </si>
  <si>
    <t>AUD RATE SETTINGS</t>
  </si>
  <si>
    <t>VALUE</t>
  </si>
  <si>
    <t>aAUCPI</t>
  </si>
  <si>
    <t>Added holidays HOL tab and HS tab</t>
  </si>
  <si>
    <t>Pricer 1a</t>
  </si>
  <si>
    <t>Pricer 1b</t>
  </si>
  <si>
    <t>Pricer 1c</t>
  </si>
  <si>
    <t>Pricer 1d</t>
  </si>
  <si>
    <t>Pricer 1e</t>
  </si>
  <si>
    <t>Pricer 1f</t>
  </si>
  <si>
    <t>Pricer 1g</t>
  </si>
  <si>
    <t>Pricer 1h</t>
  </si>
  <si>
    <t>Pricer 1I</t>
  </si>
  <si>
    <t>Pricer 1j</t>
  </si>
  <si>
    <t>Pricer 1k</t>
  </si>
  <si>
    <t>Pricer 1l</t>
  </si>
  <si>
    <t>Pricer 1m</t>
  </si>
  <si>
    <t>Pricer 1n</t>
  </si>
  <si>
    <t>Swap Pricer 1a</t>
  </si>
  <si>
    <t>Renamed Pricer to Swap Pricer</t>
  </si>
  <si>
    <t>USD1YFSR=</t>
  </si>
  <si>
    <t>USD RATE SETTINGS</t>
  </si>
  <si>
    <t>LOCAL</t>
  </si>
  <si>
    <t>Reuters PPP Global Control</t>
  </si>
  <si>
    <t>Got PPP_ALL feature working on CON tab</t>
  </si>
  <si>
    <t>Custom</t>
  </si>
  <si>
    <t>Cashflows</t>
  </si>
  <si>
    <t>1c</t>
  </si>
  <si>
    <t>STR: Replaced 2nd generator columns with Custom cashflows column</t>
  </si>
  <si>
    <t>Total Cashflows</t>
  </si>
  <si>
    <t>if same currency</t>
  </si>
  <si>
    <t>LEG1 + LEG2</t>
  </si>
  <si>
    <t>Principal1</t>
  </si>
  <si>
    <t>Principal2</t>
  </si>
  <si>
    <t>3y</t>
  </si>
  <si>
    <t>1d</t>
  </si>
  <si>
    <t>Changes for upgraded XLL with rates x 100 and bp x 10000</t>
  </si>
  <si>
    <t>EUR Rates Input</t>
  </si>
  <si>
    <t>EUR Volatilities</t>
  </si>
  <si>
    <t>EUR Inflation</t>
  </si>
  <si>
    <t>EUR Inflation not implemented.</t>
  </si>
  <si>
    <t>EURONFSR=</t>
  </si>
  <si>
    <t>EUR.ZB.DISC</t>
  </si>
  <si>
    <t>EUR.ZB.ON</t>
  </si>
  <si>
    <t>EUR.ZB.1M</t>
  </si>
  <si>
    <t>EUR.ZB.3M</t>
  </si>
  <si>
    <t>EUR.ZB.6M</t>
  </si>
  <si>
    <t>EUR.ZB.1Y</t>
  </si>
  <si>
    <t>FEI FUTURES</t>
  </si>
  <si>
    <t>#N/A Access Denied: User req to IDN for Exch - ENI</t>
  </si>
  <si>
    <t>SWAPS Ann Bond vs 6m EURIBOR</t>
  </si>
  <si>
    <t>EURIBOR</t>
  </si>
  <si>
    <t>EONIA VS 3M EURIBOR</t>
  </si>
  <si>
    <t>10M</t>
  </si>
  <si>
    <t>11M</t>
  </si>
  <si>
    <t>Zero Bank XCS Family</t>
  </si>
  <si>
    <t>EUR.ZBX.DISC</t>
  </si>
  <si>
    <t>EUR.ZBX.ON</t>
  </si>
  <si>
    <t>EUR.ZBX.1M</t>
  </si>
  <si>
    <t>EUR.ZBX.3M</t>
  </si>
  <si>
    <t>EUR.ZBX.6M</t>
  </si>
  <si>
    <t>EUR.ZBX.1Y</t>
  </si>
  <si>
    <t>FEI Futures</t>
  </si>
  <si>
    <t>LIVE</t>
  </si>
  <si>
    <t>DELAYED</t>
  </si>
  <si>
    <t>Decision:</t>
  </si>
  <si>
    <t>Step 1:  Decide whether to use LIVE or DELAYED futures feeds</t>
  </si>
  <si>
    <t>Step 2:  Get futures quotes</t>
  </si>
  <si>
    <t>FEI</t>
  </si>
  <si>
    <t>FF</t>
  </si>
  <si>
    <t>HST_CLOSE</t>
  </si>
  <si>
    <t>ReutersRAW</t>
  </si>
  <si>
    <t>ReutersPARSED</t>
  </si>
  <si>
    <t xml:space="preserve"> Decision:</t>
  </si>
  <si>
    <t>Live RIC</t>
  </si>
  <si>
    <t>Delayed RIC</t>
  </si>
  <si>
    <t>ED</t>
  </si>
  <si>
    <t>Step 2:  Get Futures Quotes</t>
  </si>
  <si>
    <t>Futures contracts require special parsing</t>
  </si>
  <si>
    <t>Bond Reference Yields</t>
  </si>
  <si>
    <t>CONVEXITY ADJ.</t>
  </si>
  <si>
    <t>CURVE OUTPUTS</t>
  </si>
  <si>
    <t>RTMODE_VOLS</t>
  </si>
  <si>
    <t>SWAPS  Semi-Bond vs 3M LIBOR</t>
  </si>
  <si>
    <t>GBP Rates Input</t>
  </si>
  <si>
    <t>GBP Volatilities</t>
  </si>
  <si>
    <t>GBP Inflation</t>
  </si>
  <si>
    <t>GBP Inflation not implemented.</t>
  </si>
  <si>
    <t>GBPONFSR=</t>
  </si>
  <si>
    <t>GBPIBOR</t>
  </si>
  <si>
    <t>GBP.ZB.DISC</t>
  </si>
  <si>
    <t>GBP.ZB.ON</t>
  </si>
  <si>
    <t>GBP.ZB.1M</t>
  </si>
  <si>
    <t>GBP.ZB.3M</t>
  </si>
  <si>
    <t>GBP.ZB.6M</t>
  </si>
  <si>
    <t>GBP.ZB.1Y</t>
  </si>
  <si>
    <t>GBP.ZBX.DISC</t>
  </si>
  <si>
    <t>GBP.ZBX.ON</t>
  </si>
  <si>
    <t>GBP.ZBX.1M</t>
  </si>
  <si>
    <t>GBP.ZBX.3M</t>
  </si>
  <si>
    <t>GBP.ZBX.6M</t>
  </si>
  <si>
    <t>GBP.ZBX.1Y</t>
  </si>
  <si>
    <t>CONTRACT</t>
  </si>
  <si>
    <t xml:space="preserve">   Decision:</t>
  </si>
  <si>
    <t>SWAPS SemiBond vs 6m GBPIBOR</t>
  </si>
  <si>
    <t>SONIA VS 3M GBP LIBOR</t>
  </si>
  <si>
    <t>FUTURES step 1:  Decide whether to use LIVE or DELAYED futures feeds</t>
  </si>
  <si>
    <t>FUTURES step 2:  Get futures quotes</t>
  </si>
  <si>
    <t>Reuters Parsed (Non Zero)</t>
  </si>
  <si>
    <t>RTMODE_RATES</t>
  </si>
  <si>
    <t>15s</t>
  </si>
  <si>
    <t>FUTURES Step 1:  Determine whether to use LIVE or DELAYED feeds</t>
  </si>
  <si>
    <t>Bond Futures</t>
  </si>
  <si>
    <t>Bill Futures</t>
  </si>
  <si>
    <t>IB Futures</t>
  </si>
  <si>
    <t>FUTURES Step 2:  Get Futures Quotes</t>
  </si>
  <si>
    <t>Reuters RAW</t>
  </si>
  <si>
    <t>ICAP Swaps</t>
  </si>
  <si>
    <t>Tullet Swaps</t>
  </si>
  <si>
    <t>BGC Swaps</t>
  </si>
  <si>
    <t>AU0MLBB=ICAA</t>
  </si>
  <si>
    <t>AU1MLBB=ICAA</t>
  </si>
  <si>
    <t>AU2MLBB=ICAA</t>
  </si>
  <si>
    <t>AU3MLBB=ICAA</t>
  </si>
  <si>
    <t>AU4MLBB=ICAA</t>
  </si>
  <si>
    <t>AU5MLBB=ICAA</t>
  </si>
  <si>
    <t>Early and Late Bills  (ICAP)</t>
  </si>
  <si>
    <t>Early Bills</t>
  </si>
  <si>
    <t>Late Bills</t>
  </si>
  <si>
    <t>NZD Rates Input</t>
  </si>
  <si>
    <t>NZD Volatilities</t>
  </si>
  <si>
    <t>NZD Inflation</t>
  </si>
  <si>
    <t>NZD Inflation not implemented.</t>
  </si>
  <si>
    <t>NZD.ZB.DISC</t>
  </si>
  <si>
    <t>NZD.ZB.ON</t>
  </si>
  <si>
    <t>NZD.ZB.1M</t>
  </si>
  <si>
    <t>NZD.ZB.3M</t>
  </si>
  <si>
    <t>NZD.ZB.6M</t>
  </si>
  <si>
    <t>NZD.ZB.1Y</t>
  </si>
  <si>
    <t>NZD.ZBX.DISC</t>
  </si>
  <si>
    <t>NZD.ZBX.ON</t>
  </si>
  <si>
    <t>NZD.ZBX.1M</t>
  </si>
  <si>
    <t>NZD.ZBX.3M</t>
  </si>
  <si>
    <t>NZD.ZBX.6M</t>
  </si>
  <si>
    <t>NZD.ZBX.1Y</t>
  </si>
  <si>
    <t>NBB Futures</t>
  </si>
  <si>
    <t>NBB</t>
  </si>
  <si>
    <t>NBB FUTURES</t>
  </si>
  <si>
    <t>FSS FUTURES</t>
  </si>
  <si>
    <t>FSS</t>
  </si>
  <si>
    <t>SWAPS Semi vs 3m BKBM</t>
  </si>
  <si>
    <t>NZCASH=RBNZ</t>
  </si>
  <si>
    <t>ICAPAUKIWIBASIS</t>
  </si>
  <si>
    <t xml:space="preserve">                1Y         6         -2      1Y      8          0               </t>
  </si>
  <si>
    <t xml:space="preserve">                2Y         6         -2      2Y      8          0               </t>
  </si>
  <si>
    <t xml:space="preserve">                3Y         6         -2      3Y      8          0               </t>
  </si>
  <si>
    <t xml:space="preserve">                4Y         6         -2      4Y      8          0               </t>
  </si>
  <si>
    <t xml:space="preserve">                5Y         6         -2      5Y      8          0               </t>
  </si>
  <si>
    <t xml:space="preserve">                7Y         6         -2      7Y      8          0               </t>
  </si>
  <si>
    <t xml:space="preserve">               10Y         6         -2      10Y     8          0               </t>
  </si>
  <si>
    <t>UNADJ.</t>
  </si>
  <si>
    <t>CASH and BILLS</t>
  </si>
  <si>
    <t>BKBM</t>
  </si>
  <si>
    <t>GOVT BONDS</t>
  </si>
  <si>
    <t>1111</t>
  </si>
  <si>
    <t>0413</t>
  </si>
  <si>
    <t>0415</t>
  </si>
  <si>
    <t>1217</t>
  </si>
  <si>
    <t>0216</t>
  </si>
  <si>
    <t>Government Bonds</t>
  </si>
  <si>
    <t>Note:  There is no official domestic basis.  All projection curves are 3M</t>
  </si>
  <si>
    <t>3v6   NOT USED</t>
  </si>
  <si>
    <t>1v3   NOT USED</t>
  </si>
  <si>
    <t>Principal exchange?</t>
  </si>
  <si>
    <t>XCS start = "2b" ?</t>
  </si>
  <si>
    <t>Leg1 float daycount?</t>
  </si>
  <si>
    <t>Leg2 float daycount?</t>
  </si>
  <si>
    <t>1e</t>
  </si>
  <si>
    <t>STR:  Floating projection to cater irregular rolls by looking up appropriate projection curve</t>
  </si>
  <si>
    <t>Advanced Settings</t>
  </si>
  <si>
    <t>Trigger Table</t>
  </si>
  <si>
    <t xml:space="preserve">      PROJECTION DATES</t>
  </si>
  <si>
    <t xml:space="preserve">      PROJECTION RATES</t>
  </si>
  <si>
    <t>Theo</t>
  </si>
  <si>
    <t>Floating Rate Mismatch</t>
  </si>
  <si>
    <t>PROJECTION CURVES</t>
  </si>
  <si>
    <t>FORWARDS</t>
  </si>
  <si>
    <t>The number of days a roll must stray from standard roll to trigger the need to interpolate between projection curves</t>
  </si>
  <si>
    <t>Market</t>
  </si>
  <si>
    <t>1st Contract</t>
  </si>
  <si>
    <t>Yet</t>
  </si>
  <si>
    <t>Imple-</t>
  </si>
  <si>
    <t>mented</t>
  </si>
  <si>
    <t>Not</t>
  </si>
  <si>
    <t>1W</t>
  </si>
  <si>
    <t>2W</t>
  </si>
  <si>
    <t>3W</t>
  </si>
  <si>
    <t>Today</t>
  </si>
  <si>
    <t>Interp Trigger</t>
  </si>
  <si>
    <t>FLOAT CFL</t>
  </si>
  <si>
    <t>FIXING</t>
  </si>
  <si>
    <t xml:space="preserve">     FIXING RATES</t>
  </si>
  <si>
    <t xml:space="preserve">       FIXING END DATES</t>
  </si>
  <si>
    <t xml:space="preserve">       HISTORICAL FIXINGS (IF ANY)</t>
  </si>
  <si>
    <t>Principals</t>
  </si>
  <si>
    <t>Basis Points</t>
  </si>
  <si>
    <t xml:space="preserve">       PROJECTED FIXINGS FROM CURVES</t>
  </si>
  <si>
    <t>OFF</t>
  </si>
  <si>
    <t>Spot FX</t>
  </si>
  <si>
    <t>Base</t>
  </si>
  <si>
    <t>Other</t>
  </si>
  <si>
    <t>Implied</t>
  </si>
  <si>
    <t>FORWARD FX RATES</t>
  </si>
  <si>
    <t>FORWARD FX POINTS</t>
  </si>
  <si>
    <t>Diff.</t>
  </si>
  <si>
    <t>Forward FX</t>
  </si>
  <si>
    <t>Conversion Factors</t>
  </si>
  <si>
    <t>Forward Swaps</t>
  </si>
  <si>
    <t>FX Pts</t>
  </si>
  <si>
    <t>from IR</t>
  </si>
  <si>
    <t>ZBX Curve</t>
  </si>
  <si>
    <t>This section compares market forward FX points to points implied by interest rate curves</t>
  </si>
  <si>
    <t>1f</t>
  </si>
  <si>
    <t>TBL: Added Forward FX section</t>
  </si>
  <si>
    <t>Start / End</t>
  </si>
  <si>
    <t xml:space="preserve">  Used by auto-formatting for floating freq.</t>
  </si>
  <si>
    <t xml:space="preserve">  IB</t>
  </si>
  <si>
    <t>FED FUND FUTURES</t>
  </si>
  <si>
    <t>Outline</t>
  </si>
  <si>
    <t>Level</t>
  </si>
  <si>
    <t>10m</t>
  </si>
  <si>
    <t>Allows global override. Enter "LOCAL" to pass control back to each sheet tab</t>
  </si>
  <si>
    <t>Programmers only</t>
  </si>
  <si>
    <t>Custom inputs</t>
  </si>
  <si>
    <t>Holiday codes are located on the HOL tab.   If no override is provided, the default is shown below the yellow box</t>
  </si>
  <si>
    <t>MYR</t>
  </si>
  <si>
    <t>2b</t>
  </si>
  <si>
    <t>0d</t>
  </si>
  <si>
    <t>2B</t>
  </si>
  <si>
    <t>???</t>
  </si>
  <si>
    <t>Projection Curve</t>
  </si>
  <si>
    <t xml:space="preserve">2YR   20.50   16.50   QTLY  5.255   5.215   2YR  13.25 8.250 10YR  YTCc1        </t>
  </si>
  <si>
    <t>SW</t>
  </si>
  <si>
    <t>9Y   5.9225/5.8775   53.00/  49.00 vs 10Y                    9Y    28.75   24.75</t>
  </si>
  <si>
    <t>50Y#   4.281  -31.50--27.50 -29.50     3.966-4.006  3.986     3.951-3.991  3.971</t>
  </si>
  <si>
    <t>1Y   5.1560/5.1360                                           1Y     8.00    4.00</t>
  </si>
  <si>
    <t>CFL DATE</t>
  </si>
  <si>
    <t>2Y   5.2050/5.2450   19.50/  15.50 vs 3Y                     2Y    12.75    8.75</t>
  </si>
  <si>
    <t>4Y   5.5150/5.5550   50.50/  46.50 vs 3Y                     4Y    19.25   15.25</t>
  </si>
  <si>
    <t>5Y   5.6200/5.6600   61.00/  57.00 vs 3Y                     5Y    22.00   18.00</t>
  </si>
  <si>
    <t>3Y   5.3050/5.3450   29.50/  25.50 vs 3Y                     3Y    16.50   12.50</t>
  </si>
  <si>
    <t>15Y  6.0313/5.9863   64.13/  60.13 vs 10Y                    15Y   24.25   20.25</t>
  </si>
  <si>
    <t>10Y  5.9538/5.9088   56.38/  52.38 vs 10Y                    10Y   29.75   25.75</t>
  </si>
  <si>
    <t>12Y  6.0038/5.9588   61.38/  57.38 vs 10Y                    12Y   29.00   25.00</t>
  </si>
  <si>
    <t>20Y  5.9413/5.8963   55.13/  51.13 vs 10Y                    20Y   18.00   14.00</t>
  </si>
  <si>
    <t>40Y  5.2788/5.2338  -11.13/ -15.13 vs 10Y                      AUD Bills / Libor</t>
  </si>
  <si>
    <t>8Y   5.8900/5.8450   49.75/  45.75 vs 10Y                    8Y    27.50   23.50</t>
  </si>
  <si>
    <t>6Y   5.7425/5.7400   37.00/  33.00 vs 10Y                    6Y    24.25   20.25</t>
  </si>
  <si>
    <t>7Y   5.8450/5.8000   45.50/  41.50 vs 10Y                    7Y    26.50   22.50</t>
  </si>
  <si>
    <t>25Y  5.8013/5.7563   41.13/  37.13 vs 10Y                    25Y   11.75    7.75</t>
  </si>
  <si>
    <t>30Y  5.6638/5.6188   27.38/  23.38 vs 10Y                    30Y    5.50    1.50</t>
  </si>
  <si>
    <t xml:space="preserve">4YR   50.50   46.50   SEMI  5.555   5.515   4YR  20.25 15.25                    </t>
  </si>
  <si>
    <t xml:space="preserve">9YR   54.00   50.00   SEMI  5.935   5.895   15YR 24.00 19.00  25 YR BILLS/LIBOR </t>
  </si>
  <si>
    <t xml:space="preserve">12YR  61.25   57.25   SEMI  6.008   5.968   30YR 5.000 0.000                    </t>
  </si>
  <si>
    <t xml:space="preserve">10YR  56.00   52.00   SEMI  5.955   5.915   20YR 18.00 13.00    11.500 6.500    </t>
  </si>
  <si>
    <t xml:space="preserve">3YR   29.75   25.75   QTLY  5.348   5.308   3YR  17.25 12.25 CURVE 45.250       </t>
  </si>
  <si>
    <t xml:space="preserve">5YR   61.25   57.25   SEMI  5.663   5.623   5YR  23.00 18.00  25 YR EFP         </t>
  </si>
  <si>
    <t xml:space="preserve">6YR   39.25   35.25   SEMI  5.788   5.748   7YR  26.75 21.75    41.0   37.0     </t>
  </si>
  <si>
    <t xml:space="preserve">7YR   46.00   42.00   SEMI  5.855   5.815   10YR 30.00 25.00  25 YR OUTRIGHT    </t>
  </si>
  <si>
    <t xml:space="preserve">30YR  27.00   23.00   SEMI  5.665   5.625                                       </t>
  </si>
  <si>
    <t xml:space="preserve">8YR   50.50   46.50   SEMI  5.900   5.860   12YR 29.25 24.25    5.805  5.765    </t>
  </si>
  <si>
    <t xml:space="preserve">15YR  64.25   60.25   SEMI  6.038   5.998                                       </t>
  </si>
  <si>
    <t>20YR  54.75   50.75   SEMI  5.943   5.903   FOR AUD BASIS RATES SEE &lt;TPAUDBASIS&gt;</t>
  </si>
</sst>
</file>

<file path=xl/styles.xml><?xml version="1.0" encoding="utf-8"?>
<styleSheet xmlns="http://schemas.openxmlformats.org/spreadsheetml/2006/main">
  <numFmts count="11">
    <numFmt numFmtId="164" formatCode="[$-409]mmm\-yy;@"/>
    <numFmt numFmtId="165" formatCode="#,##0.000"/>
    <numFmt numFmtId="166" formatCode="#,##0.0"/>
    <numFmt numFmtId="167" formatCode="#,##0.0000"/>
    <numFmt numFmtId="168" formatCode="\+0.00;\-0.00;\+0.00"/>
    <numFmt numFmtId="169" formatCode="#,##0;[Red]\-#,##0;0"/>
    <numFmt numFmtId="170" formatCode="0.0000"/>
    <numFmt numFmtId="171" formatCode="General;\-General;0"/>
    <numFmt numFmtId="172" formatCode="#,##0.00000"/>
    <numFmt numFmtId="173" formatCode="#,##0.00;\-#,##0.00;0.00"/>
    <numFmt numFmtId="174" formatCode="dd/mm"/>
  </numFmts>
  <fonts count="44">
    <font>
      <sz val="10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333399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sz val="8"/>
      <color rgb="FF333399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8"/>
      <color theme="1" tint="0.249977111117893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 tint="0.499984740745262"/>
      <name val="Calibri"/>
      <family val="2"/>
    </font>
    <font>
      <sz val="10"/>
      <color theme="0" tint="-0.249977111117893"/>
      <name val="Calibri"/>
      <family val="2"/>
      <scheme val="minor"/>
    </font>
    <font>
      <sz val="15"/>
      <color theme="1" tint="0.24994659260841701"/>
      <name val="Calibri"/>
      <family val="2"/>
    </font>
    <font>
      <sz val="10"/>
      <name val="Calibri"/>
      <family val="2"/>
    </font>
    <font>
      <sz val="8"/>
      <color theme="1" tint="0.499984740745262"/>
      <name val="Calibri"/>
      <family val="2"/>
    </font>
    <font>
      <sz val="8"/>
      <name val="Calibri"/>
      <family val="2"/>
    </font>
    <font>
      <sz val="10"/>
      <color rgb="FF0000FF"/>
      <name val="Calibri"/>
      <family val="2"/>
    </font>
    <font>
      <sz val="9"/>
      <color rgb="FF333399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5"/>
      <color theme="1"/>
      <name val="Calibri"/>
      <family val="2"/>
      <scheme val="minor"/>
    </font>
    <font>
      <sz val="15"/>
      <name val="Calibri"/>
      <family val="2"/>
      <scheme val="minor"/>
    </font>
    <font>
      <b/>
      <sz val="8"/>
      <color theme="1" tint="0.24994659260841701"/>
      <name val="Calibri"/>
      <family val="2"/>
    </font>
    <font>
      <sz val="10"/>
      <color rgb="FFFF0000"/>
      <name val="Calibri"/>
      <family val="2"/>
      <scheme val="minor"/>
    </font>
    <font>
      <b/>
      <sz val="10"/>
      <name val="Calibri"/>
      <family val="2"/>
    </font>
    <font>
      <b/>
      <sz val="1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5"/>
      <name val="Calibri"/>
      <family val="2"/>
    </font>
    <font>
      <sz val="8"/>
      <color theme="1" tint="0.24994659260841701"/>
      <name val="Calibri"/>
      <family val="2"/>
    </font>
    <font>
      <b/>
      <sz val="8"/>
      <color theme="0"/>
      <name val="Calibri"/>
      <family val="2"/>
      <scheme val="minor"/>
    </font>
    <font>
      <sz val="8"/>
      <color theme="1" tint="0.249977111117893"/>
      <name val="Calibri"/>
      <family val="2"/>
    </font>
    <font>
      <b/>
      <sz val="8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4"/>
      <color rgb="FFC00000"/>
      <name val="Calibri"/>
      <family val="2"/>
    </font>
    <font>
      <sz val="8"/>
      <color rgb="FF0000FF"/>
      <name val="Calibri"/>
      <family val="2"/>
    </font>
    <font>
      <sz val="8"/>
      <color rgb="FF000000"/>
      <name val="Calibri"/>
      <family val="2"/>
      <scheme val="minor"/>
    </font>
    <font>
      <sz val="10"/>
      <color theme="0" tint="-0.14999847407452621"/>
      <name val="Calibri"/>
      <family val="2"/>
    </font>
    <font>
      <sz val="8"/>
      <color theme="0" tint="-0.14999847407452621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AEDC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249977111117893"/>
        <bgColor indexed="64"/>
      </patternFill>
    </fill>
  </fills>
  <borders count="40">
    <border>
      <left/>
      <right/>
      <top/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1" tint="0.499984740745262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1" tint="0.499984740745262"/>
      </top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0" tint="-0.24994659260841701"/>
      </top>
      <bottom/>
      <diagonal/>
    </border>
    <border>
      <left style="thick">
        <color theme="0" tint="-0.24994659260841701"/>
      </left>
      <right/>
      <top/>
      <bottom/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5" tint="-0.24994659260841701"/>
      </left>
      <right/>
      <top style="thin">
        <color theme="5" tint="-0.24994659260841701"/>
      </top>
      <bottom/>
      <diagonal/>
    </border>
    <border>
      <left/>
      <right/>
      <top style="thin">
        <color theme="5" tint="-0.24994659260841701"/>
      </top>
      <bottom/>
      <diagonal/>
    </border>
    <border>
      <left/>
      <right style="thin">
        <color theme="5" tint="-0.24994659260841701"/>
      </right>
      <top style="thin">
        <color theme="5" tint="-0.24994659260841701"/>
      </top>
      <bottom/>
      <diagonal/>
    </border>
    <border>
      <left style="thin">
        <color theme="5" tint="-0.24994659260841701"/>
      </left>
      <right/>
      <top/>
      <bottom style="thin">
        <color theme="5" tint="-0.24994659260841701"/>
      </bottom>
      <diagonal/>
    </border>
    <border>
      <left/>
      <right/>
      <top/>
      <bottom style="thin">
        <color theme="5" tint="-0.24994659260841701"/>
      </bottom>
      <diagonal/>
    </border>
    <border>
      <left/>
      <right style="thin">
        <color theme="5" tint="-0.24994659260841701"/>
      </right>
      <top/>
      <bottom style="thin">
        <color theme="5" tint="-0.24994659260841701"/>
      </bottom>
      <diagonal/>
    </border>
    <border>
      <left/>
      <right/>
      <top/>
      <bottom style="thick">
        <color theme="0" tint="-0.24994659260841701"/>
      </bottom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/>
      <right style="thick">
        <color theme="0" tint="-0.24994659260841701"/>
      </right>
      <top/>
      <bottom/>
      <diagonal/>
    </border>
    <border>
      <left/>
      <right/>
      <top style="thick">
        <color theme="0" tint="-0.24994659260841701"/>
      </top>
      <bottom/>
      <diagonal/>
    </border>
  </borders>
  <cellStyleXfs count="8">
    <xf numFmtId="0" fontId="0" fillId="0" borderId="0" applyNumberFormat="0" applyBorder="0" applyAlignment="0"/>
    <xf numFmtId="0" fontId="1" fillId="2" borderId="0" applyNumberFormat="0" applyFont="0" applyBorder="0" applyAlignment="0" applyProtection="0"/>
    <xf numFmtId="0" fontId="19" fillId="12" borderId="0" applyNumberFormat="0" applyBorder="0" applyAlignment="0">
      <protection locked="0"/>
    </xf>
    <xf numFmtId="4" fontId="3" fillId="0" borderId="0" applyNumberFormat="0" applyFill="0" applyBorder="0" applyAlignment="0">
      <alignment horizontal="center"/>
    </xf>
    <xf numFmtId="0" fontId="15" fillId="0" borderId="3" applyNumberFormat="0" applyFill="0" applyAlignment="0" applyProtection="0"/>
    <xf numFmtId="0" fontId="13" fillId="0" borderId="0" applyNumberFormat="0" applyFill="0" applyBorder="0" applyAlignment="0" applyProtection="0"/>
    <xf numFmtId="4" fontId="3" fillId="0" borderId="0" applyNumberFormat="0" applyFill="0" applyBorder="0" applyAlignment="0">
      <alignment horizontal="center"/>
      <protection locked="0"/>
    </xf>
    <xf numFmtId="0" fontId="27" fillId="0" borderId="16" applyNumberFormat="0" applyFill="0" applyBorder="0" applyAlignment="0" applyProtection="0"/>
  </cellStyleXfs>
  <cellXfs count="842">
    <xf numFmtId="0" fontId="0" fillId="0" borderId="0" xfId="0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4" fontId="0" fillId="0" borderId="0" xfId="0" applyNumberFormat="1" applyFont="1" applyBorder="1" applyAlignment="1">
      <alignment horizontal="center"/>
    </xf>
    <xf numFmtId="0" fontId="0" fillId="0" borderId="0" xfId="0" quotePrefix="1" applyFont="1" applyBorder="1" applyAlignment="1">
      <alignment horizontal="center"/>
    </xf>
    <xf numFmtId="0" fontId="0" fillId="0" borderId="0" xfId="0" applyFont="1" applyBorder="1"/>
    <xf numFmtId="0" fontId="7" fillId="0" borderId="0" xfId="0" applyFont="1" applyBorder="1"/>
    <xf numFmtId="0" fontId="4" fillId="0" borderId="0" xfId="0" applyFont="1" applyBorder="1"/>
    <xf numFmtId="0" fontId="5" fillId="0" borderId="0" xfId="0" applyFont="1" applyBorder="1"/>
    <xf numFmtId="165" fontId="0" fillId="0" borderId="0" xfId="0" applyNumberFormat="1" applyFont="1" applyBorder="1" applyAlignment="1">
      <alignment horizontal="center"/>
    </xf>
    <xf numFmtId="0" fontId="2" fillId="12" borderId="0" xfId="2" applyFont="1" applyBorder="1" applyAlignment="1">
      <alignment horizontal="center"/>
      <protection locked="0"/>
    </xf>
    <xf numFmtId="0" fontId="11" fillId="0" borderId="0" xfId="0" applyFont="1" applyBorder="1" applyAlignment="1">
      <alignment horizontal="right"/>
    </xf>
    <xf numFmtId="0" fontId="11" fillId="0" borderId="0" xfId="0" applyFont="1" applyBorder="1" applyAlignment="1"/>
    <xf numFmtId="0" fontId="0" fillId="0" borderId="0" xfId="0" applyFont="1" applyBorder="1" applyAlignment="1"/>
    <xf numFmtId="0" fontId="5" fillId="0" borderId="0" xfId="0" applyFont="1" applyBorder="1" applyAlignment="1"/>
    <xf numFmtId="0" fontId="0" fillId="0" borderId="0" xfId="0" applyFont="1" applyBorder="1" applyAlignment="1">
      <alignment horizontal="right"/>
    </xf>
    <xf numFmtId="0" fontId="10" fillId="0" borderId="0" xfId="0" applyFont="1" applyBorder="1" applyAlignment="1"/>
    <xf numFmtId="4" fontId="0" fillId="0" borderId="0" xfId="0" applyNumberFormat="1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11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11" fillId="0" borderId="0" xfId="0" applyFont="1" applyBorder="1"/>
    <xf numFmtId="164" fontId="11" fillId="0" borderId="0" xfId="0" applyNumberFormat="1" applyFont="1" applyBorder="1" applyAlignment="1">
      <alignment horizontal="left"/>
    </xf>
    <xf numFmtId="0" fontId="11" fillId="0" borderId="0" xfId="0" quotePrefix="1" applyFont="1" applyBorder="1" applyAlignment="1">
      <alignment horizontal="left"/>
    </xf>
    <xf numFmtId="0" fontId="6" fillId="0" borderId="0" xfId="0" applyFont="1" applyBorder="1"/>
    <xf numFmtId="0" fontId="10" fillId="0" borderId="0" xfId="0" applyFont="1" applyBorder="1" applyAlignment="1">
      <alignment horizontal="left"/>
    </xf>
    <xf numFmtId="0" fontId="10" fillId="0" borderId="0" xfId="0" applyFont="1" applyBorder="1" applyAlignment="1">
      <alignment horizontal="center"/>
    </xf>
    <xf numFmtId="4" fontId="10" fillId="0" borderId="0" xfId="0" applyNumberFormat="1" applyFont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4" fillId="0" borderId="0" xfId="0" applyFont="1" applyBorder="1" applyAlignment="1">
      <alignment horizontal="right"/>
    </xf>
    <xf numFmtId="165" fontId="0" fillId="0" borderId="0" xfId="0" applyNumberFormat="1" applyFont="1" applyBorder="1" applyAlignment="1">
      <alignment horizontal="right"/>
    </xf>
    <xf numFmtId="0" fontId="0" fillId="0" borderId="0" xfId="0" applyFont="1" applyFill="1" applyBorder="1"/>
    <xf numFmtId="4" fontId="19" fillId="12" borderId="0" xfId="2" applyNumberFormat="1" applyBorder="1" applyAlignment="1">
      <alignment horizontal="center"/>
      <protection locked="0"/>
    </xf>
    <xf numFmtId="4" fontId="13" fillId="0" borderId="0" xfId="5" applyNumberFormat="1" applyBorder="1" applyAlignment="1">
      <alignment horizontal="left"/>
    </xf>
    <xf numFmtId="0" fontId="13" fillId="0" borderId="0" xfId="5" applyBorder="1"/>
    <xf numFmtId="0" fontId="13" fillId="0" borderId="0" xfId="5" applyBorder="1" applyAlignment="1">
      <alignment horizontal="center"/>
    </xf>
    <xf numFmtId="165" fontId="13" fillId="0" borderId="0" xfId="5" applyNumberFormat="1" applyBorder="1" applyAlignment="1">
      <alignment horizontal="center"/>
    </xf>
    <xf numFmtId="0" fontId="13" fillId="0" borderId="0" xfId="5" applyBorder="1" applyAlignment="1">
      <alignment horizontal="right"/>
    </xf>
    <xf numFmtId="4" fontId="13" fillId="0" borderId="0" xfId="5" applyNumberFormat="1" applyBorder="1" applyAlignment="1">
      <alignment horizontal="right"/>
    </xf>
    <xf numFmtId="4" fontId="13" fillId="0" borderId="0" xfId="5" applyNumberFormat="1" applyBorder="1" applyAlignment="1">
      <alignment horizontal="center"/>
    </xf>
    <xf numFmtId="0" fontId="13" fillId="0" borderId="0" xfId="5" applyBorder="1" applyAlignment="1"/>
    <xf numFmtId="0" fontId="13" fillId="0" borderId="0" xfId="5" applyBorder="1" applyAlignment="1">
      <alignment horizontal="left"/>
    </xf>
    <xf numFmtId="4" fontId="3" fillId="0" borderId="0" xfId="0" applyNumberFormat="1" applyFont="1" applyBorder="1" applyAlignment="1">
      <alignment horizontal="center"/>
    </xf>
    <xf numFmtId="4" fontId="5" fillId="0" borderId="0" xfId="0" applyNumberFormat="1" applyFont="1" applyFill="1" applyBorder="1" applyAlignment="1">
      <alignment horizontal="center"/>
    </xf>
    <xf numFmtId="0" fontId="14" fillId="0" borderId="0" xfId="0" applyFont="1" applyBorder="1" applyAlignment="1">
      <alignment horizontal="center"/>
    </xf>
    <xf numFmtId="165" fontId="14" fillId="0" borderId="0" xfId="0" applyNumberFormat="1" applyFont="1" applyBorder="1" applyAlignment="1">
      <alignment horizontal="center"/>
    </xf>
    <xf numFmtId="0" fontId="15" fillId="0" borderId="3" xfId="4"/>
    <xf numFmtId="0" fontId="15" fillId="0" borderId="3" xfId="4" applyAlignment="1">
      <alignment horizontal="center"/>
    </xf>
    <xf numFmtId="165" fontId="15" fillId="0" borderId="3" xfId="4" applyNumberFormat="1" applyAlignment="1">
      <alignment horizontal="center"/>
    </xf>
    <xf numFmtId="0" fontId="15" fillId="0" borderId="3" xfId="4" applyAlignment="1">
      <alignment horizontal="left"/>
    </xf>
    <xf numFmtId="4" fontId="15" fillId="0" borderId="3" xfId="4" applyNumberFormat="1" applyAlignment="1">
      <alignment horizontal="center"/>
    </xf>
    <xf numFmtId="4" fontId="15" fillId="0" borderId="3" xfId="4" applyNumberFormat="1" applyAlignment="1">
      <alignment horizontal="right"/>
    </xf>
    <xf numFmtId="0" fontId="0" fillId="0" borderId="0" xfId="0" applyFont="1" applyBorder="1" applyAlignment="1"/>
    <xf numFmtId="0" fontId="4" fillId="0" borderId="0" xfId="0" applyFont="1" applyBorder="1" applyAlignment="1"/>
    <xf numFmtId="0" fontId="16" fillId="0" borderId="0" xfId="5" applyFont="1" applyBorder="1"/>
    <xf numFmtId="0" fontId="7" fillId="0" borderId="0" xfId="0" applyFont="1" applyBorder="1" applyAlignment="1">
      <alignment horizontal="left"/>
    </xf>
    <xf numFmtId="0" fontId="16" fillId="0" borderId="0" xfId="5" applyFont="1" applyBorder="1" applyAlignment="1">
      <alignment horizontal="left"/>
    </xf>
    <xf numFmtId="0" fontId="13" fillId="0" borderId="0" xfId="5" applyFill="1" applyBorder="1" applyAlignment="1">
      <alignment horizontal="center"/>
    </xf>
    <xf numFmtId="4" fontId="3" fillId="0" borderId="0" xfId="3" applyNumberFormat="1" applyBorder="1" applyAlignment="1" applyProtection="1">
      <alignment horizontal="center"/>
    </xf>
    <xf numFmtId="0" fontId="13" fillId="4" borderId="0" xfId="5" applyFill="1" applyBorder="1"/>
    <xf numFmtId="0" fontId="13" fillId="0" borderId="0" xfId="5" applyFill="1" applyBorder="1" applyAlignment="1">
      <alignment horizontal="right"/>
    </xf>
    <xf numFmtId="164" fontId="11" fillId="0" borderId="0" xfId="0" applyNumberFormat="1" applyFont="1" applyBorder="1"/>
    <xf numFmtId="4" fontId="3" fillId="0" borderId="0" xfId="3" applyNumberFormat="1" applyFill="1" applyBorder="1" applyAlignment="1" applyProtection="1">
      <alignment horizontal="center"/>
    </xf>
    <xf numFmtId="164" fontId="13" fillId="0" borderId="0" xfId="5" applyNumberFormat="1" applyBorder="1" applyAlignment="1">
      <alignment horizontal="left"/>
    </xf>
    <xf numFmtId="165" fontId="20" fillId="0" borderId="0" xfId="3" applyNumberFormat="1" applyFont="1" applyFill="1" applyBorder="1" applyAlignment="1" applyProtection="1">
      <alignment horizontal="center"/>
    </xf>
    <xf numFmtId="4" fontId="13" fillId="4" borderId="0" xfId="5" applyNumberFormat="1" applyFill="1" applyBorder="1" applyAlignment="1">
      <alignment horizontal="left"/>
    </xf>
    <xf numFmtId="0" fontId="13" fillId="4" borderId="0" xfId="5" applyFill="1" applyBorder="1" applyAlignment="1">
      <alignment horizontal="center"/>
    </xf>
    <xf numFmtId="4" fontId="13" fillId="4" borderId="0" xfId="5" applyNumberFormat="1" applyFill="1" applyBorder="1" applyAlignment="1">
      <alignment horizontal="right"/>
    </xf>
    <xf numFmtId="0" fontId="0" fillId="4" borderId="0" xfId="0" applyFont="1" applyFill="1" applyBorder="1" applyAlignment="1">
      <alignment horizontal="center"/>
    </xf>
    <xf numFmtId="0" fontId="0" fillId="4" borderId="0" xfId="0" applyFont="1" applyFill="1" applyBorder="1" applyAlignment="1">
      <alignment horizontal="right"/>
    </xf>
    <xf numFmtId="4" fontId="0" fillId="4" borderId="0" xfId="0" applyNumberFormat="1" applyFont="1" applyFill="1" applyBorder="1" applyAlignment="1">
      <alignment horizontal="right"/>
    </xf>
    <xf numFmtId="0" fontId="0" fillId="4" borderId="0" xfId="0" applyFont="1" applyFill="1" applyBorder="1" applyAlignment="1"/>
    <xf numFmtId="0" fontId="10" fillId="4" borderId="0" xfId="0" applyFont="1" applyFill="1" applyBorder="1" applyAlignment="1">
      <alignment horizontal="left"/>
    </xf>
    <xf numFmtId="165" fontId="12" fillId="0" borderId="0" xfId="0" applyNumberFormat="1" applyFont="1" applyBorder="1" applyAlignment="1">
      <alignment horizontal="center"/>
    </xf>
    <xf numFmtId="165" fontId="3" fillId="0" borderId="0" xfId="3" applyNumberFormat="1" applyFont="1" applyBorder="1" applyAlignment="1" applyProtection="1">
      <alignment horizontal="center"/>
    </xf>
    <xf numFmtId="0" fontId="13" fillId="0" borderId="11" xfId="5" applyBorder="1"/>
    <xf numFmtId="165" fontId="0" fillId="0" borderId="11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13" fillId="0" borderId="11" xfId="5" applyBorder="1" applyAlignment="1">
      <alignment horizontal="left"/>
    </xf>
    <xf numFmtId="0" fontId="0" fillId="0" borderId="11" xfId="0" applyFont="1" applyBorder="1"/>
    <xf numFmtId="0" fontId="0" fillId="0" borderId="11" xfId="0" quotePrefix="1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5" fillId="0" borderId="11" xfId="0" applyFont="1" applyBorder="1"/>
    <xf numFmtId="0" fontId="6" fillId="0" borderId="11" xfId="0" applyFont="1" applyBorder="1"/>
    <xf numFmtId="4" fontId="0" fillId="0" borderId="11" xfId="0" applyNumberFormat="1" applyFont="1" applyBorder="1" applyAlignment="1">
      <alignment horizontal="center"/>
    </xf>
    <xf numFmtId="0" fontId="7" fillId="0" borderId="11" xfId="0" applyFont="1" applyBorder="1"/>
    <xf numFmtId="0" fontId="4" fillId="0" borderId="11" xfId="0" applyFont="1" applyBorder="1"/>
    <xf numFmtId="165" fontId="0" fillId="4" borderId="10" xfId="0" applyNumberFormat="1" applyFont="1" applyFill="1" applyBorder="1" applyAlignment="1">
      <alignment horizontal="center"/>
    </xf>
    <xf numFmtId="4" fontId="0" fillId="4" borderId="7" xfId="0" applyNumberFormat="1" applyFont="1" applyFill="1" applyBorder="1" applyAlignment="1">
      <alignment horizontal="center"/>
    </xf>
    <xf numFmtId="4" fontId="0" fillId="4" borderId="7" xfId="0" applyNumberFormat="1" applyFont="1" applyFill="1" applyBorder="1" applyAlignment="1">
      <alignment horizontal="right"/>
    </xf>
    <xf numFmtId="0" fontId="0" fillId="4" borderId="7" xfId="0" applyFont="1" applyFill="1" applyBorder="1" applyAlignment="1">
      <alignment horizontal="center"/>
    </xf>
    <xf numFmtId="0" fontId="13" fillId="4" borderId="11" xfId="5" applyFill="1" applyBorder="1"/>
    <xf numFmtId="4" fontId="13" fillId="4" borderId="0" xfId="5" applyNumberFormat="1" applyFill="1" applyBorder="1" applyAlignment="1"/>
    <xf numFmtId="165" fontId="0" fillId="4" borderId="11" xfId="0" applyNumberFormat="1" applyFont="1" applyFill="1" applyBorder="1" applyAlignment="1">
      <alignment horizontal="center"/>
    </xf>
    <xf numFmtId="0" fontId="5" fillId="4" borderId="0" xfId="0" applyFont="1" applyFill="1" applyBorder="1"/>
    <xf numFmtId="0" fontId="13" fillId="4" borderId="0" xfId="5" applyFill="1" applyBorder="1" applyAlignment="1">
      <alignment horizontal="left"/>
    </xf>
    <xf numFmtId="165" fontId="0" fillId="4" borderId="12" xfId="0" applyNumberFormat="1" applyFont="1" applyFill="1" applyBorder="1" applyAlignment="1">
      <alignment horizontal="center"/>
    </xf>
    <xf numFmtId="0" fontId="10" fillId="4" borderId="9" xfId="0" applyFont="1" applyFill="1" applyBorder="1" applyAlignment="1">
      <alignment horizontal="left"/>
    </xf>
    <xf numFmtId="0" fontId="0" fillId="4" borderId="9" xfId="0" applyFont="1" applyFill="1" applyBorder="1" applyAlignment="1">
      <alignment horizontal="right"/>
    </xf>
    <xf numFmtId="0" fontId="0" fillId="4" borderId="9" xfId="0" applyFont="1" applyFill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0" fontId="0" fillId="4" borderId="9" xfId="0" applyFont="1" applyFill="1" applyBorder="1" applyAlignment="1"/>
    <xf numFmtId="4" fontId="0" fillId="4" borderId="9" xfId="0" applyNumberFormat="1" applyFont="1" applyFill="1" applyBorder="1" applyAlignment="1">
      <alignment horizontal="center"/>
    </xf>
    <xf numFmtId="4" fontId="0" fillId="4" borderId="9" xfId="0" applyNumberFormat="1" applyFont="1" applyFill="1" applyBorder="1" applyAlignment="1">
      <alignment horizontal="right"/>
    </xf>
    <xf numFmtId="0" fontId="5" fillId="4" borderId="9" xfId="0" applyFont="1" applyFill="1" applyBorder="1"/>
    <xf numFmtId="4" fontId="3" fillId="0" borderId="0" xfId="3" applyNumberFormat="1" applyFont="1" applyBorder="1" applyAlignment="1" applyProtection="1">
      <alignment horizontal="right"/>
    </xf>
    <xf numFmtId="0" fontId="13" fillId="0" borderId="0" xfId="5" quotePrefix="1" applyBorder="1" applyAlignment="1">
      <alignment horizontal="center"/>
    </xf>
    <xf numFmtId="0" fontId="13" fillId="0" borderId="11" xfId="5" quotePrefix="1" applyBorder="1" applyAlignment="1">
      <alignment horizontal="center"/>
    </xf>
    <xf numFmtId="0" fontId="10" fillId="4" borderId="7" xfId="0" applyFont="1" applyFill="1" applyBorder="1" applyAlignment="1">
      <alignment horizontal="left"/>
    </xf>
    <xf numFmtId="0" fontId="0" fillId="4" borderId="7" xfId="0" applyFont="1" applyFill="1" applyBorder="1" applyAlignment="1">
      <alignment horizontal="right"/>
    </xf>
    <xf numFmtId="0" fontId="10" fillId="4" borderId="7" xfId="0" applyFont="1" applyFill="1" applyBorder="1" applyAlignment="1">
      <alignment horizontal="center"/>
    </xf>
    <xf numFmtId="0" fontId="0" fillId="4" borderId="7" xfId="0" applyFont="1" applyFill="1" applyBorder="1" applyAlignment="1"/>
    <xf numFmtId="4" fontId="5" fillId="3" borderId="0" xfId="0" applyNumberFormat="1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13" fillId="0" borderId="0" xfId="5" applyFill="1" applyBorder="1"/>
    <xf numFmtId="0" fontId="0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left"/>
    </xf>
    <xf numFmtId="0" fontId="19" fillId="12" borderId="0" xfId="2" applyAlignment="1">
      <alignment horizontal="left"/>
      <protection locked="0"/>
    </xf>
    <xf numFmtId="0" fontId="0" fillId="0" borderId="0" xfId="0" applyAlignment="1">
      <alignment horizontal="left"/>
    </xf>
    <xf numFmtId="15" fontId="0" fillId="0" borderId="0" xfId="0" applyNumberFormat="1" applyAlignment="1">
      <alignment horizontal="left"/>
    </xf>
    <xf numFmtId="15" fontId="19" fillId="12" borderId="0" xfId="2" applyNumberFormat="1" applyAlignment="1">
      <alignment horizontal="left"/>
      <protection locked="0"/>
    </xf>
    <xf numFmtId="3" fontId="0" fillId="0" borderId="0" xfId="0" applyNumberFormat="1"/>
    <xf numFmtId="3" fontId="0" fillId="0" borderId="0" xfId="0" applyNumberFormat="1" applyAlignment="1">
      <alignment horizontal="right"/>
    </xf>
    <xf numFmtId="167" fontId="0" fillId="0" borderId="0" xfId="0" applyNumberFormat="1" applyAlignment="1">
      <alignment horizontal="center"/>
    </xf>
    <xf numFmtId="16" fontId="19" fillId="12" borderId="0" xfId="2" applyNumberFormat="1" applyAlignment="1">
      <alignment horizontal="left"/>
      <protection locked="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167" fontId="0" fillId="0" borderId="0" xfId="0" applyNumberFormat="1" applyAlignment="1">
      <alignment horizontal="right"/>
    </xf>
    <xf numFmtId="167" fontId="15" fillId="0" borderId="3" xfId="4" applyNumberFormat="1" applyAlignment="1">
      <alignment horizontal="center"/>
    </xf>
    <xf numFmtId="3" fontId="15" fillId="0" borderId="3" xfId="4" applyNumberFormat="1"/>
    <xf numFmtId="15" fontId="15" fillId="0" borderId="3" xfId="4" applyNumberFormat="1" applyAlignment="1">
      <alignment horizontal="left"/>
    </xf>
    <xf numFmtId="3" fontId="15" fillId="0" borderId="3" xfId="4" applyNumberFormat="1" applyAlignment="1">
      <alignment horizontal="right"/>
    </xf>
    <xf numFmtId="0" fontId="19" fillId="12" borderId="0" xfId="2" applyAlignment="1">
      <alignment horizontal="center"/>
      <protection locked="0"/>
    </xf>
    <xf numFmtId="0" fontId="0" fillId="0" borderId="11" xfId="0" applyBorder="1"/>
    <xf numFmtId="0" fontId="21" fillId="0" borderId="0" xfId="0" applyFont="1"/>
    <xf numFmtId="0" fontId="19" fillId="12" borderId="0" xfId="2" applyAlignment="1">
      <protection locked="0"/>
    </xf>
    <xf numFmtId="0" fontId="0" fillId="0" borderId="0" xfId="0" applyBorder="1" applyAlignment="1">
      <alignment horizontal="left"/>
    </xf>
    <xf numFmtId="167" fontId="0" fillId="0" borderId="0" xfId="0" applyNumberFormat="1" applyBorder="1" applyAlignment="1">
      <alignment horizontal="center"/>
    </xf>
    <xf numFmtId="3" fontId="0" fillId="0" borderId="0" xfId="0" applyNumberFormat="1" applyBorder="1"/>
    <xf numFmtId="15" fontId="0" fillId="0" borderId="0" xfId="0" applyNumberFormat="1" applyBorder="1" applyAlignment="1">
      <alignment horizontal="left"/>
    </xf>
    <xf numFmtId="3" fontId="0" fillId="0" borderId="0" xfId="0" applyNumberFormat="1" applyBorder="1" applyAlignment="1">
      <alignment horizontal="right"/>
    </xf>
    <xf numFmtId="0" fontId="13" fillId="0" borderId="0" xfId="5" applyNumberFormat="1" applyAlignment="1" applyProtection="1">
      <alignment horizontal="left"/>
    </xf>
    <xf numFmtId="3" fontId="13" fillId="0" borderId="0" xfId="5" applyNumberFormat="1" applyAlignment="1" applyProtection="1">
      <alignment horizontal="center"/>
    </xf>
    <xf numFmtId="3" fontId="13" fillId="0" borderId="0" xfId="5" applyNumberFormat="1" applyAlignment="1" applyProtection="1">
      <alignment horizontal="right"/>
    </xf>
    <xf numFmtId="167" fontId="15" fillId="0" borderId="3" xfId="4" applyNumberFormat="1" applyAlignment="1">
      <alignment horizontal="right"/>
    </xf>
    <xf numFmtId="167" fontId="13" fillId="0" borderId="0" xfId="5" applyNumberFormat="1" applyAlignment="1" applyProtection="1">
      <alignment horizontal="right"/>
    </xf>
    <xf numFmtId="0" fontId="0" fillId="3" borderId="0" xfId="0" applyFill="1" applyAlignment="1">
      <alignment horizontal="left"/>
    </xf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0" fillId="4" borderId="11" xfId="0" applyFill="1" applyBorder="1"/>
    <xf numFmtId="167" fontId="0" fillId="0" borderId="0" xfId="0" applyNumberFormat="1" applyFill="1" applyBorder="1" applyAlignment="1">
      <alignment horizontal="right"/>
    </xf>
    <xf numFmtId="3" fontId="0" fillId="0" borderId="0" xfId="0" applyNumberFormat="1" applyFill="1" applyBorder="1" applyAlignment="1">
      <alignment horizontal="right"/>
    </xf>
    <xf numFmtId="0" fontId="0" fillId="4" borderId="10" xfId="0" applyFill="1" applyBorder="1"/>
    <xf numFmtId="0" fontId="0" fillId="4" borderId="12" xfId="0" applyFill="1" applyBorder="1"/>
    <xf numFmtId="0" fontId="0" fillId="4" borderId="9" xfId="0" applyFill="1" applyBorder="1"/>
    <xf numFmtId="0" fontId="14" fillId="0" borderId="0" xfId="0" applyFont="1" applyBorder="1" applyAlignment="1" applyProtection="1">
      <alignment horizontal="center"/>
      <protection locked="0"/>
    </xf>
    <xf numFmtId="3" fontId="19" fillId="12" borderId="0" xfId="2" applyNumberFormat="1" applyAlignment="1">
      <alignment horizontal="center"/>
      <protection locked="0"/>
    </xf>
    <xf numFmtId="167" fontId="0" fillId="0" borderId="0" xfId="0" applyNumberFormat="1" applyAlignment="1">
      <alignment horizontal="left"/>
    </xf>
    <xf numFmtId="0" fontId="7" fillId="6" borderId="0" xfId="0" applyFont="1" applyFill="1" applyBorder="1"/>
    <xf numFmtId="0" fontId="19" fillId="12" borderId="0" xfId="2" applyBorder="1" applyAlignment="1">
      <alignment horizontal="center"/>
      <protection locked="0"/>
    </xf>
    <xf numFmtId="0" fontId="11" fillId="0" borderId="0" xfId="0" applyFont="1" applyFill="1" applyBorder="1"/>
    <xf numFmtId="4" fontId="0" fillId="0" borderId="0" xfId="0" applyNumberFormat="1" applyFont="1" applyBorder="1"/>
    <xf numFmtId="0" fontId="7" fillId="0" borderId="0" xfId="0" applyFont="1" applyBorder="1" applyAlignment="1">
      <alignment horizontal="center"/>
    </xf>
    <xf numFmtId="0" fontId="13" fillId="6" borderId="0" xfId="5" applyFill="1" applyBorder="1"/>
    <xf numFmtId="0" fontId="0" fillId="6" borderId="0" xfId="0" applyFont="1" applyFill="1" applyBorder="1"/>
    <xf numFmtId="0" fontId="4" fillId="6" borderId="0" xfId="0" applyFont="1" applyFill="1" applyBorder="1"/>
    <xf numFmtId="0" fontId="4" fillId="0" borderId="0" xfId="0" applyFont="1" applyFill="1" applyBorder="1"/>
    <xf numFmtId="0" fontId="7" fillId="0" borderId="0" xfId="0" applyFont="1" applyFill="1" applyBorder="1"/>
    <xf numFmtId="164" fontId="16" fillId="0" borderId="0" xfId="5" applyNumberFormat="1" applyFont="1" applyFill="1" applyBorder="1"/>
    <xf numFmtId="4" fontId="7" fillId="0" borderId="0" xfId="0" applyNumberFormat="1" applyFont="1" applyFill="1" applyBorder="1"/>
    <xf numFmtId="166" fontId="0" fillId="0" borderId="0" xfId="0" applyNumberFormat="1" applyFont="1" applyFill="1" applyBorder="1"/>
    <xf numFmtId="166" fontId="7" fillId="0" borderId="0" xfId="0" applyNumberFormat="1" applyFont="1" applyFill="1" applyBorder="1"/>
    <xf numFmtId="0" fontId="16" fillId="0" borderId="0" xfId="5" applyFont="1" applyFill="1" applyBorder="1"/>
    <xf numFmtId="164" fontId="19" fillId="12" borderId="0" xfId="2" applyNumberFormat="1" applyBorder="1" applyAlignment="1">
      <alignment horizontal="center"/>
      <protection locked="0"/>
    </xf>
    <xf numFmtId="0" fontId="7" fillId="0" borderId="0" xfId="0" applyFont="1" applyFill="1" applyBorder="1" applyAlignment="1">
      <alignment horizontal="center"/>
    </xf>
    <xf numFmtId="166" fontId="7" fillId="0" borderId="0" xfId="0" applyNumberFormat="1" applyFont="1" applyFill="1" applyBorder="1" applyAlignment="1">
      <alignment horizontal="center"/>
    </xf>
    <xf numFmtId="166" fontId="13" fillId="0" borderId="0" xfId="5" applyNumberFormat="1" applyFill="1" applyBorder="1" applyAlignment="1">
      <alignment horizontal="center"/>
    </xf>
    <xf numFmtId="4" fontId="0" fillId="0" borderId="0" xfId="0" applyNumberFormat="1" applyFont="1" applyFill="1" applyBorder="1" applyAlignment="1">
      <alignment horizontal="center"/>
    </xf>
    <xf numFmtId="4" fontId="13" fillId="0" borderId="0" xfId="5" applyNumberForma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0" fillId="6" borderId="0" xfId="0" applyFont="1" applyFill="1" applyBorder="1" applyAlignment="1">
      <alignment horizontal="right"/>
    </xf>
    <xf numFmtId="0" fontId="13" fillId="6" borderId="0" xfId="5" applyFill="1" applyBorder="1" applyAlignment="1">
      <alignment horizontal="right"/>
    </xf>
    <xf numFmtId="165" fontId="0" fillId="6" borderId="0" xfId="0" applyNumberFormat="1" applyFont="1" applyFill="1" applyBorder="1" applyAlignment="1">
      <alignment horizontal="right"/>
    </xf>
    <xf numFmtId="168" fontId="0" fillId="0" borderId="0" xfId="0" applyNumberFormat="1" applyFont="1" applyFill="1" applyBorder="1" applyAlignment="1">
      <alignment horizontal="center"/>
    </xf>
    <xf numFmtId="168" fontId="13" fillId="0" borderId="0" xfId="5" applyNumberFormat="1" applyFill="1" applyBorder="1" applyAlignment="1">
      <alignment horizontal="center"/>
    </xf>
    <xf numFmtId="4" fontId="0" fillId="0" borderId="0" xfId="0" applyNumberFormat="1" applyFont="1" applyBorder="1" applyAlignment="1">
      <alignment horizontal="left"/>
    </xf>
    <xf numFmtId="4" fontId="13" fillId="0" borderId="0" xfId="5" applyNumberFormat="1" applyFill="1" applyBorder="1" applyAlignment="1">
      <alignment horizontal="right"/>
    </xf>
    <xf numFmtId="0" fontId="13" fillId="0" borderId="0" xfId="5"/>
    <xf numFmtId="4" fontId="0" fillId="0" borderId="0" xfId="0" applyNumberFormat="1" applyAlignment="1">
      <alignment horizontal="center"/>
    </xf>
    <xf numFmtId="167" fontId="13" fillId="0" borderId="9" xfId="5" applyNumberFormat="1" applyBorder="1" applyAlignment="1">
      <alignment horizontal="center"/>
    </xf>
    <xf numFmtId="0" fontId="13" fillId="0" borderId="9" xfId="5" applyBorder="1" applyAlignment="1">
      <alignment horizontal="center"/>
    </xf>
    <xf numFmtId="0" fontId="15" fillId="4" borderId="3" xfId="4" applyFill="1"/>
    <xf numFmtId="0" fontId="19" fillId="12" borderId="0" xfId="2" applyNumberFormat="1" applyAlignment="1">
      <alignment horizontal="center"/>
      <protection locked="0"/>
    </xf>
    <xf numFmtId="0" fontId="0" fillId="5" borderId="0" xfId="0" applyFont="1" applyFill="1" applyBorder="1"/>
    <xf numFmtId="0" fontId="15" fillId="3" borderId="3" xfId="4" applyFill="1"/>
    <xf numFmtId="0" fontId="8" fillId="3" borderId="0" xfId="0" applyFont="1" applyFill="1" applyBorder="1"/>
    <xf numFmtId="0" fontId="18" fillId="3" borderId="0" xfId="5" applyFont="1" applyFill="1" applyBorder="1"/>
    <xf numFmtId="0" fontId="17" fillId="3" borderId="0" xfId="5" applyFont="1" applyFill="1" applyBorder="1"/>
    <xf numFmtId="0" fontId="6" fillId="3" borderId="0" xfId="0" applyFont="1" applyFill="1" applyBorder="1"/>
    <xf numFmtId="0" fontId="8" fillId="3" borderId="0" xfId="0" applyFont="1" applyFill="1" applyBorder="1" applyAlignment="1">
      <alignment horizontal="left"/>
    </xf>
    <xf numFmtId="0" fontId="15" fillId="3" borderId="3" xfId="4" applyFill="1" applyAlignment="1">
      <alignment horizontal="left"/>
    </xf>
    <xf numFmtId="0" fontId="8" fillId="5" borderId="0" xfId="0" applyFont="1" applyFill="1" applyBorder="1" applyAlignment="1">
      <alignment horizontal="left"/>
    </xf>
    <xf numFmtId="0" fontId="3" fillId="5" borderId="0" xfId="6" applyNumberFormat="1" applyFill="1" applyBorder="1" applyAlignment="1">
      <protection locked="0"/>
    </xf>
    <xf numFmtId="0" fontId="18" fillId="3" borderId="0" xfId="5" applyFont="1" applyFill="1" applyBorder="1" applyAlignment="1">
      <alignment horizontal="left"/>
    </xf>
    <xf numFmtId="0" fontId="3" fillId="5" borderId="0" xfId="6" applyNumberFormat="1" applyFill="1" applyBorder="1" applyAlignment="1">
      <alignment horizontal="left"/>
      <protection locked="0"/>
    </xf>
    <xf numFmtId="0" fontId="9" fillId="5" borderId="0" xfId="6" applyNumberFormat="1" applyFont="1" applyFill="1" applyBorder="1" applyAlignment="1">
      <alignment horizontal="left"/>
      <protection locked="0"/>
    </xf>
    <xf numFmtId="164" fontId="0" fillId="0" borderId="0" xfId="0" applyNumberFormat="1" applyAlignment="1">
      <alignment horizontal="left"/>
    </xf>
    <xf numFmtId="0" fontId="0" fillId="6" borderId="0" xfId="0" applyFill="1"/>
    <xf numFmtId="0" fontId="0" fillId="3" borderId="0" xfId="0" applyFill="1"/>
    <xf numFmtId="0" fontId="8" fillId="3" borderId="0" xfId="0" applyFont="1" applyFill="1" applyBorder="1" applyAlignment="1"/>
    <xf numFmtId="0" fontId="17" fillId="3" borderId="0" xfId="5" applyFont="1" applyFill="1" applyBorder="1" applyAlignment="1">
      <alignment horizontal="left"/>
    </xf>
    <xf numFmtId="0" fontId="17" fillId="3" borderId="0" xfId="5" applyFont="1" applyFill="1" applyBorder="1" applyAlignment="1"/>
    <xf numFmtId="0" fontId="17" fillId="3" borderId="0" xfId="5" applyFont="1" applyFill="1" applyBorder="1" applyAlignment="1">
      <alignment horizontal="center"/>
    </xf>
    <xf numFmtId="164" fontId="17" fillId="3" borderId="0" xfId="5" applyNumberFormat="1" applyFont="1" applyFill="1" applyBorder="1" applyAlignment="1">
      <alignment horizontal="left"/>
    </xf>
    <xf numFmtId="164" fontId="11" fillId="3" borderId="0" xfId="0" applyNumberFormat="1" applyFont="1" applyFill="1" applyBorder="1" applyAlignment="1">
      <alignment horizontal="left"/>
    </xf>
    <xf numFmtId="0" fontId="8" fillId="5" borderId="0" xfId="0" applyFont="1" applyFill="1" applyBorder="1" applyAlignment="1"/>
    <xf numFmtId="164" fontId="13" fillId="0" borderId="0" xfId="5" applyNumberFormat="1" applyAlignment="1">
      <alignment horizontal="left"/>
    </xf>
    <xf numFmtId="167" fontId="7" fillId="0" borderId="0" xfId="0" applyNumberFormat="1" applyFont="1" applyFill="1" applyBorder="1" applyAlignment="1">
      <alignment horizontal="center"/>
    </xf>
    <xf numFmtId="167" fontId="13" fillId="0" borderId="0" xfId="5" applyNumberFormat="1" applyFill="1" applyBorder="1" applyAlignment="1">
      <alignment horizontal="center"/>
    </xf>
    <xf numFmtId="0" fontId="16" fillId="0" borderId="0" xfId="5" applyFont="1" applyFill="1" applyBorder="1" applyAlignment="1">
      <alignment horizontal="center"/>
    </xf>
    <xf numFmtId="0" fontId="7" fillId="0" borderId="0" xfId="0" applyFont="1" applyFill="1" applyBorder="1" applyAlignment="1">
      <alignment horizontal="right"/>
    </xf>
    <xf numFmtId="0" fontId="16" fillId="0" borderId="0" xfId="5" applyFont="1" applyFill="1" applyBorder="1" applyAlignment="1">
      <alignment horizontal="right"/>
    </xf>
    <xf numFmtId="0" fontId="25" fillId="6" borderId="0" xfId="0" applyFont="1" applyFill="1"/>
    <xf numFmtId="0" fontId="15" fillId="3" borderId="3" xfId="4" applyFont="1" applyFill="1"/>
    <xf numFmtId="0" fontId="26" fillId="0" borderId="0" xfId="0" applyFont="1" applyFill="1"/>
    <xf numFmtId="0" fontId="15" fillId="0" borderId="3" xfId="4" applyFont="1" applyFill="1"/>
    <xf numFmtId="0" fontId="15" fillId="0" borderId="3" xfId="4" applyFont="1" applyFill="1" applyAlignment="1">
      <alignment horizontal="center"/>
    </xf>
    <xf numFmtId="0" fontId="25" fillId="3" borderId="0" xfId="0" applyFont="1" applyFill="1"/>
    <xf numFmtId="0" fontId="25" fillId="0" borderId="0" xfId="0" applyFont="1"/>
    <xf numFmtId="0" fontId="15" fillId="0" borderId="3" xfId="4" applyFont="1"/>
    <xf numFmtId="0" fontId="15" fillId="3" borderId="0" xfId="4" applyFont="1" applyFill="1" applyBorder="1"/>
    <xf numFmtId="0" fontId="15" fillId="6" borderId="3" xfId="4" applyFont="1" applyFill="1"/>
    <xf numFmtId="0" fontId="19" fillId="12" borderId="0" xfId="2" applyNumberFormat="1" applyBorder="1" applyAlignment="1">
      <alignment horizontal="center"/>
      <protection locked="0"/>
    </xf>
    <xf numFmtId="0" fontId="7" fillId="0" borderId="0" xfId="0" applyNumberFormat="1" applyFont="1" applyFill="1" applyBorder="1" applyAlignment="1">
      <alignment horizontal="center"/>
    </xf>
    <xf numFmtId="0" fontId="13" fillId="0" borderId="0" xfId="5" applyFill="1" applyBorder="1" applyAlignment="1">
      <alignment horizontal="left"/>
    </xf>
    <xf numFmtId="0" fontId="15" fillId="0" borderId="3" xfId="4" applyFont="1" applyFill="1" applyAlignment="1">
      <alignment horizontal="right"/>
    </xf>
    <xf numFmtId="0" fontId="7" fillId="0" borderId="0" xfId="0" applyNumberFormat="1" applyFont="1" applyFill="1" applyBorder="1" applyAlignment="1">
      <alignment horizontal="right"/>
    </xf>
    <xf numFmtId="0" fontId="8" fillId="0" borderId="0" xfId="0" applyFont="1" applyFill="1" applyBorder="1"/>
    <xf numFmtId="0" fontId="13" fillId="3" borderId="0" xfId="5" applyFill="1" applyBorder="1"/>
    <xf numFmtId="4" fontId="7" fillId="0" borderId="0" xfId="0" applyNumberFormat="1" applyFont="1" applyFill="1" applyBorder="1" applyAlignment="1">
      <alignment horizontal="right"/>
    </xf>
    <xf numFmtId="0" fontId="18" fillId="3" borderId="0" xfId="5" quotePrefix="1" applyFont="1" applyFill="1" applyBorder="1"/>
    <xf numFmtId="0" fontId="7" fillId="0" borderId="0" xfId="0" applyFont="1" applyFill="1" applyBorder="1" applyAlignment="1">
      <alignment horizontal="left"/>
    </xf>
    <xf numFmtId="0" fontId="15" fillId="0" borderId="3" xfId="4" applyFont="1" applyFill="1" applyAlignment="1">
      <alignment horizontal="left"/>
    </xf>
    <xf numFmtId="0" fontId="16" fillId="0" borderId="0" xfId="5" applyFont="1" applyFill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0" fontId="24" fillId="0" borderId="0" xfId="0" applyFont="1" applyFill="1" applyBorder="1" applyAlignment="1">
      <alignment horizontal="left"/>
    </xf>
    <xf numFmtId="0" fontId="13" fillId="0" borderId="0" xfId="5" applyFont="1" applyFill="1" applyBorder="1"/>
    <xf numFmtId="165" fontId="15" fillId="0" borderId="3" xfId="4" applyNumberFormat="1" applyAlignment="1">
      <alignment horizontal="right"/>
    </xf>
    <xf numFmtId="164" fontId="15" fillId="3" borderId="3" xfId="4" applyNumberFormat="1" applyFill="1" applyAlignment="1">
      <alignment horizontal="left"/>
    </xf>
    <xf numFmtId="0" fontId="0" fillId="9" borderId="0" xfId="0" applyFill="1"/>
    <xf numFmtId="4" fontId="0" fillId="0" borderId="0" xfId="0" applyNumberFormat="1"/>
    <xf numFmtId="165" fontId="0" fillId="0" borderId="0" xfId="0" applyNumberFormat="1" applyAlignment="1">
      <alignment horizontal="right"/>
    </xf>
    <xf numFmtId="4" fontId="15" fillId="0" borderId="3" xfId="4" applyNumberFormat="1"/>
    <xf numFmtId="0" fontId="0" fillId="0" borderId="10" xfId="0" applyBorder="1"/>
    <xf numFmtId="0" fontId="27" fillId="0" borderId="0" xfId="7" applyBorder="1"/>
    <xf numFmtId="165" fontId="13" fillId="0" borderId="0" xfId="5" applyNumberFormat="1" applyAlignment="1">
      <alignment horizontal="right"/>
    </xf>
    <xf numFmtId="4" fontId="19" fillId="12" borderId="0" xfId="2" applyNumberFormat="1">
      <protection locked="0"/>
    </xf>
    <xf numFmtId="4" fontId="3" fillId="0" borderId="0" xfId="6" applyNumberFormat="1" applyAlignment="1">
      <alignment horizontal="center"/>
      <protection locked="0"/>
    </xf>
    <xf numFmtId="4" fontId="3" fillId="0" borderId="0" xfId="3" applyNumberFormat="1" applyAlignment="1">
      <alignment horizontal="center"/>
    </xf>
    <xf numFmtId="0" fontId="0" fillId="10" borderId="0" xfId="0" applyFill="1"/>
    <xf numFmtId="4" fontId="0" fillId="0" borderId="0" xfId="0" applyNumberFormat="1" applyAlignment="1">
      <alignment horizontal="right"/>
    </xf>
    <xf numFmtId="165" fontId="3" fillId="0" borderId="0" xfId="6" applyNumberFormat="1" applyAlignment="1">
      <alignment horizontal="center"/>
      <protection locked="0"/>
    </xf>
    <xf numFmtId="165" fontId="23" fillId="0" borderId="0" xfId="0" applyNumberFormat="1" applyFont="1" applyAlignment="1">
      <alignment horizontal="center"/>
    </xf>
    <xf numFmtId="4" fontId="19" fillId="12" borderId="0" xfId="2" applyNumberFormat="1" applyAlignment="1">
      <alignment horizontal="center"/>
      <protection locked="0"/>
    </xf>
    <xf numFmtId="165" fontId="0" fillId="3" borderId="0" xfId="0" applyNumberFormat="1" applyFill="1" applyAlignment="1">
      <alignment horizontal="left"/>
    </xf>
    <xf numFmtId="4" fontId="23" fillId="0" borderId="0" xfId="0" applyNumberFormat="1" applyFont="1" applyAlignment="1">
      <alignment horizontal="right"/>
    </xf>
    <xf numFmtId="0" fontId="0" fillId="3" borderId="0" xfId="0" applyFill="1" applyBorder="1"/>
    <xf numFmtId="0" fontId="0" fillId="5" borderId="0" xfId="0" applyFill="1" applyBorder="1"/>
    <xf numFmtId="164" fontId="0" fillId="3" borderId="0" xfId="0" applyNumberFormat="1" applyFill="1" applyAlignment="1">
      <alignment horizontal="left"/>
    </xf>
    <xf numFmtId="165" fontId="15" fillId="3" borderId="3" xfId="4" applyNumberFormat="1" applyFill="1" applyAlignment="1">
      <alignment horizontal="left"/>
    </xf>
    <xf numFmtId="164" fontId="3" fillId="3" borderId="0" xfId="6" applyNumberFormat="1" applyFill="1" applyAlignment="1">
      <alignment horizontal="left"/>
      <protection locked="0"/>
    </xf>
    <xf numFmtId="165" fontId="3" fillId="5" borderId="0" xfId="6" applyNumberFormat="1" applyFill="1" applyAlignment="1">
      <alignment horizontal="left"/>
      <protection locked="0"/>
    </xf>
    <xf numFmtId="165" fontId="0" fillId="5" borderId="0" xfId="0" applyNumberFormat="1" applyFill="1" applyAlignment="1">
      <alignment horizontal="left"/>
    </xf>
    <xf numFmtId="0" fontId="3" fillId="5" borderId="0" xfId="6" applyNumberFormat="1" applyFill="1" applyAlignment="1">
      <alignment horizontal="left"/>
      <protection locked="0"/>
    </xf>
    <xf numFmtId="165" fontId="3" fillId="0" borderId="0" xfId="3" applyNumberFormat="1" applyAlignment="1">
      <alignment horizontal="center"/>
    </xf>
    <xf numFmtId="165" fontId="3" fillId="0" borderId="0" xfId="3" applyNumberFormat="1" applyFont="1" applyAlignment="1">
      <alignment horizontal="center"/>
    </xf>
    <xf numFmtId="0" fontId="0" fillId="4" borderId="0" xfId="0" applyFill="1" applyBorder="1"/>
    <xf numFmtId="4" fontId="0" fillId="4" borderId="0" xfId="0" applyNumberFormat="1" applyFill="1" applyAlignment="1">
      <alignment horizontal="center"/>
    </xf>
    <xf numFmtId="4" fontId="0" fillId="4" borderId="0" xfId="0" applyNumberFormat="1" applyFill="1"/>
    <xf numFmtId="4" fontId="0" fillId="4" borderId="0" xfId="0" applyNumberFormat="1" applyFill="1" applyAlignment="1">
      <alignment horizontal="right"/>
    </xf>
    <xf numFmtId="0" fontId="13" fillId="4" borderId="0" xfId="5" applyFill="1"/>
    <xf numFmtId="4" fontId="13" fillId="4" borderId="0" xfId="5" applyNumberFormat="1" applyFill="1" applyAlignment="1">
      <alignment horizontal="center"/>
    </xf>
    <xf numFmtId="0" fontId="0" fillId="3" borderId="9" xfId="0" applyFill="1" applyBorder="1"/>
    <xf numFmtId="4" fontId="0" fillId="4" borderId="9" xfId="0" applyNumberFormat="1" applyFill="1" applyBorder="1" applyAlignment="1">
      <alignment horizontal="center"/>
    </xf>
    <xf numFmtId="4" fontId="0" fillId="4" borderId="9" xfId="0" applyNumberFormat="1" applyFill="1" applyBorder="1"/>
    <xf numFmtId="4" fontId="0" fillId="4" borderId="9" xfId="0" applyNumberFormat="1" applyFill="1" applyBorder="1" applyAlignment="1">
      <alignment horizontal="right"/>
    </xf>
    <xf numFmtId="0" fontId="0" fillId="4" borderId="15" xfId="0" applyFill="1" applyBorder="1"/>
    <xf numFmtId="4" fontId="3" fillId="0" borderId="0" xfId="3" applyNumberFormat="1" applyAlignment="1" applyProtection="1">
      <alignment horizontal="center"/>
    </xf>
    <xf numFmtId="0" fontId="3" fillId="5" borderId="0" xfId="6" applyNumberFormat="1" applyFill="1" applyAlignment="1">
      <protection locked="0"/>
    </xf>
    <xf numFmtId="165" fontId="3" fillId="0" borderId="0" xfId="3" applyNumberFormat="1" applyAlignment="1">
      <alignment horizontal="right"/>
    </xf>
    <xf numFmtId="0" fontId="13" fillId="0" borderId="0" xfId="5" applyAlignment="1">
      <alignment horizontal="right"/>
    </xf>
    <xf numFmtId="4" fontId="13" fillId="0" borderId="0" xfId="5" applyNumberFormat="1" applyAlignment="1">
      <alignment horizontal="right"/>
    </xf>
    <xf numFmtId="4" fontId="0" fillId="0" borderId="0" xfId="0" applyNumberFormat="1" applyAlignment="1">
      <alignment horizontal="left"/>
    </xf>
    <xf numFmtId="4" fontId="21" fillId="0" borderId="0" xfId="0" applyNumberFormat="1" applyFont="1" applyAlignment="1">
      <alignment horizontal="center"/>
    </xf>
    <xf numFmtId="0" fontId="0" fillId="0" borderId="0" xfId="0" applyNumberFormat="1" applyAlignment="1">
      <alignment horizontal="left"/>
    </xf>
    <xf numFmtId="0" fontId="21" fillId="0" borderId="0" xfId="0" applyNumberFormat="1" applyFont="1" applyAlignment="1">
      <alignment horizontal="left"/>
    </xf>
    <xf numFmtId="0" fontId="7" fillId="0" borderId="0" xfId="0" applyFont="1" applyFill="1" applyBorder="1" applyAlignment="1"/>
    <xf numFmtId="0" fontId="15" fillId="0" borderId="3" xfId="4" applyFill="1" applyAlignment="1"/>
    <xf numFmtId="0" fontId="15" fillId="0" borderId="3" xfId="4" applyFill="1"/>
    <xf numFmtId="4" fontId="13" fillId="0" borderId="0" xfId="5" applyNumberFormat="1" applyFill="1" applyBorder="1" applyAlignment="1"/>
    <xf numFmtId="0" fontId="13" fillId="0" borderId="0" xfId="5" applyFill="1" applyBorder="1" applyAlignment="1"/>
    <xf numFmtId="167" fontId="7" fillId="0" borderId="0" xfId="0" applyNumberFormat="1" applyFont="1" applyFill="1" applyBorder="1" applyAlignment="1">
      <alignment horizontal="left"/>
    </xf>
    <xf numFmtId="0" fontId="7" fillId="0" borderId="9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left"/>
    </xf>
    <xf numFmtId="0" fontId="7" fillId="0" borderId="9" xfId="0" applyFont="1" applyFill="1" applyBorder="1"/>
    <xf numFmtId="0" fontId="7" fillId="0" borderId="9" xfId="0" applyFont="1" applyFill="1" applyBorder="1" applyAlignment="1">
      <alignment horizontal="right"/>
    </xf>
    <xf numFmtId="0" fontId="16" fillId="0" borderId="9" xfId="5" applyFont="1" applyFill="1" applyBorder="1"/>
    <xf numFmtId="167" fontId="16" fillId="0" borderId="9" xfId="5" applyNumberFormat="1" applyFont="1" applyFill="1" applyBorder="1" applyAlignment="1">
      <alignment horizontal="left"/>
    </xf>
    <xf numFmtId="0" fontId="16" fillId="0" borderId="9" xfId="5" applyFont="1" applyFill="1" applyBorder="1" applyAlignment="1">
      <alignment horizontal="left"/>
    </xf>
    <xf numFmtId="0" fontId="16" fillId="0" borderId="9" xfId="5" applyFont="1" applyFill="1" applyBorder="1" applyAlignment="1">
      <alignment horizontal="center"/>
    </xf>
    <xf numFmtId="0" fontId="29" fillId="0" borderId="0" xfId="5" applyFont="1" applyFill="1" applyBorder="1"/>
    <xf numFmtId="0" fontId="0" fillId="4" borderId="13" xfId="0" applyFill="1" applyBorder="1"/>
    <xf numFmtId="0" fontId="0" fillId="4" borderId="14" xfId="0" applyFill="1" applyBorder="1"/>
    <xf numFmtId="0" fontId="8" fillId="5" borderId="0" xfId="0" applyFont="1" applyFill="1" applyBorder="1"/>
    <xf numFmtId="0" fontId="7" fillId="3" borderId="0" xfId="0" applyFont="1" applyFill="1" applyBorder="1" applyAlignment="1">
      <alignment horizontal="center"/>
    </xf>
    <xf numFmtId="0" fontId="15" fillId="3" borderId="3" xfId="4" applyFont="1" applyFill="1" applyAlignment="1">
      <alignment horizontal="center"/>
    </xf>
    <xf numFmtId="0" fontId="16" fillId="3" borderId="0" xfId="5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3" fillId="3" borderId="0" xfId="5" applyFill="1" applyBorder="1" applyAlignment="1"/>
    <xf numFmtId="0" fontId="7" fillId="5" borderId="0" xfId="0" applyFont="1" applyFill="1" applyBorder="1" applyAlignment="1"/>
    <xf numFmtId="170" fontId="3" fillId="0" borderId="0" xfId="6" applyNumberFormat="1" applyFill="1" applyBorder="1" applyAlignment="1">
      <alignment horizontal="center"/>
      <protection locked="0"/>
    </xf>
    <xf numFmtId="0" fontId="3" fillId="0" borderId="0" xfId="6" applyNumberFormat="1" applyFill="1" applyBorder="1" applyAlignment="1">
      <alignment horizontal="center"/>
      <protection locked="0"/>
    </xf>
    <xf numFmtId="4" fontId="3" fillId="0" borderId="0" xfId="6" applyNumberFormat="1" applyFill="1" applyBorder="1" applyAlignment="1">
      <alignment horizontal="center"/>
      <protection locked="0"/>
    </xf>
    <xf numFmtId="0" fontId="19" fillId="12" borderId="0" xfId="2">
      <protection locked="0"/>
    </xf>
    <xf numFmtId="0" fontId="15" fillId="4" borderId="3" xfId="4" applyFill="1" applyAlignment="1">
      <alignment horizontal="left"/>
    </xf>
    <xf numFmtId="0" fontId="0" fillId="6" borderId="0" xfId="0" applyFill="1" applyAlignment="1">
      <alignment horizontal="left"/>
    </xf>
    <xf numFmtId="0" fontId="0" fillId="0" borderId="0" xfId="0" applyAlignment="1"/>
    <xf numFmtId="0" fontId="15" fillId="0" borderId="3" xfId="4" applyAlignment="1"/>
    <xf numFmtId="15" fontId="13" fillId="0" borderId="0" xfId="5" applyNumberFormat="1" applyAlignment="1">
      <alignment horizontal="left"/>
    </xf>
    <xf numFmtId="0" fontId="19" fillId="12" borderId="9" xfId="2" applyBorder="1">
      <protection locked="0"/>
    </xf>
    <xf numFmtId="0" fontId="15" fillId="4" borderId="3" xfId="4" applyFill="1" applyAlignment="1">
      <alignment horizontal="center"/>
    </xf>
    <xf numFmtId="4" fontId="15" fillId="4" borderId="3" xfId="4" applyNumberFormat="1" applyFill="1" applyAlignment="1">
      <alignment horizontal="center"/>
    </xf>
    <xf numFmtId="0" fontId="13" fillId="0" borderId="9" xfId="5" applyBorder="1"/>
    <xf numFmtId="4" fontId="13" fillId="4" borderId="9" xfId="5" applyNumberFormat="1" applyFill="1" applyBorder="1" applyAlignment="1">
      <alignment horizontal="center"/>
    </xf>
    <xf numFmtId="38" fontId="0" fillId="0" borderId="0" xfId="0" applyNumberFormat="1" applyAlignment="1">
      <alignment horizontal="right"/>
    </xf>
    <xf numFmtId="38" fontId="15" fillId="0" borderId="3" xfId="4" applyNumberFormat="1" applyAlignment="1">
      <alignment horizontal="right"/>
    </xf>
    <xf numFmtId="38" fontId="13" fillId="0" borderId="9" xfId="5" applyNumberFormat="1" applyBorder="1" applyAlignment="1">
      <alignment horizontal="right"/>
    </xf>
    <xf numFmtId="38" fontId="0" fillId="0" borderId="0" xfId="0" applyNumberFormat="1"/>
    <xf numFmtId="38" fontId="15" fillId="0" borderId="3" xfId="4" applyNumberFormat="1"/>
    <xf numFmtId="38" fontId="13" fillId="0" borderId="0" xfId="5" applyNumberFormat="1" applyAlignment="1">
      <alignment horizontal="right"/>
    </xf>
    <xf numFmtId="38" fontId="0" fillId="0" borderId="9" xfId="0" applyNumberFormat="1" applyBorder="1" applyAlignment="1">
      <alignment horizontal="right"/>
    </xf>
    <xf numFmtId="38" fontId="19" fillId="12" borderId="0" xfId="2" applyNumberFormat="1" applyAlignment="1">
      <alignment horizontal="center"/>
      <protection locked="0"/>
    </xf>
    <xf numFmtId="38" fontId="13" fillId="0" borderId="9" xfId="5" applyNumberFormat="1" applyBorder="1"/>
    <xf numFmtId="38" fontId="0" fillId="3" borderId="0" xfId="0" applyNumberFormat="1" applyFill="1" applyAlignment="1">
      <alignment horizontal="right"/>
    </xf>
    <xf numFmtId="38" fontId="0" fillId="4" borderId="0" xfId="0" applyNumberFormat="1" applyFill="1" applyAlignment="1">
      <alignment horizontal="right"/>
    </xf>
    <xf numFmtId="38" fontId="0" fillId="0" borderId="0" xfId="0" applyNumberFormat="1" applyFill="1" applyAlignment="1">
      <alignment horizontal="right"/>
    </xf>
    <xf numFmtId="38" fontId="13" fillId="0" borderId="9" xfId="5" applyNumberFormat="1" applyBorder="1" applyAlignment="1">
      <alignment horizontal="left"/>
    </xf>
    <xf numFmtId="169" fontId="0" fillId="0" borderId="0" xfId="0" applyNumberFormat="1" applyAlignment="1">
      <alignment horizontal="right"/>
    </xf>
    <xf numFmtId="0" fontId="13" fillId="0" borderId="0" xfId="5" applyAlignment="1"/>
    <xf numFmtId="0" fontId="0" fillId="0" borderId="18" xfId="0" applyBorder="1"/>
    <xf numFmtId="167" fontId="0" fillId="0" borderId="0" xfId="0" applyNumberFormat="1"/>
    <xf numFmtId="167" fontId="15" fillId="0" borderId="3" xfId="4" applyNumberFormat="1"/>
    <xf numFmtId="167" fontId="13" fillId="0" borderId="0" xfId="5" applyNumberFormat="1"/>
    <xf numFmtId="167" fontId="13" fillId="0" borderId="0" xfId="5" applyNumberFormat="1" applyAlignment="1">
      <alignment horizontal="left"/>
    </xf>
    <xf numFmtId="38" fontId="13" fillId="0" borderId="0" xfId="5" applyNumberFormat="1" applyFill="1" applyAlignment="1">
      <alignment horizontal="right"/>
    </xf>
    <xf numFmtId="0" fontId="0" fillId="0" borderId="0" xfId="0" applyFill="1"/>
    <xf numFmtId="15" fontId="0" fillId="0" borderId="0" xfId="0" applyNumberFormat="1" applyFill="1" applyAlignment="1">
      <alignment horizontal="left"/>
    </xf>
    <xf numFmtId="167" fontId="0" fillId="0" borderId="0" xfId="0" applyNumberFormat="1" applyFill="1"/>
    <xf numFmtId="169" fontId="0" fillId="0" borderId="0" xfId="0" applyNumberFormat="1" applyFill="1" applyAlignment="1">
      <alignment horizontal="right"/>
    </xf>
    <xf numFmtId="15" fontId="6" fillId="0" borderId="0" xfId="0" applyNumberFormat="1" applyFont="1" applyFill="1" applyAlignment="1">
      <alignment horizontal="left"/>
    </xf>
    <xf numFmtId="38" fontId="0" fillId="0" borderId="9" xfId="0" applyNumberFormat="1" applyFill="1" applyBorder="1" applyAlignment="1">
      <alignment horizontal="right"/>
    </xf>
    <xf numFmtId="169" fontId="0" fillId="0" borderId="9" xfId="0" applyNumberFormat="1" applyFill="1" applyBorder="1" applyAlignment="1">
      <alignment horizontal="right"/>
    </xf>
    <xf numFmtId="15" fontId="6" fillId="0" borderId="9" xfId="0" applyNumberFormat="1" applyFont="1" applyFill="1" applyBorder="1" applyAlignment="1">
      <alignment horizontal="left"/>
    </xf>
    <xf numFmtId="0" fontId="0" fillId="0" borderId="0" xfId="0" applyFill="1" applyAlignment="1">
      <alignment horizontal="center"/>
    </xf>
    <xf numFmtId="38" fontId="0" fillId="0" borderId="0" xfId="0" applyNumberFormat="1" applyAlignment="1">
      <alignment horizontal="center"/>
    </xf>
    <xf numFmtId="38" fontId="15" fillId="0" borderId="3" xfId="4" applyNumberFormat="1" applyAlignment="1">
      <alignment horizontal="center"/>
    </xf>
    <xf numFmtId="38" fontId="0" fillId="0" borderId="0" xfId="0" applyNumberFormat="1" applyFill="1" applyAlignment="1">
      <alignment horizontal="center"/>
    </xf>
    <xf numFmtId="38" fontId="13" fillId="0" borderId="9" xfId="5" applyNumberFormat="1" applyBorder="1" applyAlignment="1">
      <alignment horizontal="center"/>
    </xf>
    <xf numFmtId="38" fontId="0" fillId="3" borderId="0" xfId="0" applyNumberFormat="1" applyFill="1" applyAlignment="1">
      <alignment horizontal="center"/>
    </xf>
    <xf numFmtId="38" fontId="0" fillId="0" borderId="9" xfId="0" applyNumberFormat="1" applyFill="1" applyBorder="1" applyAlignment="1">
      <alignment horizontal="center"/>
    </xf>
    <xf numFmtId="15" fontId="19" fillId="5" borderId="20" xfId="2" applyNumberFormat="1" applyFill="1" applyBorder="1" applyAlignment="1">
      <alignment horizontal="left"/>
      <protection locked="0"/>
    </xf>
    <xf numFmtId="38" fontId="0" fillId="5" borderId="20" xfId="0" applyNumberFormat="1" applyFill="1" applyBorder="1" applyAlignment="1">
      <alignment horizontal="right"/>
    </xf>
    <xf numFmtId="0" fontId="0" fillId="5" borderId="20" xfId="0" applyFill="1" applyBorder="1"/>
    <xf numFmtId="4" fontId="0" fillId="5" borderId="20" xfId="0" applyNumberFormat="1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38" fontId="0" fillId="5" borderId="20" xfId="0" applyNumberFormat="1" applyFill="1" applyBorder="1" applyAlignment="1">
      <alignment horizontal="center"/>
    </xf>
    <xf numFmtId="0" fontId="19" fillId="5" borderId="23" xfId="2" applyFill="1" applyBorder="1" applyAlignment="1">
      <protection locked="0"/>
    </xf>
    <xf numFmtId="38" fontId="0" fillId="5" borderId="23" xfId="0" applyNumberFormat="1" applyFill="1" applyBorder="1" applyAlignment="1">
      <alignment horizontal="right"/>
    </xf>
    <xf numFmtId="0" fontId="0" fillId="5" borderId="23" xfId="0" applyFill="1" applyBorder="1"/>
    <xf numFmtId="4" fontId="0" fillId="5" borderId="23" xfId="0" applyNumberFormat="1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38" fontId="0" fillId="5" borderId="23" xfId="0" applyNumberFormat="1" applyFill="1" applyBorder="1" applyAlignment="1">
      <alignment horizontal="center"/>
    </xf>
    <xf numFmtId="15" fontId="16" fillId="11" borderId="26" xfId="2" applyNumberFormat="1" applyFont="1" applyFill="1" applyBorder="1" applyAlignment="1" applyProtection="1">
      <alignment horizontal="left"/>
    </xf>
    <xf numFmtId="38" fontId="0" fillId="11" borderId="26" xfId="0" applyNumberFormat="1" applyFill="1" applyBorder="1" applyAlignment="1">
      <alignment horizontal="right"/>
    </xf>
    <xf numFmtId="15" fontId="19" fillId="11" borderId="26" xfId="2" applyNumberFormat="1" applyFill="1" applyBorder="1" applyAlignment="1">
      <alignment horizontal="left"/>
      <protection locked="0"/>
    </xf>
    <xf numFmtId="0" fontId="0" fillId="11" borderId="26" xfId="0" applyFill="1" applyBorder="1"/>
    <xf numFmtId="4" fontId="0" fillId="11" borderId="26" xfId="0" applyNumberFormat="1" applyFill="1" applyBorder="1" applyAlignment="1">
      <alignment horizontal="center"/>
    </xf>
    <xf numFmtId="0" fontId="0" fillId="11" borderId="26" xfId="0" applyFill="1" applyBorder="1" applyAlignment="1">
      <alignment horizontal="center"/>
    </xf>
    <xf numFmtId="0" fontId="19" fillId="11" borderId="29" xfId="2" applyFill="1" applyBorder="1">
      <protection locked="0"/>
    </xf>
    <xf numFmtId="38" fontId="0" fillId="11" borderId="29" xfId="0" applyNumberFormat="1" applyFill="1" applyBorder="1" applyAlignment="1">
      <alignment horizontal="right"/>
    </xf>
    <xf numFmtId="0" fontId="0" fillId="11" borderId="29" xfId="0" applyFill="1" applyBorder="1"/>
    <xf numFmtId="4" fontId="0" fillId="11" borderId="29" xfId="0" applyNumberFormat="1" applyFill="1" applyBorder="1" applyAlignment="1">
      <alignment horizontal="center"/>
    </xf>
    <xf numFmtId="15" fontId="0" fillId="4" borderId="0" xfId="0" applyNumberFormat="1" applyFill="1" applyAlignment="1">
      <alignment horizontal="left"/>
    </xf>
    <xf numFmtId="38" fontId="0" fillId="11" borderId="26" xfId="0" applyNumberFormat="1" applyFill="1" applyBorder="1" applyAlignment="1">
      <alignment horizontal="center"/>
    </xf>
    <xf numFmtId="38" fontId="0" fillId="11" borderId="29" xfId="0" applyNumberFormat="1" applyFill="1" applyBorder="1" applyAlignment="1">
      <alignment horizontal="center"/>
    </xf>
    <xf numFmtId="0" fontId="13" fillId="0" borderId="0" xfId="5" applyAlignment="1">
      <alignment horizontal="center"/>
    </xf>
    <xf numFmtId="14" fontId="30" fillId="14" borderId="0" xfId="0" applyNumberFormat="1" applyFont="1" applyFill="1" applyBorder="1" applyAlignment="1">
      <alignment vertical="center"/>
    </xf>
    <xf numFmtId="14" fontId="30" fillId="14" borderId="0" xfId="0" applyNumberFormat="1" applyFont="1" applyFill="1" applyBorder="1" applyAlignment="1">
      <alignment horizontal="right" vertical="center"/>
    </xf>
    <xf numFmtId="167" fontId="0" fillId="4" borderId="0" xfId="0" applyNumberFormat="1" applyFill="1" applyAlignment="1">
      <alignment horizontal="center"/>
    </xf>
    <xf numFmtId="3" fontId="0" fillId="4" borderId="0" xfId="0" applyNumberFormat="1" applyFill="1" applyAlignment="1">
      <alignment horizontal="center"/>
    </xf>
    <xf numFmtId="165" fontId="0" fillId="4" borderId="0" xfId="0" applyNumberFormat="1" applyFill="1" applyAlignment="1">
      <alignment horizontal="right"/>
    </xf>
    <xf numFmtId="3" fontId="0" fillId="4" borderId="0" xfId="0" applyNumberFormat="1" applyFill="1" applyAlignment="1">
      <alignment horizontal="right"/>
    </xf>
    <xf numFmtId="3" fontId="0" fillId="4" borderId="0" xfId="0" applyNumberFormat="1" applyFill="1"/>
    <xf numFmtId="167" fontId="0" fillId="4" borderId="0" xfId="0" applyNumberFormat="1" applyFill="1" applyAlignment="1">
      <alignment horizontal="right"/>
    </xf>
    <xf numFmtId="0" fontId="21" fillId="4" borderId="0" xfId="0" applyFont="1" applyFill="1" applyAlignment="1">
      <alignment horizontal="left"/>
    </xf>
    <xf numFmtId="3" fontId="14" fillId="4" borderId="0" xfId="0" applyNumberFormat="1" applyFont="1" applyFill="1" applyAlignment="1">
      <alignment horizontal="right"/>
    </xf>
    <xf numFmtId="165" fontId="14" fillId="4" borderId="0" xfId="0" quotePrefix="1" applyNumberFormat="1" applyFont="1" applyFill="1" applyAlignment="1">
      <alignment horizontal="right"/>
    </xf>
    <xf numFmtId="3" fontId="0" fillId="4" borderId="0" xfId="0" quotePrefix="1" applyNumberFormat="1" applyFill="1" applyAlignment="1">
      <alignment horizontal="right"/>
    </xf>
    <xf numFmtId="0" fontId="0" fillId="4" borderId="0" xfId="0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3" fontId="0" fillId="4" borderId="9" xfId="0" applyNumberFormat="1" applyFill="1" applyBorder="1" applyAlignment="1">
      <alignment horizontal="right"/>
    </xf>
    <xf numFmtId="3" fontId="0" fillId="4" borderId="9" xfId="0" applyNumberFormat="1" applyFill="1" applyBorder="1"/>
    <xf numFmtId="15" fontId="0" fillId="4" borderId="9" xfId="0" applyNumberFormat="1" applyFill="1" applyBorder="1" applyAlignment="1">
      <alignment horizontal="left"/>
    </xf>
    <xf numFmtId="3" fontId="0" fillId="4" borderId="13" xfId="0" applyNumberFormat="1" applyFill="1" applyBorder="1" applyAlignment="1">
      <alignment horizontal="right"/>
    </xf>
    <xf numFmtId="3" fontId="0" fillId="4" borderId="14" xfId="0" applyNumberFormat="1" applyFill="1" applyBorder="1" applyAlignment="1">
      <alignment horizontal="right"/>
    </xf>
    <xf numFmtId="167" fontId="0" fillId="4" borderId="14" xfId="0" applyNumberFormat="1" applyFill="1" applyBorder="1" applyAlignment="1">
      <alignment horizontal="right"/>
    </xf>
    <xf numFmtId="3" fontId="0" fillId="4" borderId="9" xfId="0" applyNumberFormat="1" applyFill="1" applyBorder="1" applyAlignment="1"/>
    <xf numFmtId="3" fontId="6" fillId="4" borderId="14" xfId="0" applyNumberFormat="1" applyFont="1" applyFill="1" applyBorder="1" applyAlignment="1">
      <alignment horizontal="left"/>
    </xf>
    <xf numFmtId="167" fontId="0" fillId="4" borderId="9" xfId="0" applyNumberFormat="1" applyFill="1" applyBorder="1" applyAlignment="1">
      <alignment horizontal="right"/>
    </xf>
    <xf numFmtId="3" fontId="0" fillId="4" borderId="15" xfId="0" applyNumberFormat="1" applyFill="1" applyBorder="1" applyAlignment="1">
      <alignment horizontal="right"/>
    </xf>
    <xf numFmtId="15" fontId="0" fillId="4" borderId="0" xfId="0" applyNumberFormat="1" applyFill="1" applyAlignment="1">
      <alignment horizontal="center"/>
    </xf>
    <xf numFmtId="0" fontId="0" fillId="0" borderId="0" xfId="0" applyBorder="1"/>
    <xf numFmtId="15" fontId="0" fillId="0" borderId="31" xfId="0" applyNumberFormat="1" applyBorder="1" applyAlignment="1">
      <alignment horizontal="left"/>
    </xf>
    <xf numFmtId="0" fontId="0" fillId="0" borderId="31" xfId="0" applyBorder="1" applyAlignment="1"/>
    <xf numFmtId="167" fontId="0" fillId="0" borderId="31" xfId="0" applyNumberFormat="1" applyBorder="1" applyAlignment="1">
      <alignment horizontal="center"/>
    </xf>
    <xf numFmtId="0" fontId="0" fillId="0" borderId="31" xfId="0" applyFill="1" applyBorder="1" applyAlignment="1">
      <alignment horizontal="center"/>
    </xf>
    <xf numFmtId="4" fontId="0" fillId="4" borderId="31" xfId="0" applyNumberFormat="1" applyFill="1" applyBorder="1" applyAlignment="1">
      <alignment horizontal="center"/>
    </xf>
    <xf numFmtId="0" fontId="0" fillId="0" borderId="31" xfId="0" applyFill="1" applyBorder="1"/>
    <xf numFmtId="38" fontId="0" fillId="0" borderId="31" xfId="0" applyNumberFormat="1" applyFill="1" applyBorder="1" applyAlignment="1">
      <alignment horizontal="right"/>
    </xf>
    <xf numFmtId="38" fontId="0" fillId="0" borderId="31" xfId="0" applyNumberFormat="1" applyFill="1" applyBorder="1" applyAlignment="1">
      <alignment horizontal="center"/>
    </xf>
    <xf numFmtId="15" fontId="0" fillId="0" borderId="31" xfId="0" applyNumberFormat="1" applyFill="1" applyBorder="1" applyAlignment="1">
      <alignment horizontal="left"/>
    </xf>
    <xf numFmtId="167" fontId="0" fillId="0" borderId="31" xfId="0" applyNumberFormat="1" applyFill="1" applyBorder="1"/>
    <xf numFmtId="0" fontId="0" fillId="0" borderId="31" xfId="0" applyBorder="1"/>
    <xf numFmtId="38" fontId="0" fillId="0" borderId="31" xfId="0" applyNumberFormat="1" applyBorder="1" applyAlignment="1">
      <alignment horizontal="right"/>
    </xf>
    <xf numFmtId="38" fontId="0" fillId="0" borderId="31" xfId="0" applyNumberFormat="1" applyBorder="1" applyAlignment="1">
      <alignment horizontal="center"/>
    </xf>
    <xf numFmtId="38" fontId="0" fillId="0" borderId="31" xfId="0" applyNumberFormat="1" applyBorder="1"/>
    <xf numFmtId="0" fontId="0" fillId="0" borderId="32" xfId="0" applyFill="1" applyBorder="1"/>
    <xf numFmtId="0" fontId="0" fillId="0" borderId="33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center"/>
    </xf>
    <xf numFmtId="4" fontId="0" fillId="4" borderId="0" xfId="0" applyNumberFormat="1" applyFill="1" applyBorder="1" applyAlignment="1">
      <alignment horizontal="center"/>
    </xf>
    <xf numFmtId="0" fontId="0" fillId="0" borderId="0" xfId="0" applyFill="1" applyBorder="1"/>
    <xf numFmtId="38" fontId="0" fillId="0" borderId="0" xfId="0" applyNumberFormat="1" applyFill="1" applyBorder="1" applyAlignment="1">
      <alignment horizontal="right"/>
    </xf>
    <xf numFmtId="38" fontId="0" fillId="0" borderId="0" xfId="0" applyNumberFormat="1" applyFill="1" applyBorder="1" applyAlignment="1">
      <alignment horizontal="center"/>
    </xf>
    <xf numFmtId="15" fontId="0" fillId="0" borderId="0" xfId="0" applyNumberFormat="1" applyFill="1" applyBorder="1" applyAlignment="1">
      <alignment horizontal="left"/>
    </xf>
    <xf numFmtId="167" fontId="0" fillId="0" borderId="0" xfId="0" applyNumberFormat="1" applyFill="1" applyBorder="1"/>
    <xf numFmtId="38" fontId="0" fillId="0" borderId="0" xfId="0" applyNumberFormat="1" applyBorder="1" applyAlignment="1">
      <alignment horizontal="right"/>
    </xf>
    <xf numFmtId="38" fontId="0" fillId="0" borderId="0" xfId="0" applyNumberFormat="1" applyBorder="1" applyAlignment="1">
      <alignment horizontal="center"/>
    </xf>
    <xf numFmtId="38" fontId="0" fillId="0" borderId="0" xfId="0" applyNumberFormat="1" applyBorder="1"/>
    <xf numFmtId="0" fontId="0" fillId="4" borderId="0" xfId="0" applyFill="1" applyBorder="1" applyAlignment="1">
      <alignment horizontal="left"/>
    </xf>
    <xf numFmtId="0" fontId="15" fillId="0" borderId="3" xfId="4" applyAlignment="1">
      <alignment horizontal="left"/>
    </xf>
    <xf numFmtId="15" fontId="0" fillId="4" borderId="0" xfId="0" applyNumberFormat="1" applyFill="1" applyAlignment="1">
      <alignment horizontal="left"/>
    </xf>
    <xf numFmtId="169" fontId="0" fillId="4" borderId="0" xfId="0" applyNumberFormat="1" applyFill="1" applyAlignment="1"/>
    <xf numFmtId="169" fontId="0" fillId="4" borderId="9" xfId="0" applyNumberFormat="1" applyFont="1" applyFill="1" applyBorder="1" applyAlignment="1"/>
    <xf numFmtId="169" fontId="0" fillId="4" borderId="0" xfId="0" applyNumberFormat="1" applyFill="1" applyBorder="1" applyAlignment="1"/>
    <xf numFmtId="15" fontId="0" fillId="4" borderId="0" xfId="0" applyNumberFormat="1" applyFill="1" applyAlignment="1">
      <alignment horizontal="left"/>
    </xf>
    <xf numFmtId="0" fontId="0" fillId="0" borderId="0" xfId="0" applyAlignment="1">
      <alignment horizontal="right"/>
    </xf>
    <xf numFmtId="0" fontId="0" fillId="4" borderId="34" xfId="0" applyFill="1" applyBorder="1" applyAlignment="1">
      <alignment horizontal="center"/>
    </xf>
    <xf numFmtId="0" fontId="15" fillId="0" borderId="3" xfId="4" applyAlignment="1">
      <alignment horizontal="right"/>
    </xf>
    <xf numFmtId="0" fontId="0" fillId="6" borderId="0" xfId="0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165" fontId="0" fillId="3" borderId="0" xfId="0" applyNumberFormat="1" applyFill="1" applyAlignment="1">
      <alignment horizontal="center"/>
    </xf>
    <xf numFmtId="0" fontId="7" fillId="4" borderId="0" xfId="0" applyFont="1" applyFill="1"/>
    <xf numFmtId="0" fontId="33" fillId="4" borderId="3" xfId="4" applyFont="1" applyFill="1"/>
    <xf numFmtId="0" fontId="7" fillId="4" borderId="0" xfId="0" applyFont="1" applyFill="1" applyAlignment="1">
      <alignment horizontal="left"/>
    </xf>
    <xf numFmtId="0" fontId="13" fillId="0" borderId="0" xfId="5" applyAlignment="1">
      <alignment horizontal="left"/>
    </xf>
    <xf numFmtId="167" fontId="15" fillId="4" borderId="3" xfId="4" applyNumberFormat="1" applyFill="1" applyAlignment="1">
      <alignment horizontal="center"/>
    </xf>
    <xf numFmtId="167" fontId="0" fillId="4" borderId="34" xfId="0" applyNumberFormat="1" applyFill="1" applyBorder="1" applyAlignment="1">
      <alignment horizontal="center"/>
    </xf>
    <xf numFmtId="4" fontId="0" fillId="4" borderId="34" xfId="0" applyNumberFormat="1" applyFill="1" applyBorder="1" applyAlignment="1">
      <alignment horizontal="center"/>
    </xf>
    <xf numFmtId="0" fontId="4" fillId="0" borderId="0" xfId="0" applyFont="1" applyAlignment="1">
      <alignment horizontal="center"/>
    </xf>
    <xf numFmtId="15" fontId="15" fillId="4" borderId="3" xfId="4" applyNumberFormat="1" applyFill="1" applyAlignment="1">
      <alignment horizontal="center"/>
    </xf>
    <xf numFmtId="15" fontId="0" fillId="4" borderId="34" xfId="0" applyNumberFormat="1" applyFill="1" applyBorder="1" applyAlignment="1">
      <alignment horizontal="center"/>
    </xf>
    <xf numFmtId="0" fontId="0" fillId="4" borderId="34" xfId="0" applyFill="1" applyBorder="1" applyAlignment="1">
      <alignment horizontal="left"/>
    </xf>
    <xf numFmtId="166" fontId="0" fillId="0" borderId="0" xfId="0" applyNumberFormat="1" applyAlignment="1">
      <alignment horizontal="right"/>
    </xf>
    <xf numFmtId="166" fontId="15" fillId="0" borderId="3" xfId="4" applyNumberFormat="1" applyAlignment="1">
      <alignment horizontal="right"/>
    </xf>
    <xf numFmtId="166" fontId="4" fillId="0" borderId="0" xfId="0" applyNumberFormat="1" applyFont="1" applyAlignment="1">
      <alignment horizontal="right"/>
    </xf>
    <xf numFmtId="166" fontId="0" fillId="0" borderId="0" xfId="0" quotePrefix="1" applyNumberFormat="1" applyAlignment="1">
      <alignment horizontal="right"/>
    </xf>
    <xf numFmtId="0" fontId="0" fillId="3" borderId="0" xfId="0" applyFill="1" applyAlignment="1">
      <alignment horizontal="center"/>
    </xf>
    <xf numFmtId="166" fontId="0" fillId="3" borderId="0" xfId="0" quotePrefix="1" applyNumberFormat="1" applyFill="1" applyAlignment="1">
      <alignment horizontal="right"/>
    </xf>
    <xf numFmtId="0" fontId="0" fillId="0" borderId="0" xfId="0" quotePrefix="1" applyAlignment="1">
      <alignment horizontal="center"/>
    </xf>
    <xf numFmtId="166" fontId="0" fillId="0" borderId="0" xfId="0" applyNumberFormat="1" applyFill="1" applyAlignment="1">
      <alignment horizontal="left"/>
    </xf>
    <xf numFmtId="166" fontId="4" fillId="0" borderId="18" xfId="0" applyNumberFormat="1" applyFont="1" applyBorder="1" applyAlignment="1">
      <alignment horizontal="right"/>
    </xf>
    <xf numFmtId="166" fontId="0" fillId="0" borderId="18" xfId="0" applyNumberFormat="1" applyBorder="1" applyAlignment="1">
      <alignment horizontal="right"/>
    </xf>
    <xf numFmtId="166" fontId="0" fillId="0" borderId="18" xfId="0" quotePrefix="1" applyNumberFormat="1" applyBorder="1" applyAlignment="1">
      <alignment horizontal="right"/>
    </xf>
    <xf numFmtId="167" fontId="4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15" fillId="0" borderId="3" xfId="4" applyNumberFormat="1" applyAlignment="1">
      <alignment horizontal="center"/>
    </xf>
    <xf numFmtId="0" fontId="0" fillId="0" borderId="11" xfId="0" applyBorder="1" applyAlignment="1">
      <alignment horizontal="center"/>
    </xf>
    <xf numFmtId="0" fontId="13" fillId="4" borderId="0" xfId="5" applyFill="1" applyAlignment="1">
      <alignment horizontal="left"/>
    </xf>
    <xf numFmtId="167" fontId="13" fillId="4" borderId="0" xfId="5" applyNumberFormat="1" applyFill="1" applyAlignment="1">
      <alignment horizontal="center"/>
    </xf>
    <xf numFmtId="0" fontId="13" fillId="4" borderId="0" xfId="5" applyFill="1" applyAlignment="1">
      <alignment horizontal="center"/>
    </xf>
    <xf numFmtId="166" fontId="13" fillId="0" borderId="0" xfId="5" applyNumberFormat="1" applyAlignment="1">
      <alignment horizontal="center"/>
    </xf>
    <xf numFmtId="166" fontId="13" fillId="0" borderId="0" xfId="5" applyNumberFormat="1" applyAlignment="1">
      <alignment horizontal="right"/>
    </xf>
    <xf numFmtId="15" fontId="13" fillId="4" borderId="0" xfId="5" applyNumberFormat="1" applyFill="1" applyAlignment="1">
      <alignment horizontal="center"/>
    </xf>
    <xf numFmtId="166" fontId="13" fillId="0" borderId="18" xfId="5" applyNumberFormat="1" applyBorder="1" applyAlignment="1">
      <alignment horizontal="right"/>
    </xf>
    <xf numFmtId="166" fontId="13" fillId="0" borderId="0" xfId="5" applyNumberFormat="1" applyAlignment="1">
      <alignment horizontal="left"/>
    </xf>
    <xf numFmtId="4" fontId="0" fillId="4" borderId="0" xfId="0" applyNumberFormat="1" applyFill="1" applyAlignment="1">
      <alignment horizontal="left"/>
    </xf>
    <xf numFmtId="0" fontId="15" fillId="0" borderId="3" xfId="4" applyFont="1" applyAlignment="1">
      <alignment horizontal="left"/>
    </xf>
    <xf numFmtId="0" fontId="0" fillId="0" borderId="0" xfId="0" applyFont="1" applyAlignment="1">
      <alignment horizontal="left"/>
    </xf>
    <xf numFmtId="49" fontId="2" fillId="5" borderId="21" xfId="0" applyNumberFormat="1" applyFont="1" applyFill="1" applyBorder="1" applyAlignment="1" applyProtection="1">
      <alignment horizontal="left"/>
      <protection locked="0"/>
    </xf>
    <xf numFmtId="4" fontId="16" fillId="4" borderId="0" xfId="5" applyNumberFormat="1" applyFont="1" applyFill="1" applyAlignment="1">
      <alignment horizontal="center"/>
    </xf>
    <xf numFmtId="4" fontId="16" fillId="4" borderId="0" xfId="5" applyNumberFormat="1" applyFont="1" applyFill="1" applyAlignment="1">
      <alignment horizontal="left"/>
    </xf>
    <xf numFmtId="0" fontId="19" fillId="11" borderId="29" xfId="2" applyFill="1" applyBorder="1" applyAlignment="1">
      <alignment horizontal="left"/>
      <protection locked="0"/>
    </xf>
    <xf numFmtId="167" fontId="0" fillId="3" borderId="0" xfId="0" applyNumberFormat="1" applyFill="1" applyAlignment="1">
      <alignment horizontal="center"/>
    </xf>
    <xf numFmtId="4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center"/>
    </xf>
    <xf numFmtId="166" fontId="0" fillId="3" borderId="18" xfId="0" quotePrefix="1" applyNumberFormat="1" applyFill="1" applyBorder="1" applyAlignment="1">
      <alignment horizontal="right"/>
    </xf>
    <xf numFmtId="0" fontId="0" fillId="3" borderId="0" xfId="0" quotePrefix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1" xfId="0" applyFill="1" applyBorder="1"/>
    <xf numFmtId="49" fontId="19" fillId="12" borderId="0" xfId="2" applyNumberFormat="1" applyAlignment="1">
      <alignment horizontal="left"/>
      <protection locked="0"/>
    </xf>
    <xf numFmtId="0" fontId="15" fillId="0" borderId="3" xfId="4" applyFill="1" applyAlignment="1">
      <alignment horizontal="right"/>
    </xf>
    <xf numFmtId="49" fontId="2" fillId="11" borderId="30" xfId="0" applyNumberFormat="1" applyFont="1" applyFill="1" applyBorder="1" applyAlignment="1" applyProtection="1">
      <alignment horizontal="left"/>
      <protection locked="0"/>
    </xf>
    <xf numFmtId="49" fontId="2" fillId="5" borderId="24" xfId="0" applyNumberFormat="1" applyFont="1" applyFill="1" applyBorder="1" applyAlignment="1" applyProtection="1">
      <alignment horizontal="left"/>
      <protection locked="0"/>
    </xf>
    <xf numFmtId="49" fontId="2" fillId="11" borderId="27" xfId="0" applyNumberFormat="1" applyFont="1" applyFill="1" applyBorder="1" applyAlignment="1" applyProtection="1">
      <alignment horizontal="left"/>
      <protection locked="0"/>
    </xf>
    <xf numFmtId="15" fontId="19" fillId="12" borderId="0" xfId="2" applyNumberFormat="1" applyAlignment="1">
      <alignment horizontal="center"/>
      <protection locked="0"/>
    </xf>
    <xf numFmtId="171" fontId="19" fillId="12" borderId="0" xfId="2" applyNumberFormat="1" applyAlignment="1">
      <alignment horizontal="right"/>
      <protection locked="0"/>
    </xf>
    <xf numFmtId="14" fontId="30" fillId="13" borderId="35" xfId="0" applyNumberFormat="1" applyFont="1" applyFill="1" applyBorder="1" applyAlignment="1">
      <alignment vertical="center"/>
    </xf>
    <xf numFmtId="14" fontId="30" fillId="13" borderId="36" xfId="0" applyNumberFormat="1" applyFont="1" applyFill="1" applyBorder="1" applyAlignment="1">
      <alignment vertical="center"/>
    </xf>
    <xf numFmtId="14" fontId="30" fillId="13" borderId="37" xfId="0" applyNumberFormat="1" applyFont="1" applyFill="1" applyBorder="1" applyAlignment="1">
      <alignment vertical="center"/>
    </xf>
    <xf numFmtId="167" fontId="5" fillId="5" borderId="0" xfId="0" applyNumberFormat="1" applyFont="1" applyFill="1" applyAlignment="1">
      <alignment horizontal="center"/>
    </xf>
    <xf numFmtId="167" fontId="36" fillId="5" borderId="0" xfId="5" quotePrefix="1" applyNumberFormat="1" applyFont="1" applyFill="1" applyAlignment="1" applyProtection="1"/>
    <xf numFmtId="167" fontId="36" fillId="5" borderId="0" xfId="5" applyNumberFormat="1" applyFont="1" applyFill="1" applyAlignment="1" applyProtection="1">
      <alignment horizontal="center"/>
    </xf>
    <xf numFmtId="3" fontId="13" fillId="0" borderId="0" xfId="5" applyNumberFormat="1" applyAlignment="1">
      <alignment horizontal="right"/>
    </xf>
    <xf numFmtId="167" fontId="15" fillId="0" borderId="3" xfId="4" applyNumberFormat="1" applyAlignment="1">
      <alignment horizontal="left"/>
    </xf>
    <xf numFmtId="167" fontId="0" fillId="4" borderId="0" xfId="0" applyNumberFormat="1" applyFill="1" applyAlignment="1">
      <alignment horizontal="left"/>
    </xf>
    <xf numFmtId="3" fontId="0" fillId="4" borderId="0" xfId="0" applyNumberFormat="1" applyFill="1" applyAlignment="1">
      <alignment horizontal="left"/>
    </xf>
    <xf numFmtId="0" fontId="21" fillId="4" borderId="0" xfId="0" applyFont="1" applyFill="1"/>
    <xf numFmtId="0" fontId="0" fillId="4" borderId="0" xfId="0" applyFill="1" applyAlignment="1">
      <alignment horizontal="right"/>
    </xf>
    <xf numFmtId="0" fontId="0" fillId="4" borderId="0" xfId="0" quotePrefix="1" applyFill="1" applyAlignment="1">
      <alignment horizontal="center"/>
    </xf>
    <xf numFmtId="0" fontId="0" fillId="6" borderId="0" xfId="0" applyFill="1" applyAlignment="1">
      <alignment horizontal="right"/>
    </xf>
    <xf numFmtId="4" fontId="0" fillId="6" borderId="0" xfId="0" applyNumberFormat="1" applyFill="1" applyAlignment="1">
      <alignment horizontal="right"/>
    </xf>
    <xf numFmtId="4" fontId="0" fillId="6" borderId="0" xfId="0" applyNumberFormat="1" applyFill="1" applyAlignment="1">
      <alignment horizontal="left"/>
    </xf>
    <xf numFmtId="15" fontId="3" fillId="5" borderId="0" xfId="3" applyNumberFormat="1" applyFill="1" applyBorder="1" applyAlignment="1">
      <alignment horizontal="center"/>
    </xf>
    <xf numFmtId="4" fontId="3" fillId="5" borderId="0" xfId="3" applyNumberFormat="1" applyFill="1" applyBorder="1" applyAlignment="1">
      <alignment horizontal="center"/>
    </xf>
    <xf numFmtId="0" fontId="0" fillId="0" borderId="9" xfId="0" applyBorder="1"/>
    <xf numFmtId="167" fontId="3" fillId="3" borderId="0" xfId="6" applyNumberFormat="1" applyFill="1" applyAlignment="1">
      <alignment horizontal="right"/>
      <protection locked="0"/>
    </xf>
    <xf numFmtId="15" fontId="0" fillId="0" borderId="0" xfId="0" quotePrefix="1" applyNumberFormat="1" applyAlignment="1">
      <alignment horizontal="left"/>
    </xf>
    <xf numFmtId="15" fontId="3" fillId="3" borderId="0" xfId="6" applyNumberFormat="1" applyFill="1" applyAlignment="1">
      <alignment horizontal="left"/>
      <protection locked="0"/>
    </xf>
    <xf numFmtId="166" fontId="3" fillId="3" borderId="0" xfId="6" applyNumberFormat="1" applyFill="1" applyAlignment="1">
      <alignment horizontal="center"/>
      <protection locked="0"/>
    </xf>
    <xf numFmtId="4" fontId="0" fillId="0" borderId="0" xfId="0" quotePrefix="1" applyNumberFormat="1" applyAlignment="1">
      <alignment horizontal="right"/>
    </xf>
    <xf numFmtId="4" fontId="3" fillId="3" borderId="0" xfId="6" applyNumberFormat="1" applyFill="1" applyAlignment="1">
      <alignment horizontal="right"/>
      <protection locked="0"/>
    </xf>
    <xf numFmtId="0" fontId="0" fillId="0" borderId="0" xfId="0" quotePrefix="1" applyAlignment="1">
      <alignment horizontal="left"/>
    </xf>
    <xf numFmtId="167" fontId="36" fillId="5" borderId="0" xfId="5" quotePrefix="1" applyNumberFormat="1" applyFont="1" applyFill="1" applyAlignment="1" applyProtection="1">
      <alignment horizontal="center"/>
    </xf>
    <xf numFmtId="167" fontId="5" fillId="0" borderId="0" xfId="0" applyNumberFormat="1" applyFont="1" applyFill="1" applyAlignment="1">
      <alignment horizontal="center"/>
    </xf>
    <xf numFmtId="167" fontId="34" fillId="0" borderId="3" xfId="4" applyNumberFormat="1" applyFont="1" applyFill="1" applyAlignment="1">
      <alignment horizontal="center"/>
    </xf>
    <xf numFmtId="167" fontId="5" fillId="0" borderId="0" xfId="0" applyNumberFormat="1" applyFont="1" applyFill="1" applyBorder="1" applyAlignment="1">
      <alignment horizontal="center"/>
    </xf>
    <xf numFmtId="167" fontId="5" fillId="4" borderId="0" xfId="0" applyNumberFormat="1" applyFont="1" applyFill="1" applyAlignment="1">
      <alignment horizontal="center"/>
    </xf>
    <xf numFmtId="167" fontId="5" fillId="4" borderId="0" xfId="0" applyNumberFormat="1" applyFont="1" applyFill="1" applyAlignment="1">
      <alignment horizontal="left"/>
    </xf>
    <xf numFmtId="167" fontId="5" fillId="4" borderId="0" xfId="0" applyNumberFormat="1" applyFont="1" applyFill="1" applyBorder="1" applyAlignment="1">
      <alignment horizontal="center"/>
    </xf>
    <xf numFmtId="167" fontId="5" fillId="4" borderId="9" xfId="0" applyNumberFormat="1" applyFont="1" applyFill="1" applyBorder="1" applyAlignment="1">
      <alignment horizontal="center"/>
    </xf>
    <xf numFmtId="15" fontId="0" fillId="4" borderId="0" xfId="0" applyNumberFormat="1" applyFill="1" applyAlignment="1">
      <alignment horizontal="left"/>
    </xf>
    <xf numFmtId="38" fontId="19" fillId="3" borderId="0" xfId="2" applyNumberFormat="1" applyFill="1" applyAlignment="1">
      <alignment horizontal="center"/>
      <protection locked="0"/>
    </xf>
    <xf numFmtId="38" fontId="0" fillId="0" borderId="38" xfId="0" applyNumberFormat="1" applyBorder="1" applyAlignment="1">
      <alignment horizontal="right"/>
    </xf>
    <xf numFmtId="0" fontId="0" fillId="0" borderId="38" xfId="0" applyBorder="1"/>
    <xf numFmtId="38" fontId="0" fillId="0" borderId="18" xfId="0" applyNumberFormat="1" applyBorder="1"/>
    <xf numFmtId="0" fontId="0" fillId="0" borderId="0" xfId="0" applyBorder="1" applyAlignment="1">
      <alignment horizontal="right"/>
    </xf>
    <xf numFmtId="0" fontId="13" fillId="0" borderId="9" xfId="5" applyBorder="1" applyAlignment="1">
      <alignment horizontal="right"/>
    </xf>
    <xf numFmtId="0" fontId="0" fillId="0" borderId="31" xfId="0" applyBorder="1" applyAlignment="1">
      <alignment horizontal="right"/>
    </xf>
    <xf numFmtId="0" fontId="0" fillId="0" borderId="33" xfId="0" applyBorder="1"/>
    <xf numFmtId="0" fontId="13" fillId="0" borderId="39" xfId="5" applyBorder="1" applyAlignment="1">
      <alignment horizontal="right"/>
    </xf>
    <xf numFmtId="0" fontId="0" fillId="0" borderId="32" xfId="0" applyBorder="1"/>
    <xf numFmtId="0" fontId="19" fillId="12" borderId="0" xfId="2" applyBorder="1" applyAlignment="1">
      <alignment horizontal="left"/>
      <protection locked="0"/>
    </xf>
    <xf numFmtId="15" fontId="0" fillId="0" borderId="0" xfId="0" applyNumberFormat="1" applyFont="1" applyBorder="1"/>
    <xf numFmtId="172" fontId="0" fillId="0" borderId="0" xfId="0" applyNumberFormat="1" applyFont="1" applyBorder="1" applyAlignment="1">
      <alignment horizontal="center"/>
    </xf>
    <xf numFmtId="172" fontId="25" fillId="0" borderId="0" xfId="0" applyNumberFormat="1" applyFont="1" applyAlignment="1">
      <alignment horizontal="center"/>
    </xf>
    <xf numFmtId="172" fontId="13" fillId="0" borderId="0" xfId="5" applyNumberFormat="1" applyBorder="1" applyAlignment="1">
      <alignment horizontal="center"/>
    </xf>
    <xf numFmtId="172" fontId="4" fillId="0" borderId="0" xfId="0" applyNumberFormat="1" applyFont="1" applyBorder="1" applyAlignment="1">
      <alignment horizontal="center"/>
    </xf>
    <xf numFmtId="15" fontId="15" fillId="4" borderId="3" xfId="4" applyNumberFormat="1" applyFill="1" applyAlignment="1">
      <alignment horizontal="left"/>
    </xf>
    <xf numFmtId="15" fontId="13" fillId="4" borderId="0" xfId="5" applyNumberFormat="1" applyFill="1" applyAlignment="1">
      <alignment horizontal="left"/>
    </xf>
    <xf numFmtId="15" fontId="0" fillId="4" borderId="34" xfId="0" applyNumberFormat="1" applyFill="1" applyBorder="1" applyAlignment="1">
      <alignment horizontal="left"/>
    </xf>
    <xf numFmtId="15" fontId="0" fillId="3" borderId="0" xfId="0" applyNumberFormat="1" applyFill="1" applyAlignment="1">
      <alignment horizontal="left"/>
    </xf>
    <xf numFmtId="4" fontId="21" fillId="0" borderId="0" xfId="0" applyNumberFormat="1" applyFont="1" applyAlignment="1">
      <alignment horizontal="left"/>
    </xf>
    <xf numFmtId="4" fontId="5" fillId="3" borderId="0" xfId="0" applyNumberFormat="1" applyFont="1" applyFill="1" applyBorder="1" applyAlignment="1">
      <alignment horizontal="center"/>
    </xf>
    <xf numFmtId="0" fontId="15" fillId="0" borderId="3" xfId="4" applyAlignment="1">
      <alignment horizontal="left"/>
    </xf>
    <xf numFmtId="0" fontId="0" fillId="5" borderId="0" xfId="0" applyFill="1" applyAlignment="1">
      <alignment horizontal="left"/>
    </xf>
    <xf numFmtId="0" fontId="21" fillId="3" borderId="0" xfId="0" applyFont="1" applyFill="1"/>
    <xf numFmtId="164" fontId="3" fillId="5" borderId="0" xfId="6" applyNumberFormat="1" applyFill="1" applyAlignment="1">
      <alignment horizontal="left"/>
      <protection locked="0"/>
    </xf>
    <xf numFmtId="164" fontId="0" fillId="5" borderId="0" xfId="0" applyNumberFormat="1" applyFill="1" applyAlignment="1">
      <alignment horizontal="left"/>
    </xf>
    <xf numFmtId="0" fontId="13" fillId="3" borderId="0" xfId="5" applyFill="1"/>
    <xf numFmtId="0" fontId="15" fillId="3" borderId="3" xfId="4" applyFill="1" applyAlignment="1">
      <alignment horizontal="center"/>
    </xf>
    <xf numFmtId="165" fontId="3" fillId="5" borderId="0" xfId="6" applyNumberFormat="1" applyFill="1" applyAlignment="1">
      <protection locked="0"/>
    </xf>
    <xf numFmtId="0" fontId="0" fillId="5" borderId="0" xfId="0" applyFill="1" applyBorder="1" applyAlignment="1">
      <alignment horizontal="left"/>
    </xf>
    <xf numFmtId="0" fontId="0" fillId="3" borderId="0" xfId="0" applyFill="1" applyBorder="1" applyAlignment="1">
      <alignment horizontal="right"/>
    </xf>
    <xf numFmtId="0" fontId="5" fillId="3" borderId="0" xfId="0" applyFont="1" applyFill="1" applyBorder="1" applyAlignment="1">
      <alignment horizontal="right"/>
    </xf>
    <xf numFmtId="0" fontId="0" fillId="3" borderId="0" xfId="0" applyFill="1" applyAlignment="1">
      <alignment horizontal="right"/>
    </xf>
    <xf numFmtId="0" fontId="5" fillId="3" borderId="0" xfId="0" applyFont="1" applyFill="1" applyAlignment="1">
      <alignment horizontal="right"/>
    </xf>
    <xf numFmtId="0" fontId="5" fillId="3" borderId="0" xfId="0" applyFont="1" applyFill="1"/>
    <xf numFmtId="0" fontId="34" fillId="3" borderId="3" xfId="4" applyFont="1" applyFill="1"/>
    <xf numFmtId="0" fontId="5" fillId="3" borderId="0" xfId="0" applyFont="1" applyFill="1" applyBorder="1"/>
    <xf numFmtId="0" fontId="10" fillId="3" borderId="0" xfId="0" applyFont="1" applyFill="1" applyBorder="1" applyAlignment="1">
      <alignment horizontal="left"/>
    </xf>
    <xf numFmtId="4" fontId="13" fillId="3" borderId="0" xfId="5" applyNumberFormat="1" applyFill="1" applyBorder="1" applyAlignment="1">
      <alignment horizontal="left"/>
    </xf>
    <xf numFmtId="0" fontId="11" fillId="3" borderId="0" xfId="0" applyFont="1" applyFill="1" applyBorder="1" applyAlignment="1">
      <alignment horizontal="left"/>
    </xf>
    <xf numFmtId="0" fontId="11" fillId="5" borderId="0" xfId="0" applyFont="1" applyFill="1" applyBorder="1" applyAlignment="1">
      <alignment horizontal="left"/>
    </xf>
    <xf numFmtId="0" fontId="17" fillId="3" borderId="0" xfId="5" applyFont="1" applyFill="1" applyBorder="1" applyAlignment="1">
      <alignment horizontal="right"/>
    </xf>
    <xf numFmtId="0" fontId="11" fillId="3" borderId="0" xfId="0" quotePrefix="1" applyFont="1" applyFill="1" applyBorder="1" applyAlignment="1">
      <alignment horizontal="left"/>
    </xf>
    <xf numFmtId="0" fontId="11" fillId="3" borderId="0" xfId="0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/>
    </xf>
    <xf numFmtId="4" fontId="17" fillId="3" borderId="0" xfId="5" applyNumberFormat="1" applyFont="1" applyFill="1" applyBorder="1" applyAlignment="1"/>
    <xf numFmtId="0" fontId="11" fillId="3" borderId="9" xfId="0" applyFont="1" applyFill="1" applyBorder="1" applyAlignment="1">
      <alignment horizontal="center"/>
    </xf>
    <xf numFmtId="0" fontId="11" fillId="3" borderId="0" xfId="0" applyFont="1" applyFill="1" applyBorder="1" applyAlignment="1"/>
    <xf numFmtId="4" fontId="17" fillId="3" borderId="0" xfId="5" applyNumberFormat="1" applyFont="1" applyFill="1" applyBorder="1" applyAlignment="1">
      <alignment horizontal="left"/>
    </xf>
    <xf numFmtId="0" fontId="11" fillId="3" borderId="7" xfId="0" applyFont="1" applyFill="1" applyBorder="1" applyAlignment="1">
      <alignment horizontal="left"/>
    </xf>
    <xf numFmtId="0" fontId="11" fillId="3" borderId="9" xfId="0" applyFont="1" applyFill="1" applyBorder="1" applyAlignment="1">
      <alignment horizontal="left"/>
    </xf>
    <xf numFmtId="0" fontId="11" fillId="5" borderId="0" xfId="0" quotePrefix="1" applyFont="1" applyFill="1" applyBorder="1" applyAlignment="1">
      <alignment horizontal="left"/>
    </xf>
    <xf numFmtId="0" fontId="11" fillId="3" borderId="0" xfId="0" applyFont="1" applyFill="1" applyBorder="1"/>
    <xf numFmtId="0" fontId="4" fillId="3" borderId="0" xfId="0" applyFont="1" applyFill="1" applyBorder="1"/>
    <xf numFmtId="164" fontId="11" fillId="3" borderId="0" xfId="0" applyNumberFormat="1" applyFont="1" applyFill="1" applyBorder="1"/>
    <xf numFmtId="4" fontId="10" fillId="3" borderId="0" xfId="0" applyNumberFormat="1" applyFont="1" applyFill="1" applyBorder="1" applyAlignment="1">
      <alignment horizontal="center"/>
    </xf>
    <xf numFmtId="0" fontId="11" fillId="5" borderId="0" xfId="0" applyFont="1" applyFill="1" applyBorder="1"/>
    <xf numFmtId="164" fontId="15" fillId="3" borderId="3" xfId="4" applyNumberFormat="1" applyFill="1"/>
    <xf numFmtId="164" fontId="5" fillId="3" borderId="0" xfId="0" applyNumberFormat="1" applyFont="1" applyFill="1" applyAlignment="1">
      <alignment horizontal="left"/>
    </xf>
    <xf numFmtId="164" fontId="5" fillId="3" borderId="0" xfId="0" applyNumberFormat="1" applyFont="1" applyFill="1"/>
    <xf numFmtId="0" fontId="37" fillId="3" borderId="0" xfId="0" applyFont="1" applyFill="1"/>
    <xf numFmtId="0" fontId="5" fillId="5" borderId="0" xfId="0" applyFont="1" applyFill="1"/>
    <xf numFmtId="164" fontId="9" fillId="5" borderId="0" xfId="6" applyNumberFormat="1" applyFont="1" applyFill="1" applyAlignment="1">
      <alignment horizontal="left"/>
      <protection locked="0"/>
    </xf>
    <xf numFmtId="164" fontId="5" fillId="5" borderId="0" xfId="0" applyNumberFormat="1" applyFont="1" applyFill="1"/>
    <xf numFmtId="0" fontId="9" fillId="5" borderId="0" xfId="6" applyNumberFormat="1" applyFont="1" applyFill="1" applyAlignment="1">
      <protection locked="0"/>
    </xf>
    <xf numFmtId="164" fontId="9" fillId="5" borderId="0" xfId="6" applyNumberFormat="1" applyFont="1" applyFill="1" applyAlignment="1">
      <protection locked="0"/>
    </xf>
    <xf numFmtId="164" fontId="5" fillId="5" borderId="0" xfId="0" applyNumberFormat="1" applyFont="1" applyFill="1" applyAlignment="1">
      <alignment horizontal="left"/>
    </xf>
    <xf numFmtId="0" fontId="5" fillId="3" borderId="0" xfId="0" quotePrefix="1" applyFont="1" applyFill="1"/>
    <xf numFmtId="0" fontId="9" fillId="5" borderId="0" xfId="6" applyNumberFormat="1" applyFont="1" applyFill="1" applyAlignment="1">
      <alignment horizontal="left"/>
      <protection locked="0"/>
    </xf>
    <xf numFmtId="165" fontId="9" fillId="5" borderId="0" xfId="6" applyNumberFormat="1" applyFont="1" applyFill="1" applyAlignment="1">
      <alignment horizontal="left"/>
      <protection locked="0"/>
    </xf>
    <xf numFmtId="0" fontId="5" fillId="3" borderId="0" xfId="0" applyFont="1" applyFill="1" applyAlignment="1">
      <alignment horizontal="left"/>
    </xf>
    <xf numFmtId="4" fontId="5" fillId="3" borderId="0" xfId="0" applyNumberFormat="1" applyFont="1" applyFill="1" applyAlignment="1">
      <alignment horizontal="left"/>
    </xf>
    <xf numFmtId="0" fontId="5" fillId="6" borderId="0" xfId="0" applyFont="1" applyFill="1" applyAlignment="1">
      <alignment horizontal="left"/>
    </xf>
    <xf numFmtId="4" fontId="5" fillId="6" borderId="0" xfId="0" applyNumberFormat="1" applyFont="1" applyFill="1" applyAlignment="1">
      <alignment horizontal="left"/>
    </xf>
    <xf numFmtId="0" fontId="38" fillId="0" borderId="0" xfId="5" applyFont="1" applyBorder="1" applyAlignment="1">
      <alignment horizontal="center"/>
    </xf>
    <xf numFmtId="0" fontId="15" fillId="0" borderId="3" xfId="4" applyFont="1" applyAlignment="1">
      <alignment horizontal="center"/>
    </xf>
    <xf numFmtId="0" fontId="15" fillId="0" borderId="3" xfId="4" applyFont="1" applyAlignment="1">
      <alignment horizontal="right"/>
    </xf>
    <xf numFmtId="4" fontId="15" fillId="0" borderId="3" xfId="4" applyNumberFormat="1" applyFont="1" applyAlignment="1">
      <alignment horizontal="right"/>
    </xf>
    <xf numFmtId="0" fontId="5" fillId="0" borderId="0" xfId="0" applyFont="1" applyBorder="1" applyAlignment="1">
      <alignment horizontal="center"/>
    </xf>
    <xf numFmtId="165" fontId="13" fillId="0" borderId="0" xfId="5" applyNumberFormat="1" applyBorder="1" applyAlignment="1">
      <alignment horizontal="right"/>
    </xf>
    <xf numFmtId="165" fontId="14" fillId="0" borderId="0" xfId="0" applyNumberFormat="1" applyFont="1" applyBorder="1" applyAlignment="1" applyProtection="1">
      <alignment horizontal="left"/>
      <protection locked="0"/>
    </xf>
    <xf numFmtId="165" fontId="5" fillId="3" borderId="0" xfId="0" applyNumberFormat="1" applyFont="1" applyFill="1" applyAlignment="1">
      <alignment horizontal="left"/>
    </xf>
    <xf numFmtId="15" fontId="5" fillId="3" borderId="0" xfId="0" applyNumberFormat="1" applyFont="1" applyFill="1" applyAlignment="1">
      <alignment horizontal="left"/>
    </xf>
    <xf numFmtId="0" fontId="5" fillId="5" borderId="0" xfId="0" applyFont="1" applyFill="1" applyBorder="1"/>
    <xf numFmtId="172" fontId="9" fillId="0" borderId="0" xfId="6" applyNumberFormat="1" applyFont="1" applyAlignment="1">
      <alignment horizontal="center"/>
      <protection locked="0"/>
    </xf>
    <xf numFmtId="0" fontId="5" fillId="3" borderId="9" xfId="0" applyFont="1" applyFill="1" applyBorder="1"/>
    <xf numFmtId="165" fontId="5" fillId="5" borderId="0" xfId="0" applyNumberFormat="1" applyFont="1" applyFill="1" applyAlignment="1">
      <alignment horizontal="left"/>
    </xf>
    <xf numFmtId="0" fontId="9" fillId="3" borderId="0" xfId="6" applyNumberFormat="1" applyFont="1" applyFill="1" applyAlignment="1">
      <protection locked="0"/>
    </xf>
    <xf numFmtId="173" fontId="3" fillId="0" borderId="0" xfId="6" applyNumberFormat="1" applyAlignment="1">
      <alignment horizontal="center"/>
      <protection locked="0"/>
    </xf>
    <xf numFmtId="0" fontId="27" fillId="0" borderId="0" xfId="7" applyBorder="1" applyAlignment="1">
      <alignment horizontal="right"/>
    </xf>
    <xf numFmtId="0" fontId="5" fillId="3" borderId="0" xfId="0" applyFont="1" applyFill="1" applyAlignment="1">
      <alignment horizontal="center"/>
    </xf>
    <xf numFmtId="0" fontId="34" fillId="3" borderId="3" xfId="4" applyFont="1" applyFill="1" applyAlignment="1">
      <alignment horizontal="center"/>
    </xf>
    <xf numFmtId="0" fontId="17" fillId="3" borderId="0" xfId="5" applyFont="1" applyFill="1"/>
    <xf numFmtId="4" fontId="13" fillId="0" borderId="0" xfId="5" applyNumberFormat="1" applyAlignment="1">
      <alignment horizontal="center"/>
    </xf>
    <xf numFmtId="49" fontId="19" fillId="12" borderId="0" xfId="2" applyNumberFormat="1" applyBorder="1" applyAlignment="1">
      <alignment horizontal="center"/>
      <protection locked="0"/>
    </xf>
    <xf numFmtId="165" fontId="3" fillId="0" borderId="0" xfId="6" applyNumberFormat="1" applyAlignment="1">
      <alignment horizontal="right"/>
      <protection locked="0"/>
    </xf>
    <xf numFmtId="0" fontId="0" fillId="4" borderId="7" xfId="0" applyFill="1" applyBorder="1"/>
    <xf numFmtId="4" fontId="3" fillId="6" borderId="0" xfId="6" applyNumberFormat="1" applyFill="1" applyAlignment="1">
      <alignment horizontal="center"/>
      <protection locked="0"/>
    </xf>
    <xf numFmtId="0" fontId="39" fillId="0" borderId="3" xfId="4" applyFont="1" applyAlignment="1">
      <alignment vertical="center"/>
    </xf>
    <xf numFmtId="15" fontId="13" fillId="0" borderId="9" xfId="5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31" xfId="0" applyNumberFormat="1" applyBorder="1" applyAlignment="1">
      <alignment horizontal="center"/>
    </xf>
    <xf numFmtId="165" fontId="19" fillId="5" borderId="20" xfId="2" applyNumberFormat="1" applyFill="1" applyBorder="1" applyAlignment="1">
      <alignment horizontal="left"/>
      <protection locked="0"/>
    </xf>
    <xf numFmtId="165" fontId="19" fillId="5" borderId="23" xfId="2" applyNumberFormat="1" applyFill="1" applyBorder="1" applyAlignment="1">
      <protection locked="0"/>
    </xf>
    <xf numFmtId="165" fontId="13" fillId="0" borderId="0" xfId="5" applyNumberFormat="1" applyAlignment="1">
      <alignment horizontal="left"/>
    </xf>
    <xf numFmtId="165" fontId="40" fillId="12" borderId="0" xfId="2" applyNumberFormat="1" applyFont="1" applyAlignment="1">
      <alignment horizontal="center"/>
      <protection locked="0"/>
    </xf>
    <xf numFmtId="165" fontId="40" fillId="12" borderId="0" xfId="2" quotePrefix="1" applyNumberFormat="1" applyFont="1" applyAlignment="1">
      <alignment horizontal="center"/>
      <protection locked="0"/>
    </xf>
    <xf numFmtId="167" fontId="13" fillId="0" borderId="0" xfId="5" applyNumberFormat="1" applyAlignment="1">
      <alignment horizontal="center"/>
    </xf>
    <xf numFmtId="165" fontId="5" fillId="0" borderId="0" xfId="0" applyNumberFormat="1" applyFont="1" applyAlignment="1">
      <alignment horizontal="center"/>
    </xf>
    <xf numFmtId="165" fontId="34" fillId="0" borderId="3" xfId="4" applyNumberFormat="1" applyFont="1" applyAlignment="1">
      <alignment horizontal="center"/>
    </xf>
    <xf numFmtId="165" fontId="5" fillId="0" borderId="0" xfId="0" applyNumberFormat="1" applyFont="1" applyBorder="1" applyAlignment="1">
      <alignment horizontal="center"/>
    </xf>
    <xf numFmtId="165" fontId="5" fillId="0" borderId="31" xfId="0" applyNumberFormat="1" applyFont="1" applyBorder="1" applyAlignment="1">
      <alignment horizontal="center"/>
    </xf>
    <xf numFmtId="165" fontId="40" fillId="5" borderId="20" xfId="2" applyNumberFormat="1" applyFont="1" applyFill="1" applyBorder="1" applyAlignment="1">
      <alignment horizontal="left"/>
      <protection locked="0"/>
    </xf>
    <xf numFmtId="165" fontId="40" fillId="5" borderId="23" xfId="2" applyNumberFormat="1" applyFont="1" applyFill="1" applyBorder="1" applyAlignment="1">
      <protection locked="0"/>
    </xf>
    <xf numFmtId="165" fontId="17" fillId="0" borderId="0" xfId="5" applyNumberFormat="1" applyFont="1" applyAlignment="1">
      <alignment horizontal="left"/>
    </xf>
    <xf numFmtId="174" fontId="5" fillId="0" borderId="0" xfId="0" applyNumberFormat="1" applyFont="1" applyAlignment="1">
      <alignment horizontal="center"/>
    </xf>
    <xf numFmtId="174" fontId="34" fillId="0" borderId="3" xfId="4" applyNumberFormat="1" applyFont="1" applyAlignment="1">
      <alignment horizontal="center"/>
    </xf>
    <xf numFmtId="174" fontId="5" fillId="0" borderId="0" xfId="0" applyNumberFormat="1" applyFont="1" applyBorder="1" applyAlignment="1">
      <alignment horizontal="center"/>
    </xf>
    <xf numFmtId="174" fontId="5" fillId="0" borderId="31" xfId="0" applyNumberFormat="1" applyFont="1" applyBorder="1" applyAlignment="1">
      <alignment horizontal="center"/>
    </xf>
    <xf numFmtId="174" fontId="40" fillId="5" borderId="20" xfId="2" applyNumberFormat="1" applyFont="1" applyFill="1" applyBorder="1" applyAlignment="1">
      <alignment horizontal="left"/>
      <protection locked="0"/>
    </xf>
    <xf numFmtId="174" fontId="40" fillId="5" borderId="23" xfId="2" applyNumberFormat="1" applyFont="1" applyFill="1" applyBorder="1" applyAlignment="1">
      <protection locked="0"/>
    </xf>
    <xf numFmtId="174" fontId="17" fillId="0" borderId="0" xfId="5" applyNumberFormat="1" applyFont="1" applyAlignment="1">
      <alignment horizontal="left"/>
    </xf>
    <xf numFmtId="165" fontId="18" fillId="0" borderId="0" xfId="5" applyNumberFormat="1" applyFont="1" applyFill="1" applyAlignment="1">
      <alignment horizontal="center"/>
    </xf>
    <xf numFmtId="165" fontId="5" fillId="0" borderId="0" xfId="0" applyNumberFormat="1" applyFont="1" applyFill="1" applyAlignment="1">
      <alignment horizontal="center"/>
    </xf>
    <xf numFmtId="172" fontId="0" fillId="0" borderId="0" xfId="0" applyNumberFormat="1" applyAlignment="1">
      <alignment horizontal="center"/>
    </xf>
    <xf numFmtId="165" fontId="13" fillId="0" borderId="0" xfId="5" applyNumberFormat="1" applyFill="1" applyAlignment="1">
      <alignment horizontal="left"/>
    </xf>
    <xf numFmtId="165" fontId="28" fillId="4" borderId="0" xfId="0" applyNumberFormat="1" applyFont="1" applyFill="1" applyAlignment="1">
      <alignment horizontal="left"/>
    </xf>
    <xf numFmtId="165" fontId="28" fillId="0" borderId="0" xfId="0" applyNumberFormat="1" applyFont="1" applyFill="1" applyBorder="1" applyAlignment="1">
      <alignment horizontal="left"/>
    </xf>
    <xf numFmtId="165" fontId="28" fillId="0" borderId="31" xfId="0" applyNumberFormat="1" applyFont="1" applyFill="1" applyBorder="1" applyAlignment="1">
      <alignment horizontal="left"/>
    </xf>
    <xf numFmtId="165" fontId="28" fillId="0" borderId="0" xfId="0" applyNumberFormat="1" applyFont="1" applyFill="1" applyAlignment="1">
      <alignment horizontal="left"/>
    </xf>
    <xf numFmtId="165" fontId="0" fillId="5" borderId="20" xfId="0" applyNumberFormat="1" applyFill="1" applyBorder="1" applyAlignment="1">
      <alignment horizontal="right"/>
    </xf>
    <xf numFmtId="165" fontId="0" fillId="5" borderId="23" xfId="0" applyNumberFormat="1" applyFill="1" applyBorder="1" applyAlignment="1">
      <alignment horizontal="right"/>
    </xf>
    <xf numFmtId="0" fontId="3" fillId="6" borderId="0" xfId="6" applyNumberFormat="1" applyFill="1" applyAlignment="1">
      <alignment horizontal="left"/>
      <protection locked="0"/>
    </xf>
    <xf numFmtId="165" fontId="42" fillId="0" borderId="0" xfId="5" applyNumberFormat="1" applyFont="1" applyAlignment="1"/>
    <xf numFmtId="174" fontId="18" fillId="6" borderId="0" xfId="5" applyNumberFormat="1" applyFont="1" applyFill="1" applyAlignment="1">
      <alignment horizontal="left"/>
    </xf>
    <xf numFmtId="174" fontId="18" fillId="6" borderId="0" xfId="5" applyNumberFormat="1" applyFont="1" applyFill="1" applyAlignment="1">
      <alignment horizontal="center"/>
    </xf>
    <xf numFmtId="174" fontId="18" fillId="6" borderId="9" xfId="5" applyNumberFormat="1" applyFont="1" applyFill="1" applyBorder="1" applyAlignment="1">
      <alignment horizontal="center"/>
    </xf>
    <xf numFmtId="174" fontId="5" fillId="6" borderId="0" xfId="0" applyNumberFormat="1" applyFont="1" applyFill="1" applyAlignment="1">
      <alignment horizontal="center"/>
    </xf>
    <xf numFmtId="165" fontId="18" fillId="9" borderId="0" xfId="5" applyNumberFormat="1" applyFont="1" applyFill="1" applyAlignment="1">
      <alignment horizontal="left"/>
    </xf>
    <xf numFmtId="165" fontId="18" fillId="9" borderId="0" xfId="5" applyNumberFormat="1" applyFont="1" applyFill="1" applyAlignment="1">
      <alignment horizontal="center"/>
    </xf>
    <xf numFmtId="165" fontId="18" fillId="9" borderId="9" xfId="5" applyNumberFormat="1" applyFont="1" applyFill="1" applyBorder="1" applyAlignment="1">
      <alignment horizontal="center"/>
    </xf>
    <xf numFmtId="165" fontId="5" fillId="9" borderId="0" xfId="0" applyNumberFormat="1" applyFont="1" applyFill="1" applyAlignment="1">
      <alignment horizontal="center"/>
    </xf>
    <xf numFmtId="167" fontId="5" fillId="0" borderId="0" xfId="0" applyNumberFormat="1" applyFont="1"/>
    <xf numFmtId="167" fontId="34" fillId="0" borderId="3" xfId="4" applyNumberFormat="1" applyFont="1"/>
    <xf numFmtId="167" fontId="5" fillId="0" borderId="0" xfId="0" applyNumberFormat="1" applyFont="1" applyFill="1"/>
    <xf numFmtId="167" fontId="5" fillId="0" borderId="0" xfId="0" applyNumberFormat="1" applyFont="1" applyFill="1" applyBorder="1"/>
    <xf numFmtId="167" fontId="5" fillId="0" borderId="31" xfId="0" applyNumberFormat="1" applyFont="1" applyFill="1" applyBorder="1"/>
    <xf numFmtId="38" fontId="5" fillId="11" borderId="26" xfId="0" applyNumberFormat="1" applyFont="1" applyFill="1" applyBorder="1" applyAlignment="1">
      <alignment horizontal="right"/>
    </xf>
    <xf numFmtId="38" fontId="5" fillId="11" borderId="29" xfId="0" applyNumberFormat="1" applyFont="1" applyFill="1" applyBorder="1" applyAlignment="1">
      <alignment horizontal="right"/>
    </xf>
    <xf numFmtId="165" fontId="43" fillId="0" borderId="0" xfId="5" applyNumberFormat="1" applyFont="1" applyAlignment="1"/>
    <xf numFmtId="167" fontId="17" fillId="0" borderId="0" xfId="5" applyNumberFormat="1" applyFont="1"/>
    <xf numFmtId="167" fontId="17" fillId="0" borderId="9" xfId="5" applyNumberFormat="1" applyFont="1" applyBorder="1" applyAlignment="1">
      <alignment horizontal="center"/>
    </xf>
    <xf numFmtId="0" fontId="19" fillId="5" borderId="23" xfId="2" applyFill="1" applyBorder="1" applyAlignment="1">
      <alignment horizontal="left"/>
      <protection locked="0"/>
    </xf>
    <xf numFmtId="1" fontId="19" fillId="5" borderId="20" xfId="2" applyNumberFormat="1" applyFill="1" applyBorder="1" applyAlignment="1">
      <alignment horizontal="left"/>
      <protection locked="0"/>
    </xf>
    <xf numFmtId="4" fontId="2" fillId="12" borderId="0" xfId="2" applyNumberFormat="1" applyFont="1" applyBorder="1" applyAlignment="1">
      <alignment horizontal="center"/>
      <protection locked="0"/>
    </xf>
    <xf numFmtId="3" fontId="15" fillId="4" borderId="3" xfId="4" applyNumberFormat="1" applyFill="1" applyAlignment="1">
      <alignment horizontal="center"/>
    </xf>
    <xf numFmtId="3" fontId="0" fillId="4" borderId="0" xfId="0" applyNumberFormat="1" applyFill="1" applyBorder="1" applyAlignment="1">
      <alignment horizontal="center"/>
    </xf>
    <xf numFmtId="3" fontId="0" fillId="4" borderId="31" xfId="0" applyNumberFormat="1" applyFill="1" applyBorder="1" applyAlignment="1">
      <alignment horizontal="center"/>
    </xf>
    <xf numFmtId="3" fontId="13" fillId="4" borderId="9" xfId="5" applyNumberFormat="1" applyFill="1" applyBorder="1" applyAlignment="1">
      <alignment horizontal="center"/>
    </xf>
    <xf numFmtId="3" fontId="0" fillId="4" borderId="0" xfId="0" applyNumberFormat="1" applyFill="1" applyAlignment="1"/>
    <xf numFmtId="3" fontId="15" fillId="4" borderId="3" xfId="4" applyNumberFormat="1" applyFill="1" applyAlignment="1"/>
    <xf numFmtId="3" fontId="0" fillId="4" borderId="0" xfId="0" applyNumberFormat="1" applyFill="1" applyBorder="1" applyAlignment="1"/>
    <xf numFmtId="3" fontId="0" fillId="4" borderId="31" xfId="0" applyNumberFormat="1" applyFill="1" applyBorder="1" applyAlignment="1"/>
    <xf numFmtId="3" fontId="0" fillId="5" borderId="20" xfId="0" applyNumberFormat="1" applyFill="1" applyBorder="1" applyAlignment="1"/>
    <xf numFmtId="3" fontId="0" fillId="5" borderId="23" xfId="0" applyNumberFormat="1" applyFill="1" applyBorder="1" applyAlignment="1"/>
    <xf numFmtId="3" fontId="0" fillId="11" borderId="26" xfId="0" applyNumberFormat="1" applyFill="1" applyBorder="1"/>
    <xf numFmtId="3" fontId="0" fillId="11" borderId="29" xfId="0" applyNumberFormat="1" applyFill="1" applyBorder="1"/>
    <xf numFmtId="1" fontId="19" fillId="11" borderId="26" xfId="2" applyNumberFormat="1" applyFill="1" applyBorder="1" applyAlignment="1">
      <alignment horizontal="right"/>
      <protection locked="0"/>
    </xf>
    <xf numFmtId="0" fontId="19" fillId="11" borderId="29" xfId="2" applyFill="1" applyBorder="1" applyAlignment="1">
      <alignment horizontal="right"/>
      <protection locked="0"/>
    </xf>
    <xf numFmtId="0" fontId="5" fillId="0" borderId="0" xfId="0" applyFont="1" applyAlignment="1">
      <alignment horizontal="right"/>
    </xf>
    <xf numFmtId="0" fontId="40" fillId="12" borderId="0" xfId="2" applyFont="1" applyAlignment="1">
      <alignment horizontal="center"/>
      <protection locked="0"/>
    </xf>
    <xf numFmtId="169" fontId="0" fillId="0" borderId="0" xfId="0" applyNumberFormat="1" applyFont="1" applyAlignment="1">
      <alignment horizontal="right"/>
    </xf>
    <xf numFmtId="167" fontId="19" fillId="12" borderId="0" xfId="2" applyNumberFormat="1" applyAlignment="1">
      <alignment horizontal="center"/>
      <protection locked="0"/>
    </xf>
    <xf numFmtId="167" fontId="17" fillId="0" borderId="9" xfId="5" applyNumberFormat="1" applyFont="1" applyBorder="1" applyAlignment="1"/>
    <xf numFmtId="14" fontId="35" fillId="13" borderId="36" xfId="0" applyNumberFormat="1" applyFont="1" applyFill="1" applyBorder="1" applyAlignment="1">
      <alignment vertical="center"/>
    </xf>
    <xf numFmtId="167" fontId="5" fillId="0" borderId="0" xfId="0" applyNumberFormat="1" applyFont="1" applyAlignment="1">
      <alignment horizontal="center"/>
    </xf>
    <xf numFmtId="167" fontId="34" fillId="0" borderId="3" xfId="4" applyNumberFormat="1" applyFont="1" applyAlignment="1">
      <alignment horizontal="center"/>
    </xf>
    <xf numFmtId="0" fontId="5" fillId="4" borderId="0" xfId="0" applyFont="1" applyFill="1" applyAlignment="1">
      <alignment horizontal="center"/>
    </xf>
    <xf numFmtId="0" fontId="5" fillId="4" borderId="9" xfId="0" applyFont="1" applyFill="1" applyBorder="1" applyAlignment="1">
      <alignment horizontal="center"/>
    </xf>
    <xf numFmtId="14" fontId="35" fillId="13" borderId="36" xfId="0" applyNumberFormat="1" applyFont="1" applyFill="1" applyBorder="1" applyAlignment="1">
      <alignment horizontal="center" vertical="center"/>
    </xf>
    <xf numFmtId="167" fontId="17" fillId="0" borderId="0" xfId="5" applyNumberFormat="1" applyFont="1" applyAlignment="1" applyProtection="1">
      <alignment horizontal="center"/>
    </xf>
    <xf numFmtId="174" fontId="5" fillId="0" borderId="0" xfId="0" applyNumberFormat="1" applyFont="1" applyFill="1" applyAlignment="1">
      <alignment horizontal="center"/>
    </xf>
    <xf numFmtId="174" fontId="34" fillId="0" borderId="3" xfId="4" applyNumberFormat="1" applyFont="1" applyFill="1" applyAlignment="1">
      <alignment horizontal="center"/>
    </xf>
    <xf numFmtId="174" fontId="5" fillId="4" borderId="0" xfId="0" applyNumberFormat="1" applyFont="1" applyFill="1" applyAlignment="1">
      <alignment horizontal="center"/>
    </xf>
    <xf numFmtId="174" fontId="5" fillId="4" borderId="0" xfId="0" applyNumberFormat="1" applyFont="1" applyFill="1" applyAlignment="1">
      <alignment horizontal="left"/>
    </xf>
    <xf numFmtId="174" fontId="5" fillId="4" borderId="0" xfId="0" applyNumberFormat="1" applyFont="1" applyFill="1"/>
    <xf numFmtId="174" fontId="5" fillId="4" borderId="0" xfId="0" applyNumberFormat="1" applyFont="1" applyFill="1" applyBorder="1" applyAlignment="1">
      <alignment horizontal="left"/>
    </xf>
    <xf numFmtId="174" fontId="5" fillId="4" borderId="9" xfId="0" applyNumberFormat="1" applyFont="1" applyFill="1" applyBorder="1" applyAlignment="1">
      <alignment horizontal="left"/>
    </xf>
    <xf numFmtId="174" fontId="5" fillId="4" borderId="9" xfId="0" applyNumberFormat="1" applyFont="1" applyFill="1" applyBorder="1" applyAlignment="1">
      <alignment horizontal="center"/>
    </xf>
    <xf numFmtId="174" fontId="5" fillId="0" borderId="0" xfId="0" applyNumberFormat="1" applyFont="1" applyFill="1" applyAlignment="1">
      <alignment horizontal="left"/>
    </xf>
    <xf numFmtId="174" fontId="36" fillId="5" borderId="0" xfId="5" applyNumberFormat="1" applyFont="1" applyFill="1" applyAlignment="1" applyProtection="1"/>
    <xf numFmtId="14" fontId="30" fillId="13" borderId="36" xfId="0" applyNumberFormat="1" applyFont="1" applyFill="1" applyBorder="1" applyAlignment="1">
      <alignment horizontal="center" vertical="center"/>
    </xf>
    <xf numFmtId="167" fontId="40" fillId="12" borderId="0" xfId="2" applyNumberFormat="1" applyFont="1" applyAlignment="1">
      <alignment horizontal="center"/>
      <protection locked="0"/>
    </xf>
    <xf numFmtId="167" fontId="40" fillId="12" borderId="0" xfId="2" quotePrefix="1" applyNumberFormat="1" applyFont="1" applyAlignment="1">
      <alignment horizontal="center"/>
      <protection locked="0"/>
    </xf>
    <xf numFmtId="167" fontId="8" fillId="0" borderId="0" xfId="0" applyNumberFormat="1" applyFont="1" applyFill="1" applyAlignment="1">
      <alignment horizontal="center"/>
    </xf>
    <xf numFmtId="167" fontId="18" fillId="0" borderId="3" xfId="4" applyNumberFormat="1" applyFont="1" applyFill="1" applyAlignment="1">
      <alignment horizontal="center"/>
    </xf>
    <xf numFmtId="167" fontId="8" fillId="0" borderId="0" xfId="0" applyNumberFormat="1" applyFont="1" applyFill="1" applyBorder="1" applyAlignment="1">
      <alignment horizontal="center"/>
    </xf>
    <xf numFmtId="167" fontId="18" fillId="16" borderId="0" xfId="5" quotePrefix="1" applyNumberFormat="1" applyFont="1" applyFill="1" applyAlignment="1" applyProtection="1"/>
    <xf numFmtId="167" fontId="18" fillId="16" borderId="0" xfId="5" applyNumberFormat="1" applyFont="1" applyFill="1" applyAlignment="1" applyProtection="1">
      <alignment horizontal="center"/>
    </xf>
    <xf numFmtId="167" fontId="8" fillId="16" borderId="0" xfId="0" applyNumberFormat="1" applyFont="1" applyFill="1" applyAlignment="1">
      <alignment horizontal="center"/>
    </xf>
    <xf numFmtId="167" fontId="18" fillId="16" borderId="0" xfId="5" applyNumberFormat="1" applyFont="1" applyFill="1" applyAlignment="1" applyProtection="1"/>
    <xf numFmtId="165" fontId="0" fillId="4" borderId="0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165" fontId="13" fillId="0" borderId="0" xfId="5" applyNumberFormat="1" applyAlignment="1" applyProtection="1">
      <alignment horizontal="center"/>
    </xf>
    <xf numFmtId="165" fontId="0" fillId="4" borderId="0" xfId="0" applyNumberFormat="1" applyFill="1" applyAlignment="1">
      <alignment horizontal="center"/>
    </xf>
    <xf numFmtId="14" fontId="30" fillId="14" borderId="0" xfId="0" applyNumberFormat="1" applyFont="1" applyFill="1" applyBorder="1" applyAlignment="1">
      <alignment horizontal="center" vertical="center"/>
    </xf>
    <xf numFmtId="3" fontId="5" fillId="0" borderId="0" xfId="0" applyNumberFormat="1" applyFont="1" applyAlignment="1">
      <alignment horizontal="center"/>
    </xf>
    <xf numFmtId="3" fontId="34" fillId="0" borderId="3" xfId="4" applyNumberFormat="1" applyFont="1" applyAlignment="1">
      <alignment horizontal="center"/>
    </xf>
    <xf numFmtId="3" fontId="5" fillId="4" borderId="0" xfId="0" applyNumberFormat="1" applyFont="1" applyFill="1" applyAlignment="1">
      <alignment horizontal="center"/>
    </xf>
    <xf numFmtId="3" fontId="5" fillId="4" borderId="9" xfId="0" applyNumberFormat="1" applyFont="1" applyFill="1" applyBorder="1" applyAlignment="1">
      <alignment horizontal="center"/>
    </xf>
    <xf numFmtId="3" fontId="5" fillId="0" borderId="0" xfId="0" applyNumberFormat="1" applyFont="1" applyBorder="1" applyAlignment="1">
      <alignment horizontal="center"/>
    </xf>
    <xf numFmtId="14" fontId="35" fillId="14" borderId="0" xfId="0" applyNumberFormat="1" applyFont="1" applyFill="1" applyBorder="1" applyAlignment="1">
      <alignment vertical="center"/>
    </xf>
    <xf numFmtId="3" fontId="17" fillId="0" borderId="0" xfId="5" applyNumberFormat="1" applyFont="1" applyAlignment="1" applyProtection="1">
      <alignment horizontal="center"/>
    </xf>
    <xf numFmtId="3" fontId="5" fillId="0" borderId="0" xfId="0" applyNumberFormat="1" applyFon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67" fontId="5" fillId="0" borderId="0" xfId="0" quotePrefix="1" applyNumberFormat="1" applyFont="1" applyFill="1" applyAlignment="1">
      <alignment horizontal="center"/>
    </xf>
    <xf numFmtId="167" fontId="0" fillId="0" borderId="0" xfId="0" quotePrefix="1" applyNumberFormat="1" applyFill="1" applyAlignment="1">
      <alignment horizontal="right"/>
    </xf>
    <xf numFmtId="15" fontId="0" fillId="15" borderId="0" xfId="0" applyNumberFormat="1" applyFill="1" applyAlignment="1">
      <alignment horizontal="left"/>
    </xf>
    <xf numFmtId="3" fontId="5" fillId="15" borderId="0" xfId="0" applyNumberFormat="1" applyFont="1" applyFill="1" applyAlignment="1">
      <alignment horizontal="center"/>
    </xf>
    <xf numFmtId="0" fontId="0" fillId="15" borderId="0" xfId="0" applyFill="1" applyAlignment="1">
      <alignment horizontal="left"/>
    </xf>
    <xf numFmtId="167" fontId="5" fillId="0" borderId="0" xfId="0" applyNumberFormat="1" applyFont="1" applyBorder="1" applyAlignment="1">
      <alignment horizontal="center"/>
    </xf>
    <xf numFmtId="3" fontId="5" fillId="4" borderId="0" xfId="0" applyNumberFormat="1" applyFont="1" applyFill="1" applyAlignment="1">
      <alignment horizontal="right"/>
    </xf>
    <xf numFmtId="167" fontId="5" fillId="4" borderId="0" xfId="0" applyNumberFormat="1" applyFont="1" applyFill="1" applyBorder="1" applyAlignment="1">
      <alignment horizontal="right"/>
    </xf>
    <xf numFmtId="3" fontId="19" fillId="12" borderId="0" xfId="2" applyNumberFormat="1" applyAlignment="1">
      <alignment horizontal="right"/>
      <protection locked="0"/>
    </xf>
    <xf numFmtId="174" fontId="36" fillId="10" borderId="0" xfId="5" applyNumberFormat="1" applyFont="1" applyFill="1" applyAlignment="1" applyProtection="1"/>
    <xf numFmtId="174" fontId="36" fillId="10" borderId="0" xfId="5" quotePrefix="1" applyNumberFormat="1" applyFont="1" applyFill="1" applyAlignment="1" applyProtection="1"/>
    <xf numFmtId="174" fontId="36" fillId="10" borderId="0" xfId="5" applyNumberFormat="1" applyFont="1" applyFill="1" applyAlignment="1" applyProtection="1">
      <alignment horizontal="center"/>
    </xf>
    <xf numFmtId="174" fontId="5" fillId="10" borderId="0" xfId="0" applyNumberFormat="1" applyFont="1" applyFill="1" applyAlignment="1">
      <alignment horizontal="center"/>
    </xf>
    <xf numFmtId="0" fontId="0" fillId="0" borderId="0" xfId="0" quotePrefix="1"/>
    <xf numFmtId="167" fontId="0" fillId="4" borderId="0" xfId="0" applyNumberFormat="1" applyFill="1"/>
    <xf numFmtId="167" fontId="15" fillId="4" borderId="3" xfId="4" applyNumberFormat="1" applyFill="1"/>
    <xf numFmtId="172" fontId="15" fillId="0" borderId="3" xfId="4" applyNumberFormat="1" applyAlignment="1">
      <alignment horizontal="center"/>
    </xf>
    <xf numFmtId="0" fontId="0" fillId="4" borderId="0" xfId="0" applyFill="1" applyAlignment="1"/>
    <xf numFmtId="0" fontId="15" fillId="4" borderId="3" xfId="4" applyFill="1" applyAlignment="1"/>
    <xf numFmtId="167" fontId="0" fillId="4" borderId="0" xfId="0" applyNumberFormat="1" applyFill="1" applyAlignment="1"/>
    <xf numFmtId="3" fontId="7" fillId="0" borderId="0" xfId="0" applyNumberFormat="1" applyFont="1" applyFill="1" applyBorder="1" applyAlignment="1">
      <alignment horizontal="right"/>
    </xf>
    <xf numFmtId="167" fontId="0" fillId="0" borderId="0" xfId="0" quotePrefix="1" applyNumberFormat="1"/>
    <xf numFmtId="167" fontId="0" fillId="3" borderId="0" xfId="0" applyNumberFormat="1" applyFill="1"/>
    <xf numFmtId="172" fontId="0" fillId="3" borderId="0" xfId="0" applyNumberFormat="1" applyFill="1" applyAlignment="1">
      <alignment horizontal="center"/>
    </xf>
    <xf numFmtId="15" fontId="0" fillId="0" borderId="0" xfId="0" applyNumberFormat="1" applyAlignment="1">
      <alignment horizontal="right"/>
    </xf>
    <xf numFmtId="15" fontId="15" fillId="0" borderId="3" xfId="4" applyNumberFormat="1" applyAlignment="1">
      <alignment horizontal="right"/>
    </xf>
    <xf numFmtId="15" fontId="0" fillId="3" borderId="0" xfId="0" applyNumberFormat="1" applyFill="1" applyAlignment="1">
      <alignment horizontal="right"/>
    </xf>
    <xf numFmtId="0" fontId="0" fillId="3" borderId="0" xfId="0" applyFill="1" applyAlignment="1"/>
    <xf numFmtId="166" fontId="0" fillId="3" borderId="0" xfId="0" applyNumberFormat="1" applyFill="1" applyAlignment="1">
      <alignment horizontal="right"/>
    </xf>
    <xf numFmtId="0" fontId="34" fillId="3" borderId="3" xfId="4" applyFont="1" applyFill="1" applyAlignment="1"/>
    <xf numFmtId="0" fontId="18" fillId="3" borderId="0" xfId="5" applyFont="1" applyFill="1" applyBorder="1" applyAlignment="1"/>
    <xf numFmtId="0" fontId="8" fillId="3" borderId="9" xfId="0" applyFont="1" applyFill="1" applyBorder="1" applyAlignment="1"/>
    <xf numFmtId="0" fontId="8" fillId="3" borderId="0" xfId="0" applyFont="1" applyFill="1"/>
    <xf numFmtId="0" fontId="8" fillId="3" borderId="0" xfId="0" applyFont="1" applyFill="1" applyAlignment="1">
      <alignment horizontal="left"/>
    </xf>
    <xf numFmtId="0" fontId="15" fillId="3" borderId="3" xfId="4" applyFill="1" applyAlignment="1"/>
    <xf numFmtId="15" fontId="21" fillId="0" borderId="0" xfId="0" applyNumberFormat="1" applyFont="1" applyAlignment="1">
      <alignment horizontal="left"/>
    </xf>
    <xf numFmtId="15" fontId="3" fillId="4" borderId="0" xfId="0" applyNumberFormat="1" applyFont="1" applyFill="1" applyBorder="1" applyAlignment="1">
      <alignment horizontal="left"/>
    </xf>
    <xf numFmtId="4" fontId="5" fillId="3" borderId="0" xfId="0" applyNumberFormat="1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0" fillId="3" borderId="4" xfId="0" applyFont="1" applyFill="1" applyBorder="1" applyAlignment="1">
      <alignment horizontal="center" vertical="center"/>
    </xf>
    <xf numFmtId="0" fontId="0" fillId="3" borderId="8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15" fillId="0" borderId="0" xfId="4" applyBorder="1" applyAlignment="1">
      <alignment horizontal="left"/>
    </xf>
    <xf numFmtId="0" fontId="15" fillId="0" borderId="3" xfId="4" applyAlignment="1">
      <alignment horizontal="left"/>
    </xf>
    <xf numFmtId="4" fontId="5" fillId="3" borderId="7" xfId="0" applyNumberFormat="1" applyFont="1" applyFill="1" applyBorder="1" applyAlignment="1">
      <alignment horizontal="center"/>
    </xf>
    <xf numFmtId="15" fontId="0" fillId="4" borderId="0" xfId="0" applyNumberFormat="1" applyFill="1" applyAlignment="1">
      <alignment horizontal="left"/>
    </xf>
    <xf numFmtId="15" fontId="31" fillId="8" borderId="19" xfId="0" applyNumberFormat="1" applyFont="1" applyFill="1" applyBorder="1" applyAlignment="1">
      <alignment horizontal="center" vertical="center"/>
    </xf>
    <xf numFmtId="15" fontId="31" fillId="8" borderId="22" xfId="0" applyNumberFormat="1" applyFont="1" applyFill="1" applyBorder="1" applyAlignment="1">
      <alignment horizontal="center" vertical="center"/>
    </xf>
    <xf numFmtId="15" fontId="32" fillId="7" borderId="25" xfId="0" applyNumberFormat="1" applyFont="1" applyFill="1" applyBorder="1" applyAlignment="1">
      <alignment horizontal="center" vertical="center"/>
    </xf>
    <xf numFmtId="15" fontId="32" fillId="7" borderId="28" xfId="0" applyNumberFormat="1" applyFont="1" applyFill="1" applyBorder="1" applyAlignment="1">
      <alignment horizontal="center" vertical="center"/>
    </xf>
    <xf numFmtId="167" fontId="13" fillId="0" borderId="9" xfId="5" applyNumberFormat="1" applyBorder="1" applyAlignment="1">
      <alignment horizontal="center"/>
    </xf>
    <xf numFmtId="0" fontId="6" fillId="0" borderId="0" xfId="0" applyFont="1" applyFill="1" applyAlignment="1">
      <alignment horizontal="right"/>
    </xf>
    <xf numFmtId="0" fontId="6" fillId="0" borderId="9" xfId="0" applyFont="1" applyFill="1" applyBorder="1" applyAlignment="1">
      <alignment horizontal="right"/>
    </xf>
    <xf numFmtId="0" fontId="6" fillId="0" borderId="17" xfId="0" applyFont="1" applyFill="1" applyBorder="1" applyAlignment="1">
      <alignment horizontal="right"/>
    </xf>
    <xf numFmtId="166" fontId="0" fillId="0" borderId="0" xfId="0" applyNumberFormat="1" applyAlignment="1">
      <alignment horizontal="center"/>
    </xf>
    <xf numFmtId="172" fontId="0" fillId="0" borderId="0" xfId="0" applyNumberFormat="1" applyAlignment="1">
      <alignment horizontal="center"/>
    </xf>
    <xf numFmtId="167" fontId="0" fillId="4" borderId="0" xfId="0" applyNumberFormat="1" applyFill="1" applyAlignment="1">
      <alignment horizontal="center"/>
    </xf>
    <xf numFmtId="0" fontId="4" fillId="0" borderId="0" xfId="0" applyFont="1" applyFill="1" applyAlignment="1">
      <alignment horizontal="left"/>
    </xf>
    <xf numFmtId="0" fontId="19" fillId="12" borderId="0" xfId="2" applyAlignment="1">
      <alignment horizontal="center"/>
      <protection locked="0"/>
    </xf>
    <xf numFmtId="0" fontId="0" fillId="17" borderId="0" xfId="0" applyFill="1"/>
    <xf numFmtId="0" fontId="0" fillId="17" borderId="0" xfId="0" applyFill="1" applyAlignment="1">
      <alignment horizontal="center"/>
    </xf>
  </cellXfs>
  <cellStyles count="8">
    <cellStyle name="DarkBlue" xfId="3"/>
    <cellStyle name="Good" xfId="1" builtinId="26" customBuiltin="1"/>
    <cellStyle name="Heading 1" xfId="4" builtinId="16" customBuiltin="1"/>
    <cellStyle name="Heading 3" xfId="7" builtinId="18" customBuiltin="1"/>
    <cellStyle name="Heading 4" xfId="5" builtinId="19" customBuiltin="1"/>
    <cellStyle name="Input" xfId="2" builtinId="20" customBuiltin="1"/>
    <cellStyle name="Input2" xfId="6"/>
    <cellStyle name="Normal" xfId="0" builtinId="0" customBuiltin="1"/>
  </cellStyles>
  <dxfs count="44"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2" tint="-0.749961851863155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b/>
        <i val="0"/>
        <color theme="0"/>
      </font>
      <fill>
        <patternFill>
          <bgColor theme="2" tint="-0.74996185186315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ont>
        <b/>
        <i val="0"/>
        <color theme="0"/>
      </font>
      <fill>
        <patternFill>
          <bgColor theme="6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9" defaultPivotStyle="PivotStyleLight16"/>
  <colors>
    <mruColors>
      <color rgb="FFFF0000"/>
      <color rgb="FF0000FF"/>
      <color rgb="FFEAEDC1"/>
      <color rgb="FFE7EAC4"/>
      <color rgb="FFFFFF00"/>
      <color rgb="FFFFFF66"/>
      <color rgb="FFEDF1BD"/>
      <color rgb="FFECE97D"/>
      <color rgb="FF344A56"/>
      <color rgb="FFFFDC6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tx>
        <c:rich>
          <a:bodyPr/>
          <a:lstStyle/>
          <a:p>
            <a:pPr>
              <a:defRPr/>
            </a:pPr>
            <a:r>
              <a:rPr lang="en-AU"/>
              <a:t>Swap</a:t>
            </a:r>
            <a:r>
              <a:rPr lang="en-AU" baseline="0"/>
              <a:t> Rates</a:t>
            </a:r>
            <a:endParaRPr lang="en-AU"/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TBL!$AI$7</c:f>
              <c:strCache>
                <c:ptCount val="1"/>
                <c:pt idx="0">
                  <c:v>2B</c:v>
                </c:pt>
              </c:strCache>
            </c:strRef>
          </c:tx>
          <c:marker>
            <c:symbol val="circle"/>
            <c:size val="5"/>
          </c:marker>
          <c:xVal>
            <c:numRef>
              <c:f>TBL!$AE$25:$AE$39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15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</c:numCache>
            </c:numRef>
          </c:xVal>
          <c:yVal>
            <c:numRef>
              <c:f>TBL!$AI$8:$AI$22</c:f>
              <c:numCache>
                <c:formatCode>#,##0.000</c:formatCode>
                <c:ptCount val="15"/>
                <c:pt idx="0">
                  <c:v>1.9856981794338873</c:v>
                </c:pt>
                <c:pt idx="1">
                  <c:v>2.3121675427797115</c:v>
                </c:pt>
                <c:pt idx="2">
                  <c:v>2.5502111856828917</c:v>
                </c:pt>
                <c:pt idx="3">
                  <c:v>2.8721895603847076</c:v>
                </c:pt>
                <c:pt idx="4">
                  <c:v>3.0382322614361224</c:v>
                </c:pt>
                <c:pt idx="5">
                  <c:v>3.1771650981394535</c:v>
                </c:pt>
                <c:pt idx="6">
                  <c:v>3.2931184492091514</c:v>
                </c:pt>
                <c:pt idx="7">
                  <c:v>3.387010816901697</c:v>
                </c:pt>
                <c:pt idx="8">
                  <c:v>3.4709549095416308</c:v>
                </c:pt>
                <c:pt idx="9">
                  <c:v>3.5448633235043525</c:v>
                </c:pt>
                <c:pt idx="10">
                  <c:v>3.6856775980843284</c:v>
                </c:pt>
                <c:pt idx="11">
                  <c:v>3.8364437203831701</c:v>
                </c:pt>
                <c:pt idx="12">
                  <c:v>3.9091409222379156</c:v>
                </c:pt>
                <c:pt idx="13">
                  <c:v>3.8574545604948018</c:v>
                </c:pt>
                <c:pt idx="14">
                  <c:v>3.762784811036596</c:v>
                </c:pt>
              </c:numCache>
            </c:numRef>
          </c:yVal>
        </c:ser>
        <c:axId val="158729344"/>
        <c:axId val="158730880"/>
      </c:scatterChart>
      <c:valAx>
        <c:axId val="158729344"/>
        <c:scaling>
          <c:orientation val="minMax"/>
          <c:max val="30"/>
        </c:scaling>
        <c:axPos val="b"/>
        <c:numFmt formatCode="General" sourceLinked="1"/>
        <c:tickLblPos val="nextTo"/>
        <c:txPr>
          <a:bodyPr/>
          <a:lstStyle/>
          <a:p>
            <a:pPr>
              <a:defRPr>
                <a:solidFill>
                  <a:schemeClr val="tx1">
                    <a:lumMod val="50000"/>
                    <a:lumOff val="50000"/>
                  </a:schemeClr>
                </a:solidFill>
              </a:defRPr>
            </a:pPr>
            <a:endParaRPr lang="en-US"/>
          </a:p>
        </c:txPr>
        <c:crossAx val="158730880"/>
        <c:crosses val="autoZero"/>
        <c:crossBetween val="midCat"/>
      </c:valAx>
      <c:valAx>
        <c:axId val="158730880"/>
        <c:scaling>
          <c:orientation val="minMax"/>
        </c:scaling>
        <c:axPos val="l"/>
        <c:majorGridlines/>
        <c:numFmt formatCode="#,##0.000" sourceLinked="1"/>
        <c:tickLblPos val="nextTo"/>
        <c:txPr>
          <a:bodyPr/>
          <a:lstStyle/>
          <a:p>
            <a:pPr>
              <a:defRPr>
                <a:solidFill>
                  <a:schemeClr val="tx1">
                    <a:lumMod val="50000"/>
                    <a:lumOff val="50000"/>
                  </a:schemeClr>
                </a:solidFill>
              </a:defRPr>
            </a:pPr>
            <a:endParaRPr lang="en-US"/>
          </a:p>
        </c:txPr>
        <c:crossAx val="158729344"/>
        <c:crosses val="autoZero"/>
        <c:crossBetween val="midCat"/>
      </c:valAx>
    </c:plotArea>
    <c:legend>
      <c:legendPos val="r"/>
      <c:layout/>
    </c:legend>
    <c:plotVisOnly val="1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19051</xdr:colOff>
      <xdr:row>43</xdr:row>
      <xdr:rowOff>152400</xdr:rowOff>
    </xdr:from>
    <xdr:to>
      <xdr:col>31</xdr:col>
      <xdr:colOff>27782</xdr:colOff>
      <xdr:row>46</xdr:row>
      <xdr:rowOff>19844</xdr:rowOff>
    </xdr:to>
    <xdr:cxnSp macro="">
      <xdr:nvCxnSpPr>
        <xdr:cNvPr id="3" name="Straight Arrow Connector 2"/>
        <xdr:cNvCxnSpPr/>
      </xdr:nvCxnSpPr>
      <xdr:spPr>
        <a:xfrm rot="16200000" flipV="1">
          <a:off x="10095707" y="7287419"/>
          <a:ext cx="353219" cy="8731"/>
        </a:xfrm>
        <a:prstGeom prst="straightConnector1">
          <a:avLst/>
        </a:prstGeom>
        <a:ln>
          <a:tailEnd type="arrow"/>
        </a:ln>
      </xdr:spPr>
      <xdr:style>
        <a:lnRef idx="3">
          <a:schemeClr val="accent3"/>
        </a:lnRef>
        <a:fillRef idx="0">
          <a:schemeClr val="accent3"/>
        </a:fillRef>
        <a:effectRef idx="2">
          <a:schemeClr val="accent3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180974</xdr:colOff>
      <xdr:row>11</xdr:row>
      <xdr:rowOff>38100</xdr:rowOff>
    </xdr:from>
    <xdr:to>
      <xdr:col>26</xdr:col>
      <xdr:colOff>104774</xdr:colOff>
      <xdr:row>39</xdr:row>
      <xdr:rowOff>114300</xdr:rowOff>
    </xdr:to>
    <xdr:sp macro="" textlink="">
      <xdr:nvSpPr>
        <xdr:cNvPr id="4" name="HelpFRM" hidden="1"/>
        <xdr:cNvSpPr txBox="1"/>
      </xdr:nvSpPr>
      <xdr:spPr>
        <a:xfrm>
          <a:off x="2466974" y="2143125"/>
          <a:ext cx="5400675" cy="4610100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Forward Rate Mismatch (FRM)</a:t>
          </a:r>
        </a:p>
        <a:p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is the situation that arises during a rate-set on the floating leg of a swap where the published LIBOR/BBSW rate which is meant to be applied to a specific period, is actually applied to a slightly different period, as illustrated in the following example:</a:t>
          </a: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A swap's floating leg rolls on the 15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of each quarter.  Due to a weekend, one of the roll dates is pushed forward to the 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creating a slightly shorter roll (17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to 15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).   When this roll comes up for rate set, the 3 month LIBOR print is applied, but the print itself is meant to be applied to the period 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to 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.   There is a mismatch between the </a:t>
          </a:r>
          <a:r>
            <a:rPr lang="en-AU" sz="1100" u="sng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forward rate period and the forward roll period.</a:t>
          </a: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There are three known </a:t>
          </a:r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Forward Rate Methods to deal with this situation:</a:t>
          </a: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"ON"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 Project the 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-to-17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forward rate and apply it to the 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-to-15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period.  This mimics reality and is the most accurate method, though much slower to calculate</a:t>
          </a: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"OFF"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Project the 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-to-15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forward rate and apply it to the 17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-to-15</a:t>
          </a:r>
          <a:r>
            <a:rPr lang="en-AU" sz="1100" baseline="30000" smtClean="0">
              <a:solidFill>
                <a:schemeClr val="dk1"/>
              </a:solidFill>
              <a:latin typeface="+mn-lt"/>
              <a:ea typeface="+mn-ea"/>
              <a:cs typeface="+mn-cs"/>
            </a:rPr>
            <a:t>th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period.  This leads to small inaccuracies (usually less than 0.3 basis points) but is significantly faster to calculate</a:t>
          </a:r>
        </a:p>
        <a:p>
          <a:pPr lvl="1"/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"CALYPSO"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S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ame as 1) above, except the forward rate period does not respect end-of-month rule, yet the accrual period does respect end-of-month rule.   This method is not generally regarded as market practice, but is provided as an option here for calypso reconciliation purposes</a:t>
          </a:r>
        </a:p>
        <a:p>
          <a:pPr lvl="1"/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lvl="1"/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5</xdr:col>
      <xdr:colOff>638174</xdr:colOff>
      <xdr:row>13</xdr:row>
      <xdr:rowOff>133350</xdr:rowOff>
    </xdr:from>
    <xdr:to>
      <xdr:col>59</xdr:col>
      <xdr:colOff>47624</xdr:colOff>
      <xdr:row>25</xdr:row>
      <xdr:rowOff>142875</xdr:rowOff>
    </xdr:to>
    <xdr:sp macro="" textlink="">
      <xdr:nvSpPr>
        <xdr:cNvPr id="5" name="HelpBusDayAdj" hidden="1"/>
        <xdr:cNvSpPr txBox="1"/>
      </xdr:nvSpPr>
      <xdr:spPr>
        <a:xfrm>
          <a:off x="2924174" y="2562225"/>
          <a:ext cx="5400675" cy="1952625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Business Day Adjustment</a:t>
          </a:r>
        </a:p>
        <a:p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Determines how to adjust a bad business day to a good business day</a:t>
          </a:r>
          <a:endParaRPr lang="en-AU" sz="1100" b="1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M	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Modified Following  or "Forward In Month"</a:t>
          </a: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F	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Following </a:t>
          </a: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P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Previous or Preceding</a:t>
          </a: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N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None   ie: Do not adjust to a good business day</a:t>
          </a: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MS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Modified Succeeding   (do not cross the 15th of the month)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MP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Modified Preceding  (do not cross the 1st of the month)</a:t>
          </a:r>
        </a:p>
      </xdr:txBody>
    </xdr:sp>
    <xdr:clientData/>
  </xdr:twoCellAnchor>
  <xdr:twoCellAnchor editAs="oneCell">
    <xdr:from>
      <xdr:col>4</xdr:col>
      <xdr:colOff>161924</xdr:colOff>
      <xdr:row>19</xdr:row>
      <xdr:rowOff>123826</xdr:rowOff>
    </xdr:from>
    <xdr:to>
      <xdr:col>26</xdr:col>
      <xdr:colOff>47625</xdr:colOff>
      <xdr:row>28</xdr:row>
      <xdr:rowOff>133351</xdr:rowOff>
    </xdr:to>
    <xdr:sp macro="" textlink="">
      <xdr:nvSpPr>
        <xdr:cNvPr id="6" name="HelpEOM" hidden="1"/>
        <xdr:cNvSpPr txBox="1"/>
      </xdr:nvSpPr>
      <xdr:spPr>
        <a:xfrm>
          <a:off x="2266949" y="3848101"/>
          <a:ext cx="5610226" cy="1466850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End Of Month (EOM) Rule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 example:  If a quarterly swap matures on June 30th (which is end of month)</a:t>
          </a:r>
          <a:endParaRPr lang="en-AU" sz="1100" b="1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TRUE	</a:t>
          </a:r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Roll dates will respect EOM, ie:  They will roll 31Mar, 30Jun, 30Sep, 31Dec</a:t>
          </a:r>
        </a:p>
        <a:p>
          <a:endParaRPr lang="en-AU" sz="1100" b="1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FALSE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Roll dates ignore EOM, ie:  They will roll 30Mar, 30Jun, 30Sep, 30Dec</a:t>
          </a:r>
        </a:p>
      </xdr:txBody>
    </xdr:sp>
    <xdr:clientData/>
  </xdr:twoCellAnchor>
  <xdr:twoCellAnchor editAs="oneCell">
    <xdr:from>
      <xdr:col>4</xdr:col>
      <xdr:colOff>161924</xdr:colOff>
      <xdr:row>8</xdr:row>
      <xdr:rowOff>38100</xdr:rowOff>
    </xdr:from>
    <xdr:to>
      <xdr:col>19</xdr:col>
      <xdr:colOff>9525</xdr:colOff>
      <xdr:row>14</xdr:row>
      <xdr:rowOff>85726</xdr:rowOff>
    </xdr:to>
    <xdr:sp macro="" textlink="">
      <xdr:nvSpPr>
        <xdr:cNvPr id="8" name="HelpFaceInput" hidden="1"/>
        <xdr:cNvSpPr txBox="1"/>
      </xdr:nvSpPr>
      <xdr:spPr>
        <a:xfrm>
          <a:off x="2200274" y="1333500"/>
          <a:ext cx="2781301" cy="1019176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Face Amount in</a:t>
          </a:r>
          <a:r>
            <a:rPr lang="en-AU" sz="1400" b="1" baseline="0"/>
            <a:t> millions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 example:   Enter  5 to mean receive 5million fixed (pay floating),  or enter -5 to mean pay 5million fixed (receive floating)</a:t>
          </a: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5</xdr:col>
      <xdr:colOff>180974</xdr:colOff>
      <xdr:row>24</xdr:row>
      <xdr:rowOff>123825</xdr:rowOff>
    </xdr:from>
    <xdr:to>
      <xdr:col>26</xdr:col>
      <xdr:colOff>314325</xdr:colOff>
      <xdr:row>39</xdr:row>
      <xdr:rowOff>9525</xdr:rowOff>
    </xdr:to>
    <xdr:sp macro="" textlink="">
      <xdr:nvSpPr>
        <xdr:cNvPr id="10" name="HelpInterpTrigger" hidden="1"/>
        <xdr:cNvSpPr txBox="1"/>
      </xdr:nvSpPr>
      <xdr:spPr>
        <a:xfrm>
          <a:off x="2466974" y="4171950"/>
          <a:ext cx="5610226" cy="2314575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Interpolation Trigger in days </a:t>
          </a:r>
          <a:r>
            <a:rPr lang="en-AU" sz="1400" b="1" baseline="0"/>
            <a:t>         </a:t>
          </a:r>
          <a:r>
            <a:rPr lang="en-AU" sz="1100" b="0" baseline="0" smtClean="0">
              <a:solidFill>
                <a:srgbClr val="FF0000"/>
              </a:solidFill>
              <a:latin typeface="+mn-lt"/>
              <a:ea typeface="+mn-ea"/>
              <a:cs typeface="+mn-cs"/>
            </a:rPr>
            <a:t>You should not need to change this parameter</a:t>
          </a:r>
        </a:p>
        <a:p>
          <a:endParaRPr lang="en-AU" sz="5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FLOATING LEG:  This determines at what point interpolation is applied between various projection curves.</a:t>
          </a: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Example:  For a short stub of (say) 30 days we clearly use the 1M projection curve.   What about a short stub of 45 days?  Clearly we would need to interpolate between a 1M and 3M curve.</a:t>
          </a: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With an interpolation trigger of 7 days , interpolation is applied if a roll period is more than 7 days from 30, 90 and 180 days.   Ie:  A roll of 36 days is still considered a 1M roll. But a roll of 38 days will be interpolated between 1M and 3M projection curves</a:t>
          </a: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123824</xdr:colOff>
      <xdr:row>19</xdr:row>
      <xdr:rowOff>95250</xdr:rowOff>
    </xdr:from>
    <xdr:to>
      <xdr:col>23</xdr:col>
      <xdr:colOff>133350</xdr:colOff>
      <xdr:row>28</xdr:row>
      <xdr:rowOff>76200</xdr:rowOff>
    </xdr:to>
    <xdr:sp macro="" textlink="">
      <xdr:nvSpPr>
        <xdr:cNvPr id="11" name="HelpStubs" hidden="1"/>
        <xdr:cNvSpPr txBox="1"/>
      </xdr:nvSpPr>
      <xdr:spPr>
        <a:xfrm>
          <a:off x="3305174" y="3495675"/>
          <a:ext cx="3562351" cy="1438275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Stub</a:t>
          </a:r>
          <a:r>
            <a:rPr lang="en-AU" sz="1400" b="1" baseline="0"/>
            <a:t> Rules</a:t>
          </a: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S/S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Short front and Short end stubs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L/S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Short front and Long end stubs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S/L	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Short front and Long end stubs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L/L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Long front and Long end stubs</a:t>
          </a:r>
        </a:p>
      </xdr:txBody>
    </xdr:sp>
    <xdr:clientData/>
  </xdr:twoCellAnchor>
  <xdr:twoCellAnchor editAs="oneCell">
    <xdr:from>
      <xdr:col>6</xdr:col>
      <xdr:colOff>133349</xdr:colOff>
      <xdr:row>12</xdr:row>
      <xdr:rowOff>95249</xdr:rowOff>
    </xdr:from>
    <xdr:to>
      <xdr:col>23</xdr:col>
      <xdr:colOff>85725</xdr:colOff>
      <xdr:row>25</xdr:row>
      <xdr:rowOff>47625</xdr:rowOff>
    </xdr:to>
    <xdr:sp macro="" textlink="">
      <xdr:nvSpPr>
        <xdr:cNvPr id="12" name="HelpRollAnniv" hidden="1"/>
        <xdr:cNvSpPr txBox="1"/>
      </xdr:nvSpPr>
      <xdr:spPr>
        <a:xfrm>
          <a:off x="3067049" y="2362199"/>
          <a:ext cx="3752851" cy="2057401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Roll Anniversary</a:t>
          </a:r>
          <a:endParaRPr lang="en-AU" sz="1400" b="1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Use this input if you want roll dates to be generated from a reference date other than maturity date.   This may cause stub periods at both front and back.  </a:t>
          </a:r>
          <a:r>
            <a:rPr lang="en-AU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Use the </a:t>
          </a:r>
          <a:r>
            <a:rPr lang="en-AU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Stubs</a:t>
          </a:r>
          <a:r>
            <a:rPr lang="en-AU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settings to control whether these should be short or long stubs</a:t>
          </a:r>
          <a:endParaRPr lang="en-AU"/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Example:  Enter  "13-9" to force roll dates to roll on 13th September anniversaries.</a:t>
          </a:r>
        </a:p>
      </xdr:txBody>
    </xdr:sp>
    <xdr:clientData/>
  </xdr:twoCellAnchor>
  <xdr:twoCellAnchor editAs="oneCell">
    <xdr:from>
      <xdr:col>24</xdr:col>
      <xdr:colOff>352424</xdr:colOff>
      <xdr:row>7</xdr:row>
      <xdr:rowOff>114300</xdr:rowOff>
    </xdr:from>
    <xdr:to>
      <xdr:col>63</xdr:col>
      <xdr:colOff>409575</xdr:colOff>
      <xdr:row>13</xdr:row>
      <xdr:rowOff>38100</xdr:rowOff>
    </xdr:to>
    <xdr:sp macro="" textlink="">
      <xdr:nvSpPr>
        <xdr:cNvPr id="7" name="HelpDesiredNPV" hidden="1"/>
        <xdr:cNvSpPr txBox="1"/>
      </xdr:nvSpPr>
      <xdr:spPr>
        <a:xfrm>
          <a:off x="8696324" y="1247775"/>
          <a:ext cx="2781301" cy="895350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Desired NPV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Enter a dollar amount (eg: "1000") or a basis point amount  (eg:  "3bp")</a:t>
          </a:r>
        </a:p>
      </xdr:txBody>
    </xdr:sp>
    <xdr:clientData/>
  </xdr:twoCellAnchor>
  <xdr:twoCellAnchor editAs="oneCell">
    <xdr:from>
      <xdr:col>6</xdr:col>
      <xdr:colOff>66675</xdr:colOff>
      <xdr:row>13</xdr:row>
      <xdr:rowOff>0</xdr:rowOff>
    </xdr:from>
    <xdr:to>
      <xdr:col>23</xdr:col>
      <xdr:colOff>619126</xdr:colOff>
      <xdr:row>23</xdr:row>
      <xdr:rowOff>133350</xdr:rowOff>
    </xdr:to>
    <xdr:sp macro="" textlink="">
      <xdr:nvSpPr>
        <xdr:cNvPr id="19" name="HelpStartInput" hidden="1"/>
        <xdr:cNvSpPr txBox="1"/>
      </xdr:nvSpPr>
      <xdr:spPr>
        <a:xfrm>
          <a:off x="3000375" y="2428875"/>
          <a:ext cx="4352926" cy="1752600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Swap</a:t>
          </a:r>
          <a:r>
            <a:rPr lang="en-AU" sz="1400" b="1" baseline="0"/>
            <a:t> Start</a:t>
          </a:r>
          <a:endParaRPr lang="en-AU" sz="1400" b="1"/>
        </a:p>
        <a:p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Enter a specific start date (eg: 13-9-2013 for 13th Sept. 2013),  or enter a period from today to start, examples:</a:t>
          </a:r>
          <a:endParaRPr lang="en-AU" sz="1100" b="1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1b	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1 business day.   This is typical for AUD swaps</a:t>
          </a:r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0d	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0 calendar days.  This is typical for GBP swaps</a:t>
          </a: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1M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Forward start out of 1 month</a:t>
          </a:r>
        </a:p>
        <a:p>
          <a:r>
            <a:rPr lang="en-AU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2Y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Forward start out of 2 years</a:t>
          </a:r>
        </a:p>
      </xdr:txBody>
    </xdr:sp>
    <xdr:clientData/>
  </xdr:twoCellAnchor>
  <xdr:twoCellAnchor editAs="oneCell">
    <xdr:from>
      <xdr:col>6</xdr:col>
      <xdr:colOff>66675</xdr:colOff>
      <xdr:row>13</xdr:row>
      <xdr:rowOff>152400</xdr:rowOff>
    </xdr:from>
    <xdr:to>
      <xdr:col>23</xdr:col>
      <xdr:colOff>619126</xdr:colOff>
      <xdr:row>24</xdr:row>
      <xdr:rowOff>123825</xdr:rowOff>
    </xdr:to>
    <xdr:sp macro="" textlink="">
      <xdr:nvSpPr>
        <xdr:cNvPr id="20" name="HelpEndInput" hidden="1"/>
        <xdr:cNvSpPr txBox="1"/>
      </xdr:nvSpPr>
      <xdr:spPr>
        <a:xfrm>
          <a:off x="3000375" y="2581275"/>
          <a:ext cx="4352926" cy="1752600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Swap</a:t>
          </a:r>
          <a:r>
            <a:rPr lang="en-AU" sz="1400" b="1" baseline="0"/>
            <a:t> End / Length</a:t>
          </a:r>
          <a:endParaRPr lang="en-AU" sz="1400" b="1"/>
        </a:p>
        <a:p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Enter a specific maturity date (do not adjust for weekends/holidays) OR the length of the swaps as period</a:t>
          </a:r>
        </a:p>
        <a:p>
          <a:endParaRPr lang="en-AU" sz="110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EXAMPLES: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15-Aug-2020	Swap will nominally mature on 15th August 2020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12Y	Swap will mature 12 years after start date</a:t>
          </a:r>
        </a:p>
      </xdr:txBody>
    </xdr:sp>
    <xdr:clientData/>
  </xdr:twoCellAnchor>
  <xdr:twoCellAnchor editAs="oneCell">
    <xdr:from>
      <xdr:col>5</xdr:col>
      <xdr:colOff>133349</xdr:colOff>
      <xdr:row>4</xdr:row>
      <xdr:rowOff>28574</xdr:rowOff>
    </xdr:from>
    <xdr:to>
      <xdr:col>20</xdr:col>
      <xdr:colOff>533400</xdr:colOff>
      <xdr:row>18</xdr:row>
      <xdr:rowOff>133350</xdr:rowOff>
    </xdr:to>
    <xdr:sp macro="" textlink="">
      <xdr:nvSpPr>
        <xdr:cNvPr id="22" name="HelpDiscounting" hidden="1"/>
        <xdr:cNvSpPr txBox="1"/>
      </xdr:nvSpPr>
      <xdr:spPr>
        <a:xfrm>
          <a:off x="2486024" y="676274"/>
          <a:ext cx="3648076" cy="2371726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Discounting</a:t>
          </a:r>
          <a:endParaRPr lang="en-AU" sz="1400" b="1" baseline="0"/>
        </a:p>
        <a:p>
          <a:r>
            <a:rPr lang="en-AU" sz="1100" b="0" baseline="0" smtClean="0">
              <a:solidFill>
                <a:srgbClr val="FF0000"/>
              </a:solidFill>
              <a:latin typeface="+mn-lt"/>
              <a:ea typeface="+mn-ea"/>
              <a:cs typeface="+mn-cs"/>
            </a:rPr>
            <a:t>The facility is not yet operational and exists here as a placeholder for the future.  All discounting is ZERO BANK which is the current approved revalatuion method</a:t>
          </a:r>
        </a:p>
        <a:p>
          <a:endParaRPr lang="en-AU" sz="1100" b="0" baseline="0" smtClean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Zero Bank	Conventional NAB revaluation method</a:t>
          </a:r>
        </a:p>
        <a:p>
          <a:r>
            <a:rPr lang="en-AU" sz="1100" b="0" baseline="0" smtClean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Local OIS	Local currency collateralisation</a:t>
          </a:r>
        </a:p>
        <a:p>
          <a:r>
            <a:rPr lang="en-AU" sz="1100" b="0" baseline="0" smtClean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Fed Funds	USD  collateralisation</a:t>
          </a:r>
        </a:p>
        <a:p>
          <a:r>
            <a:rPr lang="en-AU" sz="1100" b="0" baseline="0" smtClean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EONIA	EUR collateralisation</a:t>
          </a:r>
        </a:p>
        <a:p>
          <a:r>
            <a:rPr lang="en-AU" sz="1100" b="0" baseline="0" smtClean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SONIA	GBP collateralisation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NAB COF	NAB cost of funds (AUD)</a:t>
          </a:r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AU" sz="1100" b="0" baseline="0" smtClean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15</xdr:col>
      <xdr:colOff>0</xdr:colOff>
      <xdr:row>18</xdr:row>
      <xdr:rowOff>38100</xdr:rowOff>
    </xdr:from>
    <xdr:to>
      <xdr:col>23</xdr:col>
      <xdr:colOff>257176</xdr:colOff>
      <xdr:row>33</xdr:row>
      <xdr:rowOff>85725</xdr:rowOff>
    </xdr:to>
    <xdr:sp macro="" textlink="">
      <xdr:nvSpPr>
        <xdr:cNvPr id="16" name="HelpHolidayOverride" hidden="1"/>
        <xdr:cNvSpPr txBox="1"/>
      </xdr:nvSpPr>
      <xdr:spPr>
        <a:xfrm>
          <a:off x="3495675" y="2952750"/>
          <a:ext cx="3562351" cy="2476500"/>
        </a:xfrm>
        <a:prstGeom prst="rect">
          <a:avLst/>
        </a:prstGeom>
        <a:solidFill>
          <a:schemeClr val="bg1">
            <a:lumMod val="85000"/>
          </a:schemeClr>
        </a:solidFill>
        <a:ln w="0" cmpd="sng">
          <a:noFill/>
        </a:ln>
        <a:effectLst>
          <a:outerShdw blurRad="190500" dist="889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0"/>
          </a:lightRig>
        </a:scene3d>
        <a:sp3d>
          <a:bevelT w="127000" h="127000"/>
          <a:bevelB w="127000" h="127000"/>
          <a:contourClr>
            <a:schemeClr val="tx1">
              <a:lumMod val="50000"/>
              <a:lumOff val="5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AU" sz="500" b="1"/>
        </a:p>
        <a:p>
          <a:r>
            <a:rPr lang="en-AU" sz="1400" b="1"/>
            <a:t>Holiday</a:t>
          </a:r>
          <a:r>
            <a:rPr lang="en-AU" sz="1400" b="1" baseline="0"/>
            <a:t> Override</a:t>
          </a:r>
        </a:p>
        <a:p>
          <a:r>
            <a:rPr lang="en-AU" sz="1100" b="0" baseline="0" smtClean="0">
              <a:solidFill>
                <a:srgbClr val="FF0000"/>
              </a:solidFill>
              <a:latin typeface="+mn-lt"/>
              <a:ea typeface="+mn-ea"/>
              <a:cs typeface="+mn-cs"/>
            </a:rPr>
            <a:t>Leave this blank to automatically use default holidays for the currency.  Currencies are assigned to capital cities as shown on the HOL worksheet tab</a:t>
          </a: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You can use specific holiday codes for cities and/or currencies.  These codes are visible on the sheet tab HOL</a:t>
          </a:r>
        </a:p>
        <a:p>
          <a:endParaRPr lang="en-AU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Some examples: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SYD  or  AUD	Sydney holidays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SYD+PER	Sydney and Perth holidays</a:t>
          </a:r>
        </a:p>
        <a:p>
          <a:r>
            <a:rPr lang="en-AU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PER	Perth holidays only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399653</xdr:colOff>
      <xdr:row>15</xdr:row>
      <xdr:rowOff>66675</xdr:rowOff>
    </xdr:from>
    <xdr:to>
      <xdr:col>42</xdr:col>
      <xdr:colOff>401241</xdr:colOff>
      <xdr:row>16</xdr:row>
      <xdr:rowOff>114300</xdr:rowOff>
    </xdr:to>
    <xdr:cxnSp macro="">
      <xdr:nvCxnSpPr>
        <xdr:cNvPr id="4" name="Straight Arrow Connector 3"/>
        <xdr:cNvCxnSpPr/>
      </xdr:nvCxnSpPr>
      <xdr:spPr>
        <a:xfrm rot="5400000">
          <a:off x="12706747" y="2599531"/>
          <a:ext cx="2095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400050</xdr:colOff>
      <xdr:row>15</xdr:row>
      <xdr:rowOff>66675</xdr:rowOff>
    </xdr:from>
    <xdr:to>
      <xdr:col>43</xdr:col>
      <xdr:colOff>401638</xdr:colOff>
      <xdr:row>16</xdr:row>
      <xdr:rowOff>114300</xdr:rowOff>
    </xdr:to>
    <xdr:cxnSp macro="">
      <xdr:nvCxnSpPr>
        <xdr:cNvPr id="5" name="Straight Arrow Connector 4"/>
        <xdr:cNvCxnSpPr/>
      </xdr:nvCxnSpPr>
      <xdr:spPr>
        <a:xfrm rot="5400000">
          <a:off x="13488194" y="2599531"/>
          <a:ext cx="2095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428228</xdr:colOff>
      <xdr:row>15</xdr:row>
      <xdr:rowOff>66675</xdr:rowOff>
    </xdr:from>
    <xdr:to>
      <xdr:col>76</xdr:col>
      <xdr:colOff>429816</xdr:colOff>
      <xdr:row>16</xdr:row>
      <xdr:rowOff>114300</xdr:rowOff>
    </xdr:to>
    <xdr:cxnSp macro="">
      <xdr:nvCxnSpPr>
        <xdr:cNvPr id="12" name="Straight Arrow Connector 11"/>
        <xdr:cNvCxnSpPr/>
      </xdr:nvCxnSpPr>
      <xdr:spPr>
        <a:xfrm rot="5400000">
          <a:off x="9687322" y="2523331"/>
          <a:ext cx="2095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447675</xdr:colOff>
      <xdr:row>15</xdr:row>
      <xdr:rowOff>66675</xdr:rowOff>
    </xdr:from>
    <xdr:to>
      <xdr:col>77</xdr:col>
      <xdr:colOff>449263</xdr:colOff>
      <xdr:row>16</xdr:row>
      <xdr:rowOff>114300</xdr:rowOff>
    </xdr:to>
    <xdr:cxnSp macro="">
      <xdr:nvCxnSpPr>
        <xdr:cNvPr id="13" name="Straight Arrow Connector 12"/>
        <xdr:cNvCxnSpPr/>
      </xdr:nvCxnSpPr>
      <xdr:spPr>
        <a:xfrm rot="5400000">
          <a:off x="10487819" y="2523331"/>
          <a:ext cx="2095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250609</xdr:colOff>
      <xdr:row>6</xdr:row>
      <xdr:rowOff>34879</xdr:rowOff>
    </xdr:from>
    <xdr:to>
      <xdr:col>48</xdr:col>
      <xdr:colOff>561250</xdr:colOff>
      <xdr:row>6</xdr:row>
      <xdr:rowOff>151040</xdr:rowOff>
    </xdr:to>
    <xdr:sp macro="[0]!shtSTR.SolveTotal" textlink="">
      <xdr:nvSpPr>
        <xdr:cNvPr id="18" name="Rounded Rectangle 17"/>
        <xdr:cNvSpPr>
          <a:spLocks/>
        </xdr:cNvSpPr>
      </xdr:nvSpPr>
      <xdr:spPr>
        <a:xfrm>
          <a:off x="6403759" y="1006429"/>
          <a:ext cx="310641" cy="116161"/>
        </a:xfrm>
        <a:prstGeom prst="roundRect">
          <a:avLst/>
        </a:prstGeom>
        <a:ln w="3175">
          <a:solidFill>
            <a:schemeClr val="bg1">
              <a:lumMod val="75000"/>
            </a:schemeClr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lIns="0" tIns="0" rIns="0" bIns="0" rtlCol="0" anchor="ctr"/>
        <a:lstStyle/>
        <a:p>
          <a:pPr algn="ctr"/>
          <a:r>
            <a:rPr lang="en-AU" sz="800"/>
            <a:t>Solve</a:t>
          </a:r>
        </a:p>
      </xdr:txBody>
    </xdr:sp>
    <xdr:clientData/>
  </xdr:twoCellAnchor>
  <xdr:twoCellAnchor>
    <xdr:from>
      <xdr:col>48</xdr:col>
      <xdr:colOff>247652</xdr:colOff>
      <xdr:row>5</xdr:row>
      <xdr:rowOff>17204</xdr:rowOff>
    </xdr:from>
    <xdr:to>
      <xdr:col>48</xdr:col>
      <xdr:colOff>558293</xdr:colOff>
      <xdr:row>5</xdr:row>
      <xdr:rowOff>133596</xdr:rowOff>
    </xdr:to>
    <xdr:sp macro="[0]!shtSTR.SolveLeg2" textlink="">
      <xdr:nvSpPr>
        <xdr:cNvPr id="19" name="Rounded Rectangle 18"/>
        <xdr:cNvSpPr>
          <a:spLocks/>
        </xdr:cNvSpPr>
      </xdr:nvSpPr>
      <xdr:spPr>
        <a:xfrm>
          <a:off x="6400802" y="826829"/>
          <a:ext cx="310641" cy="116392"/>
        </a:xfrm>
        <a:prstGeom prst="roundRect">
          <a:avLst/>
        </a:prstGeom>
        <a:ln w="3175">
          <a:solidFill>
            <a:schemeClr val="bg1">
              <a:lumMod val="75000"/>
            </a:schemeClr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lIns="0" tIns="0" rIns="0" bIns="0" rtlCol="0" anchor="ctr"/>
        <a:lstStyle/>
        <a:p>
          <a:pPr algn="ctr"/>
          <a:r>
            <a:rPr lang="en-AU" sz="800"/>
            <a:t>Solve</a:t>
          </a:r>
        </a:p>
      </xdr:txBody>
    </xdr:sp>
    <xdr:clientData/>
  </xdr:twoCellAnchor>
  <xdr:twoCellAnchor>
    <xdr:from>
      <xdr:col>48</xdr:col>
      <xdr:colOff>247652</xdr:colOff>
      <xdr:row>4</xdr:row>
      <xdr:rowOff>28104</xdr:rowOff>
    </xdr:from>
    <xdr:to>
      <xdr:col>48</xdr:col>
      <xdr:colOff>558293</xdr:colOff>
      <xdr:row>4</xdr:row>
      <xdr:rowOff>144496</xdr:rowOff>
    </xdr:to>
    <xdr:sp macro="[0]!shtSTR.SolveLeg1" textlink="">
      <xdr:nvSpPr>
        <xdr:cNvPr id="20" name="Rounded Rectangle 19"/>
        <xdr:cNvSpPr>
          <a:spLocks/>
        </xdr:cNvSpPr>
      </xdr:nvSpPr>
      <xdr:spPr>
        <a:xfrm>
          <a:off x="6400802" y="675804"/>
          <a:ext cx="310641" cy="116392"/>
        </a:xfrm>
        <a:prstGeom prst="roundRect">
          <a:avLst/>
        </a:prstGeom>
        <a:ln w="3175">
          <a:solidFill>
            <a:schemeClr val="bg1">
              <a:lumMod val="75000"/>
            </a:schemeClr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lIns="0" tIns="0" rIns="0" bIns="0" rtlCol="0" anchor="ctr"/>
        <a:lstStyle/>
        <a:p>
          <a:pPr algn="ctr"/>
          <a:r>
            <a:rPr lang="en-AU" sz="800"/>
            <a:t>Solve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133349</xdr:colOff>
      <xdr:row>23</xdr:row>
      <xdr:rowOff>28575</xdr:rowOff>
    </xdr:from>
    <xdr:to>
      <xdr:col>44</xdr:col>
      <xdr:colOff>76199</xdr:colOff>
      <xdr:row>42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64</xdr:col>
      <xdr:colOff>237331</xdr:colOff>
      <xdr:row>11</xdr:row>
      <xdr:rowOff>57944</xdr:rowOff>
    </xdr:from>
    <xdr:to>
      <xdr:col>64</xdr:col>
      <xdr:colOff>238919</xdr:colOff>
      <xdr:row>13</xdr:row>
      <xdr:rowOff>115094</xdr:rowOff>
    </xdr:to>
    <xdr:cxnSp macro="">
      <xdr:nvCxnSpPr>
        <xdr:cNvPr id="5" name="Straight Arrow Connector 4"/>
        <xdr:cNvCxnSpPr/>
      </xdr:nvCxnSpPr>
      <xdr:spPr>
        <a:xfrm rot="5400000">
          <a:off x="15268575" y="1543050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237331</xdr:colOff>
      <xdr:row>11</xdr:row>
      <xdr:rowOff>57944</xdr:rowOff>
    </xdr:from>
    <xdr:to>
      <xdr:col>74</xdr:col>
      <xdr:colOff>238919</xdr:colOff>
      <xdr:row>13</xdr:row>
      <xdr:rowOff>115094</xdr:rowOff>
    </xdr:to>
    <xdr:cxnSp macro="">
      <xdr:nvCxnSpPr>
        <xdr:cNvPr id="8" name="Straight Arrow Connector 7"/>
        <xdr:cNvCxnSpPr/>
      </xdr:nvCxnSpPr>
      <xdr:spPr>
        <a:xfrm rot="5400000">
          <a:off x="15268575" y="1543050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237331</xdr:colOff>
      <xdr:row>11</xdr:row>
      <xdr:rowOff>57944</xdr:rowOff>
    </xdr:from>
    <xdr:to>
      <xdr:col>86</xdr:col>
      <xdr:colOff>238919</xdr:colOff>
      <xdr:row>13</xdr:row>
      <xdr:rowOff>115094</xdr:rowOff>
    </xdr:to>
    <xdr:cxnSp macro="">
      <xdr:nvCxnSpPr>
        <xdr:cNvPr id="9" name="Straight Arrow Connector 8"/>
        <xdr:cNvCxnSpPr/>
      </xdr:nvCxnSpPr>
      <xdr:spPr>
        <a:xfrm rot="5400000">
          <a:off x="16278225" y="1543050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237331</xdr:colOff>
      <xdr:row>11</xdr:row>
      <xdr:rowOff>57944</xdr:rowOff>
    </xdr:from>
    <xdr:to>
      <xdr:col>98</xdr:col>
      <xdr:colOff>238919</xdr:colOff>
      <xdr:row>13</xdr:row>
      <xdr:rowOff>115094</xdr:rowOff>
    </xdr:to>
    <xdr:cxnSp macro="">
      <xdr:nvCxnSpPr>
        <xdr:cNvPr id="10" name="Straight Arrow Connector 9"/>
        <xdr:cNvCxnSpPr/>
      </xdr:nvCxnSpPr>
      <xdr:spPr>
        <a:xfrm rot="5400000">
          <a:off x="18011775" y="1543050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237331</xdr:colOff>
      <xdr:row>11</xdr:row>
      <xdr:rowOff>57944</xdr:rowOff>
    </xdr:from>
    <xdr:to>
      <xdr:col>110</xdr:col>
      <xdr:colOff>238919</xdr:colOff>
      <xdr:row>13</xdr:row>
      <xdr:rowOff>115094</xdr:rowOff>
    </xdr:to>
    <xdr:cxnSp macro="">
      <xdr:nvCxnSpPr>
        <xdr:cNvPr id="11" name="Straight Arrow Connector 10"/>
        <xdr:cNvCxnSpPr/>
      </xdr:nvCxnSpPr>
      <xdr:spPr>
        <a:xfrm rot="5400000">
          <a:off x="19659600" y="1543050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237331</xdr:colOff>
      <xdr:row>11</xdr:row>
      <xdr:rowOff>57944</xdr:rowOff>
    </xdr:from>
    <xdr:to>
      <xdr:col>122</xdr:col>
      <xdr:colOff>238919</xdr:colOff>
      <xdr:row>13</xdr:row>
      <xdr:rowOff>115094</xdr:rowOff>
    </xdr:to>
    <xdr:cxnSp macro="">
      <xdr:nvCxnSpPr>
        <xdr:cNvPr id="12" name="Straight Arrow Connector 11"/>
        <xdr:cNvCxnSpPr/>
      </xdr:nvCxnSpPr>
      <xdr:spPr>
        <a:xfrm rot="5400000">
          <a:off x="21307425" y="1543050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237331</xdr:colOff>
      <xdr:row>11</xdr:row>
      <xdr:rowOff>57944</xdr:rowOff>
    </xdr:from>
    <xdr:to>
      <xdr:col>74</xdr:col>
      <xdr:colOff>238919</xdr:colOff>
      <xdr:row>13</xdr:row>
      <xdr:rowOff>115094</xdr:rowOff>
    </xdr:to>
    <xdr:cxnSp macro="">
      <xdr:nvCxnSpPr>
        <xdr:cNvPr id="14" name="Straight Arrow Connector 13"/>
        <xdr:cNvCxnSpPr/>
      </xdr:nvCxnSpPr>
      <xdr:spPr>
        <a:xfrm rot="5400000">
          <a:off x="27060525" y="2028825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237331</xdr:colOff>
      <xdr:row>11</xdr:row>
      <xdr:rowOff>57944</xdr:rowOff>
    </xdr:from>
    <xdr:to>
      <xdr:col>98</xdr:col>
      <xdr:colOff>238919</xdr:colOff>
      <xdr:row>13</xdr:row>
      <xdr:rowOff>115094</xdr:rowOff>
    </xdr:to>
    <xdr:cxnSp macro="">
      <xdr:nvCxnSpPr>
        <xdr:cNvPr id="15" name="Straight Arrow Connector 14"/>
        <xdr:cNvCxnSpPr/>
      </xdr:nvCxnSpPr>
      <xdr:spPr>
        <a:xfrm rot="5400000">
          <a:off x="20964525" y="2028825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237331</xdr:colOff>
      <xdr:row>11</xdr:row>
      <xdr:rowOff>57944</xdr:rowOff>
    </xdr:from>
    <xdr:to>
      <xdr:col>110</xdr:col>
      <xdr:colOff>238919</xdr:colOff>
      <xdr:row>13</xdr:row>
      <xdr:rowOff>115094</xdr:rowOff>
    </xdr:to>
    <xdr:cxnSp macro="">
      <xdr:nvCxnSpPr>
        <xdr:cNvPr id="16" name="Straight Arrow Connector 15"/>
        <xdr:cNvCxnSpPr/>
      </xdr:nvCxnSpPr>
      <xdr:spPr>
        <a:xfrm rot="5400000">
          <a:off x="25650825" y="2028825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237331</xdr:colOff>
      <xdr:row>11</xdr:row>
      <xdr:rowOff>57944</xdr:rowOff>
    </xdr:from>
    <xdr:to>
      <xdr:col>110</xdr:col>
      <xdr:colOff>238919</xdr:colOff>
      <xdr:row>13</xdr:row>
      <xdr:rowOff>115094</xdr:rowOff>
    </xdr:to>
    <xdr:cxnSp macro="">
      <xdr:nvCxnSpPr>
        <xdr:cNvPr id="17" name="Straight Arrow Connector 16"/>
        <xdr:cNvCxnSpPr/>
      </xdr:nvCxnSpPr>
      <xdr:spPr>
        <a:xfrm rot="5400000">
          <a:off x="25650825" y="2028825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237331</xdr:colOff>
      <xdr:row>11</xdr:row>
      <xdr:rowOff>57944</xdr:rowOff>
    </xdr:from>
    <xdr:to>
      <xdr:col>122</xdr:col>
      <xdr:colOff>238919</xdr:colOff>
      <xdr:row>13</xdr:row>
      <xdr:rowOff>115094</xdr:rowOff>
    </xdr:to>
    <xdr:cxnSp macro="">
      <xdr:nvCxnSpPr>
        <xdr:cNvPr id="18" name="Straight Arrow Connector 17"/>
        <xdr:cNvCxnSpPr/>
      </xdr:nvCxnSpPr>
      <xdr:spPr>
        <a:xfrm rot="5400000">
          <a:off x="25650825" y="2028825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237331</xdr:colOff>
      <xdr:row>11</xdr:row>
      <xdr:rowOff>57944</xdr:rowOff>
    </xdr:from>
    <xdr:to>
      <xdr:col>122</xdr:col>
      <xdr:colOff>238919</xdr:colOff>
      <xdr:row>13</xdr:row>
      <xdr:rowOff>115094</xdr:rowOff>
    </xdr:to>
    <xdr:cxnSp macro="">
      <xdr:nvCxnSpPr>
        <xdr:cNvPr id="19" name="Straight Arrow Connector 18"/>
        <xdr:cNvCxnSpPr/>
      </xdr:nvCxnSpPr>
      <xdr:spPr>
        <a:xfrm rot="5400000">
          <a:off x="25650825" y="2028825"/>
          <a:ext cx="38100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Reuters\PowerPlus\Ppp.xla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definedNames>
      <definedName name="shtSTR.Button_CustomiseDateSchedule(1)"/>
      <definedName name="shtSTR.Button_CustomiseDateSchedule(2)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CON">
    <outlinePr showOutlineSymbols="0"/>
  </sheetPr>
  <dimension ref="B1:Q12"/>
  <sheetViews>
    <sheetView showGridLines="0" showRowColHeaders="0" showOutlineSymbols="0" workbookViewId="0"/>
  </sheetViews>
  <sheetFormatPr defaultRowHeight="12.75"/>
  <cols>
    <col min="1" max="1" width="2.7109375" customWidth="1"/>
    <col min="5" max="5" width="7.85546875" customWidth="1"/>
  </cols>
  <sheetData>
    <row r="1" spans="2:17" ht="0.95" customHeight="1"/>
    <row r="2" spans="2:17" ht="24.95" customHeight="1">
      <c r="B2" s="46" t="s">
        <v>179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</row>
    <row r="6" spans="2:17">
      <c r="B6" t="s">
        <v>551</v>
      </c>
      <c r="E6" s="32" t="s">
        <v>550</v>
      </c>
      <c r="G6" t="s">
        <v>759</v>
      </c>
    </row>
    <row r="9" spans="2:17">
      <c r="B9" t="s">
        <v>176</v>
      </c>
      <c r="E9" s="137" t="s">
        <v>735</v>
      </c>
      <c r="G9" t="s">
        <v>760</v>
      </c>
    </row>
    <row r="12" spans="2:17">
      <c r="B12" t="s">
        <v>230</v>
      </c>
      <c r="E12" s="137" t="s">
        <v>6</v>
      </c>
    </row>
  </sheetData>
  <sheetProtection sheet="1" scenarios="1" autoFilter="0" pivotTables="0"/>
  <conditionalFormatting sqref="E6">
    <cfRule type="cellIs" dxfId="43" priority="11" operator="equal">
      <formula>"SNAP"</formula>
    </cfRule>
    <cfRule type="cellIs" dxfId="42" priority="12" operator="equal">
      <formula>"STOP"</formula>
    </cfRule>
  </conditionalFormatting>
  <dataValidations count="2">
    <dataValidation type="list" allowBlank="1" showInputMessage="1" showErrorMessage="1" sqref="E9 E12">
      <formula1>"ON,OFF"</formula1>
    </dataValidation>
    <dataValidation type="list" allowBlank="1" showInputMessage="1" showErrorMessage="1" promptTitle="Reuters Update Frequency" prompt="Throttles the frequency of Reuters updates.  To SNAP more than once, switch to STOP and then back to SNAP again" sqref="E6">
      <formula1>"30s,1m,15m,30m,1h,STOP,SNAP,LOCAL"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tFX">
    <outlinePr showOutlineSymbols="0"/>
  </sheetPr>
  <dimension ref="A1:AI73"/>
  <sheetViews>
    <sheetView showGridLines="0" showRowColHeaders="0" showZeros="0" showOutlineSymbols="0" zoomScaleNormal="100" workbookViewId="0">
      <pane xSplit="3" topLeftCell="D1" activePane="topRight" state="frozen"/>
      <selection pane="topRight" activeCell="D1" sqref="D1"/>
    </sheetView>
  </sheetViews>
  <sheetFormatPr defaultRowHeight="12.75" outlineLevelCol="2"/>
  <cols>
    <col min="1" max="1" width="1.7109375" style="171" customWidth="1"/>
    <col min="2" max="2" width="7.7109375" style="171" customWidth="1"/>
    <col min="3" max="3" width="1.7109375" style="171" customWidth="1"/>
    <col min="4" max="4" width="3.7109375" style="174" customWidth="1"/>
    <col min="5" max="6" width="1.7109375" style="202" hidden="1" customWidth="1" outlineLevel="2"/>
    <col min="7" max="7" width="14.42578125" style="206" hidden="1" customWidth="1" outlineLevel="2"/>
    <col min="8" max="8" width="1.7109375" style="202" hidden="1" customWidth="1" outlineLevel="2"/>
    <col min="9" max="9" width="4.7109375" style="174" customWidth="1" collapsed="1"/>
    <col min="10" max="10" width="15.7109375" style="216" hidden="1" customWidth="1" outlineLevel="1"/>
    <col min="11" max="11" width="6.7109375" style="181" customWidth="1" collapsed="1"/>
    <col min="12" max="13" width="6.7109375" style="181" customWidth="1"/>
    <col min="14" max="14" width="6.7109375" style="227" customWidth="1"/>
    <col min="15" max="15" width="6.7109375" style="181" customWidth="1"/>
    <col min="16" max="16" width="4.7109375" style="248" customWidth="1"/>
    <col min="17" max="17" width="15.7109375" style="216" hidden="1" customWidth="1" outlineLevel="1"/>
    <col min="18" max="18" width="6.7109375" style="174" customWidth="1" collapsed="1"/>
    <col min="19" max="20" width="6.7109375" style="174" customWidth="1"/>
    <col min="21" max="21" width="6.7109375" style="227" customWidth="1"/>
    <col min="22" max="22" width="6.7109375" style="174" customWidth="1"/>
    <col min="23" max="23" width="4.7109375" style="174" customWidth="1"/>
    <col min="24" max="24" width="15.7109375" style="216" hidden="1" customWidth="1" outlineLevel="1"/>
    <col min="25" max="25" width="6.7109375" style="174" customWidth="1" collapsed="1"/>
    <col min="26" max="27" width="6.7109375" style="174" customWidth="1"/>
    <col min="28" max="28" width="8.28515625" style="227" customWidth="1"/>
    <col min="29" max="29" width="6.7109375" style="174" customWidth="1"/>
    <col min="30" max="30" width="4.7109375" style="174" customWidth="1"/>
    <col min="31" max="31" width="15.7109375" style="321" hidden="1" customWidth="1" outlineLevel="2"/>
    <col min="32" max="32" width="6.7109375" style="174" customWidth="1" collapsed="1"/>
    <col min="33" max="34" width="6.7109375" style="174" customWidth="1"/>
    <col min="35" max="35" width="6.7109375" style="227" customWidth="1"/>
    <col min="36" max="16384" width="9.140625" style="5"/>
  </cols>
  <sheetData>
    <row r="1" spans="1:35" ht="0.95" customHeight="1"/>
    <row r="2" spans="1:35" s="235" customFormat="1" ht="24.95" customHeight="1">
      <c r="A2" s="229"/>
      <c r="B2" s="229"/>
      <c r="C2" s="229"/>
      <c r="D2" s="231"/>
      <c r="E2" s="809"/>
      <c r="F2" s="809"/>
      <c r="G2" s="810"/>
      <c r="H2" s="809"/>
      <c r="I2" s="232" t="s">
        <v>289</v>
      </c>
      <c r="J2" s="811"/>
      <c r="K2" s="233"/>
      <c r="L2" s="233"/>
      <c r="M2" s="233"/>
      <c r="N2" s="242"/>
      <c r="O2" s="233"/>
      <c r="P2" s="249"/>
      <c r="Q2" s="806"/>
      <c r="R2" s="232"/>
      <c r="S2" s="232"/>
      <c r="T2" s="232"/>
      <c r="U2" s="242"/>
      <c r="V2" s="232"/>
      <c r="W2" s="232"/>
      <c r="X2" s="806"/>
      <c r="Y2" s="232"/>
      <c r="Z2" s="232"/>
      <c r="AA2" s="232"/>
      <c r="AB2" s="242"/>
      <c r="AC2" s="232"/>
      <c r="AD2" s="232"/>
      <c r="AE2" s="322"/>
      <c r="AF2" s="232"/>
      <c r="AG2" s="232"/>
      <c r="AH2" s="232"/>
      <c r="AI2" s="242"/>
    </row>
    <row r="3" spans="1:35">
      <c r="G3" s="210" t="s">
        <v>337</v>
      </c>
    </row>
    <row r="4" spans="1:35" s="34" customFormat="1">
      <c r="A4" s="170"/>
      <c r="B4" s="170"/>
      <c r="C4" s="170"/>
      <c r="D4" s="179"/>
      <c r="E4" s="203"/>
      <c r="F4" s="203"/>
      <c r="G4" s="208" t="str">
        <f>PPP_string(PPP_Global,M4)</f>
        <v>FRQ:10m</v>
      </c>
      <c r="H4" s="203"/>
      <c r="I4" s="179" t="s">
        <v>272</v>
      </c>
      <c r="J4" s="216"/>
      <c r="L4" s="226"/>
      <c r="M4" s="32" t="s">
        <v>758</v>
      </c>
      <c r="N4" s="228"/>
      <c r="O4" s="226"/>
      <c r="P4" s="250"/>
      <c r="Q4" s="807"/>
      <c r="R4" s="179"/>
      <c r="S4" s="179"/>
      <c r="T4" s="179"/>
      <c r="U4" s="228"/>
      <c r="V4" s="179"/>
      <c r="W4" s="179"/>
      <c r="X4" s="807"/>
      <c r="Y4" s="179"/>
      <c r="Z4" s="179"/>
      <c r="AA4" s="179"/>
      <c r="AB4" s="228"/>
      <c r="AC4" s="179"/>
      <c r="AD4" s="179"/>
      <c r="AE4" s="323"/>
      <c r="AF4" s="179"/>
      <c r="AG4" s="179"/>
      <c r="AH4" s="179"/>
      <c r="AI4" s="228"/>
    </row>
    <row r="6" spans="1:35">
      <c r="I6" s="116" t="s">
        <v>293</v>
      </c>
      <c r="J6" s="206" t="str">
        <f ca="1">_xll.RtUpdate("IDN",J7:J28,G7:G8,K7,,RTMODE_FX)</f>
        <v>Updated at 16:59:39</v>
      </c>
      <c r="K6" s="57"/>
      <c r="L6" s="57"/>
      <c r="M6" s="57"/>
      <c r="N6" s="60"/>
      <c r="O6" s="57"/>
      <c r="P6" s="241" t="s">
        <v>294</v>
      </c>
      <c r="Q6" s="216" t="str">
        <f ca="1">_xll.RtUpdate("IDN",Q7:Q28,G7:G8,R7,,RTMODE_FX)</f>
        <v>Updated at 16:59:39</v>
      </c>
      <c r="R6" s="116"/>
      <c r="S6" s="116"/>
      <c r="T6" s="116"/>
      <c r="U6" s="60"/>
      <c r="V6" s="116"/>
      <c r="W6" s="116" t="s">
        <v>295</v>
      </c>
      <c r="X6" s="216" t="str">
        <f ca="1">_xll.RtUpdate("IDN",X7:X28,G7:G8,Y7,,RTMODE_FX)</f>
        <v>Updated at 16:59:39</v>
      </c>
      <c r="Y6" s="116"/>
      <c r="Z6" s="116"/>
      <c r="AA6" s="116"/>
      <c r="AD6" s="116" t="s">
        <v>296</v>
      </c>
      <c r="AE6" s="202" t="str">
        <f ca="1">_xll.RtUpdate("IDN",AE7:AE28,G7:G8,AF7,,RTMODE_FX)</f>
        <v>Updated at 16:59:39</v>
      </c>
      <c r="AF6" s="116"/>
      <c r="AG6" s="116"/>
      <c r="AH6" s="116"/>
    </row>
    <row r="7" spans="1:35">
      <c r="G7" s="208" t="s">
        <v>45</v>
      </c>
      <c r="I7" s="167" t="s">
        <v>292</v>
      </c>
      <c r="J7" s="222" t="s">
        <v>100</v>
      </c>
      <c r="K7" s="327">
        <v>1.0589999999999999</v>
      </c>
      <c r="L7" s="327">
        <v>1.06</v>
      </c>
      <c r="M7" s="166"/>
      <c r="N7" s="227">
        <f>IF(ISNUMBER(M7),M7,AVERAGE(K7:L7))</f>
        <v>1.0594999999999999</v>
      </c>
      <c r="P7" s="167" t="s">
        <v>292</v>
      </c>
      <c r="Q7" s="222" t="s">
        <v>253</v>
      </c>
      <c r="R7" s="327">
        <v>1.6214</v>
      </c>
      <c r="S7" s="327">
        <v>1.6214999999999999</v>
      </c>
      <c r="T7" s="166"/>
      <c r="U7" s="227">
        <f>IF(ISNUMBER(T7),T7,AVERAGE(R7:S7))</f>
        <v>1.6214499999999998</v>
      </c>
      <c r="W7" s="167" t="s">
        <v>292</v>
      </c>
      <c r="X7" s="222" t="s">
        <v>254</v>
      </c>
      <c r="Y7" s="327">
        <v>1.4164999999999999</v>
      </c>
      <c r="Z7" s="327">
        <v>1.4167999999999998</v>
      </c>
      <c r="AA7" s="166"/>
      <c r="AB7" s="227">
        <f>IF(ISNUMBER(AA7),AA7,AVERAGE(Y7:Z7))</f>
        <v>1.4166499999999997</v>
      </c>
      <c r="AC7" s="181"/>
      <c r="AD7" s="167" t="s">
        <v>292</v>
      </c>
      <c r="AE7" s="320" t="s">
        <v>255</v>
      </c>
      <c r="AF7" s="327">
        <v>0.78069999999999995</v>
      </c>
      <c r="AG7" s="327">
        <v>0.78179999999999994</v>
      </c>
      <c r="AH7" s="166"/>
      <c r="AI7" s="227">
        <f>IF(ISNUMBER(AH7),AH7,AVERAGE(AF7:AG7))</f>
        <v>0.78125</v>
      </c>
    </row>
    <row r="8" spans="1:35">
      <c r="G8" s="208" t="s">
        <v>46</v>
      </c>
      <c r="I8" s="167" t="s">
        <v>6</v>
      </c>
      <c r="J8" s="222" t="str">
        <f>"AUD"&amp;I8&amp;"="</f>
        <v>AUDON=</v>
      </c>
      <c r="K8" s="328">
        <v>-1.73</v>
      </c>
      <c r="L8" s="328">
        <v>-0.98</v>
      </c>
      <c r="M8" s="239"/>
      <c r="N8" s="243">
        <f t="shared" ref="N8:N20" si="0">IF(ISNUMBER(M8),M8,AVERAGE(K8:L8))</f>
        <v>-1.355</v>
      </c>
      <c r="P8" s="167" t="s">
        <v>6</v>
      </c>
      <c r="Q8" s="222" t="str">
        <f>"GBP"&amp;P8&amp;"="</f>
        <v>GBPON=</v>
      </c>
      <c r="R8" s="328">
        <v>-0.22500000000000001</v>
      </c>
      <c r="S8" s="328">
        <v>-0.17500000000000002</v>
      </c>
      <c r="T8" s="239"/>
      <c r="U8" s="243">
        <f t="shared" ref="U8" si="1">IF(ISNUMBER(T8),T8,AVERAGE(R8:S8))</f>
        <v>-0.2</v>
      </c>
      <c r="W8" s="167" t="s">
        <v>6</v>
      </c>
      <c r="X8" s="222" t="str">
        <f>"EUR"&amp;W8&amp;"="</f>
        <v>EURON=</v>
      </c>
      <c r="Y8" s="328">
        <v>-0.4</v>
      </c>
      <c r="Z8" s="328">
        <v>-0.39</v>
      </c>
      <c r="AA8" s="239"/>
      <c r="AB8" s="243">
        <f t="shared" ref="AB8:AB12" si="2">IF(ISNUMBER(AA8),AA8,AVERAGE(Y8:Z8))</f>
        <v>-0.39500000000000002</v>
      </c>
      <c r="AC8" s="240"/>
      <c r="AD8" s="167" t="s">
        <v>6</v>
      </c>
      <c r="AE8" s="222" t="str">
        <f>"NZD"&amp;AD8&amp;"="</f>
        <v>NZDON=</v>
      </c>
      <c r="AF8" s="328">
        <v>-0.52</v>
      </c>
      <c r="AG8" s="328">
        <v>-0.5</v>
      </c>
      <c r="AH8" s="239"/>
      <c r="AI8" s="243">
        <f t="shared" ref="AI8:AI12" si="3">IF(ISNUMBER(AH8),AH8,AVERAGE(AF8:AG8))</f>
        <v>-0.51</v>
      </c>
    </row>
    <row r="9" spans="1:35">
      <c r="I9" s="167" t="s">
        <v>31</v>
      </c>
      <c r="J9" s="222" t="str">
        <f t="shared" ref="J9:J10" si="4">"AUD"&amp;I9&amp;"="</f>
        <v>AUDTN=</v>
      </c>
      <c r="K9" s="328">
        <v>-1.37</v>
      </c>
      <c r="L9" s="328">
        <v>-1.35</v>
      </c>
      <c r="M9" s="239"/>
      <c r="N9" s="243">
        <f t="shared" ref="N9:N10" si="5">IF(ISNUMBER(M9),M9,AVERAGE(K9:L9))</f>
        <v>-1.36</v>
      </c>
      <c r="P9" s="167" t="s">
        <v>31</v>
      </c>
      <c r="Q9" s="222" t="str">
        <f t="shared" ref="Q9:Q10" si="6">"GBP"&amp;P9&amp;"="</f>
        <v>GBPTN=</v>
      </c>
      <c r="R9" s="328">
        <v>-0.21000000000000002</v>
      </c>
      <c r="S9" s="328">
        <v>-0.19</v>
      </c>
      <c r="T9" s="239"/>
      <c r="U9" s="243">
        <f t="shared" ref="U9:U12" si="7">IF(ISNUMBER(T9),T9,AVERAGE(R9:S9))</f>
        <v>-0.2</v>
      </c>
      <c r="W9" s="167" t="s">
        <v>31</v>
      </c>
      <c r="X9" s="222" t="str">
        <f t="shared" ref="X9:X10" si="8">"EUR"&amp;W9&amp;"="</f>
        <v>EURTN=</v>
      </c>
      <c r="Y9" s="328">
        <v>-0.4</v>
      </c>
      <c r="Z9" s="328">
        <v>-0.35</v>
      </c>
      <c r="AA9" s="239"/>
      <c r="AB9" s="243">
        <f t="shared" ref="AB9:AB10" si="9">IF(ISNUMBER(AA9),AA9,AVERAGE(Y9:Z9))</f>
        <v>-0.375</v>
      </c>
      <c r="AC9" s="240"/>
      <c r="AD9" s="167" t="s">
        <v>31</v>
      </c>
      <c r="AE9" s="222" t="str">
        <f t="shared" ref="AE9:AE10" si="10">"NZD"&amp;AD9&amp;"="</f>
        <v>NZDTN=</v>
      </c>
      <c r="AF9" s="328">
        <v>-0.52</v>
      </c>
      <c r="AG9" s="328">
        <v>-0.5</v>
      </c>
      <c r="AH9" s="239"/>
      <c r="AI9" s="243">
        <f t="shared" ref="AI9:AI10" si="11">IF(ISNUMBER(AH9),AH9,AVERAGE(AF9:AG9))</f>
        <v>-0.51</v>
      </c>
    </row>
    <row r="10" spans="1:35">
      <c r="I10" s="167" t="s">
        <v>770</v>
      </c>
      <c r="J10" s="222" t="str">
        <f t="shared" si="4"/>
        <v>AUDSW=</v>
      </c>
      <c r="K10" s="328">
        <v>-9.48</v>
      </c>
      <c r="L10" s="328">
        <v>-9.44</v>
      </c>
      <c r="M10" s="239"/>
      <c r="N10" s="243">
        <f t="shared" si="5"/>
        <v>-9.4600000000000009</v>
      </c>
      <c r="P10" s="167" t="s">
        <v>770</v>
      </c>
      <c r="Q10" s="222" t="str">
        <f t="shared" si="6"/>
        <v>GBPSW=</v>
      </c>
      <c r="R10" s="328">
        <v>-1.45</v>
      </c>
      <c r="S10" s="328">
        <v>-1.4</v>
      </c>
      <c r="T10" s="239"/>
      <c r="U10" s="243">
        <f t="shared" si="7"/>
        <v>-1.4249999999999998</v>
      </c>
      <c r="W10" s="167" t="s">
        <v>770</v>
      </c>
      <c r="X10" s="222" t="str">
        <f t="shared" si="8"/>
        <v>EURSW=</v>
      </c>
      <c r="Y10" s="328">
        <v>-2.58</v>
      </c>
      <c r="Z10" s="328">
        <v>-2.48</v>
      </c>
      <c r="AA10" s="239"/>
      <c r="AB10" s="243">
        <f t="shared" si="9"/>
        <v>-2.5300000000000002</v>
      </c>
      <c r="AC10" s="240"/>
      <c r="AD10" s="167" t="s">
        <v>770</v>
      </c>
      <c r="AE10" s="222" t="str">
        <f t="shared" si="10"/>
        <v>NZDSW=</v>
      </c>
      <c r="AF10" s="328">
        <v>-3.67</v>
      </c>
      <c r="AG10" s="328">
        <v>-3.57</v>
      </c>
      <c r="AH10" s="239"/>
      <c r="AI10" s="243">
        <f t="shared" si="11"/>
        <v>-3.62</v>
      </c>
    </row>
    <row r="11" spans="1:35">
      <c r="I11" s="167" t="s">
        <v>723</v>
      </c>
      <c r="J11" s="222" t="str">
        <f t="shared" ref="J11:J28" si="12">"AUD"&amp;I11&amp;"="</f>
        <v>AUD2W=</v>
      </c>
      <c r="K11" s="328">
        <v>-19.34</v>
      </c>
      <c r="L11" s="328">
        <v>-18.34</v>
      </c>
      <c r="M11" s="239"/>
      <c r="N11" s="243">
        <f t="shared" ref="N11:N14" si="13">IF(ISNUMBER(M11),M11,AVERAGE(K11:L11))</f>
        <v>-18.84</v>
      </c>
      <c r="P11" s="167" t="s">
        <v>723</v>
      </c>
      <c r="Q11" s="222" t="str">
        <f t="shared" ref="Q11:Q28" si="14">"GBP"&amp;P11&amp;"="</f>
        <v>GBP2W=</v>
      </c>
      <c r="R11" s="328">
        <v>-2.8899999999999997</v>
      </c>
      <c r="S11" s="328">
        <v>-2.82</v>
      </c>
      <c r="T11" s="239"/>
      <c r="U11" s="243">
        <f t="shared" si="7"/>
        <v>-2.8549999999999995</v>
      </c>
      <c r="W11" s="167" t="s">
        <v>723</v>
      </c>
      <c r="X11" s="222" t="str">
        <f t="shared" ref="X11:X28" si="15">"EUR"&amp;W11&amp;"="</f>
        <v>EUR2W=</v>
      </c>
      <c r="Y11" s="328">
        <v>-5.08</v>
      </c>
      <c r="Z11" s="328">
        <v>-4.95</v>
      </c>
      <c r="AA11" s="239"/>
      <c r="AB11" s="243">
        <f t="shared" si="2"/>
        <v>-5.0150000000000006</v>
      </c>
      <c r="AC11" s="240"/>
      <c r="AD11" s="167" t="s">
        <v>723</v>
      </c>
      <c r="AE11" s="222" t="str">
        <f t="shared" ref="AE11:AE28" si="16">"NZD"&amp;AD11&amp;"="</f>
        <v>NZD2W=</v>
      </c>
      <c r="AF11" s="328">
        <v>-7.33</v>
      </c>
      <c r="AG11" s="328">
        <v>-7.18</v>
      </c>
      <c r="AH11" s="239"/>
      <c r="AI11" s="243">
        <f t="shared" si="3"/>
        <v>-7.2549999999999999</v>
      </c>
    </row>
    <row r="12" spans="1:35">
      <c r="I12" s="167" t="s">
        <v>724</v>
      </c>
      <c r="J12" s="222" t="str">
        <f t="shared" si="12"/>
        <v>AUD3W=</v>
      </c>
      <c r="K12" s="328">
        <v>-28.36</v>
      </c>
      <c r="L12" s="328">
        <v>-28.259999999999998</v>
      </c>
      <c r="M12" s="239"/>
      <c r="N12" s="243">
        <f t="shared" si="13"/>
        <v>-28.31</v>
      </c>
      <c r="P12" s="167" t="s">
        <v>724</v>
      </c>
      <c r="Q12" s="222" t="str">
        <f t="shared" si="14"/>
        <v>GBP3W=</v>
      </c>
      <c r="R12" s="328">
        <v>-4.3199999999999994</v>
      </c>
      <c r="S12" s="328">
        <v>-4.25</v>
      </c>
      <c r="T12" s="239"/>
      <c r="U12" s="243">
        <f t="shared" si="7"/>
        <v>-4.2850000000000001</v>
      </c>
      <c r="W12" s="167" t="s">
        <v>724</v>
      </c>
      <c r="X12" s="222" t="str">
        <f t="shared" si="15"/>
        <v>EUR3W=</v>
      </c>
      <c r="Y12" s="328">
        <v>-7.24</v>
      </c>
      <c r="Z12" s="328">
        <v>-7.07</v>
      </c>
      <c r="AA12" s="239"/>
      <c r="AB12" s="243">
        <f t="shared" si="2"/>
        <v>-7.1550000000000002</v>
      </c>
      <c r="AC12" s="240"/>
      <c r="AD12" s="167" t="s">
        <v>724</v>
      </c>
      <c r="AE12" s="222" t="str">
        <f t="shared" si="16"/>
        <v>NZD3W=</v>
      </c>
      <c r="AF12" s="328">
        <v>-10.97</v>
      </c>
      <c r="AG12" s="328">
        <v>-10.719999999999999</v>
      </c>
      <c r="AH12" s="239"/>
      <c r="AI12" s="243">
        <f t="shared" si="3"/>
        <v>-10.844999999999999</v>
      </c>
    </row>
    <row r="13" spans="1:35">
      <c r="I13" s="167" t="s">
        <v>0</v>
      </c>
      <c r="J13" s="222" t="str">
        <f t="shared" si="12"/>
        <v>AUD1M=</v>
      </c>
      <c r="K13" s="328">
        <v>-43.21</v>
      </c>
      <c r="L13" s="328">
        <v>-43.09</v>
      </c>
      <c r="M13" s="239"/>
      <c r="N13" s="243">
        <f t="shared" si="13"/>
        <v>-43.150000000000006</v>
      </c>
      <c r="P13" s="119" t="s">
        <v>0</v>
      </c>
      <c r="Q13" s="222" t="str">
        <f t="shared" si="14"/>
        <v>GBP1M=</v>
      </c>
      <c r="R13" s="328">
        <v>-6.67</v>
      </c>
      <c r="S13" s="328">
        <v>-6.42</v>
      </c>
      <c r="T13" s="239"/>
      <c r="U13" s="243">
        <f t="shared" ref="U13:U28" si="17">IF(ISNUMBER(T13),T13,AVERAGE(R13:S13))</f>
        <v>-6.5449999999999999</v>
      </c>
      <c r="W13" s="167" t="s">
        <v>0</v>
      </c>
      <c r="X13" s="222" t="str">
        <f t="shared" si="15"/>
        <v>EUR1M=</v>
      </c>
      <c r="Y13" s="328">
        <v>-10.8</v>
      </c>
      <c r="Z13" s="328">
        <v>-10.68</v>
      </c>
      <c r="AA13" s="239"/>
      <c r="AB13" s="243">
        <f t="shared" ref="AB13:AB28" si="18">IF(ISNUMBER(AA13),AA13,AVERAGE(Y13:Z13))</f>
        <v>-10.74</v>
      </c>
      <c r="AC13" s="240"/>
      <c r="AD13" s="167" t="s">
        <v>0</v>
      </c>
      <c r="AE13" s="222" t="str">
        <f t="shared" si="16"/>
        <v>NZD1M=</v>
      </c>
      <c r="AF13" s="328">
        <v>-16.899999999999999</v>
      </c>
      <c r="AG13" s="328">
        <v>-16.3</v>
      </c>
      <c r="AH13" s="239"/>
      <c r="AI13" s="243">
        <f t="shared" ref="AI13:AI28" si="19">IF(ISNUMBER(AH13),AH13,AVERAGE(AF13:AG13))</f>
        <v>-16.600000000000001</v>
      </c>
    </row>
    <row r="14" spans="1:35">
      <c r="I14" s="167" t="s">
        <v>1</v>
      </c>
      <c r="J14" s="222" t="str">
        <f t="shared" si="12"/>
        <v>AUD2M=</v>
      </c>
      <c r="K14" s="328">
        <v>-82.45</v>
      </c>
      <c r="L14" s="328">
        <v>-82.25</v>
      </c>
      <c r="M14" s="239"/>
      <c r="N14" s="243">
        <f t="shared" si="13"/>
        <v>-82.35</v>
      </c>
      <c r="P14" s="119" t="s">
        <v>1</v>
      </c>
      <c r="Q14" s="222" t="str">
        <f t="shared" si="14"/>
        <v>GBP2M=</v>
      </c>
      <c r="R14" s="328">
        <v>-12.93</v>
      </c>
      <c r="S14" s="328">
        <v>-12.78</v>
      </c>
      <c r="T14" s="239"/>
      <c r="U14" s="243">
        <f t="shared" si="17"/>
        <v>-12.855</v>
      </c>
      <c r="W14" s="167" t="s">
        <v>1</v>
      </c>
      <c r="X14" s="222" t="str">
        <f t="shared" si="15"/>
        <v>EUR2M=</v>
      </c>
      <c r="Y14" s="328">
        <v>-21.87</v>
      </c>
      <c r="Z14" s="328">
        <v>-21.72</v>
      </c>
      <c r="AA14" s="239"/>
      <c r="AB14" s="243">
        <f t="shared" si="18"/>
        <v>-21.795000000000002</v>
      </c>
      <c r="AC14" s="240"/>
      <c r="AD14" s="167" t="s">
        <v>1</v>
      </c>
      <c r="AE14" s="222" t="str">
        <f t="shared" si="16"/>
        <v>NZD2M=</v>
      </c>
      <c r="AF14" s="328">
        <v>-32.15</v>
      </c>
      <c r="AG14" s="328">
        <v>-31.25</v>
      </c>
      <c r="AH14" s="239"/>
      <c r="AI14" s="243">
        <f t="shared" si="19"/>
        <v>-31.7</v>
      </c>
    </row>
    <row r="15" spans="1:35">
      <c r="I15" s="167" t="s">
        <v>2</v>
      </c>
      <c r="J15" s="222" t="str">
        <f t="shared" si="12"/>
        <v>AUD3M=</v>
      </c>
      <c r="K15" s="328">
        <v>-125.21000000000001</v>
      </c>
      <c r="L15" s="328">
        <v>-125.09</v>
      </c>
      <c r="M15" s="239"/>
      <c r="N15" s="243">
        <f t="shared" si="0"/>
        <v>-125.15</v>
      </c>
      <c r="P15" s="119" t="s">
        <v>2</v>
      </c>
      <c r="Q15" s="222" t="str">
        <f t="shared" si="14"/>
        <v>GBP3M=</v>
      </c>
      <c r="R15" s="328">
        <v>-20.38</v>
      </c>
      <c r="S15" s="328">
        <v>-19.979999999999997</v>
      </c>
      <c r="T15" s="239"/>
      <c r="U15" s="243">
        <f t="shared" si="17"/>
        <v>-20.18</v>
      </c>
      <c r="W15" s="167" t="s">
        <v>2</v>
      </c>
      <c r="X15" s="222" t="str">
        <f t="shared" si="15"/>
        <v>EUR3M=</v>
      </c>
      <c r="Y15" s="328">
        <v>-36.160000000000004</v>
      </c>
      <c r="Z15" s="328">
        <v>-35.700000000000003</v>
      </c>
      <c r="AA15" s="239"/>
      <c r="AB15" s="243">
        <f t="shared" si="18"/>
        <v>-35.930000000000007</v>
      </c>
      <c r="AC15" s="240"/>
      <c r="AD15" s="167" t="s">
        <v>2</v>
      </c>
      <c r="AE15" s="222" t="str">
        <f t="shared" si="16"/>
        <v>NZD3M=</v>
      </c>
      <c r="AF15" s="328">
        <v>-48.5</v>
      </c>
      <c r="AG15" s="328">
        <v>-48</v>
      </c>
      <c r="AH15" s="239"/>
      <c r="AI15" s="243">
        <f t="shared" si="19"/>
        <v>-48.25</v>
      </c>
    </row>
    <row r="16" spans="1:35">
      <c r="I16" s="167" t="s">
        <v>3</v>
      </c>
      <c r="J16" s="222" t="str">
        <f t="shared" si="12"/>
        <v>AUD4M=</v>
      </c>
      <c r="K16" s="328">
        <v>-168.1</v>
      </c>
      <c r="L16" s="328">
        <v>-167.6</v>
      </c>
      <c r="M16" s="239"/>
      <c r="N16" s="243">
        <f t="shared" si="0"/>
        <v>-167.85</v>
      </c>
      <c r="P16" s="119" t="s">
        <v>3</v>
      </c>
      <c r="Q16" s="222" t="str">
        <f t="shared" si="14"/>
        <v>GBP4M=</v>
      </c>
      <c r="R16" s="328">
        <v>-28.19</v>
      </c>
      <c r="S16" s="328">
        <v>-27.830000000000002</v>
      </c>
      <c r="T16" s="239"/>
      <c r="U16" s="243">
        <f t="shared" si="17"/>
        <v>-28.01</v>
      </c>
      <c r="W16" s="167" t="s">
        <v>3</v>
      </c>
      <c r="X16" s="222" t="str">
        <f t="shared" si="15"/>
        <v>EUR4M=</v>
      </c>
      <c r="Y16" s="328">
        <v>-51</v>
      </c>
      <c r="Z16" s="328">
        <v>-49.75</v>
      </c>
      <c r="AA16" s="239"/>
      <c r="AB16" s="243">
        <f t="shared" si="18"/>
        <v>-50.375</v>
      </c>
      <c r="AC16" s="240"/>
      <c r="AD16" s="167" t="s">
        <v>3</v>
      </c>
      <c r="AE16" s="222" t="str">
        <f t="shared" si="16"/>
        <v>NZD4M=</v>
      </c>
      <c r="AF16" s="328">
        <v>-65.099999999999994</v>
      </c>
      <c r="AG16" s="328">
        <v>-64.260000000000005</v>
      </c>
      <c r="AH16" s="239"/>
      <c r="AI16" s="243">
        <f t="shared" si="19"/>
        <v>-64.680000000000007</v>
      </c>
    </row>
    <row r="17" spans="1:35">
      <c r="I17" s="167" t="s">
        <v>4</v>
      </c>
      <c r="J17" s="222" t="str">
        <f t="shared" si="12"/>
        <v>AUD5M=</v>
      </c>
      <c r="K17" s="328">
        <v>-209.73</v>
      </c>
      <c r="L17" s="328">
        <v>-209.01</v>
      </c>
      <c r="M17" s="239"/>
      <c r="N17" s="243">
        <f t="shared" si="0"/>
        <v>-209.37</v>
      </c>
      <c r="P17" s="119" t="s">
        <v>4</v>
      </c>
      <c r="Q17" s="222" t="str">
        <f t="shared" si="14"/>
        <v>GBP5M=</v>
      </c>
      <c r="R17" s="328">
        <v>-36.1</v>
      </c>
      <c r="S17" s="328">
        <v>-35.700000000000003</v>
      </c>
      <c r="T17" s="239"/>
      <c r="U17" s="243">
        <f t="shared" si="17"/>
        <v>-35.900000000000006</v>
      </c>
      <c r="W17" s="167" t="s">
        <v>4</v>
      </c>
      <c r="X17" s="222" t="str">
        <f t="shared" si="15"/>
        <v>EUR5M=</v>
      </c>
      <c r="Y17" s="328">
        <v>-65.599999999999994</v>
      </c>
      <c r="Z17" s="328">
        <v>-64.8</v>
      </c>
      <c r="AA17" s="239"/>
      <c r="AB17" s="243">
        <f t="shared" si="18"/>
        <v>-65.199999999999989</v>
      </c>
      <c r="AC17" s="240"/>
      <c r="AD17" s="167" t="s">
        <v>4</v>
      </c>
      <c r="AE17" s="222" t="str">
        <f t="shared" si="16"/>
        <v>NZD5M=</v>
      </c>
      <c r="AF17" s="328">
        <v>-80.98</v>
      </c>
      <c r="AG17" s="328">
        <v>-79.78</v>
      </c>
      <c r="AH17" s="239"/>
      <c r="AI17" s="243">
        <f t="shared" si="19"/>
        <v>-80.38</v>
      </c>
    </row>
    <row r="18" spans="1:35" s="7" customFormat="1">
      <c r="A18" s="172"/>
      <c r="B18" s="172"/>
      <c r="C18" s="172"/>
      <c r="D18" s="174"/>
      <c r="E18" s="202"/>
      <c r="F18" s="202"/>
      <c r="G18" s="206"/>
      <c r="H18" s="202"/>
      <c r="I18" s="167" t="s">
        <v>5</v>
      </c>
      <c r="J18" s="222" t="str">
        <f t="shared" si="12"/>
        <v>AUD6M=</v>
      </c>
      <c r="K18" s="328">
        <v>-254.75</v>
      </c>
      <c r="L18" s="328">
        <v>-253.75</v>
      </c>
      <c r="M18" s="239"/>
      <c r="N18" s="243">
        <f t="shared" si="0"/>
        <v>-254.25</v>
      </c>
      <c r="O18" s="181"/>
      <c r="P18" s="119" t="s">
        <v>5</v>
      </c>
      <c r="Q18" s="222" t="str">
        <f t="shared" si="14"/>
        <v>GBP6M=</v>
      </c>
      <c r="R18" s="328">
        <v>-45.25</v>
      </c>
      <c r="S18" s="328">
        <v>-43.75</v>
      </c>
      <c r="T18" s="239"/>
      <c r="U18" s="243">
        <f t="shared" si="17"/>
        <v>-44.5</v>
      </c>
      <c r="V18" s="174"/>
      <c r="W18" s="167" t="s">
        <v>5</v>
      </c>
      <c r="X18" s="222" t="str">
        <f t="shared" si="15"/>
        <v>EUR6M=</v>
      </c>
      <c r="Y18" s="328">
        <v>-82.85</v>
      </c>
      <c r="Z18" s="328">
        <v>-81.849999999999994</v>
      </c>
      <c r="AA18" s="239"/>
      <c r="AB18" s="243">
        <f t="shared" si="18"/>
        <v>-82.35</v>
      </c>
      <c r="AC18" s="240"/>
      <c r="AD18" s="167" t="s">
        <v>5</v>
      </c>
      <c r="AE18" s="222" t="str">
        <f t="shared" si="16"/>
        <v>NZD6M=</v>
      </c>
      <c r="AF18" s="328">
        <v>-99.29</v>
      </c>
      <c r="AG18" s="328">
        <v>-96.79</v>
      </c>
      <c r="AH18" s="239"/>
      <c r="AI18" s="243">
        <f t="shared" si="19"/>
        <v>-98.04</v>
      </c>
    </row>
    <row r="19" spans="1:35" s="6" customFormat="1">
      <c r="A19" s="165"/>
      <c r="B19" s="165"/>
      <c r="C19" s="165"/>
      <c r="D19" s="174"/>
      <c r="E19" s="202"/>
      <c r="F19" s="202"/>
      <c r="G19" s="206"/>
      <c r="H19" s="202"/>
      <c r="I19" s="167" t="s">
        <v>119</v>
      </c>
      <c r="J19" s="222" t="str">
        <f t="shared" si="12"/>
        <v>AUD7M=</v>
      </c>
      <c r="K19" s="328">
        <v>-293.89999999999998</v>
      </c>
      <c r="L19" s="328">
        <v>-292.7</v>
      </c>
      <c r="M19" s="239"/>
      <c r="N19" s="243">
        <f t="shared" si="0"/>
        <v>-293.29999999999995</v>
      </c>
      <c r="O19" s="181"/>
      <c r="P19" s="119" t="s">
        <v>119</v>
      </c>
      <c r="Q19" s="222" t="str">
        <f t="shared" si="14"/>
        <v>GBP7M=</v>
      </c>
      <c r="R19" s="328">
        <v>-53.47</v>
      </c>
      <c r="S19" s="328">
        <v>-50.47</v>
      </c>
      <c r="T19" s="239"/>
      <c r="U19" s="243">
        <f t="shared" si="17"/>
        <v>-51.97</v>
      </c>
      <c r="V19" s="174"/>
      <c r="W19" s="167" t="s">
        <v>119</v>
      </c>
      <c r="X19" s="222" t="str">
        <f t="shared" si="15"/>
        <v>EUR7M=</v>
      </c>
      <c r="Y19" s="328">
        <v>-98.33</v>
      </c>
      <c r="Z19" s="328">
        <v>-96.83</v>
      </c>
      <c r="AA19" s="239"/>
      <c r="AB19" s="243">
        <f t="shared" si="18"/>
        <v>-97.58</v>
      </c>
      <c r="AC19" s="240"/>
      <c r="AD19" s="167" t="s">
        <v>119</v>
      </c>
      <c r="AE19" s="222" t="str">
        <f t="shared" si="16"/>
        <v>NZD7M=</v>
      </c>
      <c r="AF19" s="328">
        <v>-114.8</v>
      </c>
      <c r="AG19" s="328">
        <v>-112.3</v>
      </c>
      <c r="AH19" s="239"/>
      <c r="AI19" s="243">
        <f t="shared" si="19"/>
        <v>-113.55</v>
      </c>
    </row>
    <row r="20" spans="1:35">
      <c r="I20" s="167" t="s">
        <v>120</v>
      </c>
      <c r="J20" s="222" t="str">
        <f t="shared" si="12"/>
        <v>AUD8M=</v>
      </c>
      <c r="K20" s="328">
        <v>-336.42999999999995</v>
      </c>
      <c r="L20" s="328">
        <v>-334.92999999999995</v>
      </c>
      <c r="M20" s="239"/>
      <c r="N20" s="243">
        <f t="shared" si="0"/>
        <v>-335.67999999999995</v>
      </c>
      <c r="P20" s="119" t="s">
        <v>120</v>
      </c>
      <c r="Q20" s="222" t="str">
        <f t="shared" si="14"/>
        <v>GBP8M=</v>
      </c>
      <c r="R20" s="328">
        <v>-63.1</v>
      </c>
      <c r="S20" s="328">
        <v>-62.3</v>
      </c>
      <c r="T20" s="239"/>
      <c r="U20" s="243">
        <f t="shared" si="17"/>
        <v>-62.7</v>
      </c>
      <c r="W20" s="167" t="s">
        <v>120</v>
      </c>
      <c r="X20" s="222" t="str">
        <f t="shared" si="15"/>
        <v>EUR8M=</v>
      </c>
      <c r="Y20" s="328">
        <v>-115.2</v>
      </c>
      <c r="Z20" s="328">
        <v>-113.4</v>
      </c>
      <c r="AA20" s="239"/>
      <c r="AB20" s="243">
        <f t="shared" si="18"/>
        <v>-114.30000000000001</v>
      </c>
      <c r="AC20" s="240"/>
      <c r="AD20" s="167" t="s">
        <v>120</v>
      </c>
      <c r="AE20" s="222" t="str">
        <f t="shared" si="16"/>
        <v>NZD8M=</v>
      </c>
      <c r="AF20" s="328">
        <v>-131.9</v>
      </c>
      <c r="AG20" s="328">
        <v>-129.4</v>
      </c>
      <c r="AH20" s="239"/>
      <c r="AI20" s="243">
        <f t="shared" si="19"/>
        <v>-130.65</v>
      </c>
    </row>
    <row r="21" spans="1:35">
      <c r="I21" s="167" t="s">
        <v>32</v>
      </c>
      <c r="J21" s="222" t="str">
        <f t="shared" si="12"/>
        <v>AUD9M=</v>
      </c>
      <c r="K21" s="328">
        <v>-381.2</v>
      </c>
      <c r="L21" s="328">
        <v>-378.6</v>
      </c>
      <c r="M21" s="239"/>
      <c r="N21" s="243">
        <f t="shared" ref="N21:N28" si="20">IF(ISNUMBER(M21),M21,AVERAGE(K21:L21))</f>
        <v>-379.9</v>
      </c>
      <c r="P21" s="119" t="s">
        <v>32</v>
      </c>
      <c r="Q21" s="222" t="str">
        <f t="shared" si="14"/>
        <v>GBP9M=</v>
      </c>
      <c r="R21" s="328">
        <v>-73.06</v>
      </c>
      <c r="S21" s="328">
        <v>-69.06</v>
      </c>
      <c r="T21" s="239"/>
      <c r="U21" s="243">
        <f t="shared" si="17"/>
        <v>-71.06</v>
      </c>
      <c r="W21" s="167" t="s">
        <v>32</v>
      </c>
      <c r="X21" s="222" t="str">
        <f t="shared" si="15"/>
        <v>EUR9M=</v>
      </c>
      <c r="Y21" s="328">
        <v>-133.80000000000001</v>
      </c>
      <c r="Z21" s="328">
        <v>-132.30000000000001</v>
      </c>
      <c r="AA21" s="239"/>
      <c r="AB21" s="243">
        <f t="shared" si="18"/>
        <v>-133.05000000000001</v>
      </c>
      <c r="AC21" s="240"/>
      <c r="AD21" s="167" t="s">
        <v>32</v>
      </c>
      <c r="AE21" s="222" t="str">
        <f t="shared" si="16"/>
        <v>NZD9M=</v>
      </c>
      <c r="AF21" s="328">
        <v>-149.6</v>
      </c>
      <c r="AG21" s="328">
        <v>-147.19999999999999</v>
      </c>
      <c r="AH21" s="239"/>
      <c r="AI21" s="243">
        <f t="shared" si="19"/>
        <v>-148.39999999999998</v>
      </c>
    </row>
    <row r="22" spans="1:35">
      <c r="I22" s="167" t="s">
        <v>26</v>
      </c>
      <c r="J22" s="222" t="str">
        <f t="shared" si="12"/>
        <v>AUD1Y=</v>
      </c>
      <c r="K22" s="328">
        <v>-502.4</v>
      </c>
      <c r="L22" s="328">
        <v>-499.4</v>
      </c>
      <c r="M22" s="239"/>
      <c r="N22" s="797">
        <f t="shared" si="20"/>
        <v>-500.9</v>
      </c>
      <c r="P22" s="167" t="s">
        <v>26</v>
      </c>
      <c r="Q22" s="222" t="str">
        <f t="shared" si="14"/>
        <v>GBP1Y=</v>
      </c>
      <c r="R22" s="328">
        <v>-104.25</v>
      </c>
      <c r="S22" s="328">
        <v>-102.25</v>
      </c>
      <c r="T22" s="239"/>
      <c r="U22" s="797">
        <f t="shared" si="17"/>
        <v>-103.25</v>
      </c>
      <c r="W22" s="167" t="s">
        <v>26</v>
      </c>
      <c r="X22" s="222" t="str">
        <f t="shared" si="15"/>
        <v>EUR1Y=</v>
      </c>
      <c r="Y22" s="328">
        <v>-183.7</v>
      </c>
      <c r="Z22" s="328">
        <v>-181.7</v>
      </c>
      <c r="AA22" s="239"/>
      <c r="AB22" s="797">
        <f t="shared" si="18"/>
        <v>-182.7</v>
      </c>
      <c r="AC22" s="240"/>
      <c r="AD22" s="167" t="s">
        <v>26</v>
      </c>
      <c r="AE22" s="222" t="str">
        <f t="shared" si="16"/>
        <v>NZD1Y=</v>
      </c>
      <c r="AF22" s="328">
        <v>-202.82000000000002</v>
      </c>
      <c r="AG22" s="328">
        <v>-196.32000000000002</v>
      </c>
      <c r="AH22" s="239"/>
      <c r="AI22" s="797">
        <f t="shared" si="19"/>
        <v>-199.57000000000002</v>
      </c>
    </row>
    <row r="23" spans="1:35">
      <c r="I23" s="167" t="s">
        <v>27</v>
      </c>
      <c r="J23" s="222" t="str">
        <f t="shared" si="12"/>
        <v>AUD2Y=</v>
      </c>
      <c r="K23" s="328">
        <v>-938</v>
      </c>
      <c r="L23" s="328">
        <v>-931</v>
      </c>
      <c r="M23" s="239"/>
      <c r="N23" s="797">
        <f t="shared" si="20"/>
        <v>-934.5</v>
      </c>
      <c r="P23" s="167" t="s">
        <v>27</v>
      </c>
      <c r="Q23" s="222" t="str">
        <f t="shared" si="14"/>
        <v>GBP2Y=</v>
      </c>
      <c r="R23" s="328">
        <v>-222</v>
      </c>
      <c r="S23" s="328">
        <v>-208</v>
      </c>
      <c r="T23" s="239"/>
      <c r="U23" s="797">
        <f t="shared" si="17"/>
        <v>-215</v>
      </c>
      <c r="W23" s="167" t="s">
        <v>27</v>
      </c>
      <c r="X23" s="222" t="str">
        <f t="shared" si="15"/>
        <v>EUR2Y=</v>
      </c>
      <c r="Y23" s="328">
        <v>-353</v>
      </c>
      <c r="Z23" s="328">
        <v>-345</v>
      </c>
      <c r="AA23" s="239"/>
      <c r="AB23" s="797">
        <f t="shared" si="18"/>
        <v>-349</v>
      </c>
      <c r="AC23" s="240"/>
      <c r="AD23" s="167" t="s">
        <v>27</v>
      </c>
      <c r="AE23" s="222" t="str">
        <f t="shared" si="16"/>
        <v>NZD2Y=</v>
      </c>
      <c r="AF23" s="328">
        <v>-429.7</v>
      </c>
      <c r="AG23" s="328">
        <v>-411.7</v>
      </c>
      <c r="AH23" s="239"/>
      <c r="AI23" s="797">
        <f t="shared" si="19"/>
        <v>-420.7</v>
      </c>
    </row>
    <row r="24" spans="1:35">
      <c r="I24" s="167" t="s">
        <v>7</v>
      </c>
      <c r="J24" s="222" t="str">
        <f t="shared" si="12"/>
        <v>AUD3Y=</v>
      </c>
      <c r="K24" s="328">
        <v>-1287.0999999999999</v>
      </c>
      <c r="L24" s="328">
        <v>-1267.0999999999999</v>
      </c>
      <c r="M24" s="239"/>
      <c r="N24" s="797">
        <f t="shared" si="20"/>
        <v>-1277.0999999999999</v>
      </c>
      <c r="P24" s="167" t="s">
        <v>7</v>
      </c>
      <c r="Q24" s="222" t="str">
        <f t="shared" si="14"/>
        <v>GBP3Y=</v>
      </c>
      <c r="R24" s="328">
        <v>-305</v>
      </c>
      <c r="S24" s="328">
        <v>-290</v>
      </c>
      <c r="T24" s="239"/>
      <c r="U24" s="797">
        <f t="shared" si="17"/>
        <v>-297.5</v>
      </c>
      <c r="W24" s="167" t="s">
        <v>7</v>
      </c>
      <c r="X24" s="222" t="str">
        <f t="shared" si="15"/>
        <v>EUR3Y=</v>
      </c>
      <c r="Y24" s="328">
        <v>-436.8</v>
      </c>
      <c r="Z24" s="328">
        <v>-418.8</v>
      </c>
      <c r="AA24" s="239"/>
      <c r="AB24" s="797">
        <f t="shared" si="18"/>
        <v>-427.8</v>
      </c>
      <c r="AC24" s="240"/>
      <c r="AD24" s="167" t="s">
        <v>7</v>
      </c>
      <c r="AE24" s="222" t="str">
        <f t="shared" si="16"/>
        <v>NZD3Y=</v>
      </c>
      <c r="AF24" s="328">
        <v>-657</v>
      </c>
      <c r="AG24" s="328">
        <v>-617</v>
      </c>
      <c r="AH24" s="239"/>
      <c r="AI24" s="797">
        <f t="shared" si="19"/>
        <v>-637</v>
      </c>
    </row>
    <row r="25" spans="1:35">
      <c r="I25" s="167" t="s">
        <v>8</v>
      </c>
      <c r="J25" s="222" t="str">
        <f t="shared" si="12"/>
        <v>AUD4Y=</v>
      </c>
      <c r="K25" s="328">
        <v>-1555</v>
      </c>
      <c r="L25" s="328">
        <v>-1540</v>
      </c>
      <c r="M25" s="239"/>
      <c r="N25" s="797">
        <f t="shared" si="20"/>
        <v>-1547.5</v>
      </c>
      <c r="P25" s="167" t="s">
        <v>8</v>
      </c>
      <c r="Q25" s="222" t="str">
        <f t="shared" si="14"/>
        <v>GBP4Y=</v>
      </c>
      <c r="R25" s="328">
        <v>-357</v>
      </c>
      <c r="S25" s="328">
        <v>-335</v>
      </c>
      <c r="T25" s="239"/>
      <c r="U25" s="797">
        <f t="shared" si="17"/>
        <v>-346</v>
      </c>
      <c r="W25" s="167" t="s">
        <v>8</v>
      </c>
      <c r="X25" s="222" t="str">
        <f t="shared" si="15"/>
        <v>EUR4Y=</v>
      </c>
      <c r="Y25" s="328">
        <v>-444</v>
      </c>
      <c r="Z25" s="328">
        <v>-428</v>
      </c>
      <c r="AA25" s="239"/>
      <c r="AB25" s="797">
        <f t="shared" si="18"/>
        <v>-436</v>
      </c>
      <c r="AC25" s="240"/>
      <c r="AD25" s="167" t="s">
        <v>8</v>
      </c>
      <c r="AE25" s="222" t="str">
        <f t="shared" si="16"/>
        <v>NZD4Y=</v>
      </c>
      <c r="AF25" s="328">
        <v>-843</v>
      </c>
      <c r="AG25" s="328">
        <v>-803</v>
      </c>
      <c r="AH25" s="239"/>
      <c r="AI25" s="797">
        <f t="shared" si="19"/>
        <v>-823</v>
      </c>
    </row>
    <row r="26" spans="1:35">
      <c r="I26" s="167" t="s">
        <v>9</v>
      </c>
      <c r="J26" s="222" t="str">
        <f t="shared" si="12"/>
        <v>AUD5Y=</v>
      </c>
      <c r="K26" s="328">
        <v>-1799.6</v>
      </c>
      <c r="L26" s="328">
        <v>-1769.6</v>
      </c>
      <c r="M26" s="239"/>
      <c r="N26" s="797">
        <f t="shared" si="20"/>
        <v>-1784.6</v>
      </c>
      <c r="P26" s="167" t="s">
        <v>9</v>
      </c>
      <c r="Q26" s="222" t="str">
        <f t="shared" si="14"/>
        <v>GBP5Y=</v>
      </c>
      <c r="R26" s="328">
        <v>-349.5</v>
      </c>
      <c r="S26" s="328">
        <v>-321.5</v>
      </c>
      <c r="T26" s="239"/>
      <c r="U26" s="797">
        <f t="shared" si="17"/>
        <v>-335.5</v>
      </c>
      <c r="W26" s="167" t="s">
        <v>9</v>
      </c>
      <c r="X26" s="222" t="str">
        <f t="shared" si="15"/>
        <v>EUR5Y=</v>
      </c>
      <c r="Y26" s="328">
        <v>-403.96999999999997</v>
      </c>
      <c r="Z26" s="328">
        <v>-363.96999999999997</v>
      </c>
      <c r="AA26" s="239"/>
      <c r="AB26" s="797">
        <f t="shared" si="18"/>
        <v>-383.96999999999997</v>
      </c>
      <c r="AC26" s="240"/>
      <c r="AD26" s="167" t="s">
        <v>9</v>
      </c>
      <c r="AE26" s="222" t="str">
        <f t="shared" si="16"/>
        <v>NZD5Y=</v>
      </c>
      <c r="AF26" s="328">
        <v>-1057.2</v>
      </c>
      <c r="AG26" s="328">
        <v>-973.8</v>
      </c>
      <c r="AH26" s="239"/>
      <c r="AI26" s="797">
        <f t="shared" si="19"/>
        <v>-1015.5</v>
      </c>
    </row>
    <row r="27" spans="1:35">
      <c r="I27" s="167" t="s">
        <v>11</v>
      </c>
      <c r="J27" s="222" t="str">
        <f t="shared" si="12"/>
        <v>AUD7Y=</v>
      </c>
      <c r="K27" s="328">
        <v>-2183.9</v>
      </c>
      <c r="L27" s="328">
        <v>-2135.8000000000002</v>
      </c>
      <c r="M27" s="239"/>
      <c r="N27" s="797">
        <f t="shared" si="20"/>
        <v>-2159.8500000000004</v>
      </c>
      <c r="P27" s="167" t="s">
        <v>11</v>
      </c>
      <c r="Q27" s="222" t="str">
        <f t="shared" si="14"/>
        <v>GBP7Y=</v>
      </c>
      <c r="R27" s="328">
        <v>-311</v>
      </c>
      <c r="S27" s="328">
        <v>-277</v>
      </c>
      <c r="T27" s="239"/>
      <c r="U27" s="797">
        <f t="shared" si="17"/>
        <v>-294</v>
      </c>
      <c r="W27" s="167" t="s">
        <v>11</v>
      </c>
      <c r="X27" s="222" t="str">
        <f t="shared" si="15"/>
        <v>EUR7Y=</v>
      </c>
      <c r="Y27" s="328">
        <v>-228</v>
      </c>
      <c r="Z27" s="328">
        <v>-155</v>
      </c>
      <c r="AA27" s="239"/>
      <c r="AB27" s="797">
        <f t="shared" si="18"/>
        <v>-191.5</v>
      </c>
      <c r="AC27" s="240"/>
      <c r="AD27" s="167" t="s">
        <v>11</v>
      </c>
      <c r="AE27" s="222" t="str">
        <f t="shared" si="16"/>
        <v>NZD7Y=</v>
      </c>
      <c r="AF27" s="328">
        <v>-1300</v>
      </c>
      <c r="AG27" s="328">
        <v>-1220</v>
      </c>
      <c r="AH27" s="239"/>
      <c r="AI27" s="797">
        <f t="shared" si="19"/>
        <v>-1260</v>
      </c>
    </row>
    <row r="28" spans="1:35" s="7" customFormat="1">
      <c r="A28" s="172"/>
      <c r="B28" s="172"/>
      <c r="C28" s="172"/>
      <c r="D28" s="174"/>
      <c r="E28" s="202"/>
      <c r="F28" s="202"/>
      <c r="G28" s="206"/>
      <c r="H28" s="202"/>
      <c r="I28" s="167" t="s">
        <v>14</v>
      </c>
      <c r="J28" s="222" t="str">
        <f t="shared" si="12"/>
        <v>AUD10Y=</v>
      </c>
      <c r="K28" s="328">
        <v>-2622.6</v>
      </c>
      <c r="L28" s="328">
        <v>-2547.6</v>
      </c>
      <c r="M28" s="239"/>
      <c r="N28" s="797">
        <f t="shared" si="20"/>
        <v>-2585.1</v>
      </c>
      <c r="O28" s="181"/>
      <c r="P28" s="167" t="s">
        <v>14</v>
      </c>
      <c r="Q28" s="222" t="str">
        <f t="shared" si="14"/>
        <v>GBP10Y=</v>
      </c>
      <c r="R28" s="328">
        <v>-228</v>
      </c>
      <c r="S28" s="328">
        <v>-178</v>
      </c>
      <c r="T28" s="239"/>
      <c r="U28" s="797">
        <f t="shared" si="17"/>
        <v>-203</v>
      </c>
      <c r="V28" s="174"/>
      <c r="W28" s="167" t="s">
        <v>14</v>
      </c>
      <c r="X28" s="222" t="str">
        <f t="shared" si="15"/>
        <v>EUR10Y=</v>
      </c>
      <c r="Y28" s="328">
        <v>101</v>
      </c>
      <c r="Z28" s="328">
        <v>145</v>
      </c>
      <c r="AA28" s="239"/>
      <c r="AB28" s="797">
        <f t="shared" si="18"/>
        <v>123</v>
      </c>
      <c r="AC28" s="240"/>
      <c r="AD28" s="167" t="s">
        <v>14</v>
      </c>
      <c r="AE28" s="222" t="str">
        <f t="shared" si="16"/>
        <v>NZD10Y=</v>
      </c>
      <c r="AF28" s="328">
        <v>-1655</v>
      </c>
      <c r="AG28" s="328">
        <v>-1555</v>
      </c>
      <c r="AH28" s="239"/>
      <c r="AI28" s="797">
        <f t="shared" si="19"/>
        <v>-1605</v>
      </c>
    </row>
    <row r="31" spans="1:35">
      <c r="D31" s="116"/>
      <c r="E31" s="204"/>
      <c r="F31" s="204"/>
      <c r="H31" s="204"/>
      <c r="I31" s="116" t="s">
        <v>297</v>
      </c>
      <c r="J31" s="206" t="str">
        <f ca="1">_xll.RtUpdate("IDN",J32:J41,G32:G33,K32,,RTMODE_FX)</f>
        <v>Updated at 16:59:39</v>
      </c>
      <c r="K31" s="57"/>
      <c r="L31" s="57"/>
      <c r="M31" s="57"/>
      <c r="N31" s="60"/>
      <c r="O31" s="57"/>
      <c r="P31" s="241" t="s">
        <v>298</v>
      </c>
      <c r="Q31" s="202" t="str">
        <f ca="1">_xll.RtUpdate("IDN",Q32:Q43,G32:G33,R32,,RTMODE_FX)</f>
        <v>Updated at 16:59:39</v>
      </c>
      <c r="R31" s="57"/>
      <c r="S31" s="57"/>
      <c r="T31" s="57"/>
      <c r="U31" s="60"/>
      <c r="V31" s="116"/>
      <c r="W31" s="116" t="s">
        <v>299</v>
      </c>
      <c r="X31" s="202" t="str">
        <f ca="1">_xll.RtUpdate("IDN",X32:X44,G32:G33,Y32,,RTMODE_FX)</f>
        <v>Updated at 16:59:39</v>
      </c>
      <c r="Y31" s="57"/>
      <c r="Z31" s="57"/>
      <c r="AA31" s="57"/>
      <c r="AB31" s="60"/>
      <c r="AC31" s="116"/>
      <c r="AD31" s="116" t="s">
        <v>300</v>
      </c>
      <c r="AE31" s="202" t="str">
        <f ca="1">_xll.RtUpdate("IDN",AE32:AE40,G32:G33,AF32,,RTMODE_FX)</f>
        <v>Updated at 16:59:37</v>
      </c>
      <c r="AF31" s="57"/>
      <c r="AG31" s="57"/>
      <c r="AH31" s="57"/>
      <c r="AI31" s="60"/>
    </row>
    <row r="32" spans="1:35">
      <c r="G32" s="208" t="s">
        <v>45</v>
      </c>
      <c r="I32" s="244" t="s">
        <v>26</v>
      </c>
      <c r="J32" s="222" t="str">
        <f t="array" ref="J32:J41">"AU3AB3LND"&amp;I32:I41&amp;"=ICAA"</f>
        <v>AU3AB3LND1Y=ICAA</v>
      </c>
      <c r="K32" s="329">
        <v>2.25</v>
      </c>
      <c r="L32" s="329">
        <v>10.25</v>
      </c>
      <c r="M32" s="239"/>
      <c r="N32" s="246">
        <f t="shared" ref="N32:N41" si="21">IF(ISNUMBER(M32),M32,AVERAGE(K32:L32))</f>
        <v>6.25</v>
      </c>
      <c r="P32" s="251" t="s">
        <v>26</v>
      </c>
      <c r="Q32" s="222" t="str">
        <f t="shared" ref="Q32:Q43" si="22">"GBPCBS"&amp;P32&amp;"=ICAP"</f>
        <v>GBPCBS1Y=ICAP</v>
      </c>
      <c r="R32" s="329">
        <v>-3.5</v>
      </c>
      <c r="S32" s="329">
        <v>6.5</v>
      </c>
      <c r="T32" s="239"/>
      <c r="U32" s="246">
        <f t="shared" ref="U32:U41" si="23">IF(ISNUMBER(T32),T32,AVERAGE(R32:S32))</f>
        <v>1.5</v>
      </c>
      <c r="W32" s="244" t="s">
        <v>26</v>
      </c>
      <c r="X32" s="222" t="str">
        <f t="shared" ref="X32:X44" si="24">"EURCBS"&amp;W32&amp;"=ICAP"</f>
        <v>EURCBS1Y=ICAP</v>
      </c>
      <c r="Y32" s="329">
        <v>-20.5</v>
      </c>
      <c r="Z32" s="329">
        <v>-15.5</v>
      </c>
      <c r="AA32" s="239"/>
      <c r="AB32" s="246">
        <f t="shared" ref="AB32:AB33" si="25">IF(ISNUMBER(AA32),AA32,AVERAGE(Y32:Z32))</f>
        <v>-18</v>
      </c>
      <c r="AD32" s="244" t="s">
        <v>26</v>
      </c>
      <c r="AE32" s="326" t="str">
        <f t="shared" ref="AE32:AE40" si="26">"NZDCBS"&amp;AD32&amp;"=ICAP"</f>
        <v>NZDCBS1Y=ICAP</v>
      </c>
      <c r="AF32" s="329">
        <v>8.5</v>
      </c>
      <c r="AG32" s="329">
        <v>18.5</v>
      </c>
      <c r="AH32" s="239"/>
      <c r="AI32" s="246">
        <f t="shared" ref="AI32:AI40" si="27">IF(ISNUMBER(AH32),AH32,AVERAGE(AF32:AG32))</f>
        <v>13.5</v>
      </c>
    </row>
    <row r="33" spans="7:35">
      <c r="G33" s="208" t="s">
        <v>46</v>
      </c>
      <c r="I33" s="244" t="s">
        <v>27</v>
      </c>
      <c r="J33" s="222" t="str">
        <v>AU3AB3LND2Y=ICAA</v>
      </c>
      <c r="K33" s="329">
        <v>6.75</v>
      </c>
      <c r="L33" s="329">
        <v>14.75</v>
      </c>
      <c r="M33" s="239"/>
      <c r="N33" s="246">
        <f t="shared" si="21"/>
        <v>10.75</v>
      </c>
      <c r="P33" s="251" t="s">
        <v>27</v>
      </c>
      <c r="Q33" s="222" t="str">
        <f t="shared" si="22"/>
        <v>GBPCBS2Y=ICAP</v>
      </c>
      <c r="R33" s="329">
        <v>1.5</v>
      </c>
      <c r="S33" s="329">
        <v>6.5</v>
      </c>
      <c r="T33" s="239"/>
      <c r="U33" s="246">
        <f t="shared" si="23"/>
        <v>4</v>
      </c>
      <c r="W33" s="244" t="s">
        <v>27</v>
      </c>
      <c r="X33" s="222" t="str">
        <f t="shared" si="24"/>
        <v>EURCBS2Y=ICAP</v>
      </c>
      <c r="Y33" s="329">
        <v>-21</v>
      </c>
      <c r="Z33" s="329">
        <v>-16</v>
      </c>
      <c r="AA33" s="239"/>
      <c r="AB33" s="246">
        <f t="shared" si="25"/>
        <v>-18.5</v>
      </c>
      <c r="AD33" s="244" t="s">
        <v>27</v>
      </c>
      <c r="AE33" s="326" t="str">
        <f t="shared" si="26"/>
        <v>NZDCBS2Y=ICAP</v>
      </c>
      <c r="AF33" s="329">
        <v>15.5</v>
      </c>
      <c r="AG33" s="329">
        <v>25.5</v>
      </c>
      <c r="AH33" s="239"/>
      <c r="AI33" s="246">
        <f t="shared" si="27"/>
        <v>20.5</v>
      </c>
    </row>
    <row r="34" spans="7:35">
      <c r="I34" s="244" t="s">
        <v>7</v>
      </c>
      <c r="J34" s="222" t="str">
        <v>AU3AB3LND3Y=ICAA</v>
      </c>
      <c r="K34" s="329">
        <v>10.5</v>
      </c>
      <c r="L34" s="329">
        <v>18.5</v>
      </c>
      <c r="M34" s="239"/>
      <c r="N34" s="246">
        <f t="shared" si="21"/>
        <v>14.5</v>
      </c>
      <c r="P34" s="251" t="s">
        <v>7</v>
      </c>
      <c r="Q34" s="222" t="str">
        <f t="shared" si="22"/>
        <v>GBPCBS3Y=ICAP</v>
      </c>
      <c r="R34" s="329">
        <v>4</v>
      </c>
      <c r="S34" s="329">
        <v>9</v>
      </c>
      <c r="T34" s="239"/>
      <c r="U34" s="246">
        <f t="shared" si="23"/>
        <v>6.5</v>
      </c>
      <c r="W34" s="244" t="s">
        <v>7</v>
      </c>
      <c r="X34" s="222" t="str">
        <f t="shared" si="24"/>
        <v>EURCBS3Y=ICAP</v>
      </c>
      <c r="Y34" s="329">
        <v>-20.75</v>
      </c>
      <c r="Z34" s="329">
        <v>-15.75</v>
      </c>
      <c r="AA34" s="239"/>
      <c r="AB34" s="246">
        <f t="shared" ref="AB34:AB44" si="28">IF(ISNUMBER(AA34),AA34,AVERAGE(Y34:Z34))</f>
        <v>-18.25</v>
      </c>
      <c r="AD34" s="244" t="s">
        <v>7</v>
      </c>
      <c r="AE34" s="326" t="str">
        <f t="shared" si="26"/>
        <v>NZDCBS3Y=ICAP</v>
      </c>
      <c r="AF34" s="329">
        <v>21</v>
      </c>
      <c r="AG34" s="329">
        <v>31</v>
      </c>
      <c r="AH34" s="239"/>
      <c r="AI34" s="246">
        <f t="shared" si="27"/>
        <v>26</v>
      </c>
    </row>
    <row r="35" spans="7:35">
      <c r="I35" s="244" t="s">
        <v>8</v>
      </c>
      <c r="J35" s="222" t="str">
        <v>AU3AB3LND4Y=ICAA</v>
      </c>
      <c r="K35" s="329">
        <v>13.25</v>
      </c>
      <c r="L35" s="329">
        <v>21.25</v>
      </c>
      <c r="M35" s="239"/>
      <c r="N35" s="246">
        <f t="shared" si="21"/>
        <v>17.25</v>
      </c>
      <c r="P35" s="251" t="s">
        <v>8</v>
      </c>
      <c r="Q35" s="222" t="str">
        <f t="shared" si="22"/>
        <v>GBPCBS4Y=ICAP</v>
      </c>
      <c r="R35" s="329">
        <v>4</v>
      </c>
      <c r="S35" s="329">
        <v>9</v>
      </c>
      <c r="T35" s="239"/>
      <c r="U35" s="246">
        <f t="shared" si="23"/>
        <v>6.5</v>
      </c>
      <c r="W35" s="244" t="s">
        <v>8</v>
      </c>
      <c r="X35" s="222" t="str">
        <f t="shared" si="24"/>
        <v>EURCBS4Y=ICAP</v>
      </c>
      <c r="Y35" s="329">
        <v>-19.75</v>
      </c>
      <c r="Z35" s="329">
        <v>-14.75</v>
      </c>
      <c r="AA35" s="239"/>
      <c r="AB35" s="246">
        <f t="shared" si="28"/>
        <v>-17.25</v>
      </c>
      <c r="AD35" s="244" t="s">
        <v>8</v>
      </c>
      <c r="AE35" s="326" t="str">
        <f t="shared" si="26"/>
        <v>NZDCBS4Y=ICAP</v>
      </c>
      <c r="AF35" s="329">
        <v>25.75</v>
      </c>
      <c r="AG35" s="329">
        <v>35.75</v>
      </c>
      <c r="AH35" s="239"/>
      <c r="AI35" s="246">
        <f t="shared" si="27"/>
        <v>30.75</v>
      </c>
    </row>
    <row r="36" spans="7:35">
      <c r="I36" s="244" t="s">
        <v>9</v>
      </c>
      <c r="J36" s="222" t="str">
        <v>AU3AB3LND5Y=ICAA</v>
      </c>
      <c r="K36" s="329">
        <v>16</v>
      </c>
      <c r="L36" s="329">
        <v>24</v>
      </c>
      <c r="M36" s="239"/>
      <c r="N36" s="246">
        <f t="shared" si="21"/>
        <v>20</v>
      </c>
      <c r="P36" s="251" t="s">
        <v>9</v>
      </c>
      <c r="Q36" s="222" t="str">
        <f t="shared" si="22"/>
        <v>GBPCBS5Y=ICAP</v>
      </c>
      <c r="R36" s="329">
        <v>4</v>
      </c>
      <c r="S36" s="329">
        <v>9</v>
      </c>
      <c r="T36" s="239"/>
      <c r="U36" s="246">
        <f t="shared" ref="U36:U37" si="29">IF(ISNUMBER(T36),T36,AVERAGE(R36:S36))</f>
        <v>6.5</v>
      </c>
      <c r="W36" s="244" t="s">
        <v>9</v>
      </c>
      <c r="X36" s="222" t="str">
        <f t="shared" si="24"/>
        <v>EURCBS5Y=ICAP</v>
      </c>
      <c r="Y36" s="329">
        <v>-18.75</v>
      </c>
      <c r="Z36" s="329">
        <v>-13.75</v>
      </c>
      <c r="AA36" s="239"/>
      <c r="AB36" s="246">
        <f t="shared" si="28"/>
        <v>-16.25</v>
      </c>
      <c r="AD36" s="244" t="s">
        <v>9</v>
      </c>
      <c r="AE36" s="326" t="str">
        <f t="shared" si="26"/>
        <v>NZDCBS5Y=ICAP</v>
      </c>
      <c r="AF36" s="329">
        <v>30</v>
      </c>
      <c r="AG36" s="329">
        <v>40</v>
      </c>
      <c r="AH36" s="239"/>
      <c r="AI36" s="246">
        <f t="shared" si="27"/>
        <v>35</v>
      </c>
    </row>
    <row r="37" spans="7:35">
      <c r="I37" s="244" t="s">
        <v>11</v>
      </c>
      <c r="J37" s="222" t="str">
        <v>AU3AB3LND7Y=ICAA</v>
      </c>
      <c r="K37" s="329">
        <v>20.25</v>
      </c>
      <c r="L37" s="329">
        <v>28.25</v>
      </c>
      <c r="M37" s="239"/>
      <c r="N37" s="246">
        <f t="shared" si="21"/>
        <v>24.25</v>
      </c>
      <c r="P37" s="251" t="s">
        <v>11</v>
      </c>
      <c r="Q37" s="222" t="str">
        <f t="shared" si="22"/>
        <v>GBPCBS7Y=ICAP</v>
      </c>
      <c r="R37" s="329">
        <v>1.75</v>
      </c>
      <c r="S37" s="329">
        <v>6.75</v>
      </c>
      <c r="T37" s="239"/>
      <c r="U37" s="246">
        <f t="shared" si="29"/>
        <v>4.25</v>
      </c>
      <c r="W37" s="244" t="s">
        <v>11</v>
      </c>
      <c r="X37" s="222" t="str">
        <f t="shared" si="24"/>
        <v>EURCBS7Y=ICAP</v>
      </c>
      <c r="Y37" s="329">
        <v>-16</v>
      </c>
      <c r="Z37" s="329">
        <v>-11</v>
      </c>
      <c r="AA37" s="239"/>
      <c r="AB37" s="246">
        <f t="shared" si="28"/>
        <v>-13.5</v>
      </c>
      <c r="AD37" s="244" t="s">
        <v>11</v>
      </c>
      <c r="AE37" s="326" t="str">
        <f t="shared" si="26"/>
        <v>NZDCBS7Y=ICAP</v>
      </c>
      <c r="AF37" s="329">
        <v>34.25</v>
      </c>
      <c r="AG37" s="329">
        <v>44.25</v>
      </c>
      <c r="AH37" s="239"/>
      <c r="AI37" s="246">
        <f t="shared" si="27"/>
        <v>39.25</v>
      </c>
    </row>
    <row r="38" spans="7:35">
      <c r="I38" s="244" t="s">
        <v>14</v>
      </c>
      <c r="J38" s="222" t="str">
        <v>AU3AB3LND10Y=ICAA</v>
      </c>
      <c r="K38" s="329">
        <v>23.5</v>
      </c>
      <c r="L38" s="329">
        <v>31.5</v>
      </c>
      <c r="M38" s="239"/>
      <c r="N38" s="246">
        <f t="shared" si="21"/>
        <v>27.5</v>
      </c>
      <c r="P38" s="251" t="s">
        <v>14</v>
      </c>
      <c r="Q38" s="222" t="str">
        <f t="shared" si="22"/>
        <v>GBPCBS10Y=ICAP</v>
      </c>
      <c r="R38" s="329">
        <v>-0.5</v>
      </c>
      <c r="S38" s="329">
        <v>4.5</v>
      </c>
      <c r="T38" s="239"/>
      <c r="U38" s="246">
        <f t="shared" si="23"/>
        <v>2</v>
      </c>
      <c r="W38" s="244" t="s">
        <v>14</v>
      </c>
      <c r="X38" s="222" t="str">
        <f t="shared" si="24"/>
        <v>EURCBS10Y=ICAP</v>
      </c>
      <c r="Y38" s="329">
        <v>-12</v>
      </c>
      <c r="Z38" s="329">
        <v>-7</v>
      </c>
      <c r="AA38" s="239"/>
      <c r="AB38" s="246">
        <f t="shared" si="28"/>
        <v>-9.5</v>
      </c>
      <c r="AD38" s="244" t="s">
        <v>14</v>
      </c>
      <c r="AE38" s="326" t="str">
        <f t="shared" si="26"/>
        <v>NZDCBS10Y=ICAP</v>
      </c>
      <c r="AF38" s="329">
        <v>35.5</v>
      </c>
      <c r="AG38" s="329">
        <v>45.5</v>
      </c>
      <c r="AH38" s="239"/>
      <c r="AI38" s="246">
        <f t="shared" si="27"/>
        <v>40.5</v>
      </c>
    </row>
    <row r="39" spans="7:35">
      <c r="I39" s="244" t="s">
        <v>16</v>
      </c>
      <c r="J39" s="222" t="str">
        <v>AU3AB3LND15Y=ICAA</v>
      </c>
      <c r="K39" s="329">
        <v>17.75</v>
      </c>
      <c r="L39" s="329">
        <v>26.75</v>
      </c>
      <c r="M39" s="239"/>
      <c r="N39" s="246">
        <f t="shared" si="21"/>
        <v>22.25</v>
      </c>
      <c r="P39" s="251" t="s">
        <v>16</v>
      </c>
      <c r="Q39" s="222" t="str">
        <f t="shared" si="22"/>
        <v>GBPCBS15Y=ICAP</v>
      </c>
      <c r="R39" s="329">
        <v>-4.5</v>
      </c>
      <c r="S39" s="329">
        <v>0.5</v>
      </c>
      <c r="T39" s="239"/>
      <c r="U39" s="246">
        <f t="shared" si="23"/>
        <v>-2</v>
      </c>
      <c r="W39" s="244" t="s">
        <v>16</v>
      </c>
      <c r="X39" s="222" t="str">
        <f t="shared" si="24"/>
        <v>EURCBS15Y=ICAP</v>
      </c>
      <c r="Y39" s="329">
        <v>-7</v>
      </c>
      <c r="Z39" s="329">
        <v>-2</v>
      </c>
      <c r="AA39" s="239"/>
      <c r="AB39" s="246">
        <f t="shared" si="28"/>
        <v>-4.5</v>
      </c>
      <c r="AD39" s="244" t="s">
        <v>16</v>
      </c>
      <c r="AE39" s="326" t="str">
        <f t="shared" si="26"/>
        <v>NZDCBS15Y=ICAP</v>
      </c>
      <c r="AF39" s="329">
        <v>36</v>
      </c>
      <c r="AG39" s="329">
        <v>46</v>
      </c>
      <c r="AH39" s="239"/>
      <c r="AI39" s="246">
        <f t="shared" si="27"/>
        <v>41</v>
      </c>
    </row>
    <row r="40" spans="7:35">
      <c r="I40" s="244" t="s">
        <v>17</v>
      </c>
      <c r="J40" s="222" t="str">
        <v>AU3AB3LND20Y=ICAA</v>
      </c>
      <c r="K40" s="329">
        <v>11</v>
      </c>
      <c r="L40" s="329">
        <v>20</v>
      </c>
      <c r="M40" s="239"/>
      <c r="N40" s="246">
        <f t="shared" si="21"/>
        <v>15.5</v>
      </c>
      <c r="P40" s="251" t="s">
        <v>17</v>
      </c>
      <c r="Q40" s="222" t="str">
        <f t="shared" si="22"/>
        <v>GBPCBS20Y=ICAP</v>
      </c>
      <c r="R40" s="329">
        <v>-5.25</v>
      </c>
      <c r="S40" s="329">
        <v>-0.25</v>
      </c>
      <c r="T40" s="239"/>
      <c r="U40" s="246">
        <f t="shared" si="23"/>
        <v>-2.75</v>
      </c>
      <c r="W40" s="244" t="s">
        <v>17</v>
      </c>
      <c r="X40" s="222" t="str">
        <f t="shared" si="24"/>
        <v>EURCBS20Y=ICAP</v>
      </c>
      <c r="Y40" s="329">
        <v>-1.5</v>
      </c>
      <c r="Z40" s="329">
        <v>3.5</v>
      </c>
      <c r="AA40" s="239"/>
      <c r="AB40" s="246">
        <f t="shared" si="28"/>
        <v>1</v>
      </c>
      <c r="AD40" s="244" t="s">
        <v>17</v>
      </c>
      <c r="AE40" s="326" t="str">
        <f t="shared" si="26"/>
        <v>NZDCBS20Y=ICAP</v>
      </c>
      <c r="AF40" s="329">
        <v>35.25</v>
      </c>
      <c r="AG40" s="329">
        <v>45.25</v>
      </c>
      <c r="AH40" s="239"/>
      <c r="AI40" s="246">
        <f t="shared" si="27"/>
        <v>40.25</v>
      </c>
    </row>
    <row r="41" spans="7:35">
      <c r="I41" s="244" t="s">
        <v>19</v>
      </c>
      <c r="J41" s="222" t="str">
        <v>AU3AB3LND30Y=ICAA</v>
      </c>
      <c r="K41" s="329">
        <v>-1.25</v>
      </c>
      <c r="L41" s="329">
        <v>7.75</v>
      </c>
      <c r="M41" s="239"/>
      <c r="N41" s="246">
        <f t="shared" si="21"/>
        <v>3.25</v>
      </c>
      <c r="P41" s="251" t="s">
        <v>19</v>
      </c>
      <c r="Q41" s="222" t="str">
        <f t="shared" si="22"/>
        <v>GBPCBS30Y=ICAP</v>
      </c>
      <c r="R41" s="329">
        <v>-1.25</v>
      </c>
      <c r="S41" s="329">
        <v>3.75</v>
      </c>
      <c r="T41" s="239"/>
      <c r="U41" s="246">
        <f t="shared" si="23"/>
        <v>1.25</v>
      </c>
      <c r="W41" s="244" t="s">
        <v>18</v>
      </c>
      <c r="X41" s="222" t="str">
        <f t="shared" si="24"/>
        <v>EURCBS25Y=ICAP</v>
      </c>
      <c r="Y41" s="329">
        <v>2</v>
      </c>
      <c r="Z41" s="329">
        <v>7</v>
      </c>
      <c r="AA41" s="239"/>
      <c r="AB41" s="246">
        <f t="shared" si="28"/>
        <v>4.5</v>
      </c>
    </row>
    <row r="42" spans="7:35">
      <c r="I42" s="244"/>
      <c r="P42" s="251" t="s">
        <v>28</v>
      </c>
      <c r="Q42" s="222" t="str">
        <f t="shared" si="22"/>
        <v>GBPCBS40Y=ICAP</v>
      </c>
      <c r="R42" s="329">
        <v>2.25</v>
      </c>
      <c r="S42" s="329">
        <v>7.25</v>
      </c>
      <c r="T42" s="239"/>
      <c r="U42" s="246">
        <f t="shared" ref="U42" si="30">IF(ISNUMBER(T42),T42,AVERAGE(R42:S42))</f>
        <v>4.75</v>
      </c>
      <c r="W42" s="244" t="s">
        <v>19</v>
      </c>
      <c r="X42" s="222" t="str">
        <f t="shared" si="24"/>
        <v>EURCBS30Y=ICAP</v>
      </c>
      <c r="Y42" s="329">
        <v>5</v>
      </c>
      <c r="Z42" s="329">
        <v>10</v>
      </c>
      <c r="AA42" s="239"/>
      <c r="AB42" s="246">
        <f t="shared" si="28"/>
        <v>7.5</v>
      </c>
    </row>
    <row r="43" spans="7:35">
      <c r="I43" s="244"/>
      <c r="P43" s="251" t="s">
        <v>213</v>
      </c>
      <c r="Q43" s="222" t="str">
        <f t="shared" si="22"/>
        <v>GBPCBS50Y=ICAP</v>
      </c>
      <c r="R43" s="329">
        <v>3.25</v>
      </c>
      <c r="S43" s="329">
        <v>8.25</v>
      </c>
      <c r="T43" s="239"/>
      <c r="U43" s="246">
        <f t="shared" ref="U43" si="31">IF(ISNUMBER(T43),T43,AVERAGE(R43:S43))</f>
        <v>5.75</v>
      </c>
      <c r="W43" s="244" t="s">
        <v>28</v>
      </c>
      <c r="X43" s="222" t="str">
        <f t="shared" si="24"/>
        <v>EURCBS40Y=ICAP</v>
      </c>
      <c r="Y43" s="329">
        <v>8.75</v>
      </c>
      <c r="Z43" s="329">
        <v>13.75</v>
      </c>
      <c r="AA43" s="239"/>
      <c r="AB43" s="246">
        <f t="shared" si="28"/>
        <v>11.25</v>
      </c>
    </row>
    <row r="44" spans="7:35">
      <c r="I44" s="244"/>
      <c r="W44" s="244" t="s">
        <v>213</v>
      </c>
      <c r="X44" s="222" t="str">
        <f t="shared" si="24"/>
        <v>EURCBS50Y=ICAP</v>
      </c>
      <c r="Y44" s="329">
        <v>9.75</v>
      </c>
      <c r="Z44" s="329">
        <v>14.75</v>
      </c>
      <c r="AA44" s="239"/>
      <c r="AB44" s="246">
        <f t="shared" si="28"/>
        <v>12.25</v>
      </c>
    </row>
    <row r="45" spans="7:35">
      <c r="I45" s="244"/>
    </row>
    <row r="46" spans="7:35">
      <c r="I46" s="244"/>
    </row>
    <row r="47" spans="7:35">
      <c r="I47" s="244"/>
    </row>
    <row r="48" spans="7:35" ht="12.75" customHeight="1">
      <c r="G48" s="206" t="s">
        <v>756</v>
      </c>
      <c r="I48" s="244"/>
    </row>
    <row r="49" spans="7:31" ht="12.75" customHeight="1">
      <c r="G49" s="206" t="s">
        <v>757</v>
      </c>
      <c r="I49" s="244"/>
    </row>
    <row r="50" spans="7:31" ht="12.75" customHeight="1">
      <c r="G50" s="212">
        <v>1</v>
      </c>
      <c r="I50" s="244"/>
    </row>
    <row r="51" spans="7:31">
      <c r="I51" s="244"/>
    </row>
    <row r="52" spans="7:31">
      <c r="I52" s="244"/>
    </row>
    <row r="53" spans="7:31">
      <c r="I53" s="244"/>
    </row>
    <row r="54" spans="7:31">
      <c r="I54" s="244"/>
    </row>
    <row r="55" spans="7:31">
      <c r="I55" s="244"/>
    </row>
    <row r="56" spans="7:31">
      <c r="I56" s="244"/>
    </row>
    <row r="57" spans="7:31">
      <c r="I57" s="244"/>
    </row>
    <row r="58" spans="7:31">
      <c r="I58" s="244"/>
    </row>
    <row r="59" spans="7:31">
      <c r="I59" s="244"/>
    </row>
    <row r="60" spans="7:31">
      <c r="I60" s="244"/>
    </row>
    <row r="61" spans="7:31">
      <c r="I61" s="317" t="s">
        <v>301</v>
      </c>
    </row>
    <row r="62" spans="7:31">
      <c r="I62" s="313" t="s">
        <v>330</v>
      </c>
      <c r="K62" s="314" t="s">
        <v>332</v>
      </c>
      <c r="L62" s="315" t="s">
        <v>333</v>
      </c>
      <c r="M62" s="316"/>
      <c r="N62" s="316" t="s">
        <v>331</v>
      </c>
      <c r="O62" s="309"/>
      <c r="P62" s="310"/>
      <c r="Q62" s="808"/>
      <c r="R62" s="311"/>
      <c r="S62" s="311"/>
      <c r="T62" s="311"/>
      <c r="U62" s="312"/>
      <c r="AE62" s="324"/>
    </row>
    <row r="63" spans="7:31">
      <c r="I63" s="174" t="s">
        <v>142</v>
      </c>
      <c r="K63" s="308">
        <f>N7</f>
        <v>1.0594999999999999</v>
      </c>
      <c r="L63" s="248" t="str">
        <f>"Fxcurve"&amp;I63</f>
        <v>FxcurveAUD</v>
      </c>
      <c r="N63" s="55" t="str">
        <f>_xll.qFXcurve(L63,I63,Today,I7:I28,N7:N28)</f>
        <v>FxcurveAUD|[Swap Pricer 1f.xlsm]FX!$N$63#13203</v>
      </c>
      <c r="X63" s="808"/>
    </row>
    <row r="64" spans="7:31">
      <c r="I64" s="174" t="s">
        <v>256</v>
      </c>
      <c r="K64" s="308">
        <f>U7</f>
        <v>1.6214499999999998</v>
      </c>
      <c r="L64" s="248" t="str">
        <f>"Fxcurve"&amp;I64</f>
        <v>FxcurveGBP</v>
      </c>
      <c r="N64" s="55" t="str">
        <f>_xll.qFXcurve(L64,I64,Today,P7:P28,U7:U28)</f>
        <v>FxcurveGBP|[Swap Pricer 1f.xlsm]FX!$N$64#13197</v>
      </c>
    </row>
    <row r="65" spans="9:14">
      <c r="I65" s="174" t="s">
        <v>258</v>
      </c>
      <c r="K65" s="308">
        <f>AB7</f>
        <v>1.4166499999999997</v>
      </c>
      <c r="L65" s="248" t="str">
        <f>"Fxcurve"&amp;I65</f>
        <v>FxcurveEUR</v>
      </c>
      <c r="N65" s="55" t="str">
        <f>_xll.qFXcurve(L65,I65,Today,W7:W28,AB7:AB28)</f>
        <v>FxcurveEUR|[Swap Pricer 1f.xlsm]FX!$N$65#13199</v>
      </c>
    </row>
    <row r="66" spans="9:14">
      <c r="I66" s="174" t="s">
        <v>257</v>
      </c>
      <c r="K66" s="308">
        <f>AI7</f>
        <v>0.78125</v>
      </c>
      <c r="L66" s="248" t="str">
        <f>"Fxcurve"&amp;I66</f>
        <v>FxcurveNZD</v>
      </c>
      <c r="N66" s="55" t="str">
        <f>_xll.qFXcurve(L66,I66,Today,AD7:AD28,AI7:AI28)</f>
        <v>FxcurveNZD|[Swap Pricer 1f.xlsm]FX!$N$66#13198</v>
      </c>
    </row>
    <row r="67" spans="9:14">
      <c r="I67" s="174" t="s">
        <v>259</v>
      </c>
      <c r="K67" s="308">
        <v>1</v>
      </c>
    </row>
    <row r="68" spans="9:14">
      <c r="I68" s="252"/>
      <c r="K68" s="174"/>
    </row>
    <row r="69" spans="9:14">
      <c r="I69" s="248"/>
    </row>
    <row r="70" spans="9:14">
      <c r="I70" s="248"/>
    </row>
    <row r="71" spans="9:14">
      <c r="I71" s="248"/>
    </row>
    <row r="72" spans="9:14">
      <c r="I72" s="248"/>
    </row>
    <row r="73" spans="9:14">
      <c r="I73" s="248"/>
    </row>
  </sheetData>
  <sheetProtection sheet="1" scenarios="1" autoFilter="0" pivotTables="0"/>
  <conditionalFormatting sqref="M4">
    <cfRule type="expression" dxfId="41" priority="1" stopIfTrue="1">
      <formula>PPP_Global&lt;&gt;"LOCAL"</formula>
    </cfRule>
    <cfRule type="cellIs" dxfId="40" priority="5" stopIfTrue="1" operator="equal">
      <formula>"SNAP"</formula>
    </cfRule>
    <cfRule type="cellIs" dxfId="39" priority="6" stopIfTrue="1" operator="equal">
      <formula>"STOP"</formula>
    </cfRule>
  </conditionalFormatting>
  <conditionalFormatting sqref="AH32:AH40 AH7:AH28 AA32:AA44 AA7:AA28 T32:T43 T7:T28 M32:M41 M7:M28">
    <cfRule type="cellIs" dxfId="38" priority="2" operator="notEqual">
      <formula>0</formula>
    </cfRule>
  </conditionalFormatting>
  <dataValidations count="1">
    <dataValidation type="list" allowBlank="1" showInputMessage="1" showErrorMessage="1" promptTitle="Reuters Update Frequency" prompt="Throttles the frequency of Reuters updates.  To SNAP more than once, switch to STOP and then back to SNAP again" sqref="M4">
      <formula1>"20s,1m,3m,10m,30m,1h,STOP,SNAP"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AU">
    <outlinePr showOutlineSymbols="0"/>
  </sheetPr>
  <dimension ref="A1:EX224"/>
  <sheetViews>
    <sheetView showGridLines="0" showRowColHeaders="0" showZeros="0" showOutlineSymbols="0" zoomScaleNormal="100" workbookViewId="0">
      <pane xSplit="3" topLeftCell="X1" activePane="topRight" state="frozen"/>
      <selection pane="topRight" activeCell="X1" sqref="X1"/>
    </sheetView>
  </sheetViews>
  <sheetFormatPr defaultRowHeight="12.75" outlineLevelCol="2"/>
  <cols>
    <col min="1" max="1" width="1.7109375" style="171" customWidth="1"/>
    <col min="2" max="2" width="7.7109375" style="171" customWidth="1"/>
    <col min="3" max="3" width="1.7109375" style="171" customWidth="1"/>
    <col min="4" max="4" width="2.7109375" style="596" hidden="1" customWidth="1" outlineLevel="2"/>
    <col min="5" max="5" width="12.28515625" style="596" hidden="1" customWidth="1" outlineLevel="2"/>
    <col min="6" max="6" width="5.28515625" style="596" hidden="1" customWidth="1" outlineLevel="2"/>
    <col min="7" max="7" width="14.7109375" style="596" hidden="1" customWidth="1" outlineLevel="2"/>
    <col min="8" max="8" width="1.7109375" style="596" hidden="1" customWidth="1" outlineLevel="2"/>
    <col min="9" max="9" width="11.28515625" style="596" hidden="1" customWidth="1" outlineLevel="2"/>
    <col min="10" max="10" width="1.7109375" style="596" hidden="1" customWidth="1" outlineLevel="2"/>
    <col min="11" max="11" width="4.28515625" style="596" hidden="1" customWidth="1" outlineLevel="2"/>
    <col min="12" max="12" width="4.140625" style="596" hidden="1" customWidth="1" outlineLevel="2"/>
    <col min="13" max="13" width="21.140625" style="596" hidden="1" customWidth="1" outlineLevel="2"/>
    <col min="14" max="14" width="7.7109375" style="620" hidden="1" customWidth="1" outlineLevel="2"/>
    <col min="15" max="17" width="7.7109375" style="632" hidden="1" customWidth="1" outlineLevel="2"/>
    <col min="18" max="18" width="1.7109375" style="596" hidden="1" customWidth="1" outlineLevel="2"/>
    <col min="19" max="19" width="7.7109375" style="621" hidden="1" customWidth="1" outlineLevel="2"/>
    <col min="20" max="22" width="7.7109375" style="596" hidden="1" customWidth="1" outlineLevel="2"/>
    <col min="23" max="23" width="1.7109375" style="596" hidden="1" customWidth="1" outlineLevel="2"/>
    <col min="24" max="24" width="3.7109375" style="6" customWidth="1" collapsed="1"/>
    <col min="25" max="25" width="3.7109375" style="5" customWidth="1"/>
    <col min="26" max="26" width="1.7109375" style="598" hidden="1" customWidth="1" outlineLevel="2"/>
    <col min="27" max="27" width="12.28515625" style="598" hidden="1" customWidth="1" outlineLevel="1" collapsed="1"/>
    <col min="28" max="28" width="1.7109375" style="598" hidden="1" customWidth="1" outlineLevel="2"/>
    <col min="29" max="29" width="8" style="598" hidden="1" customWidth="1" outlineLevel="2"/>
    <col min="30" max="30" width="1.7109375" style="598" hidden="1" customWidth="1" outlineLevel="2"/>
    <col min="31" max="31" width="7.7109375" style="1" customWidth="1" collapsed="1"/>
    <col min="32" max="32" width="7.7109375" style="1" customWidth="1"/>
    <col min="33" max="34" width="6.7109375" style="1" customWidth="1"/>
    <col min="35" max="35" width="6.7109375" style="30" customWidth="1"/>
    <col min="36" max="37" width="2.7109375" style="9" customWidth="1"/>
    <col min="38" max="38" width="3.7109375" style="25" customWidth="1"/>
    <col min="39" max="39" width="1.7109375" style="601" hidden="1" customWidth="1" outlineLevel="2"/>
    <col min="40" max="40" width="13.42578125" style="601" hidden="1" customWidth="1" outlineLevel="1" collapsed="1"/>
    <col min="41" max="41" width="1.7109375" style="601" hidden="1" customWidth="1" outlineLevel="2"/>
    <col min="42" max="42" width="11.140625" style="601" hidden="1" customWidth="1" outlineLevel="2"/>
    <col min="43" max="43" width="1.7109375" style="601" hidden="1" customWidth="1" outlineLevel="2"/>
    <col min="44" max="44" width="5.7109375" style="15" customWidth="1" collapsed="1"/>
    <col min="45" max="45" width="5.7109375" style="1" customWidth="1"/>
    <col min="46" max="46" width="5.7109375" style="15" customWidth="1"/>
    <col min="47" max="47" width="6.7109375" style="15" customWidth="1"/>
    <col min="48" max="49" width="2.7109375" style="1" customWidth="1"/>
    <col min="50" max="50" width="3.7109375" style="26" customWidth="1"/>
    <col min="51" max="51" width="1.7109375" style="605" hidden="1" customWidth="1" outlineLevel="2"/>
    <col min="52" max="52" width="14.7109375" style="605" hidden="1" customWidth="1" outlineLevel="1" collapsed="1"/>
    <col min="53" max="53" width="1.7109375" style="605" hidden="1" customWidth="1" outlineLevel="2"/>
    <col min="54" max="54" width="3.7109375" style="605" hidden="1" customWidth="1" outlineLevel="2"/>
    <col min="55" max="55" width="1.7109375" style="605" hidden="1" customWidth="1" outlineLevel="2"/>
    <col min="56" max="56" width="5.7109375" style="13" customWidth="1" collapsed="1"/>
    <col min="57" max="58" width="5.7109375" style="3" customWidth="1"/>
    <col min="59" max="59" width="6.7109375" style="17" customWidth="1"/>
    <col min="60" max="61" width="2.7109375" style="3" customWidth="1"/>
    <col min="62" max="62" width="3.7109375" style="21" customWidth="1"/>
    <col min="63" max="63" width="1.7109375" style="614" hidden="1" customWidth="1" outlineLevel="2"/>
    <col min="64" max="64" width="13.28515625" style="614" hidden="1" customWidth="1" outlineLevel="1" collapsed="1"/>
    <col min="65" max="65" width="1.7109375" style="614" hidden="1" customWidth="1" outlineLevel="2"/>
    <col min="66" max="66" width="3.7109375" style="614" hidden="1" customWidth="1" outlineLevel="2"/>
    <col min="67" max="67" width="1.7109375" style="614" hidden="1" customWidth="1" outlineLevel="2"/>
    <col min="68" max="68" width="6.7109375" style="14" customWidth="1" collapsed="1"/>
    <col min="69" max="69" width="6.7109375" style="3" customWidth="1"/>
    <col min="70" max="70" width="5.7109375" style="3" customWidth="1"/>
    <col min="71" max="71" width="6.7109375" style="17" customWidth="1"/>
    <col min="72" max="72" width="2.7109375" style="1" customWidth="1"/>
    <col min="73" max="73" width="12.140625" style="3" customWidth="1"/>
    <col min="74" max="74" width="12.140625" style="573" customWidth="1"/>
    <col min="75" max="75" width="12.140625" style="3" customWidth="1"/>
    <col min="76" max="76" width="5.7109375" style="303" customWidth="1"/>
    <col min="77" max="77" width="5.7109375" style="246" customWidth="1"/>
    <col min="78" max="80" width="5.7109375" style="248" customWidth="1"/>
    <col min="81" max="81" width="5.7109375" style="303" customWidth="1"/>
    <col min="82" max="82" width="5.7109375" style="227" customWidth="1"/>
    <col min="83" max="83" width="5.7109375" style="55" customWidth="1"/>
    <col min="84" max="86" width="17" style="5" customWidth="1"/>
    <col min="87" max="87" width="2.7109375" style="202" hidden="1" customWidth="1" outlineLevel="1"/>
    <col min="88" max="88" width="11.28515625" style="202" hidden="1" customWidth="1" outlineLevel="1"/>
    <col min="89" max="90" width="6.140625" style="206" hidden="1" customWidth="1" outlineLevel="1"/>
    <col min="91" max="91" width="15.140625" style="202" hidden="1" customWidth="1" outlineLevel="1"/>
    <col min="92" max="92" width="9.85546875" style="202" hidden="1" customWidth="1" outlineLevel="1"/>
    <col min="93" max="93" width="18.28515625" style="202" hidden="1" customWidth="1" outlineLevel="1"/>
    <col min="94" max="95" width="5.85546875" style="206" hidden="1" customWidth="1" outlineLevel="1"/>
    <col min="96" max="96" width="2.7109375" style="202" hidden="1" customWidth="1" outlineLevel="1"/>
    <col min="97" max="97" width="3.7109375" style="5" customWidth="1" collapsed="1"/>
    <col min="98" max="98" width="3.7109375" style="5" customWidth="1"/>
    <col min="99" max="100" width="5.7109375" style="5" customWidth="1"/>
    <col min="101" max="101" width="5.7109375" style="1" customWidth="1"/>
    <col min="102" max="103" width="5.7109375" style="5" customWidth="1"/>
    <col min="104" max="104" width="9.140625" style="5"/>
    <col min="105" max="105" width="3.7109375" style="5" customWidth="1"/>
    <col min="106" max="113" width="5.7109375" style="5" customWidth="1"/>
    <col min="114" max="124" width="9.140625" style="5"/>
    <col min="125" max="125" width="2.7109375" style="202" hidden="1" customWidth="1" outlineLevel="2"/>
    <col min="126" max="126" width="10" style="202" hidden="1" customWidth="1" outlineLevel="2"/>
    <col min="127" max="127" width="6.42578125" style="202" hidden="1" customWidth="1" outlineLevel="2"/>
    <col min="128" max="128" width="9.140625" style="202" hidden="1" customWidth="1" outlineLevel="2"/>
    <col min="129" max="129" width="5.28515625" style="202" hidden="1" customWidth="1" outlineLevel="2"/>
    <col min="130" max="130" width="22.140625" style="202" hidden="1" customWidth="1" outlineLevel="2"/>
    <col min="131" max="131" width="9.42578125" style="202" hidden="1" customWidth="1" outlineLevel="2"/>
    <col min="132" max="132" width="9.140625" style="202" hidden="1" customWidth="1" outlineLevel="2"/>
    <col min="133" max="133" width="2.7109375" style="202" hidden="1" customWidth="1" outlineLevel="2"/>
    <col min="134" max="134" width="3.7109375" style="5" customWidth="1" collapsed="1"/>
    <col min="135" max="135" width="3.7109375" style="31" customWidth="1"/>
    <col min="136" max="137" width="7.7109375" style="31" customWidth="1"/>
    <col min="138" max="138" width="7.7109375" style="117" customWidth="1"/>
    <col min="139" max="139" width="7.7109375" style="174" customWidth="1"/>
    <col min="140" max="141" width="9.140625" style="171" hidden="1" customWidth="1" outlineLevel="2"/>
    <col min="142" max="142" width="9.140625" style="31" collapsed="1"/>
    <col min="143" max="143" width="9.140625" style="31"/>
    <col min="144" max="144" width="7.7109375" style="213" customWidth="1"/>
    <col min="145" max="145" width="7.5703125" style="224" hidden="1" customWidth="1" outlineLevel="2"/>
    <col min="146" max="146" width="7.7109375" style="190" customWidth="1" collapsed="1"/>
    <col min="147" max="147" width="7.7109375" style="182" customWidth="1"/>
    <col min="148" max="148" width="7.7109375" style="186" customWidth="1"/>
    <col min="149" max="151" width="7.7109375" style="184" customWidth="1"/>
    <col min="152" max="152" width="2.7109375" style="31" customWidth="1"/>
    <col min="153" max="153" width="8.140625" style="31" bestFit="1" customWidth="1"/>
    <col min="154" max="154" width="2.7109375" style="31" customWidth="1"/>
    <col min="155" max="16384" width="9.140625" style="5"/>
  </cols>
  <sheetData>
    <row r="1" spans="1:154" ht="0.95" customHeight="1"/>
    <row r="2" spans="1:154" s="235" customFormat="1" ht="24.95" customHeight="1">
      <c r="A2" s="229"/>
      <c r="B2" s="229"/>
      <c r="C2" s="229"/>
      <c r="D2" s="596"/>
      <c r="E2" s="201" t="s">
        <v>109</v>
      </c>
      <c r="F2" s="201"/>
      <c r="G2" s="201"/>
      <c r="H2" s="201"/>
      <c r="I2" s="201"/>
      <c r="J2" s="201"/>
      <c r="K2" s="201"/>
      <c r="L2" s="201"/>
      <c r="M2" s="201"/>
      <c r="N2" s="255"/>
      <c r="O2" s="207"/>
      <c r="P2" s="207"/>
      <c r="Q2" s="207"/>
      <c r="R2" s="201"/>
      <c r="S2" s="619"/>
      <c r="T2" s="201"/>
      <c r="U2" s="201"/>
      <c r="V2" s="201"/>
      <c r="W2" s="596"/>
      <c r="Y2" s="236" t="s">
        <v>217</v>
      </c>
      <c r="Z2" s="597"/>
      <c r="AA2" s="597"/>
      <c r="AB2" s="597"/>
      <c r="AC2" s="597"/>
      <c r="AD2" s="597"/>
      <c r="AE2" s="236"/>
      <c r="AF2" s="236"/>
      <c r="AG2" s="236"/>
      <c r="AH2" s="236"/>
      <c r="AI2" s="638"/>
      <c r="AJ2" s="236"/>
      <c r="AK2" s="236"/>
      <c r="AL2" s="236"/>
      <c r="AM2" s="597"/>
      <c r="AN2" s="597"/>
      <c r="AO2" s="597"/>
      <c r="AP2" s="597"/>
      <c r="AQ2" s="597"/>
      <c r="AR2" s="236"/>
      <c r="AS2" s="236"/>
      <c r="AT2" s="236"/>
      <c r="AU2" s="236"/>
      <c r="AV2" s="236"/>
      <c r="AW2" s="236"/>
      <c r="AX2" s="236"/>
      <c r="AY2" s="597"/>
      <c r="AZ2" s="597"/>
      <c r="BA2" s="597"/>
      <c r="BB2" s="597"/>
      <c r="BC2" s="597"/>
      <c r="BD2" s="236"/>
      <c r="BE2" s="236"/>
      <c r="BF2" s="236"/>
      <c r="BG2" s="236"/>
      <c r="BH2" s="236"/>
      <c r="BI2" s="236"/>
      <c r="BJ2" s="236"/>
      <c r="BK2" s="230"/>
      <c r="BL2" s="230"/>
      <c r="BM2" s="230"/>
      <c r="BN2" s="230"/>
      <c r="BO2" s="230"/>
      <c r="BP2" s="236"/>
      <c r="BQ2" s="637"/>
      <c r="BR2" s="236"/>
      <c r="BS2" s="639"/>
      <c r="BT2" s="236"/>
      <c r="BV2" s="574"/>
      <c r="BX2" s="304" t="s">
        <v>327</v>
      </c>
      <c r="BY2" s="305"/>
      <c r="BZ2" s="305"/>
      <c r="CA2" s="305"/>
      <c r="CB2" s="305"/>
      <c r="CC2" s="304"/>
      <c r="CD2" s="520"/>
      <c r="CI2" s="237"/>
      <c r="CJ2" s="230" t="s">
        <v>273</v>
      </c>
      <c r="CK2" s="230"/>
      <c r="CL2" s="230"/>
      <c r="CM2" s="230"/>
      <c r="CN2" s="230"/>
      <c r="CO2" s="230"/>
      <c r="CP2" s="230"/>
      <c r="CQ2" s="230"/>
      <c r="CR2" s="237"/>
      <c r="CT2" s="236" t="s">
        <v>218</v>
      </c>
      <c r="CU2" s="236"/>
      <c r="CV2" s="236"/>
      <c r="CW2" s="236"/>
      <c r="CX2" s="236"/>
      <c r="CY2" s="236"/>
      <c r="CZ2" s="236"/>
      <c r="DA2" s="236"/>
      <c r="DB2" s="236"/>
      <c r="DC2" s="236"/>
      <c r="DD2" s="236"/>
      <c r="DE2" s="236"/>
      <c r="DF2" s="236"/>
      <c r="DG2" s="236"/>
      <c r="DH2" s="236"/>
      <c r="DI2" s="236"/>
      <c r="DU2" s="234"/>
      <c r="DV2" s="230" t="s">
        <v>271</v>
      </c>
      <c r="DW2" s="230"/>
      <c r="DX2" s="230"/>
      <c r="DY2" s="230"/>
      <c r="DZ2" s="230"/>
      <c r="EA2" s="230"/>
      <c r="EB2" s="230"/>
      <c r="EC2" s="234"/>
      <c r="EE2" s="236" t="s">
        <v>226</v>
      </c>
      <c r="EF2" s="236"/>
      <c r="EG2" s="236"/>
      <c r="EH2" s="236"/>
      <c r="EI2" s="236"/>
      <c r="EJ2" s="238"/>
      <c r="EK2" s="238"/>
      <c r="EL2" s="236"/>
      <c r="EM2" s="236"/>
      <c r="EN2" s="236"/>
      <c r="EO2" s="232"/>
      <c r="EP2" s="236"/>
      <c r="EQ2" s="236"/>
      <c r="ER2" s="236"/>
      <c r="ES2" s="236"/>
      <c r="ET2" s="236"/>
      <c r="EU2" s="236"/>
      <c r="EV2" s="236"/>
      <c r="EW2" s="236"/>
      <c r="EX2" s="236"/>
    </row>
    <row r="3" spans="1:154">
      <c r="AK3" s="88"/>
      <c r="AL3" s="109"/>
      <c r="AM3" s="611"/>
      <c r="AN3" s="611"/>
      <c r="AO3" s="611"/>
      <c r="AP3" s="611"/>
      <c r="AQ3" s="611"/>
      <c r="AR3" s="110"/>
      <c r="AS3" s="91"/>
      <c r="AT3" s="110"/>
      <c r="AU3" s="110"/>
      <c r="AV3" s="91"/>
      <c r="AW3" s="91"/>
      <c r="AX3" s="111"/>
      <c r="AY3" s="606"/>
      <c r="AZ3" s="606"/>
      <c r="BA3" s="606"/>
      <c r="BB3" s="606"/>
      <c r="BC3" s="606"/>
      <c r="BD3" s="112"/>
      <c r="BE3" s="89"/>
      <c r="BF3" s="89"/>
      <c r="BG3" s="90"/>
      <c r="BH3" s="89"/>
      <c r="BI3" s="83"/>
    </row>
    <row r="4" spans="1:154" s="34" customFormat="1">
      <c r="A4" s="170"/>
      <c r="B4" s="170"/>
      <c r="C4" s="170"/>
      <c r="D4" s="596"/>
      <c r="E4" s="622" t="s">
        <v>639</v>
      </c>
      <c r="F4" s="622"/>
      <c r="G4" s="596"/>
      <c r="H4" s="596"/>
      <c r="I4" s="596"/>
      <c r="J4" s="596"/>
      <c r="K4" s="596"/>
      <c r="L4" s="596"/>
      <c r="M4" s="596"/>
      <c r="N4" s="620"/>
      <c r="O4" s="632"/>
      <c r="P4" s="632"/>
      <c r="Q4" s="632"/>
      <c r="R4" s="596"/>
      <c r="S4" s="621"/>
      <c r="T4" s="596"/>
      <c r="U4" s="596"/>
      <c r="V4" s="596"/>
      <c r="W4" s="596"/>
      <c r="X4" s="54"/>
      <c r="Y4" s="34" t="s">
        <v>21</v>
      </c>
      <c r="Z4" s="204"/>
      <c r="AA4" s="204"/>
      <c r="AB4" s="204"/>
      <c r="AC4" s="204"/>
      <c r="AD4" s="204"/>
      <c r="AF4" s="636" t="str">
        <f>IF(S6="DELAYED","DELAYED","")</f>
        <v/>
      </c>
      <c r="AG4" s="35"/>
      <c r="AH4" s="36" t="s">
        <v>20</v>
      </c>
      <c r="AI4" s="641" t="s">
        <v>25</v>
      </c>
      <c r="AJ4" s="35"/>
      <c r="AK4" s="92"/>
      <c r="AL4" s="65" t="s">
        <v>33</v>
      </c>
      <c r="AM4" s="610"/>
      <c r="AN4" s="610"/>
      <c r="AO4" s="610"/>
      <c r="AP4" s="610"/>
      <c r="AQ4" s="610"/>
      <c r="AR4" s="59"/>
      <c r="AS4" s="59"/>
      <c r="AT4" s="813">
        <v>40680</v>
      </c>
      <c r="AU4" s="813"/>
      <c r="AV4" s="66"/>
      <c r="AW4" s="66"/>
      <c r="AX4" s="93" t="s">
        <v>82</v>
      </c>
      <c r="AY4" s="607"/>
      <c r="AZ4" s="607"/>
      <c r="BA4" s="607"/>
      <c r="BB4" s="607"/>
      <c r="BC4" s="607"/>
      <c r="BD4" s="71"/>
      <c r="BE4" s="65" t="s">
        <v>125</v>
      </c>
      <c r="BF4" s="32" t="s">
        <v>117</v>
      </c>
      <c r="BG4" s="67"/>
      <c r="BH4" s="59"/>
      <c r="BI4" s="83"/>
      <c r="BJ4" s="7" t="s">
        <v>303</v>
      </c>
      <c r="BK4" s="615"/>
      <c r="BL4" s="615"/>
      <c r="BM4" s="615"/>
      <c r="BN4" s="615"/>
      <c r="BO4" s="615"/>
      <c r="BP4" s="52"/>
      <c r="BQ4" s="3"/>
      <c r="BR4" s="32"/>
      <c r="BS4" s="17" t="s">
        <v>721</v>
      </c>
      <c r="BT4" s="1"/>
      <c r="BV4" s="575"/>
      <c r="BX4" s="303"/>
      <c r="BY4" s="246"/>
      <c r="BZ4" s="248"/>
      <c r="CA4" s="248"/>
      <c r="CB4" s="248"/>
      <c r="CC4" s="303"/>
      <c r="CD4" s="227"/>
      <c r="CE4" s="55"/>
      <c r="CI4" s="203"/>
      <c r="CJ4" s="203" t="s">
        <v>275</v>
      </c>
      <c r="CK4" s="208" t="str">
        <f>PPP_string(PPP_Global,CW4)</f>
        <v>FRQ:30m</v>
      </c>
      <c r="CL4" s="204"/>
      <c r="CM4" s="204"/>
      <c r="CN4" s="203"/>
      <c r="CO4" s="203"/>
      <c r="CP4" s="210"/>
      <c r="CQ4" s="210"/>
      <c r="CR4" s="203"/>
      <c r="CS4" s="5"/>
      <c r="CT4" s="34" t="s">
        <v>121</v>
      </c>
      <c r="CU4" s="5"/>
      <c r="CV4" s="5"/>
      <c r="CW4" s="32" t="s">
        <v>408</v>
      </c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U4" s="202"/>
      <c r="DV4" s="202" t="s">
        <v>275</v>
      </c>
      <c r="DW4" s="208" t="str">
        <f>PPP_string(PPP_Global,EH4)</f>
        <v>FRQ:1h</v>
      </c>
      <c r="DX4" s="202"/>
      <c r="DY4" s="202"/>
      <c r="DZ4" s="202"/>
      <c r="EA4" s="202"/>
      <c r="EB4" s="202"/>
      <c r="EC4" s="202"/>
      <c r="EE4" s="173" t="s">
        <v>272</v>
      </c>
      <c r="EF4" s="31"/>
      <c r="EG4" s="31"/>
      <c r="EH4" s="32" t="s">
        <v>291</v>
      </c>
      <c r="EI4" s="174"/>
      <c r="EJ4" s="171"/>
      <c r="EK4" s="171"/>
      <c r="EL4" s="31"/>
      <c r="EM4" s="116"/>
      <c r="EN4" s="223" t="s">
        <v>236</v>
      </c>
      <c r="EO4" s="225" t="s">
        <v>153</v>
      </c>
      <c r="EP4" s="191" t="s">
        <v>171</v>
      </c>
      <c r="EQ4" s="183" t="s">
        <v>234</v>
      </c>
      <c r="ER4" s="183" t="s">
        <v>235</v>
      </c>
      <c r="ES4" s="185" t="s">
        <v>237</v>
      </c>
      <c r="ET4" s="185" t="s">
        <v>239</v>
      </c>
      <c r="EU4" s="185" t="s">
        <v>238</v>
      </c>
      <c r="EV4" s="116"/>
      <c r="EW4" s="253"/>
      <c r="EX4" s="116"/>
    </row>
    <row r="5" spans="1:154">
      <c r="Y5" s="21" t="s">
        <v>7</v>
      </c>
      <c r="Z5" s="614"/>
      <c r="AA5" s="614"/>
      <c r="AB5" s="614"/>
      <c r="AC5" s="614"/>
      <c r="AD5" s="614"/>
      <c r="AE5" s="74">
        <f t="array" ref="AE5:AF5">IF(AND(T18&lt;&gt;0,U18&lt;&gt;0),T18:U18,V18)</f>
        <v>94.990000000000009</v>
      </c>
      <c r="AF5" s="74">
        <v>94.910000000000011</v>
      </c>
      <c r="AG5" s="10"/>
      <c r="AH5" s="9">
        <f>IF(ISNUMBER(AG5),AG5,AVERAGE(AE5:AF5))</f>
        <v>94.950000000000017</v>
      </c>
      <c r="AI5" s="30">
        <f>100-AH5</f>
        <v>5.0499999999999829</v>
      </c>
      <c r="AJ5" s="20"/>
      <c r="AK5" s="94"/>
      <c r="AL5" s="72"/>
      <c r="AP5" s="217" t="s">
        <v>637</v>
      </c>
      <c r="AR5" s="69"/>
      <c r="AS5" s="68"/>
      <c r="AT5" s="69"/>
      <c r="AU5" s="69"/>
      <c r="AV5" s="68"/>
      <c r="AW5" s="68"/>
      <c r="AX5" s="93" t="s">
        <v>123</v>
      </c>
      <c r="AY5" s="607"/>
      <c r="AZ5" s="607"/>
      <c r="BA5" s="607"/>
      <c r="BB5" s="607"/>
      <c r="BC5" s="607"/>
      <c r="BD5" s="71"/>
      <c r="BE5" s="65" t="s">
        <v>124</v>
      </c>
      <c r="BF5" s="32" t="s">
        <v>29</v>
      </c>
      <c r="BG5" s="70"/>
      <c r="BH5" s="95"/>
      <c r="BI5" s="83"/>
      <c r="BJ5" s="7" t="s">
        <v>304</v>
      </c>
      <c r="BK5" s="615"/>
      <c r="BL5" s="615"/>
      <c r="BM5" s="615"/>
      <c r="BN5" s="615"/>
      <c r="BO5" s="615"/>
      <c r="BP5" s="52"/>
      <c r="BR5" s="32"/>
      <c r="BS5" s="17" t="s">
        <v>718</v>
      </c>
      <c r="BU5" s="5"/>
      <c r="BW5" s="5"/>
      <c r="BX5" s="306" t="s">
        <v>407</v>
      </c>
      <c r="BY5" s="193"/>
      <c r="BZ5" s="241"/>
      <c r="CA5" s="241"/>
      <c r="CB5" s="241"/>
      <c r="CC5" s="306" t="s">
        <v>326</v>
      </c>
      <c r="CD5" s="193"/>
      <c r="CE5" s="56"/>
      <c r="EE5" s="173"/>
      <c r="EN5" s="213">
        <f t="array" ref="EN5:EN24">EA6:EA25</f>
        <v>38898</v>
      </c>
      <c r="EO5" s="224">
        <f>IF(EN5=CPI0_DATE,1,IF(EN5&lt;CPI0_DATE,EO6/EQ5*EQ6,EXP(_xll.qInterp(EP5,$EJ$10:$EJ$19,$EK$10:$EK$19))))</f>
        <v>1.1451717016492871</v>
      </c>
      <c r="EP5" s="190">
        <f t="shared" ref="EP5:EP28" si="0">ROUND((EN5-CPI0_DATE)/365/0.25,0)*0.25</f>
        <v>-4.75</v>
      </c>
      <c r="EQ5" s="182">
        <f t="shared" ref="EQ5:EQ68" si="1">IF(EN5&lt;CPI0_DATE,INDEX($EB$6:$EB$25,MATCH(EN5,$EA$6:$EA$25)),IF(EN5=CPI0_DATE,CPI0_VALUE,0))</f>
        <v>154.300003</v>
      </c>
      <c r="ER5" s="186">
        <f t="shared" ref="ER5:ER29" si="2">IF(EQ5&gt;0,EQ5,ER4*EO4/EO5)</f>
        <v>154.300003</v>
      </c>
      <c r="EV5" s="200"/>
      <c r="EW5" s="200"/>
      <c r="EX5" s="200"/>
    </row>
    <row r="6" spans="1:154">
      <c r="E6" s="596" t="s">
        <v>640</v>
      </c>
      <c r="G6" s="623" t="str">
        <f>"YTT"&amp;$BF$4</f>
        <v>YTTc1</v>
      </c>
      <c r="I6" s="623" t="s">
        <v>47</v>
      </c>
      <c r="M6" s="596" t="str">
        <f ca="1">_xll.RtUpdate("IDN",G6:G7,I6,N6,,RTMODE_RATES)</f>
        <v>Updated at 16:52:06</v>
      </c>
      <c r="N6" s="624">
        <v>40709</v>
      </c>
      <c r="Q6" s="632" t="s">
        <v>593</v>
      </c>
      <c r="S6" s="625" t="str">
        <f>IF(ISNUMBER(N6),"LIVE","DELAYED")</f>
        <v>LIVE</v>
      </c>
      <c r="Y6" s="21" t="s">
        <v>14</v>
      </c>
      <c r="Z6" s="614"/>
      <c r="AA6" s="614"/>
      <c r="AB6" s="614"/>
      <c r="AC6" s="614"/>
      <c r="AD6" s="614"/>
      <c r="AE6" s="74">
        <f t="array" ref="AE6:AF6">IF(AND(T19&lt;&gt;0,U19&lt;&gt;0),T19:U19,V19)</f>
        <v>94.61</v>
      </c>
      <c r="AF6" s="74">
        <v>94.6</v>
      </c>
      <c r="AG6" s="10"/>
      <c r="AH6" s="9">
        <f>IF(ISNUMBER(AG6),AG6,AVERAGE(AE6:AF6))</f>
        <v>94.60499999999999</v>
      </c>
      <c r="AI6" s="30">
        <f t="shared" ref="AI6" si="3">100-AH6</f>
        <v>5.3950000000000102</v>
      </c>
      <c r="AJ6" s="20"/>
      <c r="AK6" s="94"/>
      <c r="AL6" s="96" t="s">
        <v>121</v>
      </c>
      <c r="AM6" s="217"/>
      <c r="AN6" s="217"/>
      <c r="AO6" s="217"/>
      <c r="AP6" s="222" t="str">
        <f>PPP_string(PPP_Global,AT6)</f>
        <v>FRQ:15s</v>
      </c>
      <c r="AQ6" s="217"/>
      <c r="AR6" s="69"/>
      <c r="AS6" s="68"/>
      <c r="AT6" s="32" t="s">
        <v>638</v>
      </c>
      <c r="AU6" s="69"/>
      <c r="AV6" s="68"/>
      <c r="AW6" s="68"/>
      <c r="AX6" s="96" t="s">
        <v>122</v>
      </c>
      <c r="AY6" s="217"/>
      <c r="AZ6" s="217"/>
      <c r="BA6" s="217"/>
      <c r="BB6" s="217"/>
      <c r="BC6" s="217"/>
      <c r="BD6" s="71"/>
      <c r="BE6" s="65" t="s">
        <v>754</v>
      </c>
      <c r="BF6" s="32" t="s">
        <v>117</v>
      </c>
      <c r="BG6" s="70"/>
      <c r="BH6" s="95"/>
      <c r="BI6" s="83"/>
      <c r="BJ6" s="7" t="s">
        <v>305</v>
      </c>
      <c r="BK6" s="615"/>
      <c r="BL6" s="615"/>
      <c r="BM6" s="615"/>
      <c r="BN6" s="615"/>
      <c r="BO6" s="615"/>
      <c r="BP6" s="52"/>
      <c r="BR6" s="32"/>
      <c r="BS6" s="17" t="s">
        <v>719</v>
      </c>
      <c r="BU6" s="5"/>
      <c r="BW6" s="5"/>
      <c r="BX6" s="307" t="s">
        <v>110</v>
      </c>
      <c r="BY6" s="193" t="s">
        <v>322</v>
      </c>
      <c r="BZ6" s="60" t="s">
        <v>36</v>
      </c>
      <c r="CA6" s="60" t="s">
        <v>35</v>
      </c>
      <c r="CB6" s="241"/>
      <c r="CC6" s="307" t="s">
        <v>110</v>
      </c>
      <c r="CD6" s="60" t="s">
        <v>329</v>
      </c>
      <c r="CJ6" s="202" t="s">
        <v>274</v>
      </c>
      <c r="CL6" s="206" t="s">
        <v>171</v>
      </c>
      <c r="CM6" s="202" t="s">
        <v>276</v>
      </c>
      <c r="CN6" s="202" t="s">
        <v>277</v>
      </c>
      <c r="DU6" s="203"/>
      <c r="DV6" s="203" t="s">
        <v>288</v>
      </c>
      <c r="DX6" s="203"/>
      <c r="DY6" s="203"/>
      <c r="DZ6" s="247"/>
      <c r="EA6" s="542">
        <f t="array" ref="EA6:EB25">HS!AUD_CPI</f>
        <v>38898</v>
      </c>
      <c r="EB6" s="543">
        <v>154.300003</v>
      </c>
      <c r="EC6" s="203"/>
      <c r="EE6" s="253" t="s">
        <v>233</v>
      </c>
      <c r="EF6" s="116"/>
      <c r="EH6" s="180"/>
      <c r="EI6" s="175">
        <f>IF(ISNUMBER(EH6),DATE(YEAR(EH6),MONTH(EH6)+1,1)-1,EA25)</f>
        <v>40633</v>
      </c>
      <c r="EJ6" s="170"/>
      <c r="EK6" s="170"/>
      <c r="EL6" s="116"/>
      <c r="EN6" s="213">
        <v>38990</v>
      </c>
      <c r="EO6" s="224">
        <f>IF(EN6=CPI0_DATE,1,IF(EN6&lt;CPI0_DATE,EO7/EQ6*EQ7,EXP(_xll.qInterp(EP6,$EJ$10:$EJ$19,$EK$10:$EK$19))))</f>
        <v>1.1348747617509594</v>
      </c>
      <c r="EP6" s="190">
        <f t="shared" si="0"/>
        <v>-4.5</v>
      </c>
      <c r="EQ6" s="182">
        <f t="shared" si="1"/>
        <v>155.699997</v>
      </c>
      <c r="ER6" s="186">
        <f t="shared" si="2"/>
        <v>155.699997</v>
      </c>
      <c r="ES6" s="184">
        <f>100*(ER6/ER5-1)</f>
        <v>0.90731948981230826</v>
      </c>
      <c r="EV6" s="200"/>
      <c r="EW6" s="200"/>
      <c r="EX6" s="200"/>
    </row>
    <row r="7" spans="1:154">
      <c r="G7" s="623" t="str">
        <f>"/"&amp;G6</f>
        <v>/YTTc1</v>
      </c>
      <c r="N7" s="624">
        <v>40709</v>
      </c>
      <c r="AJ7" s="18"/>
      <c r="AK7" s="97"/>
      <c r="AL7" s="98"/>
      <c r="AM7" s="612"/>
      <c r="AN7" s="612"/>
      <c r="AO7" s="612"/>
      <c r="AP7" s="612"/>
      <c r="AQ7" s="612"/>
      <c r="AR7" s="99"/>
      <c r="AS7" s="100"/>
      <c r="AT7" s="99"/>
      <c r="AU7" s="99"/>
      <c r="AV7" s="100"/>
      <c r="AW7" s="100"/>
      <c r="AX7" s="101"/>
      <c r="AY7" s="608"/>
      <c r="AZ7" s="608"/>
      <c r="BA7" s="608"/>
      <c r="BB7" s="608"/>
      <c r="BC7" s="608"/>
      <c r="BD7" s="102"/>
      <c r="BE7" s="103"/>
      <c r="BF7" s="103"/>
      <c r="BG7" s="104"/>
      <c r="BH7" s="105"/>
      <c r="BI7" s="83"/>
      <c r="BJ7" s="7" t="s">
        <v>306</v>
      </c>
      <c r="BK7" s="615"/>
      <c r="BL7" s="615"/>
      <c r="BM7" s="615"/>
      <c r="BN7" s="615"/>
      <c r="BO7" s="615"/>
      <c r="BP7" s="52"/>
      <c r="BR7" s="32"/>
      <c r="BS7" s="17" t="s">
        <v>720</v>
      </c>
      <c r="BU7" s="5"/>
      <c r="BW7" s="5"/>
      <c r="BX7" s="303" t="s">
        <v>115</v>
      </c>
      <c r="BY7" s="246">
        <f t="array" ref="BY7:BY27">_xll.qIRsynthSCBasisReval(AUD.ZB,"1V3",_xll.qVectorMake(BS10:BS12,BS15,BS28:BS32,BS34,BS37))</f>
        <v>4.4999999999877778</v>
      </c>
      <c r="BZ7" s="246">
        <f t="array" ref="BZ7:BZ27">_xll.qIRsynthSCBasisReval(AUD.ZB,"1V3",_xll.qVectorMake(AI10,BG18:BG19,BG22,BG28:BG34))</f>
        <v>-1.2212453270876722E-11</v>
      </c>
      <c r="CA7" s="246">
        <f t="array" ref="CA7:CA27">_xll.qIRsynthSCBasisReval(AUD.ZB,"3V6",_xll.qVectorMake(AI15,AU28:AU38))</f>
        <v>10.490936663462499</v>
      </c>
      <c r="CC7" s="303" t="s">
        <v>0</v>
      </c>
      <c r="CD7" s="246">
        <f t="array" ref="CD7:CD11">_xll.qIRsynthXCBasisReval(FxcurveAUD,USD.ZB.DISC,AUD.ZB.DISC)</f>
        <v>4.349571024670559</v>
      </c>
      <c r="CL7" s="206">
        <v>1</v>
      </c>
      <c r="CM7" s="202" t="str">
        <f t="array" ref="CM7:CM14">"AU"&amp;CT9:CT16&amp;"CATM=ICAA"</f>
        <v>AU1YCATM=ICAA</v>
      </c>
      <c r="CN7" s="202" t="s">
        <v>84</v>
      </c>
      <c r="CO7" s="202" t="str">
        <f ca="1">_xll.RtUpdate("IDN",CM7:CM14,CN7:CN8,CP7,,RTMODE_VOLS)</f>
        <v>Updated at 16:52:06</v>
      </c>
      <c r="CP7" s="211">
        <v>5.1099999999999994</v>
      </c>
      <c r="CQ7" s="211">
        <v>12.2</v>
      </c>
      <c r="CS7" s="34"/>
      <c r="CT7" s="34" t="s">
        <v>221</v>
      </c>
      <c r="CU7" s="34"/>
      <c r="CV7" s="34"/>
      <c r="CW7" s="35"/>
      <c r="CX7" s="34"/>
      <c r="CY7" s="34"/>
      <c r="CZ7" s="34"/>
      <c r="DA7" s="34" t="s">
        <v>225</v>
      </c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EA7" s="542">
        <v>38990</v>
      </c>
      <c r="EB7" s="543">
        <v>155.699997</v>
      </c>
      <c r="EE7" s="173" t="s">
        <v>232</v>
      </c>
      <c r="EH7" s="166"/>
      <c r="EI7" s="178">
        <f>IF(ISNUMBER(EH7),EH7,EB25)</f>
        <v>176.699997</v>
      </c>
      <c r="EN7" s="213">
        <v>39082</v>
      </c>
      <c r="EO7" s="224">
        <f>IF(EN7=CPI0_DATE,1,IF(EN7&lt;CPI0_DATE,EO8/EQ7*EQ8,EXP(_xll.qInterp(EP7,$EJ$10:$EJ$19,$EK$10:$EK$19))))</f>
        <v>1.1363343858520905</v>
      </c>
      <c r="EP7" s="190">
        <f t="shared" si="0"/>
        <v>-4.25</v>
      </c>
      <c r="EQ7" s="182">
        <f t="shared" si="1"/>
        <v>155.5</v>
      </c>
      <c r="ER7" s="186">
        <f t="shared" si="2"/>
        <v>155.5</v>
      </c>
      <c r="ES7" s="184">
        <f t="shared" ref="ES7:ES70" si="4">100*(ER7/ER6-1)</f>
        <v>-0.12845022726621913</v>
      </c>
      <c r="ET7" s="184">
        <f t="shared" ref="ET7:ET70" si="5">50*(ER7/ER5-1)</f>
        <v>0.38885190429970296</v>
      </c>
      <c r="EV7" s="200"/>
      <c r="EW7" s="200" t="s">
        <v>240</v>
      </c>
      <c r="EX7" s="200"/>
    </row>
    <row r="8" spans="1:154">
      <c r="Y8" s="34" t="s">
        <v>23</v>
      </c>
      <c r="Z8" s="204"/>
      <c r="AA8" s="204"/>
      <c r="AB8" s="204"/>
      <c r="AC8" s="603" t="str">
        <f ca="1">_xll.RtUpdate("IDN",AA10:AA15,AC10:AC11,AE10,,RTMODE_RATES)</f>
        <v>Updated at 16:52:06</v>
      </c>
      <c r="AD8" s="204"/>
      <c r="AE8" s="35"/>
      <c r="AF8" s="35"/>
      <c r="AG8" s="35"/>
      <c r="AH8" s="36" t="s">
        <v>20</v>
      </c>
      <c r="AI8" s="641" t="s">
        <v>25</v>
      </c>
      <c r="AJ8" s="1"/>
      <c r="AK8" s="76"/>
      <c r="AW8" s="78"/>
      <c r="BD8" s="52"/>
      <c r="BH8" s="8"/>
      <c r="BI8" s="83"/>
      <c r="BU8" s="5"/>
      <c r="BW8" s="5"/>
      <c r="BX8" s="303" t="s">
        <v>0</v>
      </c>
      <c r="BY8" s="246">
        <v>4.4999999999877778</v>
      </c>
      <c r="BZ8" s="246">
        <v>-1.2212453270876722E-11</v>
      </c>
      <c r="CA8" s="246">
        <v>10.490936663462499</v>
      </c>
      <c r="CC8" s="303" t="s">
        <v>1</v>
      </c>
      <c r="CD8" s="246">
        <v>-0.68983499695789219</v>
      </c>
      <c r="CL8" s="206">
        <v>2</v>
      </c>
      <c r="CM8" s="202" t="str">
        <v>AU2YCATM=ICAA</v>
      </c>
      <c r="CN8" s="202" t="s">
        <v>135</v>
      </c>
      <c r="CP8" s="211">
        <v>5.2060000000000004</v>
      </c>
      <c r="CQ8" s="211">
        <v>15.34</v>
      </c>
      <c r="CT8" s="34"/>
      <c r="CU8" s="35" t="s">
        <v>222</v>
      </c>
      <c r="CV8" s="35" t="s">
        <v>220</v>
      </c>
      <c r="CW8" s="35"/>
      <c r="CX8" s="37"/>
      <c r="CY8" s="37"/>
      <c r="DA8" s="34"/>
      <c r="DB8" s="35" t="s">
        <v>26</v>
      </c>
      <c r="DC8" s="57" t="s">
        <v>27</v>
      </c>
      <c r="DD8" s="57" t="s">
        <v>7</v>
      </c>
      <c r="DE8" s="57" t="s">
        <v>8</v>
      </c>
      <c r="DF8" s="57" t="s">
        <v>9</v>
      </c>
      <c r="DG8" s="57" t="s">
        <v>11</v>
      </c>
      <c r="DH8" s="57" t="s">
        <v>14</v>
      </c>
      <c r="DI8" s="57" t="s">
        <v>16</v>
      </c>
      <c r="EA8" s="542">
        <v>39082</v>
      </c>
      <c r="EB8" s="543">
        <v>155.5</v>
      </c>
      <c r="EN8" s="213">
        <v>39172</v>
      </c>
      <c r="EO8" s="224">
        <f>IF(EN8=CPI0_DATE,1,IF(EN8&lt;CPI0_DATE,EO9/EQ8*EQ9,EXP(_xll.qInterp(EP8,$EJ$10:$EJ$19,$EK$10:$EK$19))))</f>
        <v>1.1356040500409752</v>
      </c>
      <c r="EP8" s="190">
        <f t="shared" si="0"/>
        <v>-4</v>
      </c>
      <c r="EQ8" s="182">
        <f t="shared" si="1"/>
        <v>155.60000600000001</v>
      </c>
      <c r="ER8" s="186">
        <f t="shared" si="2"/>
        <v>155.60000600000001</v>
      </c>
      <c r="ES8" s="184">
        <f t="shared" si="4"/>
        <v>6.4312540192923429E-2</v>
      </c>
      <c r="ET8" s="184">
        <f t="shared" si="5"/>
        <v>-3.2110148338665434E-2</v>
      </c>
      <c r="EV8" s="200"/>
      <c r="EW8" s="200"/>
      <c r="EX8" s="200"/>
    </row>
    <row r="9" spans="1:154">
      <c r="E9" s="596" t="s">
        <v>641</v>
      </c>
      <c r="G9" s="623" t="str">
        <f>"YBA"&amp;BF5</f>
        <v>YBAM1</v>
      </c>
      <c r="I9" s="623" t="s">
        <v>47</v>
      </c>
      <c r="M9" s="596" t="str">
        <f ca="1">_xll.RtUpdate("IDN",G9:G10,I9,N9,,RTMODE_RATES)</f>
        <v>Updated at 16:52:06</v>
      </c>
      <c r="N9" s="624">
        <v>40703</v>
      </c>
      <c r="Q9" s="632" t="s">
        <v>593</v>
      </c>
      <c r="S9" s="625" t="str">
        <f>IF(ISNUMBER(N9),"LIVE","DELAYED")</f>
        <v>LIVE</v>
      </c>
      <c r="Y9" s="21" t="s">
        <v>6</v>
      </c>
      <c r="Z9" s="614"/>
      <c r="AA9" s="614"/>
      <c r="AB9" s="614"/>
      <c r="AC9" s="614"/>
      <c r="AD9" s="614"/>
      <c r="AE9" s="58">
        <f>T41</f>
        <v>4.75</v>
      </c>
      <c r="AF9" s="58"/>
      <c r="AG9" s="10"/>
      <c r="AH9" s="3">
        <f t="shared" ref="AH9:AH15" si="6">IF(ISNUMBER(AG9),AG9,AVERAGE(AE9:AF9))</f>
        <v>4.75</v>
      </c>
      <c r="AI9" s="17">
        <f t="array" ref="AI9:AI15">AH9:AH15</f>
        <v>4.75</v>
      </c>
      <c r="AJ9" s="1"/>
      <c r="AK9" s="76"/>
      <c r="AL9" s="40" t="s">
        <v>101</v>
      </c>
      <c r="AM9" s="218"/>
      <c r="AN9" s="218"/>
      <c r="AO9" s="218"/>
      <c r="AP9" s="603" t="str">
        <f ca="1">_xll.RtUpdate("IDN",AN10:AN15,AP10,AR10,,RTMODE_RATES)</f>
        <v>Updated at 16:52:06</v>
      </c>
      <c r="AQ9" s="218"/>
      <c r="AR9" s="40"/>
      <c r="AS9" s="18"/>
      <c r="AT9" s="37" t="s">
        <v>126</v>
      </c>
      <c r="AU9" s="37" t="s">
        <v>127</v>
      </c>
      <c r="AW9" s="78"/>
      <c r="AX9" s="40" t="s">
        <v>34</v>
      </c>
      <c r="AY9" s="218"/>
      <c r="AZ9" s="218"/>
      <c r="BA9" s="218"/>
      <c r="BB9" s="603" t="str">
        <f ca="1">_xll.RtUpdate("IDN",AZ10:AZ15,BB10:BB11,BD10,,RTMODE_RATES)</f>
        <v>Updated at 16:52:06</v>
      </c>
      <c r="BC9" s="218"/>
      <c r="BD9" s="41"/>
      <c r="BE9" s="34"/>
      <c r="BF9" s="34"/>
      <c r="BG9" s="38"/>
      <c r="BH9" s="8"/>
      <c r="BI9" s="83"/>
      <c r="BJ9" s="33" t="s">
        <v>37</v>
      </c>
      <c r="BK9" s="600"/>
      <c r="BL9" s="600"/>
      <c r="BM9" s="600"/>
      <c r="BN9" s="603" t="str">
        <f ca="1">_xll.RtUpdate("IDN",BL10:BL15,BN10:BN11,BP10,,RTMODE_RATES)</f>
        <v>Updated at 16:52:06</v>
      </c>
      <c r="BO9" s="600"/>
      <c r="BP9" s="33"/>
      <c r="BQ9" s="39"/>
      <c r="BR9" s="38"/>
      <c r="BS9" s="38"/>
      <c r="BU9" s="5"/>
      <c r="BW9" s="5"/>
      <c r="BX9" s="303" t="s">
        <v>1</v>
      </c>
      <c r="BY9" s="246">
        <v>11.749999999999956</v>
      </c>
      <c r="BZ9" s="246">
        <v>6.9999999999998535</v>
      </c>
      <c r="CA9" s="246">
        <v>10.490936663462499</v>
      </c>
      <c r="CC9" s="303" t="s">
        <v>2</v>
      </c>
      <c r="CD9" s="246">
        <v>0.22921430228713316</v>
      </c>
      <c r="CL9" s="206">
        <v>3</v>
      </c>
      <c r="CM9" s="202" t="str">
        <v>AU3YCATM=ICAA</v>
      </c>
      <c r="CP9" s="211">
        <v>5.3</v>
      </c>
      <c r="CQ9" s="211">
        <v>16.350000000000001</v>
      </c>
      <c r="CT9" s="21" t="s">
        <v>26</v>
      </c>
      <c r="CU9" s="62">
        <f t="array" ref="CU9:CV16">CP7:CQ14</f>
        <v>5.1099999999999994</v>
      </c>
      <c r="CV9" s="62">
        <v>12.2</v>
      </c>
      <c r="CW9" s="166"/>
      <c r="CX9" s="17">
        <f t="shared" ref="CX9:CX16" si="7">IF(ISNUMBER(CW9),CW9,CV9)</f>
        <v>12.2</v>
      </c>
      <c r="CY9" s="17"/>
      <c r="DA9" s="34" t="s">
        <v>0</v>
      </c>
      <c r="DB9" s="58">
        <f t="array" ref="DB9:DB19">IF(ISNUMBER(DB23:DB33),DB23:DB33,CP17:CP27)</f>
        <v>3.7</v>
      </c>
      <c r="DC9" s="58">
        <f t="array" ref="DC9:DC19">IF(ISNUMBER(DC23:DC33),DC23:DC33,CP30:CP40)</f>
        <v>4.2</v>
      </c>
      <c r="DD9" s="58">
        <f t="array" ref="DD9:DD19">IF(ISNUMBER(DD23:DD33),DD23:DD33,CP43:CP53)</f>
        <v>4.4000000000000004</v>
      </c>
      <c r="DE9" s="58">
        <f t="array" ref="DE9:DE19">IF(ISNUMBER(DE23:DE33),DE23:DE33,CP56:CP66)</f>
        <v>4.4000000000000004</v>
      </c>
      <c r="DF9" s="58">
        <f t="array" ref="DF9:DF19">IF(ISNUMBER(DF23:DF33),DF23:DF33,CP69:CP79)</f>
        <v>4.4000000000000004</v>
      </c>
      <c r="DG9" s="58">
        <f t="array" ref="DG9:DG19">IF(ISNUMBER(DG23:DG33),DG23:DG33,CP82:CP92)</f>
        <v>4.4000000000000004</v>
      </c>
      <c r="DH9" s="58">
        <f t="array" ref="DH9:DH19">IF(ISNUMBER(DH23:DH33),DH23:DH33,CP95:CP105)</f>
        <v>4.3499999999999996</v>
      </c>
      <c r="DI9" s="58">
        <f t="array" ref="DI9:DI19">IF(ISNUMBER(DI23:DI33),DI23:DI33,CP95:CP105)</f>
        <v>4.3499999999999996</v>
      </c>
      <c r="DM9" s="168"/>
      <c r="DN9" s="168"/>
      <c r="DO9" s="168"/>
      <c r="DP9" s="168"/>
      <c r="DQ9" s="168"/>
      <c r="DR9" s="168"/>
      <c r="DS9" s="168"/>
      <c r="EA9" s="542">
        <v>39172</v>
      </c>
      <c r="EB9" s="543">
        <v>155.60000600000001</v>
      </c>
      <c r="EJ9" s="187" t="s">
        <v>171</v>
      </c>
      <c r="EK9" s="187" t="s">
        <v>287</v>
      </c>
      <c r="EN9" s="213">
        <v>39263</v>
      </c>
      <c r="EO9" s="224">
        <f>IF(EN9=CPI0_DATE,1,IF(EN9&lt;CPI0_DATE,EO10/EQ9*EQ10,EXP(_xll.qInterp(EP9,$EJ$10:$EJ$19,$EK$10:$EK$19))))</f>
        <v>1.1219047428571431</v>
      </c>
      <c r="EP9" s="190">
        <f t="shared" si="0"/>
        <v>-3.75</v>
      </c>
      <c r="EQ9" s="182">
        <f t="shared" si="1"/>
        <v>157.5</v>
      </c>
      <c r="ER9" s="186">
        <f t="shared" si="2"/>
        <v>157.5</v>
      </c>
      <c r="ES9" s="184">
        <f t="shared" si="4"/>
        <v>1.2210757883903911</v>
      </c>
      <c r="ET9" s="184">
        <f t="shared" si="5"/>
        <v>0.64308681672026191</v>
      </c>
      <c r="EU9" s="184">
        <f t="shared" ref="EU9:EU68" si="8">100*(ER9/ER5-1)</f>
        <v>2.0738800633723908</v>
      </c>
      <c r="EV9" s="200"/>
      <c r="EW9" s="200"/>
      <c r="EX9" s="200"/>
    </row>
    <row r="10" spans="1:154">
      <c r="G10" s="623" t="str">
        <f>"/"&amp;G9</f>
        <v>/YBAM1</v>
      </c>
      <c r="N10" s="624">
        <v>40703</v>
      </c>
      <c r="Y10" s="21" t="s">
        <v>0</v>
      </c>
      <c r="Z10" s="614"/>
      <c r="AA10" s="618" t="str">
        <f>"AU"&amp;Y10&amp;"BB=ICAA"</f>
        <v>AU1MBB=ICAA</v>
      </c>
      <c r="AB10" s="614"/>
      <c r="AC10" s="618" t="s">
        <v>45</v>
      </c>
      <c r="AD10" s="614"/>
      <c r="AE10" s="58">
        <v>4.83</v>
      </c>
      <c r="AF10" s="58">
        <v>4.8099999999999996</v>
      </c>
      <c r="AG10" s="10"/>
      <c r="AH10" s="3">
        <f t="shared" si="6"/>
        <v>4.82</v>
      </c>
      <c r="AI10" s="17">
        <v>4.82</v>
      </c>
      <c r="AJ10" s="1"/>
      <c r="AK10" s="76"/>
      <c r="AL10" s="19" t="s">
        <v>0</v>
      </c>
      <c r="AN10" s="602" t="str">
        <f t="shared" ref="AN10:AN15" si="9">"AU"&amp;AL10&amp;"BA="</f>
        <v>AU1MBA=</v>
      </c>
      <c r="AP10" s="602" t="s">
        <v>108</v>
      </c>
      <c r="AR10" s="42">
        <v>4.8099999999999996</v>
      </c>
      <c r="AS10" s="11" t="str">
        <f t="array" ref="AS10:AS15">TRIM(N102:N107)</f>
        <v>MAY</v>
      </c>
      <c r="AT10" s="106">
        <f t="shared" ref="AT10:AT15" si="10">AVERAGE(O102:P102)</f>
        <v>4.79</v>
      </c>
      <c r="AU10" s="106">
        <f t="shared" ref="AU10:AU15" si="11">AVERAGE(O109:P109)</f>
        <v>4.79</v>
      </c>
      <c r="AW10" s="78"/>
      <c r="AX10" s="19" t="s">
        <v>199</v>
      </c>
      <c r="AY10" s="601"/>
      <c r="AZ10" s="602" t="str">
        <f t="shared" ref="AZ10:AZ15" si="12">"AU"&amp;AX10&amp;"F=TTKL"</f>
        <v>AU1X4F=TTKL</v>
      </c>
      <c r="BA10" s="601"/>
      <c r="BB10" s="602" t="s">
        <v>45</v>
      </c>
      <c r="BC10" s="601"/>
      <c r="BD10" s="42">
        <v>4.9050000000000002</v>
      </c>
      <c r="BE10" s="42">
        <v>5.0049999999999999</v>
      </c>
      <c r="BF10" s="10"/>
      <c r="BG10" s="17">
        <f t="shared" ref="BG10:BG15" si="13">IF(ISNUMBER(BF10),BF10,AVERAGE(BD10:BE10))</f>
        <v>4.9550000000000001</v>
      </c>
      <c r="BH10" s="8"/>
      <c r="BI10" s="83"/>
      <c r="BJ10" s="19" t="s">
        <v>0</v>
      </c>
      <c r="BK10" s="601"/>
      <c r="BL10" s="602" t="str">
        <f t="shared" ref="BL10:BL15" si="14">"AUD"&amp;BJ10&amp;"OIS=ICAA"</f>
        <v>AUD1MOIS=ICAA</v>
      </c>
      <c r="BM10" s="601"/>
      <c r="BN10" s="602" t="s">
        <v>45</v>
      </c>
      <c r="BO10" s="601"/>
      <c r="BP10" s="42">
        <v>4.7700000000000005</v>
      </c>
      <c r="BQ10" s="42">
        <v>4.78</v>
      </c>
      <c r="BR10" s="10"/>
      <c r="BS10" s="30">
        <f t="shared" ref="BS10:BS15" si="15">IF(ISNUMBER(BR10),BR10,AVERAGE(BP10:BQ10))</f>
        <v>4.7750000000000004</v>
      </c>
      <c r="BU10" s="5"/>
      <c r="BW10" s="5"/>
      <c r="BX10" s="303" t="s">
        <v>2</v>
      </c>
      <c r="BY10" s="246">
        <v>16.14999999999721</v>
      </c>
      <c r="BZ10" s="246">
        <v>10.999999999997263</v>
      </c>
      <c r="CA10" s="246">
        <v>10.490936663462499</v>
      </c>
      <c r="CC10" s="303" t="s">
        <v>5</v>
      </c>
      <c r="CD10" s="246">
        <v>1.4841390109231998</v>
      </c>
      <c r="CL10" s="206">
        <v>4</v>
      </c>
      <c r="CM10" s="202" t="str">
        <v>AU4YCATM=ICAA</v>
      </c>
      <c r="CP10" s="211">
        <v>5.391</v>
      </c>
      <c r="CQ10" s="211">
        <v>16.36</v>
      </c>
      <c r="CT10" s="21" t="s">
        <v>27</v>
      </c>
      <c r="CU10" s="62">
        <v>5.2060000000000004</v>
      </c>
      <c r="CV10" s="62">
        <v>15.34</v>
      </c>
      <c r="CW10" s="166"/>
      <c r="CX10" s="15">
        <f t="shared" si="7"/>
        <v>15.34</v>
      </c>
      <c r="CY10" s="17"/>
      <c r="DA10" s="34" t="s">
        <v>1</v>
      </c>
      <c r="DB10" s="58">
        <v>3.8</v>
      </c>
      <c r="DC10" s="58">
        <v>4.3</v>
      </c>
      <c r="DD10" s="58">
        <v>4.5</v>
      </c>
      <c r="DE10" s="58">
        <v>4.5</v>
      </c>
      <c r="DF10" s="58">
        <v>4.5</v>
      </c>
      <c r="DG10" s="58">
        <v>4.5</v>
      </c>
      <c r="DH10" s="58">
        <v>4.45</v>
      </c>
      <c r="DI10" s="58">
        <v>4.45</v>
      </c>
      <c r="DM10" s="168"/>
      <c r="DN10" s="168"/>
      <c r="DO10" s="168"/>
      <c r="DP10" s="168"/>
      <c r="DQ10" s="168"/>
      <c r="DR10" s="168"/>
      <c r="DS10" s="168"/>
      <c r="EA10" s="542">
        <v>39263</v>
      </c>
      <c r="EB10" s="543">
        <v>157.5</v>
      </c>
      <c r="EE10" s="116" t="s">
        <v>231</v>
      </c>
      <c r="EF10" s="116"/>
      <c r="EG10" s="116"/>
      <c r="EH10" s="57"/>
      <c r="EI10" s="116"/>
      <c r="EJ10" s="188">
        <v>0</v>
      </c>
      <c r="EK10" s="188">
        <v>0</v>
      </c>
      <c r="EN10" s="213">
        <v>39355</v>
      </c>
      <c r="EO10" s="224">
        <f>IF(EN10=CPI0_DATE,1,IF(EN10&lt;CPI0_DATE,EO11/EQ10*EQ11,EXP(_xll.qInterp(EP10,$EJ$10:$EJ$19,$EK$10:$EK$19))))</f>
        <v>1.1141235202727549</v>
      </c>
      <c r="EP10" s="190">
        <f t="shared" si="0"/>
        <v>-3.5</v>
      </c>
      <c r="EQ10" s="182">
        <f t="shared" si="1"/>
        <v>158.60000600000001</v>
      </c>
      <c r="ER10" s="186">
        <f t="shared" si="2"/>
        <v>158.60000600000001</v>
      </c>
      <c r="ES10" s="184">
        <f t="shared" si="4"/>
        <v>0.69841650793651677</v>
      </c>
      <c r="ET10" s="184">
        <f t="shared" si="5"/>
        <v>0.96401024560371917</v>
      </c>
      <c r="EU10" s="184">
        <f t="shared" si="8"/>
        <v>1.8625620140506616</v>
      </c>
    </row>
    <row r="11" spans="1:154">
      <c r="Y11" s="21" t="s">
        <v>1</v>
      </c>
      <c r="Z11" s="614"/>
      <c r="AA11" s="618" t="str">
        <f t="shared" ref="AA11:AA15" si="16">"AU"&amp;Y11&amp;"BB=ICAA"</f>
        <v>AU2MBB=ICAA</v>
      </c>
      <c r="AB11" s="614"/>
      <c r="AC11" s="618" t="s">
        <v>46</v>
      </c>
      <c r="AD11" s="614"/>
      <c r="AE11" s="58">
        <v>4.9300000000000006</v>
      </c>
      <c r="AF11" s="58">
        <v>4.92</v>
      </c>
      <c r="AG11" s="10"/>
      <c r="AH11" s="3">
        <f t="shared" si="6"/>
        <v>4.9250000000000007</v>
      </c>
      <c r="AI11" s="17">
        <v>4.9250000000000007</v>
      </c>
      <c r="AJ11" s="1"/>
      <c r="AK11" s="76"/>
      <c r="AL11" s="19" t="s">
        <v>1</v>
      </c>
      <c r="AN11" s="602" t="str">
        <f t="shared" si="9"/>
        <v>AU2MBA=</v>
      </c>
      <c r="AR11" s="42">
        <v>4.8883000000000001</v>
      </c>
      <c r="AS11" s="11" t="str">
        <v>JUN</v>
      </c>
      <c r="AT11" s="106">
        <f t="shared" si="10"/>
        <v>4.8099999999999996</v>
      </c>
      <c r="AU11" s="106">
        <f t="shared" si="11"/>
        <v>4.82</v>
      </c>
      <c r="AW11" s="78"/>
      <c r="AX11" s="19" t="s">
        <v>200</v>
      </c>
      <c r="AY11" s="601"/>
      <c r="AZ11" s="602" t="str">
        <f t="shared" si="12"/>
        <v>AU2X5F=TTKL</v>
      </c>
      <c r="BA11" s="601"/>
      <c r="BB11" s="602" t="s">
        <v>46</v>
      </c>
      <c r="BC11" s="601"/>
      <c r="BD11" s="42">
        <v>4.9330000000000007</v>
      </c>
      <c r="BE11" s="42">
        <v>5.0330000000000004</v>
      </c>
      <c r="BF11" s="10"/>
      <c r="BG11" s="17">
        <f t="shared" si="13"/>
        <v>4.9830000000000005</v>
      </c>
      <c r="BH11" s="8"/>
      <c r="BI11" s="83"/>
      <c r="BJ11" s="19" t="s">
        <v>1</v>
      </c>
      <c r="BK11" s="601"/>
      <c r="BL11" s="602" t="str">
        <f t="shared" si="14"/>
        <v>AUD2MOIS=ICAA</v>
      </c>
      <c r="BM11" s="601"/>
      <c r="BN11" s="602" t="s">
        <v>46</v>
      </c>
      <c r="BO11" s="601"/>
      <c r="BP11" s="42">
        <v>4.8049999999999997</v>
      </c>
      <c r="BQ11" s="42">
        <v>4.8099999999999996</v>
      </c>
      <c r="BR11" s="10"/>
      <c r="BS11" s="30">
        <f t="shared" si="15"/>
        <v>4.8074999999999992</v>
      </c>
      <c r="BU11" s="5"/>
      <c r="BW11" s="5"/>
      <c r="BX11" s="303" t="s">
        <v>5</v>
      </c>
      <c r="BY11" s="246">
        <v>15.009063336537398</v>
      </c>
      <c r="BZ11" s="246">
        <v>9.0090633365374337</v>
      </c>
      <c r="CA11" s="246">
        <v>10.490936663462499</v>
      </c>
      <c r="CC11" s="303" t="s">
        <v>32</v>
      </c>
      <c r="CD11" s="246">
        <v>2.990813662753693</v>
      </c>
      <c r="CL11" s="206">
        <v>5</v>
      </c>
      <c r="CM11" s="202" t="str">
        <v>AU5YCATM=ICAA</v>
      </c>
      <c r="CP11" s="211">
        <v>5.492</v>
      </c>
      <c r="CQ11" s="211">
        <v>15.94</v>
      </c>
      <c r="CT11" s="167" t="s">
        <v>7</v>
      </c>
      <c r="CU11" s="62">
        <v>5.3</v>
      </c>
      <c r="CV11" s="62">
        <v>16.350000000000001</v>
      </c>
      <c r="CW11" s="166"/>
      <c r="CX11" s="15">
        <f t="shared" si="7"/>
        <v>16.350000000000001</v>
      </c>
      <c r="CY11" s="17"/>
      <c r="DA11" s="116" t="s">
        <v>2</v>
      </c>
      <c r="DB11" s="58">
        <v>4.2</v>
      </c>
      <c r="DC11" s="58">
        <v>4.9000000000000004</v>
      </c>
      <c r="DD11" s="58">
        <v>4.9000000000000004</v>
      </c>
      <c r="DE11" s="58">
        <v>4.9000000000000004</v>
      </c>
      <c r="DF11" s="58">
        <v>4.9000000000000004</v>
      </c>
      <c r="DG11" s="58">
        <v>4.8</v>
      </c>
      <c r="DH11" s="58">
        <v>4.5999999999999996</v>
      </c>
      <c r="DI11" s="58">
        <v>4.5999999999999996</v>
      </c>
      <c r="DM11" s="168"/>
      <c r="DN11" s="168"/>
      <c r="DO11" s="168"/>
      <c r="DP11" s="168"/>
      <c r="DQ11" s="168"/>
      <c r="DR11" s="168"/>
      <c r="DS11" s="168"/>
      <c r="EA11" s="542">
        <v>39355</v>
      </c>
      <c r="EB11" s="543">
        <v>158.60000600000001</v>
      </c>
      <c r="EE11" s="167" t="s">
        <v>26</v>
      </c>
      <c r="EF11" s="62">
        <f t="array" ref="EF11:EG19">EA28:EB36</f>
        <v>3.01</v>
      </c>
      <c r="EG11" s="62">
        <v>3.11</v>
      </c>
      <c r="EH11" s="166"/>
      <c r="EI11" s="176">
        <f t="shared" ref="EI11:EI19" si="17">IF(ISNUMBER(EH11),EH11,AVERAGE(EF11:EG11))</f>
        <v>3.0599999999999996</v>
      </c>
      <c r="EJ11" s="187">
        <v>1</v>
      </c>
      <c r="EK11" s="189">
        <f t="shared" ref="EK11:EK19" si="18">LN((1+EI11%)^-EJ11)</f>
        <v>-3.0141156911986832E-2</v>
      </c>
      <c r="EN11" s="213">
        <v>39447</v>
      </c>
      <c r="EO11" s="224">
        <f>IF(EN11=CPI0_DATE,1,IF(EN11&lt;CPI0_DATE,EO12/EQ11*EQ12,EXP(_xll.qInterp(EP11,$EJ$10:$EJ$19,$EK$10:$EK$19))))</f>
        <v>1.1036851366514004</v>
      </c>
      <c r="EP11" s="190">
        <f t="shared" si="0"/>
        <v>-3.25</v>
      </c>
      <c r="EQ11" s="182">
        <f t="shared" si="1"/>
        <v>160.10000600000001</v>
      </c>
      <c r="ER11" s="186">
        <f t="shared" si="2"/>
        <v>160.10000600000001</v>
      </c>
      <c r="ES11" s="184">
        <f t="shared" si="4"/>
        <v>0.94577550015981782</v>
      </c>
      <c r="ET11" s="184">
        <f t="shared" si="5"/>
        <v>0.82539873015873289</v>
      </c>
      <c r="EU11" s="184">
        <f t="shared" si="8"/>
        <v>2.9582032154340965</v>
      </c>
    </row>
    <row r="12" spans="1:154">
      <c r="E12" s="596" t="s">
        <v>642</v>
      </c>
      <c r="G12" s="623" t="str">
        <f>"YIB"&amp;BF6</f>
        <v>YIBc1</v>
      </c>
      <c r="I12" s="623" t="s">
        <v>47</v>
      </c>
      <c r="M12" s="596" t="str">
        <f ca="1">_xll.RtUpdate("IDN",G12:G13,I12,N12,,RTMODE_RATES)</f>
        <v>Updated at 16:52:06</v>
      </c>
      <c r="N12" s="624">
        <v>40694</v>
      </c>
      <c r="Q12" s="632" t="s">
        <v>593</v>
      </c>
      <c r="S12" s="625" t="str">
        <f>IF(ISNUMBER(N12),"LIVE","DELAYED")</f>
        <v>LIVE</v>
      </c>
      <c r="Y12" s="21" t="s">
        <v>2</v>
      </c>
      <c r="Z12" s="614"/>
      <c r="AA12" s="618" t="str">
        <f t="shared" si="16"/>
        <v>AU3MBB=ICAA</v>
      </c>
      <c r="AB12" s="614"/>
      <c r="AC12" s="614"/>
      <c r="AD12" s="614"/>
      <c r="AE12" s="58">
        <v>5.01</v>
      </c>
      <c r="AF12" s="58">
        <v>5</v>
      </c>
      <c r="AG12" s="10"/>
      <c r="AH12" s="3">
        <f t="shared" si="6"/>
        <v>5.0049999999999999</v>
      </c>
      <c r="AI12" s="17">
        <v>5.0049999999999999</v>
      </c>
      <c r="AJ12" s="1"/>
      <c r="AK12" s="76"/>
      <c r="AL12" s="19" t="s">
        <v>2</v>
      </c>
      <c r="AN12" s="602" t="str">
        <f t="shared" si="9"/>
        <v>AU3MBA=</v>
      </c>
      <c r="AR12" s="42">
        <v>4.9833000000000007</v>
      </c>
      <c r="AS12" s="11" t="str">
        <v>JUL</v>
      </c>
      <c r="AT12" s="106">
        <f t="shared" si="10"/>
        <v>4.88</v>
      </c>
      <c r="AU12" s="106">
        <f t="shared" si="11"/>
        <v>4.9250000000000007</v>
      </c>
      <c r="AW12" s="78"/>
      <c r="AX12" s="19" t="s">
        <v>201</v>
      </c>
      <c r="AY12" s="601"/>
      <c r="AZ12" s="602" t="str">
        <f t="shared" si="12"/>
        <v>AU3X6F=TTKL</v>
      </c>
      <c r="BA12" s="601"/>
      <c r="BB12" s="601"/>
      <c r="BC12" s="601"/>
      <c r="BD12" s="42">
        <v>4.9630000000000001</v>
      </c>
      <c r="BE12" s="42">
        <v>5.0629999999999997</v>
      </c>
      <c r="BF12" s="10"/>
      <c r="BG12" s="17">
        <f t="shared" si="13"/>
        <v>5.0129999999999999</v>
      </c>
      <c r="BH12" s="8"/>
      <c r="BI12" s="83"/>
      <c r="BJ12" s="19" t="s">
        <v>2</v>
      </c>
      <c r="BK12" s="601"/>
      <c r="BL12" s="602" t="str">
        <f t="shared" si="14"/>
        <v>AUD3MOIS=ICAA</v>
      </c>
      <c r="BM12" s="601"/>
      <c r="BN12" s="601"/>
      <c r="BO12" s="601"/>
      <c r="BP12" s="42">
        <v>4.8419999999999996</v>
      </c>
      <c r="BQ12" s="42">
        <v>4.8449999999999998</v>
      </c>
      <c r="BR12" s="10"/>
      <c r="BS12" s="30">
        <f t="shared" si="15"/>
        <v>4.8434999999999997</v>
      </c>
      <c r="BT12" s="52"/>
      <c r="BU12" s="5"/>
      <c r="BW12" s="5"/>
      <c r="BX12" s="303" t="s">
        <v>26</v>
      </c>
      <c r="BY12" s="246">
        <v>16.5</v>
      </c>
      <c r="BZ12" s="246">
        <v>10.75</v>
      </c>
      <c r="CA12" s="246">
        <v>8.25</v>
      </c>
      <c r="CC12" s="303" t="s">
        <v>26</v>
      </c>
      <c r="CD12" s="246">
        <f t="array" ref="CD12:CD21">FX!N32:N41</f>
        <v>6.25</v>
      </c>
      <c r="CL12" s="206">
        <v>7</v>
      </c>
      <c r="CM12" s="202" t="str">
        <v>AU7YCATM=ICAA</v>
      </c>
      <c r="CP12" s="211">
        <v>5.6429999999999998</v>
      </c>
      <c r="CQ12" s="211">
        <v>15.05</v>
      </c>
      <c r="CT12" s="167" t="s">
        <v>8</v>
      </c>
      <c r="CU12" s="62">
        <v>5.391</v>
      </c>
      <c r="CV12" s="62">
        <v>16.36</v>
      </c>
      <c r="CW12" s="166"/>
      <c r="CX12" s="15">
        <f t="shared" si="7"/>
        <v>16.36</v>
      </c>
      <c r="CY12" s="17"/>
      <c r="DA12" s="116" t="s">
        <v>5</v>
      </c>
      <c r="DB12" s="58">
        <v>5</v>
      </c>
      <c r="DC12" s="58">
        <v>5.2</v>
      </c>
      <c r="DD12" s="58">
        <v>5.0999999999999996</v>
      </c>
      <c r="DE12" s="58">
        <v>5.0999999999999996</v>
      </c>
      <c r="DF12" s="58">
        <v>5.0999999999999996</v>
      </c>
      <c r="DG12" s="58">
        <v>5.05</v>
      </c>
      <c r="DH12" s="58">
        <v>4.9000000000000004</v>
      </c>
      <c r="DI12" s="58">
        <v>4.9000000000000004</v>
      </c>
      <c r="DM12" s="168"/>
      <c r="DN12" s="168"/>
      <c r="DO12" s="168"/>
      <c r="DP12" s="168"/>
      <c r="DQ12" s="168"/>
      <c r="DR12" s="168"/>
      <c r="DS12" s="168"/>
      <c r="EA12" s="542">
        <v>39447</v>
      </c>
      <c r="EB12" s="543">
        <v>160.10000600000001</v>
      </c>
      <c r="EE12" s="167" t="s">
        <v>7</v>
      </c>
      <c r="EF12" s="62">
        <v>3</v>
      </c>
      <c r="EG12" s="62">
        <v>3.1</v>
      </c>
      <c r="EH12" s="166"/>
      <c r="EI12" s="176">
        <f t="shared" si="17"/>
        <v>3.05</v>
      </c>
      <c r="EJ12" s="187">
        <v>3</v>
      </c>
      <c r="EK12" s="189">
        <f t="shared" si="18"/>
        <v>-9.0132364045129823E-2</v>
      </c>
      <c r="EN12" s="213">
        <v>39538</v>
      </c>
      <c r="EO12" s="224">
        <f>IF(EN12=CPI0_DATE,1,IF(EN12&lt;CPI0_DATE,EO13/EQ12*EQ13,EXP(_xll.qInterp(EP12,$EJ$10:$EJ$19,$EK$10:$EK$19))))</f>
        <v>1.0893958092983198</v>
      </c>
      <c r="EP12" s="190">
        <f t="shared" si="0"/>
        <v>-3</v>
      </c>
      <c r="EQ12" s="182">
        <f t="shared" si="1"/>
        <v>162.199997</v>
      </c>
      <c r="ER12" s="186">
        <f t="shared" si="2"/>
        <v>162.199997</v>
      </c>
      <c r="ES12" s="184">
        <f t="shared" si="4"/>
        <v>1.3116745292314214</v>
      </c>
      <c r="ET12" s="184">
        <f t="shared" si="5"/>
        <v>1.1349277628652787</v>
      </c>
      <c r="EU12" s="184">
        <f t="shared" si="8"/>
        <v>4.2416392965948679</v>
      </c>
    </row>
    <row r="13" spans="1:154">
      <c r="G13" s="623" t="str">
        <f>"/"&amp;G12</f>
        <v>/YIBc1</v>
      </c>
      <c r="N13" s="624">
        <v>40694</v>
      </c>
      <c r="Y13" s="21" t="s">
        <v>3</v>
      </c>
      <c r="Z13" s="614"/>
      <c r="AA13" s="618" t="str">
        <f t="shared" si="16"/>
        <v>AU4MBB=ICAA</v>
      </c>
      <c r="AB13" s="614"/>
      <c r="AC13" s="614"/>
      <c r="AD13" s="614"/>
      <c r="AE13" s="58">
        <v>5.08</v>
      </c>
      <c r="AF13" s="58">
        <v>5.0599999999999996</v>
      </c>
      <c r="AG13" s="10"/>
      <c r="AH13" s="3">
        <f t="shared" si="6"/>
        <v>5.07</v>
      </c>
      <c r="AI13" s="17">
        <v>5.07</v>
      </c>
      <c r="AJ13" s="1"/>
      <c r="AK13" s="76"/>
      <c r="AL13" s="19" t="s">
        <v>3</v>
      </c>
      <c r="AN13" s="602" t="str">
        <f t="shared" si="9"/>
        <v>AU4MBA=</v>
      </c>
      <c r="AR13" s="42">
        <v>5.05</v>
      </c>
      <c r="AS13" s="11" t="str">
        <v>AUG</v>
      </c>
      <c r="AT13" s="106">
        <f t="shared" si="10"/>
        <v>5.0199999999999996</v>
      </c>
      <c r="AU13" s="106">
        <f t="shared" si="11"/>
        <v>5.0049999999999999</v>
      </c>
      <c r="AW13" s="78"/>
      <c r="AX13" s="19" t="s">
        <v>202</v>
      </c>
      <c r="AY13" s="601"/>
      <c r="AZ13" s="602" t="str">
        <f t="shared" si="12"/>
        <v>AU4X7F=TTKL</v>
      </c>
      <c r="BA13" s="601"/>
      <c r="BB13" s="601"/>
      <c r="BC13" s="601"/>
      <c r="BD13" s="42">
        <v>4.9880000000000004</v>
      </c>
      <c r="BE13" s="42">
        <v>5.0880000000000001</v>
      </c>
      <c r="BF13" s="10"/>
      <c r="BG13" s="17">
        <f t="shared" si="13"/>
        <v>5.0380000000000003</v>
      </c>
      <c r="BH13" s="8"/>
      <c r="BI13" s="83"/>
      <c r="BJ13" s="19" t="s">
        <v>3</v>
      </c>
      <c r="BK13" s="601"/>
      <c r="BL13" s="602" t="str">
        <f t="shared" si="14"/>
        <v>AUD4MOIS=ICAA</v>
      </c>
      <c r="BM13" s="601"/>
      <c r="BN13" s="601"/>
      <c r="BO13" s="601"/>
      <c r="BP13" s="42">
        <v>4.8769999999999998</v>
      </c>
      <c r="BQ13" s="42">
        <v>4.8849999999999998</v>
      </c>
      <c r="BR13" s="10"/>
      <c r="BS13" s="30">
        <f t="shared" si="15"/>
        <v>4.8810000000000002</v>
      </c>
      <c r="BT13" s="52"/>
      <c r="BU13" s="5"/>
      <c r="BW13" s="5"/>
      <c r="BX13" s="303" t="s">
        <v>27</v>
      </c>
      <c r="BY13" s="246">
        <v>20</v>
      </c>
      <c r="BZ13" s="246">
        <v>11.75</v>
      </c>
      <c r="CA13" s="246">
        <v>8</v>
      </c>
      <c r="CC13" s="303" t="s">
        <v>27</v>
      </c>
      <c r="CD13" s="246">
        <v>10.75</v>
      </c>
      <c r="CL13" s="206">
        <v>10</v>
      </c>
      <c r="CM13" s="202" t="str">
        <v>AU10YCATM=ICAA</v>
      </c>
      <c r="CP13" s="211">
        <v>5.74</v>
      </c>
      <c r="CQ13" s="211">
        <v>14.48</v>
      </c>
      <c r="CT13" s="167" t="s">
        <v>9</v>
      </c>
      <c r="CU13" s="62">
        <v>5.492</v>
      </c>
      <c r="CV13" s="62">
        <v>15.94</v>
      </c>
      <c r="CW13" s="166"/>
      <c r="CX13" s="15">
        <f t="shared" si="7"/>
        <v>15.94</v>
      </c>
      <c r="CY13" s="17"/>
      <c r="DA13" s="116" t="s">
        <v>26</v>
      </c>
      <c r="DB13" s="58">
        <v>5.5</v>
      </c>
      <c r="DC13" s="58">
        <v>5.7</v>
      </c>
      <c r="DD13" s="58">
        <v>5.7</v>
      </c>
      <c r="DE13" s="58">
        <v>5.6</v>
      </c>
      <c r="DF13" s="58">
        <v>5.5</v>
      </c>
      <c r="DG13" s="58">
        <v>5.35</v>
      </c>
      <c r="DH13" s="58">
        <v>5.2</v>
      </c>
      <c r="DI13" s="58">
        <v>5.2</v>
      </c>
      <c r="DM13" s="168"/>
      <c r="DN13" s="168"/>
      <c r="DO13" s="168"/>
      <c r="DP13" s="168"/>
      <c r="DQ13" s="168"/>
      <c r="DR13" s="168"/>
      <c r="DS13" s="168"/>
      <c r="EA13" s="542">
        <v>39538</v>
      </c>
      <c r="EB13" s="543">
        <v>162.199997</v>
      </c>
      <c r="EE13" s="167" t="s">
        <v>9</v>
      </c>
      <c r="EF13" s="62">
        <v>3</v>
      </c>
      <c r="EG13" s="62">
        <v>3.1</v>
      </c>
      <c r="EH13" s="166"/>
      <c r="EI13" s="176">
        <f t="shared" si="17"/>
        <v>3.05</v>
      </c>
      <c r="EJ13" s="187">
        <v>5</v>
      </c>
      <c r="EK13" s="189">
        <f t="shared" si="18"/>
        <v>-0.15022060674188314</v>
      </c>
      <c r="EN13" s="213">
        <v>39629</v>
      </c>
      <c r="EO13" s="224">
        <f>IF(EN13=CPI0_DATE,1,IF(EN13&lt;CPI0_DATE,EO14/EQ13*EQ14,EXP(_xll.qInterp(EP13,$EJ$10:$EJ$19,$EK$10:$EK$19))))</f>
        <v>1.0735114857772243</v>
      </c>
      <c r="EP13" s="190">
        <f t="shared" si="0"/>
        <v>-2.75</v>
      </c>
      <c r="EQ13" s="182">
        <f t="shared" si="1"/>
        <v>164.60000600000001</v>
      </c>
      <c r="ER13" s="186">
        <f t="shared" si="2"/>
        <v>164.60000600000001</v>
      </c>
      <c r="ES13" s="184">
        <f t="shared" si="4"/>
        <v>1.479660323298293</v>
      </c>
      <c r="ET13" s="184">
        <f t="shared" si="5"/>
        <v>1.4053715900547825</v>
      </c>
      <c r="EU13" s="184">
        <f t="shared" si="8"/>
        <v>4.5079403174603128</v>
      </c>
    </row>
    <row r="14" spans="1:154">
      <c r="Y14" s="21" t="s">
        <v>4</v>
      </c>
      <c r="Z14" s="614"/>
      <c r="AA14" s="618" t="str">
        <f t="shared" si="16"/>
        <v>AU5MBB=ICAA</v>
      </c>
      <c r="AB14" s="614"/>
      <c r="AC14" s="614"/>
      <c r="AD14" s="614"/>
      <c r="AE14" s="58">
        <v>5.14</v>
      </c>
      <c r="AF14" s="58">
        <v>5.1199999999999992</v>
      </c>
      <c r="AG14" s="10"/>
      <c r="AH14" s="3">
        <f t="shared" si="6"/>
        <v>5.129999999999999</v>
      </c>
      <c r="AI14" s="17">
        <v>5.129999999999999</v>
      </c>
      <c r="AJ14" s="1"/>
      <c r="AK14" s="76"/>
      <c r="AL14" s="19" t="s">
        <v>4</v>
      </c>
      <c r="AN14" s="602" t="str">
        <f t="shared" si="9"/>
        <v>AU5MBA=</v>
      </c>
      <c r="AR14" s="42">
        <v>5.1032999999999999</v>
      </c>
      <c r="AS14" s="11" t="str">
        <v>SEP</v>
      </c>
      <c r="AT14" s="106">
        <f t="shared" si="10"/>
        <v>5.05</v>
      </c>
      <c r="AU14" s="106">
        <f t="shared" si="11"/>
        <v>5.07</v>
      </c>
      <c r="AW14" s="78"/>
      <c r="AX14" s="19" t="s">
        <v>203</v>
      </c>
      <c r="AY14" s="601"/>
      <c r="AZ14" s="602" t="str">
        <f t="shared" si="12"/>
        <v>AU5X8F=TTKL</v>
      </c>
      <c r="BA14" s="601"/>
      <c r="BB14" s="601"/>
      <c r="BC14" s="601"/>
      <c r="BD14" s="42">
        <v>5</v>
      </c>
      <c r="BE14" s="42">
        <v>5.0999999999999996</v>
      </c>
      <c r="BF14" s="10"/>
      <c r="BG14" s="17">
        <f t="shared" si="13"/>
        <v>5.05</v>
      </c>
      <c r="BH14" s="8"/>
      <c r="BI14" s="83"/>
      <c r="BJ14" s="19" t="s">
        <v>4</v>
      </c>
      <c r="BK14" s="601"/>
      <c r="BL14" s="602" t="str">
        <f t="shared" si="14"/>
        <v>AUD5MOIS=ICAA</v>
      </c>
      <c r="BM14" s="601"/>
      <c r="BN14" s="601"/>
      <c r="BO14" s="601"/>
      <c r="BP14" s="42">
        <v>4.9000000000000004</v>
      </c>
      <c r="BQ14" s="42">
        <v>4.915</v>
      </c>
      <c r="BR14" s="10"/>
      <c r="BS14" s="30">
        <f t="shared" si="15"/>
        <v>4.9075000000000006</v>
      </c>
      <c r="BT14" s="52"/>
      <c r="BU14" s="5"/>
      <c r="BW14" s="5"/>
      <c r="BX14" s="303" t="s">
        <v>7</v>
      </c>
      <c r="BY14" s="246">
        <v>22</v>
      </c>
      <c r="BZ14" s="246">
        <v>11.999999999999998</v>
      </c>
      <c r="CA14" s="246">
        <v>7.75</v>
      </c>
      <c r="CC14" s="303" t="s">
        <v>7</v>
      </c>
      <c r="CD14" s="246">
        <v>14.5</v>
      </c>
      <c r="CL14" s="206">
        <v>15</v>
      </c>
      <c r="CM14" s="202" t="str">
        <v>AU15YCATM=ICAA</v>
      </c>
      <c r="CP14" s="211">
        <v>5.819</v>
      </c>
      <c r="CQ14" s="211">
        <v>13.209999999999999</v>
      </c>
      <c r="CT14" s="167" t="s">
        <v>11</v>
      </c>
      <c r="CU14" s="62">
        <v>5.6429999999999998</v>
      </c>
      <c r="CV14" s="62">
        <v>15.05</v>
      </c>
      <c r="CW14" s="166"/>
      <c r="CX14" s="15">
        <f t="shared" si="7"/>
        <v>15.05</v>
      </c>
      <c r="CY14" s="17"/>
      <c r="DA14" s="116" t="s">
        <v>27</v>
      </c>
      <c r="DB14" s="58">
        <v>6</v>
      </c>
      <c r="DC14" s="58">
        <v>6</v>
      </c>
      <c r="DD14" s="58">
        <v>5.85</v>
      </c>
      <c r="DE14" s="58">
        <v>5.72</v>
      </c>
      <c r="DF14" s="58">
        <v>5.6</v>
      </c>
      <c r="DG14" s="58">
        <v>5.45</v>
      </c>
      <c r="DH14" s="58">
        <v>5.2</v>
      </c>
      <c r="DI14" s="58">
        <v>5.2</v>
      </c>
      <c r="DM14" s="168"/>
      <c r="DN14" s="168"/>
      <c r="DO14" s="168"/>
      <c r="DP14" s="168"/>
      <c r="DQ14" s="168"/>
      <c r="DR14" s="168"/>
      <c r="DS14" s="168"/>
      <c r="EA14" s="542">
        <v>39629</v>
      </c>
      <c r="EB14" s="543">
        <v>164.60000600000001</v>
      </c>
      <c r="EE14" s="167" t="s">
        <v>11</v>
      </c>
      <c r="EF14" s="62">
        <v>3.01</v>
      </c>
      <c r="EG14" s="62">
        <v>3.11</v>
      </c>
      <c r="EH14" s="166"/>
      <c r="EI14" s="176">
        <f t="shared" si="17"/>
        <v>3.0599999999999996</v>
      </c>
      <c r="EJ14" s="187">
        <v>7</v>
      </c>
      <c r="EK14" s="189">
        <f t="shared" si="18"/>
        <v>-0.21098809838390786</v>
      </c>
      <c r="EN14" s="213">
        <v>39721</v>
      </c>
      <c r="EO14" s="224">
        <f>IF(EN14=CPI0_DATE,1,IF(EN14&lt;CPI0_DATE,EO15/EQ14*EQ15,EXP(_xll.qInterp(EP14,$EJ$10:$EJ$19,$EK$10:$EK$19))))</f>
        <v>1.0612612432432436</v>
      </c>
      <c r="EP14" s="190">
        <f t="shared" si="0"/>
        <v>-2.5</v>
      </c>
      <c r="EQ14" s="182">
        <f t="shared" si="1"/>
        <v>166.5</v>
      </c>
      <c r="ER14" s="186">
        <f t="shared" si="2"/>
        <v>166.5</v>
      </c>
      <c r="ES14" s="184">
        <f t="shared" si="4"/>
        <v>1.1543097999644036</v>
      </c>
      <c r="ET14" s="184">
        <f t="shared" si="5"/>
        <v>1.3255249936903524</v>
      </c>
      <c r="EU14" s="184">
        <f t="shared" si="8"/>
        <v>4.9810805177396889</v>
      </c>
    </row>
    <row r="15" spans="1:154">
      <c r="Y15" s="21" t="s">
        <v>5</v>
      </c>
      <c r="Z15" s="614"/>
      <c r="AA15" s="618" t="str">
        <f t="shared" si="16"/>
        <v>AU6MBB=ICAA</v>
      </c>
      <c r="AB15" s="614"/>
      <c r="AC15" s="614"/>
      <c r="AD15" s="614"/>
      <c r="AE15" s="58">
        <v>5.2</v>
      </c>
      <c r="AF15" s="58">
        <v>5.18</v>
      </c>
      <c r="AG15" s="10"/>
      <c r="AH15" s="3">
        <f t="shared" si="6"/>
        <v>5.1899999999999995</v>
      </c>
      <c r="AI15" s="17">
        <v>5.1899999999999995</v>
      </c>
      <c r="AJ15" s="1"/>
      <c r="AK15" s="76"/>
      <c r="AL15" s="19" t="s">
        <v>5</v>
      </c>
      <c r="AN15" s="602" t="str">
        <f t="shared" si="9"/>
        <v>AU6MBA=</v>
      </c>
      <c r="AR15" s="42">
        <v>5.18</v>
      </c>
      <c r="AS15" s="11" t="str">
        <v>OCT</v>
      </c>
      <c r="AT15" s="106">
        <f t="shared" si="10"/>
        <v>5.1099999999999994</v>
      </c>
      <c r="AU15" s="106">
        <f t="shared" si="11"/>
        <v>5.129999999999999</v>
      </c>
      <c r="AW15" s="78"/>
      <c r="AX15" s="19" t="s">
        <v>204</v>
      </c>
      <c r="AY15" s="601"/>
      <c r="AZ15" s="602" t="str">
        <f t="shared" si="12"/>
        <v>AU6X9F=TTKL</v>
      </c>
      <c r="BA15" s="601"/>
      <c r="BB15" s="601"/>
      <c r="BC15" s="601"/>
      <c r="BD15" s="42">
        <v>5.0720000000000001</v>
      </c>
      <c r="BE15" s="42">
        <v>5.1719999999999997</v>
      </c>
      <c r="BF15" s="10"/>
      <c r="BG15" s="17">
        <f t="shared" si="13"/>
        <v>5.1219999999999999</v>
      </c>
      <c r="BH15" s="8"/>
      <c r="BI15" s="83"/>
      <c r="BJ15" s="19" t="s">
        <v>5</v>
      </c>
      <c r="BK15" s="601"/>
      <c r="BL15" s="602" t="str">
        <f t="shared" si="14"/>
        <v>AUD6MOIS=ICAA</v>
      </c>
      <c r="BM15" s="601"/>
      <c r="BN15" s="601"/>
      <c r="BO15" s="601"/>
      <c r="BP15" s="42">
        <v>4.9300000000000006</v>
      </c>
      <c r="BQ15" s="42">
        <v>4.9400000000000004</v>
      </c>
      <c r="BR15" s="10"/>
      <c r="BS15" s="30">
        <f t="shared" si="15"/>
        <v>4.9350000000000005</v>
      </c>
      <c r="BT15" s="52"/>
      <c r="BU15" s="5"/>
      <c r="BW15" s="5"/>
      <c r="BX15" s="303" t="s">
        <v>8</v>
      </c>
      <c r="BY15" s="246">
        <v>23</v>
      </c>
      <c r="BZ15" s="246">
        <v>11.999999999999998</v>
      </c>
      <c r="CA15" s="246">
        <v>7.5</v>
      </c>
      <c r="CC15" s="303" t="s">
        <v>8</v>
      </c>
      <c r="CD15" s="246">
        <v>17.25</v>
      </c>
      <c r="CT15" s="167" t="s">
        <v>14</v>
      </c>
      <c r="CU15" s="62">
        <v>5.74</v>
      </c>
      <c r="CV15" s="62">
        <v>14.48</v>
      </c>
      <c r="CW15" s="166"/>
      <c r="CX15" s="15">
        <f t="shared" si="7"/>
        <v>14.48</v>
      </c>
      <c r="CY15" s="17"/>
      <c r="DA15" s="116" t="s">
        <v>7</v>
      </c>
      <c r="DB15" s="58">
        <v>5.8</v>
      </c>
      <c r="DC15" s="58">
        <v>5.7</v>
      </c>
      <c r="DD15" s="58">
        <v>5.6</v>
      </c>
      <c r="DE15" s="58">
        <v>5.5</v>
      </c>
      <c r="DF15" s="58">
        <v>5.4</v>
      </c>
      <c r="DG15" s="58">
        <v>5.3</v>
      </c>
      <c r="DH15" s="58">
        <v>5.1499999999999995</v>
      </c>
      <c r="DI15" s="58">
        <v>5.1499999999999995</v>
      </c>
      <c r="DK15" s="31"/>
      <c r="DM15" s="168"/>
      <c r="DN15" s="168"/>
      <c r="DO15" s="168"/>
      <c r="DP15" s="168"/>
      <c r="DQ15" s="168"/>
      <c r="DR15" s="168"/>
      <c r="DS15" s="168"/>
      <c r="EA15" s="542">
        <v>39721</v>
      </c>
      <c r="EB15" s="543">
        <v>166.5</v>
      </c>
      <c r="EE15" s="167" t="s">
        <v>14</v>
      </c>
      <c r="EF15" s="62">
        <v>3.03</v>
      </c>
      <c r="EG15" s="62">
        <v>3.13</v>
      </c>
      <c r="EH15" s="166"/>
      <c r="EI15" s="176">
        <f t="shared" si="17"/>
        <v>3.08</v>
      </c>
      <c r="EJ15" s="187">
        <v>10</v>
      </c>
      <c r="EK15" s="189">
        <f t="shared" si="18"/>
        <v>-0.30335199796072926</v>
      </c>
      <c r="EN15" s="213">
        <v>39813</v>
      </c>
      <c r="EO15" s="224">
        <f>IF(EN15=CPI0_DATE,1,IF(EN15&lt;CPI0_DATE,EO16/EQ15*EQ16,EXP(_xll.qInterp(EP15,$EJ$10:$EJ$19,$EK$10:$EK$19))))</f>
        <v>1.0644578132530125</v>
      </c>
      <c r="EP15" s="190">
        <f t="shared" si="0"/>
        <v>-2.25</v>
      </c>
      <c r="EQ15" s="182">
        <f t="shared" si="1"/>
        <v>166</v>
      </c>
      <c r="ER15" s="186">
        <f t="shared" si="2"/>
        <v>166</v>
      </c>
      <c r="ES15" s="184">
        <f t="shared" si="4"/>
        <v>-0.30030030030030463</v>
      </c>
      <c r="ET15" s="184">
        <f t="shared" si="5"/>
        <v>0.42527155193420318</v>
      </c>
      <c r="EU15" s="184">
        <f t="shared" si="8"/>
        <v>3.6851928662638533</v>
      </c>
    </row>
    <row r="16" spans="1:154">
      <c r="E16" s="622" t="s">
        <v>643</v>
      </c>
      <c r="F16" s="622"/>
      <c r="AH16" s="9"/>
      <c r="AJ16" s="1"/>
      <c r="AK16" s="76"/>
      <c r="AW16" s="78"/>
      <c r="AX16" s="16"/>
      <c r="AY16" s="609"/>
      <c r="AZ16" s="609"/>
      <c r="BA16" s="609"/>
      <c r="BB16" s="609"/>
      <c r="BC16" s="609"/>
      <c r="BD16" s="3"/>
      <c r="BH16" s="8"/>
      <c r="BI16" s="83"/>
      <c r="BJ16" s="25"/>
      <c r="BK16" s="599"/>
      <c r="BL16" s="599"/>
      <c r="BM16" s="599"/>
      <c r="BN16" s="599"/>
      <c r="BO16" s="599"/>
      <c r="BP16" s="15"/>
      <c r="BQ16" s="1"/>
      <c r="BR16" s="15"/>
      <c r="BS16" s="30"/>
      <c r="BT16" s="52"/>
      <c r="BU16" s="5"/>
      <c r="BW16" s="5"/>
      <c r="BX16" s="303" t="s">
        <v>9</v>
      </c>
      <c r="BY16" s="246">
        <v>23.5</v>
      </c>
      <c r="BZ16" s="246">
        <v>11.75</v>
      </c>
      <c r="CA16" s="246">
        <v>7.2499999999999991</v>
      </c>
      <c r="CC16" s="303" t="s">
        <v>9</v>
      </c>
      <c r="CD16" s="246">
        <v>20</v>
      </c>
      <c r="CJ16" s="202" t="s">
        <v>279</v>
      </c>
      <c r="CK16" s="206" t="s">
        <v>110</v>
      </c>
      <c r="CL16" s="206" t="s">
        <v>278</v>
      </c>
      <c r="CM16" s="202" t="s">
        <v>276</v>
      </c>
      <c r="CN16" s="202" t="s">
        <v>277</v>
      </c>
      <c r="CT16" s="167" t="s">
        <v>16</v>
      </c>
      <c r="CU16" s="62">
        <v>5.819</v>
      </c>
      <c r="CV16" s="62">
        <v>13.209999999999999</v>
      </c>
      <c r="CW16" s="166"/>
      <c r="CX16" s="15">
        <f t="shared" si="7"/>
        <v>13.209999999999999</v>
      </c>
      <c r="CY16" s="17"/>
      <c r="DA16" s="116" t="s">
        <v>8</v>
      </c>
      <c r="DB16" s="58">
        <v>5.55</v>
      </c>
      <c r="DC16" s="58">
        <v>5.46</v>
      </c>
      <c r="DD16" s="58">
        <v>5.38</v>
      </c>
      <c r="DE16" s="58">
        <v>5.33</v>
      </c>
      <c r="DF16" s="58">
        <v>5.25</v>
      </c>
      <c r="DG16" s="58">
        <v>5.18</v>
      </c>
      <c r="DH16" s="58">
        <v>5.1099999999999994</v>
      </c>
      <c r="DI16" s="58">
        <v>5.1099999999999994</v>
      </c>
      <c r="DK16" s="31"/>
      <c r="DM16" s="168"/>
      <c r="DN16" s="168"/>
      <c r="DO16" s="168"/>
      <c r="DP16" s="168"/>
      <c r="DQ16" s="168"/>
      <c r="DR16" s="168"/>
      <c r="DS16" s="168"/>
      <c r="EA16" s="542">
        <v>39813</v>
      </c>
      <c r="EB16" s="543">
        <v>166</v>
      </c>
      <c r="EE16" s="167" t="s">
        <v>15</v>
      </c>
      <c r="EF16" s="62">
        <v>3.04</v>
      </c>
      <c r="EG16" s="62">
        <v>3.14</v>
      </c>
      <c r="EH16" s="166"/>
      <c r="EI16" s="176">
        <f t="shared" si="17"/>
        <v>3.09</v>
      </c>
      <c r="EJ16" s="187">
        <v>12</v>
      </c>
      <c r="EK16" s="189">
        <f t="shared" si="18"/>
        <v>-0.36518648544242355</v>
      </c>
      <c r="EN16" s="213">
        <v>39903</v>
      </c>
      <c r="EO16" s="224">
        <f>IF(EN16=CPI0_DATE,1,IF(EN16&lt;CPI0_DATE,EO17/EQ16*EQ17,EXP(_xll.qInterp(EP16,$EJ$10:$EJ$19,$EK$10:$EK$19))))</f>
        <v>1.0631768964472368</v>
      </c>
      <c r="EP16" s="190">
        <f t="shared" si="0"/>
        <v>-2</v>
      </c>
      <c r="EQ16" s="182">
        <f t="shared" si="1"/>
        <v>166.199997</v>
      </c>
      <c r="ER16" s="186">
        <f t="shared" si="2"/>
        <v>166.199997</v>
      </c>
      <c r="ES16" s="184">
        <f t="shared" si="4"/>
        <v>0.12048012048193613</v>
      </c>
      <c r="ET16" s="184">
        <f t="shared" si="5"/>
        <v>-9.0090990990993047E-2</v>
      </c>
      <c r="EU16" s="184">
        <f t="shared" si="8"/>
        <v>2.466091290988115</v>
      </c>
    </row>
    <row r="17" spans="1:154">
      <c r="O17" s="632" t="s">
        <v>644</v>
      </c>
      <c r="Y17" s="34" t="s">
        <v>22</v>
      </c>
      <c r="Z17" s="204"/>
      <c r="AA17" s="204"/>
      <c r="AB17" s="204"/>
      <c r="AC17" s="204"/>
      <c r="AD17" s="204"/>
      <c r="AF17" s="636" t="str">
        <f>IF(S9="DELAYED","DELAYED","")</f>
        <v/>
      </c>
      <c r="AG17" s="35"/>
      <c r="AH17" s="36" t="s">
        <v>20</v>
      </c>
      <c r="AI17" s="641" t="s">
        <v>25</v>
      </c>
      <c r="AJ17" s="107"/>
      <c r="AK17" s="108"/>
      <c r="AL17" s="63" t="s">
        <v>136</v>
      </c>
      <c r="AM17" s="220"/>
      <c r="AN17" s="220"/>
      <c r="AO17" s="220"/>
      <c r="AP17" s="220"/>
      <c r="AQ17" s="220"/>
      <c r="AR17" s="18"/>
      <c r="AS17" s="35"/>
      <c r="AT17" s="39"/>
      <c r="AU17" s="29"/>
      <c r="AV17" s="18"/>
      <c r="AW17" s="77"/>
      <c r="AX17" s="40" t="s">
        <v>39</v>
      </c>
      <c r="AY17" s="218"/>
      <c r="AZ17" s="218"/>
      <c r="BA17" s="218"/>
      <c r="BB17" s="603" t="str">
        <f ca="1">_xll.RtUpdate("IDN",AZ18:AZ23,BB18:BB19,BD18,,RTMODE_RATES)</f>
        <v>Updated at 16:58:10</v>
      </c>
      <c r="BC17" s="218"/>
      <c r="BH17" s="24"/>
      <c r="BI17" s="84"/>
      <c r="BJ17" s="40" t="s">
        <v>116</v>
      </c>
      <c r="BK17" s="325"/>
      <c r="BL17" s="325"/>
      <c r="BM17" s="325"/>
      <c r="BN17" s="325"/>
      <c r="BO17" s="325"/>
      <c r="BQ17" s="636" t="str">
        <f>IF(S12="DELAYED","DELAYED","")</f>
        <v/>
      </c>
      <c r="BR17" s="40"/>
      <c r="BS17" s="30"/>
      <c r="BT17" s="53"/>
      <c r="BU17" s="7"/>
      <c r="BV17" s="576"/>
      <c r="BW17" s="7"/>
      <c r="BX17" s="303" t="s">
        <v>10</v>
      </c>
      <c r="BY17" s="246">
        <v>23.5</v>
      </c>
      <c r="BZ17" s="246">
        <v>11.250000000000002</v>
      </c>
      <c r="CA17" s="246">
        <v>7</v>
      </c>
      <c r="CC17" s="303" t="s">
        <v>11</v>
      </c>
      <c r="CD17" s="246">
        <v>24.25</v>
      </c>
      <c r="CK17" s="206" t="s">
        <v>26</v>
      </c>
      <c r="CL17" s="206" t="s">
        <v>0</v>
      </c>
      <c r="CM17" s="202" t="str">
        <f t="array" ref="CM17:CM27">"AUBP"&amp;CL17:CL27&amp;"X"&amp;CK17:CK27&amp;"=ICAA"</f>
        <v>AUBP1MX1Y=ICAA</v>
      </c>
      <c r="CN17" s="202" t="s">
        <v>223</v>
      </c>
      <c r="CO17" s="202" t="str">
        <f ca="1">_xll.RtUpdate("IDN",CM17:CM27,CN17,CP17,,RTMODE_VOLS)</f>
        <v>Updated at 16:52:06</v>
      </c>
      <c r="CP17" s="212">
        <v>3.7</v>
      </c>
      <c r="CT17" s="31"/>
      <c r="DA17" s="116" t="s">
        <v>9</v>
      </c>
      <c r="DB17" s="58">
        <v>5.3199999999999994</v>
      </c>
      <c r="DC17" s="58">
        <v>5.28</v>
      </c>
      <c r="DD17" s="58">
        <v>5.2</v>
      </c>
      <c r="DE17" s="58">
        <v>5.18</v>
      </c>
      <c r="DF17" s="58">
        <v>5.0999999999999996</v>
      </c>
      <c r="DG17" s="58">
        <v>5.09</v>
      </c>
      <c r="DH17" s="58">
        <v>5.07</v>
      </c>
      <c r="DI17" s="58">
        <v>5.07</v>
      </c>
      <c r="DK17" s="31"/>
      <c r="EA17" s="542">
        <v>39903</v>
      </c>
      <c r="EB17" s="543">
        <v>166.199997</v>
      </c>
      <c r="EE17" s="167" t="s">
        <v>16</v>
      </c>
      <c r="EF17" s="62">
        <v>3.04</v>
      </c>
      <c r="EG17" s="62">
        <v>3.14</v>
      </c>
      <c r="EH17" s="166"/>
      <c r="EI17" s="176">
        <f t="shared" si="17"/>
        <v>3.09</v>
      </c>
      <c r="EJ17" s="187">
        <v>15</v>
      </c>
      <c r="EK17" s="189">
        <f t="shared" si="18"/>
        <v>-0.45648310680302945</v>
      </c>
      <c r="EN17" s="213">
        <v>39994</v>
      </c>
      <c r="EO17" s="224">
        <f>IF(EN17=CPI0_DATE,1,IF(EN17&lt;CPI0_DATE,EO18/EQ17*EQ18,EXP(_xll.qInterp(EP17,$EJ$10:$EJ$19,$EK$10:$EK$19))))</f>
        <v>1.0580838143712579</v>
      </c>
      <c r="EP17" s="190">
        <f t="shared" si="0"/>
        <v>-1.75</v>
      </c>
      <c r="EQ17" s="182">
        <f t="shared" si="1"/>
        <v>167</v>
      </c>
      <c r="ER17" s="186">
        <f t="shared" si="2"/>
        <v>167</v>
      </c>
      <c r="ES17" s="184">
        <f t="shared" si="4"/>
        <v>0.48134958750931656</v>
      </c>
      <c r="ET17" s="184">
        <f t="shared" si="5"/>
        <v>0.30120481927711218</v>
      </c>
      <c r="EU17" s="184">
        <f t="shared" si="8"/>
        <v>1.4580764960604009</v>
      </c>
    </row>
    <row r="18" spans="1:154" s="7" customFormat="1">
      <c r="A18" s="172"/>
      <c r="B18" s="172"/>
      <c r="C18" s="172"/>
      <c r="D18" s="596"/>
      <c r="E18" s="596" t="s">
        <v>640</v>
      </c>
      <c r="F18" s="596"/>
      <c r="G18" s="623" t="str">
        <f>IF(S6="LIVE","YTT"&amp;_xll.qFuturesDateToCode(N6),"/YTT"&amp;_xll.qFuturesDateToCode(N7))</f>
        <v>YTTM1</v>
      </c>
      <c r="H18" s="596"/>
      <c r="I18" s="623" t="s">
        <v>47</v>
      </c>
      <c r="J18" s="596"/>
      <c r="K18" s="596"/>
      <c r="L18" s="596" t="s">
        <v>81</v>
      </c>
      <c r="M18" s="596" t="str">
        <f ca="1">_xll.RtUpdate("IDN",G18:G19,I18:I21,N18,,RTMODE_RATES)</f>
        <v>Updated at 17:02:10</v>
      </c>
      <c r="N18" s="624">
        <v>40709</v>
      </c>
      <c r="O18" s="630">
        <v>94.990000000000009</v>
      </c>
      <c r="P18" s="630">
        <v>94.910000000000011</v>
      </c>
      <c r="Q18" s="630">
        <v>94.92</v>
      </c>
      <c r="R18" s="596" t="s">
        <v>81</v>
      </c>
      <c r="S18" s="627">
        <v>40709</v>
      </c>
      <c r="T18" s="626">
        <v>94.990000000000009</v>
      </c>
      <c r="U18" s="626">
        <v>94.910000000000011</v>
      </c>
      <c r="V18" s="626">
        <v>94.92</v>
      </c>
      <c r="W18" s="596"/>
      <c r="X18" s="6"/>
      <c r="Y18" s="22" t="str">
        <f t="array" ref="Y18:Y25">F23:F30</f>
        <v>M1</v>
      </c>
      <c r="Z18" s="221"/>
      <c r="AA18" s="221"/>
      <c r="AB18" s="221"/>
      <c r="AC18" s="221"/>
      <c r="AD18" s="221"/>
      <c r="AE18" s="58">
        <f t="array" ref="AE18:AF18">IF(AND(T23&lt;&gt;0,U23&lt;&gt;0),T23:U23,V23)</f>
        <v>94.95</v>
      </c>
      <c r="AF18" s="58">
        <v>94.95</v>
      </c>
      <c r="AG18" s="10"/>
      <c r="AH18" s="73">
        <f t="shared" ref="AH18:AH25" si="19">IF(ISNUMBER(AG18),AG18,AVERAGE(AE18:AF18))</f>
        <v>94.95</v>
      </c>
      <c r="AI18" s="30">
        <f t="shared" ref="AI18:AI25" si="20">100-AH18</f>
        <v>5.0499999999999972</v>
      </c>
      <c r="AJ18" s="1"/>
      <c r="AK18" s="78"/>
      <c r="AL18" s="22" t="str">
        <f t="shared" ref="AL18:AL25" si="21">Y18</f>
        <v>M1</v>
      </c>
      <c r="AM18" s="221"/>
      <c r="AN18" s="221"/>
      <c r="AO18" s="221"/>
      <c r="AP18" s="221"/>
      <c r="AQ18" s="221"/>
      <c r="AR18" s="62">
        <f>IF(ISNUMBER(AT18),AT18,_xll.qFuturesConvexityAdjustment(AH18,Today,N23,_xll.qInterp((N23-Today)/365,$CL$7:$CL$14,$CX$9:$CX$16)%,_xll.qInterp((N23-Today)/365,$CL$7:$CL$14,$CU$9:$CU$16)%,"SFE"))</f>
        <v>7.769652546230077E-4</v>
      </c>
      <c r="AT18" s="10"/>
      <c r="AU18" s="30">
        <f t="shared" ref="AU18:AU25" si="22">AI18-IF(ISNUMBER(AT18),AT18,AR18)%</f>
        <v>5.0499922303474509</v>
      </c>
      <c r="AV18" s="41"/>
      <c r="AW18" s="79"/>
      <c r="AX18" s="19" t="s">
        <v>205</v>
      </c>
      <c r="AY18" s="601"/>
      <c r="AZ18" s="602" t="s">
        <v>95</v>
      </c>
      <c r="BA18" s="601"/>
      <c r="BB18" s="602" t="s">
        <v>45</v>
      </c>
      <c r="BC18" s="601"/>
      <c r="BD18" s="42">
        <v>4.84</v>
      </c>
      <c r="BE18" s="42">
        <v>4.87</v>
      </c>
      <c r="BF18" s="10"/>
      <c r="BG18" s="17">
        <f t="shared" ref="BG18:BG22" si="23">IF(ISNUMBER(BF18),BF18,AVERAGE(BD18:BE18))</f>
        <v>4.8550000000000004</v>
      </c>
      <c r="BH18" s="34"/>
      <c r="BI18" s="75"/>
      <c r="BJ18" s="61" t="str">
        <f t="shared" ref="BJ18:BJ25" si="24">TEXT(N32,"MMM")</f>
        <v>May</v>
      </c>
      <c r="BK18" s="616"/>
      <c r="BL18" s="616"/>
      <c r="BM18" s="616"/>
      <c r="BN18" s="616"/>
      <c r="BO18" s="616"/>
      <c r="BP18" s="64">
        <f t="array" ref="BP18:BQ18">IF(AND(T32&lt;&gt;0,U32&lt;&gt;0),T32:U32,V32-V31+#REF!)</f>
        <v>95.25</v>
      </c>
      <c r="BQ18" s="64">
        <v>95.254999999999995</v>
      </c>
      <c r="BR18" s="10"/>
      <c r="BS18" s="30">
        <f t="shared" ref="BS18:BS25" si="25">100-IF(ISNUMBER(BR18),BR18,SUMPRODUCT(N(BP18:BQ18&lt;&gt;0),BP18:BQ18)/SUMPRODUCT(N(BP18:BQ18&lt;&gt;0)))</f>
        <v>4.7475000000000023</v>
      </c>
      <c r="BT18" s="6"/>
      <c r="BU18" s="5"/>
      <c r="BV18" s="573"/>
      <c r="BW18" s="5"/>
      <c r="BX18" s="303" t="s">
        <v>11</v>
      </c>
      <c r="BY18" s="246">
        <v>23.5</v>
      </c>
      <c r="BZ18" s="246">
        <v>10.75</v>
      </c>
      <c r="CA18" s="246">
        <v>6.75</v>
      </c>
      <c r="CB18" s="248"/>
      <c r="CC18" s="303" t="s">
        <v>14</v>
      </c>
      <c r="CD18" s="246">
        <v>27.5</v>
      </c>
      <c r="CE18" s="55"/>
      <c r="CI18" s="202"/>
      <c r="CJ18" s="202"/>
      <c r="CK18" s="206" t="s">
        <v>26</v>
      </c>
      <c r="CL18" s="206" t="s">
        <v>1</v>
      </c>
      <c r="CM18" s="202" t="str">
        <v>AUBP2MX1Y=ICAA</v>
      </c>
      <c r="CN18" s="205"/>
      <c r="CO18" s="202"/>
      <c r="CP18" s="212">
        <v>3.8</v>
      </c>
      <c r="CQ18" s="206"/>
      <c r="CR18" s="202"/>
      <c r="CS18" s="5"/>
      <c r="CT18" s="5"/>
      <c r="CU18" s="5"/>
      <c r="CV18" s="5"/>
      <c r="CW18" s="1"/>
      <c r="CX18" s="5"/>
      <c r="CY18" s="5"/>
      <c r="CZ18" s="5"/>
      <c r="DA18" s="116" t="s">
        <v>11</v>
      </c>
      <c r="DB18" s="58">
        <v>5.25</v>
      </c>
      <c r="DC18" s="58">
        <v>5.1499999999999995</v>
      </c>
      <c r="DD18" s="58">
        <v>5.0999999999999996</v>
      </c>
      <c r="DE18" s="58">
        <v>5.0999999999999996</v>
      </c>
      <c r="DF18" s="58">
        <v>5.0999999999999996</v>
      </c>
      <c r="DG18" s="58">
        <v>5.08</v>
      </c>
      <c r="DH18" s="58">
        <v>5.05</v>
      </c>
      <c r="DI18" s="58">
        <v>5.05</v>
      </c>
      <c r="DJ18" s="5"/>
      <c r="DK18" s="31"/>
      <c r="DL18" s="5"/>
      <c r="DU18" s="202"/>
      <c r="DV18" s="202"/>
      <c r="DW18" s="202"/>
      <c r="DX18" s="202"/>
      <c r="DY18" s="202"/>
      <c r="DZ18" s="202"/>
      <c r="EA18" s="542">
        <v>39994</v>
      </c>
      <c r="EB18" s="543">
        <v>167</v>
      </c>
      <c r="EC18" s="202"/>
      <c r="EE18" s="167" t="s">
        <v>17</v>
      </c>
      <c r="EF18" s="62">
        <v>3.05</v>
      </c>
      <c r="EG18" s="62">
        <v>3.15</v>
      </c>
      <c r="EH18" s="166"/>
      <c r="EI18" s="176">
        <f t="shared" si="17"/>
        <v>3.0999999999999996</v>
      </c>
      <c r="EJ18" s="187">
        <v>20</v>
      </c>
      <c r="EK18" s="189">
        <f t="shared" si="18"/>
        <v>-0.6105841006964563</v>
      </c>
      <c r="EL18" s="31"/>
      <c r="EM18" s="173"/>
      <c r="EN18" s="213">
        <v>40086</v>
      </c>
      <c r="EO18" s="224">
        <f>IF(EN18=CPI0_DATE,1,IF(EN18&lt;CPI0_DATE,EO19/EQ18*EQ19,EXP(_xll.qInterp(EP18,$EJ$10:$EJ$19,$EK$10:$EK$19))))</f>
        <v>1.048042649535849</v>
      </c>
      <c r="EP18" s="190">
        <f t="shared" si="0"/>
        <v>-1.5</v>
      </c>
      <c r="EQ18" s="182">
        <f t="shared" si="1"/>
        <v>168.60000600000001</v>
      </c>
      <c r="ER18" s="186">
        <f t="shared" si="2"/>
        <v>168.60000600000001</v>
      </c>
      <c r="ES18" s="184">
        <f t="shared" si="4"/>
        <v>0.95808742514971179</v>
      </c>
      <c r="ET18" s="184">
        <f t="shared" si="5"/>
        <v>0.72202438126398594</v>
      </c>
      <c r="EU18" s="184">
        <f t="shared" si="8"/>
        <v>1.2612648648648639</v>
      </c>
      <c r="EV18" s="173"/>
      <c r="EW18" s="173"/>
      <c r="EX18" s="173"/>
    </row>
    <row r="19" spans="1:154" s="6" customFormat="1">
      <c r="A19" s="165"/>
      <c r="B19" s="165"/>
      <c r="C19" s="165"/>
      <c r="D19" s="596"/>
      <c r="E19" s="596"/>
      <c r="F19" s="596"/>
      <c r="G19" s="623" t="str">
        <f>SUBSTITUTE(G18,"YTT","YTC")</f>
        <v>YTCM1</v>
      </c>
      <c r="H19" s="596"/>
      <c r="I19" s="623" t="s">
        <v>45</v>
      </c>
      <c r="J19" s="596"/>
      <c r="K19" s="596"/>
      <c r="L19" s="596"/>
      <c r="M19" s="596"/>
      <c r="N19" s="624">
        <v>40709</v>
      </c>
      <c r="O19" s="630">
        <v>94.61</v>
      </c>
      <c r="P19" s="630">
        <v>94.6</v>
      </c>
      <c r="Q19" s="630">
        <v>94.61</v>
      </c>
      <c r="R19" s="596" t="s">
        <v>81</v>
      </c>
      <c r="S19" s="627">
        <v>40709</v>
      </c>
      <c r="T19" s="626">
        <v>94.61</v>
      </c>
      <c r="U19" s="626">
        <v>94.6</v>
      </c>
      <c r="V19" s="626">
        <v>94.61</v>
      </c>
      <c r="W19" s="596"/>
      <c r="Y19" s="22" t="str">
        <v>U1</v>
      </c>
      <c r="Z19" s="221"/>
      <c r="AA19" s="221"/>
      <c r="AB19" s="221"/>
      <c r="AC19" s="221"/>
      <c r="AD19" s="221"/>
      <c r="AE19" s="58">
        <f t="array" ref="AE19:AF19">IF(AND(T24&lt;&gt;0,U24&lt;&gt;0),T24:U24,V24-V23+AH18)</f>
        <v>94.86</v>
      </c>
      <c r="AF19" s="58">
        <v>94.85</v>
      </c>
      <c r="AG19" s="10"/>
      <c r="AH19" s="73">
        <f t="shared" si="19"/>
        <v>94.85499999999999</v>
      </c>
      <c r="AI19" s="30">
        <f t="shared" si="20"/>
        <v>5.1450000000000102</v>
      </c>
      <c r="AJ19" s="1"/>
      <c r="AK19" s="78"/>
      <c r="AL19" s="22" t="str">
        <f t="shared" si="21"/>
        <v>U1</v>
      </c>
      <c r="AM19" s="221"/>
      <c r="AN19" s="221"/>
      <c r="AO19" s="221"/>
      <c r="AP19" s="221"/>
      <c r="AQ19" s="221"/>
      <c r="AR19" s="62">
        <f>IF(ISNUMBER(AT19),AT19,_xll.qFuturesConvexityAdjustment(AH19,Today,N24,_xll.qInterp((N24-Today)/365,$CL$7:$CL$14,$CX$9:$CX$16)%,_xll.qInterp((N24-Today)/365,$CL$7:$CL$14,$CU$9:$CU$16)%,"SFE"))</f>
        <v>1.8950127727634936E-2</v>
      </c>
      <c r="AT19" s="10"/>
      <c r="AU19" s="30">
        <f t="shared" si="22"/>
        <v>5.1448104987227339</v>
      </c>
      <c r="AV19" s="5"/>
      <c r="AW19" s="80"/>
      <c r="AX19" s="19" t="s">
        <v>206</v>
      </c>
      <c r="AY19" s="601"/>
      <c r="AZ19" s="602" t="s">
        <v>96</v>
      </c>
      <c r="BA19" s="601"/>
      <c r="BB19" s="602" t="s">
        <v>46</v>
      </c>
      <c r="BC19" s="601"/>
      <c r="BD19" s="42">
        <v>4.88</v>
      </c>
      <c r="BE19" s="42">
        <v>4.91</v>
      </c>
      <c r="BF19" s="10"/>
      <c r="BG19" s="17">
        <f t="shared" si="23"/>
        <v>4.8949999999999996</v>
      </c>
      <c r="BH19" s="3"/>
      <c r="BI19" s="85"/>
      <c r="BJ19" s="61" t="str">
        <f t="shared" si="24"/>
        <v>Jun</v>
      </c>
      <c r="BK19" s="616"/>
      <c r="BL19" s="616"/>
      <c r="BM19" s="616"/>
      <c r="BN19" s="616"/>
      <c r="BO19" s="616"/>
      <c r="BP19" s="64">
        <f t="array" ref="BP19:BQ19">IF(AND(T33&lt;&gt;0,U33&lt;&gt;0),T33:U33,V33-V32+100-BS18)</f>
        <v>95.210000000000008</v>
      </c>
      <c r="BQ19" s="64">
        <v>95.215000000000003</v>
      </c>
      <c r="BR19" s="10"/>
      <c r="BS19" s="30">
        <f t="shared" si="25"/>
        <v>4.7874999999999943</v>
      </c>
      <c r="BT19" s="1"/>
      <c r="BU19" s="5"/>
      <c r="BV19" s="573"/>
      <c r="BW19" s="5"/>
      <c r="BX19" s="303" t="s">
        <v>12</v>
      </c>
      <c r="BY19" s="246">
        <v>23.416666666666668</v>
      </c>
      <c r="BZ19" s="246">
        <v>10.333333333333334</v>
      </c>
      <c r="CA19" s="246">
        <v>6.5833333333333339</v>
      </c>
      <c r="CB19" s="248"/>
      <c r="CC19" s="303" t="s">
        <v>16</v>
      </c>
      <c r="CD19" s="246">
        <v>22.25</v>
      </c>
      <c r="CE19" s="55"/>
      <c r="CI19" s="202"/>
      <c r="CJ19" s="202"/>
      <c r="CK19" s="206" t="s">
        <v>26</v>
      </c>
      <c r="CL19" s="206" t="s">
        <v>2</v>
      </c>
      <c r="CM19" s="202" t="str">
        <v>AUBP3MX1Y=ICAA</v>
      </c>
      <c r="CN19" s="202"/>
      <c r="CO19" s="202"/>
      <c r="CP19" s="212">
        <v>4.2</v>
      </c>
      <c r="CQ19" s="206"/>
      <c r="CR19" s="202"/>
      <c r="CS19" s="5"/>
      <c r="CT19" s="7"/>
      <c r="CU19" s="5"/>
      <c r="CV19" s="5"/>
      <c r="CW19" s="1"/>
      <c r="CX19" s="5"/>
      <c r="CY19" s="5"/>
      <c r="CZ19" s="5"/>
      <c r="DA19" s="116" t="s">
        <v>14</v>
      </c>
      <c r="DB19" s="58">
        <v>5.1499999999999995</v>
      </c>
      <c r="DC19" s="58">
        <v>5.0999999999999996</v>
      </c>
      <c r="DD19" s="58">
        <v>5.05</v>
      </c>
      <c r="DE19" s="58">
        <v>5.05</v>
      </c>
      <c r="DF19" s="58">
        <v>5.05</v>
      </c>
      <c r="DG19" s="58">
        <v>5.05</v>
      </c>
      <c r="DH19" s="58">
        <v>5.05</v>
      </c>
      <c r="DI19" s="58">
        <v>5.05</v>
      </c>
      <c r="DJ19" s="5"/>
      <c r="DK19" s="5"/>
      <c r="DL19" s="5"/>
      <c r="DU19" s="202"/>
      <c r="DV19" s="202"/>
      <c r="DW19" s="202"/>
      <c r="DX19" s="202"/>
      <c r="DY19" s="202"/>
      <c r="DZ19" s="202"/>
      <c r="EA19" s="542">
        <v>40086</v>
      </c>
      <c r="EB19" s="543">
        <v>168.60000600000001</v>
      </c>
      <c r="EC19" s="202"/>
      <c r="EE19" s="167" t="s">
        <v>19</v>
      </c>
      <c r="EF19" s="62">
        <v>3.05</v>
      </c>
      <c r="EG19" s="62">
        <v>3.15</v>
      </c>
      <c r="EH19" s="166"/>
      <c r="EI19" s="176">
        <f t="shared" si="17"/>
        <v>3.0999999999999996</v>
      </c>
      <c r="EJ19" s="187">
        <v>30</v>
      </c>
      <c r="EK19" s="189">
        <f t="shared" si="18"/>
        <v>-0.91587615104468456</v>
      </c>
      <c r="EL19" s="31"/>
      <c r="EM19" s="174"/>
      <c r="EN19" s="213">
        <v>40178</v>
      </c>
      <c r="EO19" s="224">
        <f>IF(EN19=CPI0_DATE,1,IF(EN19&lt;CPI0_DATE,EO20/EQ19*EQ20,EXP(_xll.qInterp(EP19,$EJ$10:$EJ$19,$EK$10:$EK$19))))</f>
        <v>1.04247785840708</v>
      </c>
      <c r="EP19" s="190">
        <f t="shared" si="0"/>
        <v>-1.25</v>
      </c>
      <c r="EQ19" s="182">
        <f t="shared" si="1"/>
        <v>169.5</v>
      </c>
      <c r="ER19" s="186">
        <f t="shared" si="2"/>
        <v>169.5</v>
      </c>
      <c r="ES19" s="184">
        <f t="shared" si="4"/>
        <v>0.53380425146603017</v>
      </c>
      <c r="ET19" s="184">
        <f t="shared" si="5"/>
        <v>0.74850299401197917</v>
      </c>
      <c r="EU19" s="184">
        <f t="shared" si="8"/>
        <v>2.108433734939763</v>
      </c>
      <c r="EV19" s="174"/>
      <c r="EW19" s="174"/>
      <c r="EX19" s="174"/>
    </row>
    <row r="20" spans="1:154">
      <c r="I20" s="623" t="s">
        <v>46</v>
      </c>
      <c r="N20" s="624"/>
      <c r="O20" s="630"/>
      <c r="P20" s="630"/>
      <c r="Q20" s="630"/>
      <c r="R20" s="596" t="s">
        <v>81</v>
      </c>
      <c r="S20" s="627"/>
      <c r="T20" s="626"/>
      <c r="U20" s="626"/>
      <c r="V20" s="626"/>
      <c r="Y20" s="22" t="str">
        <v>Z1</v>
      </c>
      <c r="Z20" s="221"/>
      <c r="AA20" s="221"/>
      <c r="AB20" s="221"/>
      <c r="AC20" s="221"/>
      <c r="AD20" s="221"/>
      <c r="AE20" s="58">
        <f t="array" ref="AE20:AF20">IF(AND(T25&lt;&gt;0,U25&lt;&gt;0),T25:U25,V25-V24+AH19)</f>
        <v>94.79</v>
      </c>
      <c r="AF20" s="58">
        <v>94.78</v>
      </c>
      <c r="AG20" s="10"/>
      <c r="AH20" s="73">
        <f t="shared" si="19"/>
        <v>94.784999999999997</v>
      </c>
      <c r="AI20" s="30">
        <f>100-AH20</f>
        <v>5.2150000000000034</v>
      </c>
      <c r="AJ20" s="1"/>
      <c r="AK20" s="78"/>
      <c r="AL20" s="22" t="str">
        <f t="shared" si="21"/>
        <v>Z1</v>
      </c>
      <c r="AM20" s="221"/>
      <c r="AN20" s="221"/>
      <c r="AO20" s="221"/>
      <c r="AP20" s="221"/>
      <c r="AQ20" s="221"/>
      <c r="AR20" s="62">
        <f>IF(ISNUMBER(AT20),AT20,_xll.qFuturesConvexityAdjustment(AH20,Today,N25,_xll.qInterp((N25-Today)/365,$CL$7:$CL$14,$CX$9:$CX$16)%,_xll.qInterp((N25-Today)/365,$CL$7:$CL$14,$CU$9:$CU$16)%,"SFE"))</f>
        <v>6.0833636571633321E-2</v>
      </c>
      <c r="AT20" s="10"/>
      <c r="AU20" s="30">
        <f t="shared" si="22"/>
        <v>5.2143916636342871</v>
      </c>
      <c r="AV20" s="4"/>
      <c r="AW20" s="81"/>
      <c r="AX20" s="19" t="s">
        <v>207</v>
      </c>
      <c r="AY20" s="601"/>
      <c r="AZ20" s="602" t="s">
        <v>97</v>
      </c>
      <c r="BA20" s="601"/>
      <c r="BB20" s="601"/>
      <c r="BC20" s="601"/>
      <c r="BD20" s="42">
        <v>4.915</v>
      </c>
      <c r="BE20" s="42">
        <v>4.9450000000000003</v>
      </c>
      <c r="BF20" s="10"/>
      <c r="BG20" s="17">
        <f t="shared" si="23"/>
        <v>4.93</v>
      </c>
      <c r="BH20" s="6"/>
      <c r="BI20" s="86"/>
      <c r="BJ20" s="61" t="str">
        <f t="shared" si="24"/>
        <v>Jul</v>
      </c>
      <c r="BK20" s="616"/>
      <c r="BL20" s="616"/>
      <c r="BM20" s="616"/>
      <c r="BN20" s="616"/>
      <c r="BO20" s="616"/>
      <c r="BP20" s="64">
        <f t="array" ref="BP20:BQ20">IF(AND(T34&lt;&gt;0,U34&lt;&gt;0),T34:U34,V34-V33+100-BS19)</f>
        <v>95.164999999999992</v>
      </c>
      <c r="BQ20" s="64">
        <v>95.169999999999987</v>
      </c>
      <c r="BR20" s="10"/>
      <c r="BS20" s="30">
        <f t="shared" si="25"/>
        <v>4.8325000000000102</v>
      </c>
      <c r="BU20" s="5"/>
      <c r="BW20" s="5"/>
      <c r="BX20" s="303" t="s">
        <v>13</v>
      </c>
      <c r="BY20" s="246">
        <v>23.333333333333332</v>
      </c>
      <c r="BZ20" s="246">
        <v>9.9166666666666679</v>
      </c>
      <c r="CA20" s="246">
        <v>6.416666666666667</v>
      </c>
      <c r="CC20" s="303" t="s">
        <v>17</v>
      </c>
      <c r="CD20" s="246">
        <v>15.5</v>
      </c>
      <c r="CK20" s="206" t="s">
        <v>26</v>
      </c>
      <c r="CL20" s="206" t="s">
        <v>5</v>
      </c>
      <c r="CM20" s="202" t="str">
        <v>AUBP6MX1Y=ICAA</v>
      </c>
      <c r="CP20" s="212">
        <v>5</v>
      </c>
      <c r="EA20" s="542">
        <v>40178</v>
      </c>
      <c r="EB20" s="543">
        <v>169.5</v>
      </c>
      <c r="EJ20" s="172"/>
      <c r="EK20" s="172"/>
      <c r="EL20" s="173"/>
      <c r="EN20" s="213">
        <v>40268</v>
      </c>
      <c r="EO20" s="224">
        <f>IF(EN20=CPI0_DATE,1,IF(EN20&lt;CPI0_DATE,EO21/EQ20*EQ21,EXP(_xll.qInterp(EP20,$EJ$10:$EJ$19,$EK$10:$EK$19))))</f>
        <v>1.033333315789474</v>
      </c>
      <c r="EP20" s="190">
        <f t="shared" si="0"/>
        <v>-1</v>
      </c>
      <c r="EQ20" s="182">
        <f t="shared" si="1"/>
        <v>171</v>
      </c>
      <c r="ER20" s="186">
        <f t="shared" si="2"/>
        <v>171</v>
      </c>
      <c r="ES20" s="184">
        <f t="shared" si="4"/>
        <v>0.88495575221239076</v>
      </c>
      <c r="ET20" s="184">
        <f t="shared" si="5"/>
        <v>0.71174196755366959</v>
      </c>
      <c r="EU20" s="184">
        <f t="shared" si="8"/>
        <v>2.8880884997849909</v>
      </c>
    </row>
    <row r="21" spans="1:154">
      <c r="I21" s="623" t="s">
        <v>598</v>
      </c>
      <c r="N21" s="624"/>
      <c r="O21" s="630"/>
      <c r="P21" s="630"/>
      <c r="Q21" s="630"/>
      <c r="S21" s="627"/>
      <c r="T21" s="626"/>
      <c r="U21" s="626"/>
      <c r="V21" s="626"/>
      <c r="Y21" s="22" t="str">
        <v>H2</v>
      </c>
      <c r="Z21" s="221"/>
      <c r="AA21" s="221"/>
      <c r="AB21" s="221"/>
      <c r="AC21" s="221"/>
      <c r="AD21" s="221"/>
      <c r="AE21" s="58">
        <f t="array" ref="AE21:AF21">IF(AND(T26&lt;&gt;0,U26&lt;&gt;0),T26:U26,V26-V25+AH20)</f>
        <v>94.710000000000008</v>
      </c>
      <c r="AF21" s="58">
        <v>94.72</v>
      </c>
      <c r="AG21" s="10"/>
      <c r="AH21" s="73">
        <f t="shared" si="19"/>
        <v>94.715000000000003</v>
      </c>
      <c r="AI21" s="30">
        <f t="shared" si="20"/>
        <v>5.2849999999999966</v>
      </c>
      <c r="AJ21" s="1"/>
      <c r="AK21" s="78"/>
      <c r="AL21" s="22" t="str">
        <f t="shared" si="21"/>
        <v>H2</v>
      </c>
      <c r="AM21" s="221"/>
      <c r="AN21" s="221"/>
      <c r="AO21" s="221"/>
      <c r="AP21" s="221"/>
      <c r="AQ21" s="221"/>
      <c r="AR21" s="62">
        <f>IF(ISNUMBER(AT21),AT21,_xll.qFuturesConvexityAdjustment(AH21,Today,N26,_xll.qInterp((N26-Today)/365,$CL$7:$CL$14,$CX$9:$CX$16)%,_xll.qInterp((N26-Today)/365,$CL$7:$CL$14,$CU$9:$CU$16)%,"SFE"))</f>
        <v>0.12590906791292156</v>
      </c>
      <c r="AT21" s="10"/>
      <c r="AU21" s="30">
        <f t="shared" si="22"/>
        <v>5.2837409093208674</v>
      </c>
      <c r="AV21" s="4"/>
      <c r="AW21" s="81"/>
      <c r="AX21" s="19" t="s">
        <v>208</v>
      </c>
      <c r="AY21" s="601"/>
      <c r="AZ21" s="602" t="s">
        <v>98</v>
      </c>
      <c r="BA21" s="601"/>
      <c r="BB21" s="601"/>
      <c r="BC21" s="601"/>
      <c r="BD21" s="42">
        <v>4.9450000000000003</v>
      </c>
      <c r="BE21" s="42">
        <v>4.9750000000000005</v>
      </c>
      <c r="BF21" s="10"/>
      <c r="BG21" s="17">
        <f t="shared" si="23"/>
        <v>4.9600000000000009</v>
      </c>
      <c r="BI21" s="85"/>
      <c r="BJ21" s="61" t="str">
        <f t="shared" si="24"/>
        <v>Aug</v>
      </c>
      <c r="BK21" s="616"/>
      <c r="BL21" s="616"/>
      <c r="BM21" s="616"/>
      <c r="BN21" s="616"/>
      <c r="BO21" s="616"/>
      <c r="BP21" s="64">
        <f t="array" ref="BP21:BQ21">IF(AND(T35&lt;&gt;0,U35&lt;&gt;0),T35:U35,V35-V34+100-BS20)</f>
        <v>95.09</v>
      </c>
      <c r="BQ21" s="64">
        <v>95.1</v>
      </c>
      <c r="BR21" s="10"/>
      <c r="BS21" s="30">
        <f t="shared" si="25"/>
        <v>4.9050000000000011</v>
      </c>
      <c r="BU21" s="5"/>
      <c r="BW21" s="5"/>
      <c r="BX21" s="303" t="s">
        <v>14</v>
      </c>
      <c r="BY21" s="246">
        <v>23.249999999999996</v>
      </c>
      <c r="BZ21" s="246">
        <v>9.5</v>
      </c>
      <c r="CA21" s="246">
        <v>6.25</v>
      </c>
      <c r="CC21" s="303" t="s">
        <v>19</v>
      </c>
      <c r="CD21" s="246">
        <v>3.25</v>
      </c>
      <c r="CK21" s="206" t="s">
        <v>26</v>
      </c>
      <c r="CL21" s="206" t="s">
        <v>26</v>
      </c>
      <c r="CM21" s="202" t="str">
        <v>AUBP1YX1Y=ICAA</v>
      </c>
      <c r="CP21" s="212">
        <v>5.5</v>
      </c>
      <c r="CS21" s="7"/>
      <c r="CT21" s="7"/>
      <c r="CU21" s="7"/>
      <c r="CV21" s="7"/>
      <c r="CW21" s="18"/>
      <c r="CX21" s="7"/>
      <c r="CY21" s="7"/>
      <c r="CZ21" s="7"/>
      <c r="DA21" s="34"/>
      <c r="DB21" s="34"/>
      <c r="DC21" s="34"/>
      <c r="DD21" s="34"/>
      <c r="DE21" s="34"/>
      <c r="DF21" s="34"/>
      <c r="DG21" s="34"/>
      <c r="DH21" s="34"/>
      <c r="DI21" s="7"/>
      <c r="DJ21" s="7"/>
      <c r="DK21" s="7"/>
      <c r="DL21" s="7"/>
      <c r="EA21" s="542">
        <v>40268</v>
      </c>
      <c r="EB21" s="543">
        <v>171</v>
      </c>
      <c r="EE21" s="174"/>
      <c r="EF21" s="174"/>
      <c r="EG21" s="174"/>
      <c r="EH21" s="181"/>
      <c r="EJ21" s="165"/>
      <c r="EK21" s="165"/>
      <c r="EL21" s="174"/>
      <c r="EN21" s="213">
        <v>40359</v>
      </c>
      <c r="EO21" s="224">
        <f>IF(EN21=CPI0_DATE,1,IF(EN21&lt;CPI0_DATE,EO22/EQ21*EQ22,EXP(_xll.qInterp(EP21,$EJ$10:$EJ$19,$EK$10:$EK$19))))</f>
        <v>1.0267285929089394</v>
      </c>
      <c r="EP21" s="190">
        <f t="shared" si="0"/>
        <v>-0.75</v>
      </c>
      <c r="EQ21" s="182">
        <f t="shared" si="1"/>
        <v>172.10000600000001</v>
      </c>
      <c r="ER21" s="186">
        <f t="shared" si="2"/>
        <v>172.10000600000001</v>
      </c>
      <c r="ES21" s="184">
        <f t="shared" si="4"/>
        <v>0.64327836257309645</v>
      </c>
      <c r="ET21" s="184">
        <f t="shared" si="5"/>
        <v>0.76696342182891453</v>
      </c>
      <c r="EU21" s="184">
        <f t="shared" si="8"/>
        <v>3.0538958083832446</v>
      </c>
    </row>
    <row r="22" spans="1:154">
      <c r="N22" s="624"/>
      <c r="O22" s="630"/>
      <c r="P22" s="630"/>
      <c r="Q22" s="630"/>
      <c r="S22" s="627"/>
      <c r="T22" s="626"/>
      <c r="U22" s="626"/>
      <c r="V22" s="626"/>
      <c r="Y22" s="22" t="str">
        <v>M2</v>
      </c>
      <c r="Z22" s="221"/>
      <c r="AA22" s="221"/>
      <c r="AB22" s="221"/>
      <c r="AC22" s="221"/>
      <c r="AD22" s="221"/>
      <c r="AE22" s="58">
        <f t="array" ref="AE22:AF22">IF(AND(T27&lt;&gt;0,U27&lt;&gt;0),T27:U27,V27-V26+AH21)</f>
        <v>94.649999999999991</v>
      </c>
      <c r="AF22" s="58">
        <v>94.66</v>
      </c>
      <c r="AG22" s="10"/>
      <c r="AH22" s="73">
        <f t="shared" si="19"/>
        <v>94.655000000000001</v>
      </c>
      <c r="AI22" s="30">
        <f t="shared" si="20"/>
        <v>5.3449999999999989</v>
      </c>
      <c r="AJ22" s="1"/>
      <c r="AK22" s="78"/>
      <c r="AL22" s="22" t="str">
        <f t="shared" si="21"/>
        <v>M2</v>
      </c>
      <c r="AM22" s="221"/>
      <c r="AN22" s="221"/>
      <c r="AO22" s="221"/>
      <c r="AP22" s="221"/>
      <c r="AQ22" s="221"/>
      <c r="AR22" s="62">
        <f>IF(ISNUMBER(AT22),AT22,_xll.qFuturesConvexityAdjustment(AH22,Today,N27,_xll.qInterp((N27-Today)/365,$CL$7:$CL$14,$CX$9:$CX$16)%,_xll.qInterp((N27-Today)/365,$CL$7:$CL$14,$CU$9:$CU$16)%,"SFE"))</f>
        <v>0.22084129757642401</v>
      </c>
      <c r="AT22" s="10"/>
      <c r="AU22" s="30">
        <f t="shared" si="22"/>
        <v>5.3427915870242346</v>
      </c>
      <c r="AV22" s="4"/>
      <c r="AW22" s="81"/>
      <c r="AX22" s="19" t="s">
        <v>209</v>
      </c>
      <c r="AY22" s="601"/>
      <c r="AZ22" s="602" t="s">
        <v>99</v>
      </c>
      <c r="BA22" s="601"/>
      <c r="BB22" s="601"/>
      <c r="BC22" s="601"/>
      <c r="BD22" s="42">
        <v>4.9800000000000004</v>
      </c>
      <c r="BE22" s="42">
        <v>5.01</v>
      </c>
      <c r="BF22" s="10"/>
      <c r="BG22" s="17">
        <f t="shared" si="23"/>
        <v>4.9950000000000001</v>
      </c>
      <c r="BI22" s="85"/>
      <c r="BJ22" s="61" t="str">
        <f t="shared" si="24"/>
        <v>Sep</v>
      </c>
      <c r="BK22" s="616"/>
      <c r="BL22" s="616"/>
      <c r="BM22" s="616"/>
      <c r="BN22" s="616"/>
      <c r="BO22" s="616"/>
      <c r="BP22" s="64">
        <f t="array" ref="BP22:BQ22">IF(AND(T36&lt;&gt;0,U36&lt;&gt;0),T36:U36,V36-V35+100-BS21)</f>
        <v>95.07</v>
      </c>
      <c r="BQ22" s="64">
        <v>95.084999999999994</v>
      </c>
      <c r="BR22" s="10"/>
      <c r="BS22" s="30">
        <f t="shared" si="25"/>
        <v>4.9225000000000136</v>
      </c>
      <c r="BU22" s="5"/>
      <c r="BW22" s="5"/>
      <c r="BX22" s="303" t="s">
        <v>15</v>
      </c>
      <c r="BY22" s="246">
        <v>20.452993240468349</v>
      </c>
      <c r="BZ22" s="246">
        <v>8.3571370229870681</v>
      </c>
      <c r="CA22" s="246">
        <v>5.75</v>
      </c>
      <c r="CK22" s="206" t="s">
        <v>26</v>
      </c>
      <c r="CL22" s="206" t="s">
        <v>27</v>
      </c>
      <c r="CM22" s="202" t="str">
        <v>AUBP2YX1Y=ICAA</v>
      </c>
      <c r="CP22" s="212">
        <v>6</v>
      </c>
      <c r="CS22" s="6"/>
      <c r="CT22" s="6"/>
      <c r="CU22" s="6"/>
      <c r="CV22" s="6"/>
      <c r="CW22" s="169"/>
      <c r="CX22" s="6"/>
      <c r="CY22" s="6"/>
      <c r="CZ22" s="6"/>
      <c r="DA22" s="34" t="s">
        <v>224</v>
      </c>
      <c r="DB22" s="35" t="s">
        <v>26</v>
      </c>
      <c r="DC22" s="57" t="s">
        <v>27</v>
      </c>
      <c r="DD22" s="57" t="s">
        <v>7</v>
      </c>
      <c r="DE22" s="57" t="s">
        <v>8</v>
      </c>
      <c r="DF22" s="57" t="s">
        <v>9</v>
      </c>
      <c r="DG22" s="57" t="s">
        <v>11</v>
      </c>
      <c r="DH22" s="57" t="s">
        <v>14</v>
      </c>
      <c r="DI22" s="57" t="s">
        <v>16</v>
      </c>
      <c r="DJ22" s="6"/>
      <c r="DK22" s="6"/>
      <c r="DL22" s="6"/>
      <c r="EA22" s="542">
        <v>40359</v>
      </c>
      <c r="EB22" s="543">
        <v>172.10000600000001</v>
      </c>
      <c r="EN22" s="213">
        <v>40451</v>
      </c>
      <c r="EO22" s="224">
        <f>IF(EN22=CPI0_DATE,1,IF(EN22&lt;CPI0_DATE,EO23/EQ22*EQ23,EXP(_xll.qInterp(EP22,$EJ$10:$EJ$19,$EK$10:$EK$19))))</f>
        <v>1.0196191225686246</v>
      </c>
      <c r="EP22" s="190">
        <f t="shared" si="0"/>
        <v>-0.5</v>
      </c>
      <c r="EQ22" s="182">
        <f t="shared" si="1"/>
        <v>173.300003</v>
      </c>
      <c r="ER22" s="186">
        <f t="shared" si="2"/>
        <v>173.300003</v>
      </c>
      <c r="ES22" s="184">
        <f t="shared" si="4"/>
        <v>0.69726726215222357</v>
      </c>
      <c r="ET22" s="184">
        <f t="shared" si="5"/>
        <v>0.67251549707602054</v>
      </c>
      <c r="EU22" s="184">
        <f t="shared" si="8"/>
        <v>2.7876612293833425</v>
      </c>
    </row>
    <row r="23" spans="1:154">
      <c r="E23" s="596" t="s">
        <v>641</v>
      </c>
      <c r="F23" s="596" t="str">
        <f>IF(S9="LIVE",_xll.qFuturesDateToCode(N9),_xll.qFuturesDateToCode(N10))</f>
        <v>M1</v>
      </c>
      <c r="G23" s="623" t="str">
        <f t="array" ref="G23:G30">IF(S9="DELAYED","/","")  &amp;  "YBA" &amp; F23:F30</f>
        <v>YBAM1</v>
      </c>
      <c r="I23" s="623" t="s">
        <v>47</v>
      </c>
      <c r="M23" s="596" t="str">
        <f ca="1">_xll.RtUpdate("IDN",G23:G30,I23:I26,N23,,RTMODE_RATES)</f>
        <v>Updated at 17:02:55</v>
      </c>
      <c r="N23" s="624">
        <v>40703</v>
      </c>
      <c r="O23" s="630">
        <v>94.95</v>
      </c>
      <c r="P23" s="630">
        <v>94.95</v>
      </c>
      <c r="Q23" s="630">
        <v>94.95</v>
      </c>
      <c r="R23" s="596" t="s">
        <v>81</v>
      </c>
      <c r="S23" s="627">
        <v>40703</v>
      </c>
      <c r="T23" s="626">
        <v>94.95</v>
      </c>
      <c r="U23" s="626">
        <v>94.95</v>
      </c>
      <c r="V23" s="626">
        <v>94.95</v>
      </c>
      <c r="Y23" s="22" t="str">
        <v>U2</v>
      </c>
      <c r="Z23" s="221"/>
      <c r="AA23" s="221"/>
      <c r="AB23" s="221"/>
      <c r="AC23" s="221"/>
      <c r="AD23" s="221"/>
      <c r="AE23" s="58">
        <f t="array" ref="AE23:AF23">IF(AND(T28&lt;&gt;0,U28&lt;&gt;0),T28:U28,V28-V27+AH22)</f>
        <v>94.51</v>
      </c>
      <c r="AF23" s="58">
        <v>94.61999999999999</v>
      </c>
      <c r="AG23" s="10"/>
      <c r="AH23" s="73">
        <f t="shared" si="19"/>
        <v>94.564999999999998</v>
      </c>
      <c r="AI23" s="30">
        <f t="shared" si="20"/>
        <v>5.4350000000000023</v>
      </c>
      <c r="AJ23" s="1"/>
      <c r="AK23" s="78"/>
      <c r="AL23" s="22" t="str">
        <f t="shared" si="21"/>
        <v>U2</v>
      </c>
      <c r="AM23" s="221"/>
      <c r="AN23" s="221"/>
      <c r="AO23" s="221"/>
      <c r="AP23" s="221"/>
      <c r="AQ23" s="221"/>
      <c r="AR23" s="62">
        <f>IF(ISNUMBER(AT23),AT23,_xll.qFuturesConvexityAdjustment(AH23,Today,N28,_xll.qInterp((N28-Today)/365,$CL$7:$CL$14,$CX$9:$CX$16)%,_xll.qInterp((N28-Today)/365,$CL$7:$CL$14,$CU$9:$CU$16)%,"SFE"))</f>
        <v>0.39655841509187439</v>
      </c>
      <c r="AT23" s="10"/>
      <c r="AU23" s="30">
        <f t="shared" si="22"/>
        <v>5.4310344158490835</v>
      </c>
      <c r="AV23" s="4"/>
      <c r="AW23" s="81"/>
      <c r="AX23" s="23" t="s">
        <v>212</v>
      </c>
      <c r="AY23" s="604"/>
      <c r="AZ23" s="613" t="s">
        <v>118</v>
      </c>
      <c r="BA23" s="604"/>
      <c r="BB23" s="604"/>
      <c r="BC23" s="604"/>
      <c r="BD23" s="42">
        <v>5.0549999999999997</v>
      </c>
      <c r="BE23" s="42">
        <v>5.085</v>
      </c>
      <c r="BF23" s="10"/>
      <c r="BG23" s="17">
        <f t="shared" ref="BG23" si="26">IF(ISNUMBER(BF23),BF23,AVERAGE(BD23:BE23))</f>
        <v>5.07</v>
      </c>
      <c r="BI23" s="85"/>
      <c r="BJ23" s="61" t="str">
        <f t="shared" si="24"/>
        <v>Oct</v>
      </c>
      <c r="BK23" s="616"/>
      <c r="BL23" s="616"/>
      <c r="BM23" s="616"/>
      <c r="BN23" s="616"/>
      <c r="BO23" s="616"/>
      <c r="BP23" s="64">
        <f t="array" ref="BP23:BQ23">IF(AND(T37&lt;&gt;0,U37&lt;&gt;0),T37:U37,V37-V36+100-BS22)</f>
        <v>95.045000000000002</v>
      </c>
      <c r="BQ23" s="64">
        <v>95.064999999999998</v>
      </c>
      <c r="BR23" s="10"/>
      <c r="BS23" s="30">
        <f t="shared" si="25"/>
        <v>4.9449999999999932</v>
      </c>
      <c r="BU23" s="5"/>
      <c r="BW23" s="5"/>
      <c r="BX23" s="303" t="s">
        <v>16</v>
      </c>
      <c r="BY23" s="246">
        <v>17.709431305890881</v>
      </c>
      <c r="BZ23" s="246">
        <v>7.2361117163855235</v>
      </c>
      <c r="CA23" s="246">
        <v>5</v>
      </c>
      <c r="CK23" s="206" t="s">
        <v>26</v>
      </c>
      <c r="CL23" s="206" t="s">
        <v>7</v>
      </c>
      <c r="CM23" s="202" t="str">
        <v>AUBP3YX1Y=ICAA</v>
      </c>
      <c r="CP23" s="212">
        <v>5.8</v>
      </c>
      <c r="DA23" s="34" t="s">
        <v>0</v>
      </c>
      <c r="DB23" s="32"/>
      <c r="DC23" s="32"/>
      <c r="DD23" s="32"/>
      <c r="DE23" s="32"/>
      <c r="DF23" s="32"/>
      <c r="DG23" s="32"/>
      <c r="DH23" s="32"/>
      <c r="DI23" s="32"/>
      <c r="EA23" s="542">
        <v>40451</v>
      </c>
      <c r="EB23" s="543">
        <v>173.300003</v>
      </c>
      <c r="EN23" s="213">
        <v>40543</v>
      </c>
      <c r="EO23" s="224">
        <f>IF(EN23=CPI0_DATE,1,IF(EN23&lt;CPI0_DATE,EO24/EQ23*EQ24,EXP(_xll.qInterp(EP23,$EJ$10:$EJ$19,$EK$10:$EK$19))))</f>
        <v>1.0155172241379311</v>
      </c>
      <c r="EP23" s="190">
        <f t="shared" si="0"/>
        <v>-0.25</v>
      </c>
      <c r="EQ23" s="182">
        <f t="shared" si="1"/>
        <v>174</v>
      </c>
      <c r="ER23" s="186">
        <f t="shared" si="2"/>
        <v>174</v>
      </c>
      <c r="ES23" s="184">
        <f t="shared" si="4"/>
        <v>0.40392209341162388</v>
      </c>
      <c r="ET23" s="184">
        <f t="shared" si="5"/>
        <v>0.55200288604289049</v>
      </c>
      <c r="EU23" s="184">
        <f t="shared" si="8"/>
        <v>2.6548672566371723</v>
      </c>
    </row>
    <row r="24" spans="1:154">
      <c r="F24" s="596" t="str">
        <f>_xll.qFuturesDateToCode(_xll.qFuturesCodeToDate(F23,Today)+92)</f>
        <v>U1</v>
      </c>
      <c r="G24" s="623" t="str">
        <v>YBAU1</v>
      </c>
      <c r="I24" s="623" t="s">
        <v>45</v>
      </c>
      <c r="N24" s="624">
        <v>40794</v>
      </c>
      <c r="O24" s="630">
        <v>94.86</v>
      </c>
      <c r="P24" s="630">
        <v>94.85</v>
      </c>
      <c r="Q24" s="630">
        <v>94.86</v>
      </c>
      <c r="R24" s="596" t="s">
        <v>81</v>
      </c>
      <c r="S24" s="627">
        <v>40794</v>
      </c>
      <c r="T24" s="626">
        <v>94.86</v>
      </c>
      <c r="U24" s="626">
        <v>94.85</v>
      </c>
      <c r="V24" s="626">
        <v>94.86</v>
      </c>
      <c r="Y24" s="22" t="str">
        <v>Z2</v>
      </c>
      <c r="Z24" s="221"/>
      <c r="AA24" s="221"/>
      <c r="AB24" s="221"/>
      <c r="AC24" s="221"/>
      <c r="AD24" s="221"/>
      <c r="AE24" s="58">
        <f t="array" ref="AE24:AF24">IF(AND(T29&lt;&gt;0,U29&lt;&gt;0),T29:U29,V29-V28+AH23)</f>
        <v>94.56</v>
      </c>
      <c r="AF24" s="58">
        <v>94.58</v>
      </c>
      <c r="AG24" s="10"/>
      <c r="AH24" s="73">
        <f t="shared" si="19"/>
        <v>94.57</v>
      </c>
      <c r="AI24" s="30">
        <f t="shared" si="20"/>
        <v>5.4300000000000068</v>
      </c>
      <c r="AJ24" s="1"/>
      <c r="AK24" s="78"/>
      <c r="AL24" s="22" t="str">
        <f t="shared" si="21"/>
        <v>Z2</v>
      </c>
      <c r="AM24" s="221"/>
      <c r="AN24" s="221"/>
      <c r="AO24" s="221"/>
      <c r="AP24" s="221"/>
      <c r="AQ24" s="221"/>
      <c r="AR24" s="62">
        <f>IF(ISNUMBER(AT24),AT24,_xll.qFuturesConvexityAdjustment(AH24,Today,N29,_xll.qInterp((N29-Today)/365,$CL$7:$CL$14,$CX$9:$CX$16)%,_xll.qInterp((N29-Today)/365,$CL$7:$CL$14,$CU$9:$CU$16)%,"SFE"))</f>
        <v>0.62863130294390501</v>
      </c>
      <c r="AT24" s="10"/>
      <c r="AU24" s="30">
        <f t="shared" si="22"/>
        <v>5.4237136869705678</v>
      </c>
      <c r="AV24" s="4"/>
      <c r="AW24" s="81"/>
      <c r="BI24" s="85"/>
      <c r="BJ24" s="61" t="str">
        <f t="shared" si="24"/>
        <v>Nov</v>
      </c>
      <c r="BK24" s="616"/>
      <c r="BL24" s="616"/>
      <c r="BM24" s="616"/>
      <c r="BN24" s="616"/>
      <c r="BO24" s="616"/>
      <c r="BP24" s="64">
        <f t="array" ref="BP24:BQ24">IF(AND(T38&lt;&gt;0,U38&lt;&gt;0),T38:U38,V38-V37+100-BS23)</f>
        <v>95.004999999999995</v>
      </c>
      <c r="BQ24" s="64">
        <v>95.03</v>
      </c>
      <c r="BR24" s="10"/>
      <c r="BS24" s="30">
        <f t="shared" si="25"/>
        <v>4.9825000000000017</v>
      </c>
      <c r="BT24" s="52"/>
      <c r="BU24" s="5"/>
      <c r="BW24" s="5"/>
      <c r="BX24" s="303" t="s">
        <v>17</v>
      </c>
      <c r="BY24" s="246">
        <v>15.025532775742878</v>
      </c>
      <c r="BZ24" s="246">
        <v>6.1394650051422524</v>
      </c>
      <c r="CA24" s="246">
        <v>4.25</v>
      </c>
      <c r="CK24" s="206" t="s">
        <v>26</v>
      </c>
      <c r="CL24" s="206" t="s">
        <v>8</v>
      </c>
      <c r="CM24" s="202" t="str">
        <v>AUBP4YX1Y=ICAA</v>
      </c>
      <c r="CP24" s="212">
        <v>5.55</v>
      </c>
      <c r="DA24" s="34" t="s">
        <v>1</v>
      </c>
      <c r="DB24" s="32"/>
      <c r="DC24" s="32"/>
      <c r="DD24" s="32"/>
      <c r="DE24" s="32"/>
      <c r="DF24" s="32"/>
      <c r="DG24" s="32"/>
      <c r="DH24" s="32"/>
      <c r="DI24" s="32"/>
      <c r="EA24" s="542">
        <v>40543</v>
      </c>
      <c r="EB24" s="543">
        <v>174</v>
      </c>
      <c r="EN24" s="213">
        <v>40633</v>
      </c>
      <c r="EO24" s="224">
        <f>IF(EN24=CPI0_DATE,1,IF(EN24&lt;CPI0_DATE,EO25/EQ24*EQ25,EXP(_xll.qInterp(EP24,$EJ$10:$EJ$19,$EK$10:$EK$19))))</f>
        <v>1</v>
      </c>
      <c r="EP24" s="190">
        <f t="shared" si="0"/>
        <v>0</v>
      </c>
      <c r="EQ24" s="182">
        <f t="shared" si="1"/>
        <v>176.699997</v>
      </c>
      <c r="ER24" s="186">
        <f t="shared" si="2"/>
        <v>176.699997</v>
      </c>
      <c r="ES24" s="184">
        <f t="shared" si="4"/>
        <v>1.5517224137931107</v>
      </c>
      <c r="ET24" s="184">
        <f t="shared" si="5"/>
        <v>0.98095612843122071</v>
      </c>
      <c r="EU24" s="184">
        <f t="shared" si="8"/>
        <v>3.3333315789473739</v>
      </c>
      <c r="EW24" s="177"/>
    </row>
    <row r="25" spans="1:154">
      <c r="F25" s="596" t="str">
        <f>_xll.qFuturesDateToCode(_xll.qFuturesCodeToDate(F24,Today)+92)</f>
        <v>Z1</v>
      </c>
      <c r="G25" s="623" t="str">
        <v>YBAZ1</v>
      </c>
      <c r="I25" s="623" t="s">
        <v>46</v>
      </c>
      <c r="N25" s="624">
        <v>40885</v>
      </c>
      <c r="O25" s="630">
        <v>94.79</v>
      </c>
      <c r="P25" s="630">
        <v>94.78</v>
      </c>
      <c r="Q25" s="630">
        <v>94.78</v>
      </c>
      <c r="R25" s="596" t="s">
        <v>81</v>
      </c>
      <c r="S25" s="627">
        <v>40885</v>
      </c>
      <c r="T25" s="626">
        <v>94.79</v>
      </c>
      <c r="U25" s="626">
        <v>94.78</v>
      </c>
      <c r="V25" s="626">
        <v>94.78</v>
      </c>
      <c r="Y25" s="22" t="str">
        <v>H3</v>
      </c>
      <c r="Z25" s="221"/>
      <c r="AA25" s="221"/>
      <c r="AB25" s="221"/>
      <c r="AC25" s="221"/>
      <c r="AD25" s="221"/>
      <c r="AE25" s="58">
        <f t="array" ref="AE25:AF25">IF(AND(T30&lt;&gt;0,U30&lt;&gt;0),T30:U30,V30-V29+AH24)</f>
        <v>94.53</v>
      </c>
      <c r="AF25" s="58">
        <v>94.54</v>
      </c>
      <c r="AG25" s="10"/>
      <c r="AH25" s="73">
        <f t="shared" si="19"/>
        <v>94.534999999999997</v>
      </c>
      <c r="AI25" s="30">
        <f t="shared" si="20"/>
        <v>5.4650000000000034</v>
      </c>
      <c r="AJ25" s="1"/>
      <c r="AK25" s="78"/>
      <c r="AL25" s="22" t="str">
        <f t="shared" si="21"/>
        <v>H3</v>
      </c>
      <c r="AM25" s="221"/>
      <c r="AN25" s="221"/>
      <c r="AO25" s="221"/>
      <c r="AP25" s="221"/>
      <c r="AQ25" s="221"/>
      <c r="AR25" s="62">
        <f>IF(ISNUMBER(AT25),AT25,_xll.qFuturesConvexityAdjustment(AH25,Today,N30,_xll.qInterp((N30-Today)/365,$CL$7:$CL$14,$CX$9:$CX$16)%,_xll.qInterp((N30-Today)/365,$CL$7:$CL$14,$CU$9:$CU$16)%,"SFE"))</f>
        <v>0.91427634268379521</v>
      </c>
      <c r="AT25" s="10"/>
      <c r="AU25" s="30">
        <f t="shared" si="22"/>
        <v>5.4558572365731655</v>
      </c>
      <c r="AW25" s="78"/>
      <c r="BH25" s="8"/>
      <c r="BI25" s="83"/>
      <c r="BJ25" s="61" t="str">
        <f t="shared" si="24"/>
        <v>Dec</v>
      </c>
      <c r="BK25" s="616"/>
      <c r="BL25" s="616"/>
      <c r="BM25" s="616"/>
      <c r="BN25" s="616"/>
      <c r="BO25" s="616"/>
      <c r="BP25" s="64">
        <f t="array" ref="BP25:BQ25">IF(AND(T39&lt;&gt;0,U39&lt;&gt;0),T39:U39,V39-V38+100-BS24)</f>
        <v>94.995000000000005</v>
      </c>
      <c r="BQ25" s="64">
        <v>95.004999999999995</v>
      </c>
      <c r="BR25" s="10"/>
      <c r="BS25" s="30">
        <f t="shared" si="25"/>
        <v>5</v>
      </c>
      <c r="BT25" s="52"/>
      <c r="BU25" s="5"/>
      <c r="BW25" s="5"/>
      <c r="BX25" s="303" t="s">
        <v>18</v>
      </c>
      <c r="BY25" s="246">
        <v>13.437518531367118</v>
      </c>
      <c r="BZ25" s="246">
        <v>5.4905989698059212</v>
      </c>
      <c r="CA25" s="246">
        <v>3.75</v>
      </c>
      <c r="CK25" s="206" t="s">
        <v>26</v>
      </c>
      <c r="CL25" s="206" t="s">
        <v>9</v>
      </c>
      <c r="CM25" s="202" t="str">
        <v>AUBP5YX1Y=ICAA</v>
      </c>
      <c r="CP25" s="212">
        <v>5.3199999999999994</v>
      </c>
      <c r="DA25" s="116" t="s">
        <v>2</v>
      </c>
      <c r="DB25" s="32"/>
      <c r="DC25" s="32"/>
      <c r="DD25" s="32"/>
      <c r="DE25" s="32"/>
      <c r="DF25" s="32"/>
      <c r="DG25" s="32"/>
      <c r="DH25" s="32"/>
      <c r="DI25" s="32"/>
      <c r="EA25" s="542">
        <v>40633</v>
      </c>
      <c r="EB25" s="543">
        <v>176.699997</v>
      </c>
      <c r="EN25" s="213">
        <f>DATE(YEAR(EN24),MONTH(EN24)+4,1)-1</f>
        <v>40724</v>
      </c>
      <c r="EO25" s="224">
        <f>IF(EN25=CPI0_DATE,1,IF(EN25&lt;CPI0_DATE,EO26/EQ25*EQ26,EXP(_xll.qInterp(EP25,$EJ$10:$EJ$19,$EK$10:$EK$19))))</f>
        <v>0.99249302988832377</v>
      </c>
      <c r="EP25" s="190">
        <f t="shared" si="0"/>
        <v>0.25</v>
      </c>
      <c r="EQ25" s="182">
        <f t="shared" si="1"/>
        <v>0</v>
      </c>
      <c r="ER25" s="186">
        <f t="shared" si="2"/>
        <v>178.03651177266448</v>
      </c>
      <c r="ES25" s="184">
        <f t="shared" si="4"/>
        <v>0.75637509640957834</v>
      </c>
      <c r="ET25" s="184">
        <f t="shared" si="5"/>
        <v>1.1599171760530158</v>
      </c>
      <c r="EU25" s="184">
        <f t="shared" si="8"/>
        <v>3.4494512293419044</v>
      </c>
    </row>
    <row r="26" spans="1:154">
      <c r="F26" s="596" t="str">
        <f>_xll.qFuturesDateToCode(_xll.qFuturesCodeToDate(F25,Today)+92)</f>
        <v>H2</v>
      </c>
      <c r="G26" s="623" t="str">
        <v>YBAH2</v>
      </c>
      <c r="I26" s="623" t="s">
        <v>598</v>
      </c>
      <c r="N26" s="624">
        <v>40976</v>
      </c>
      <c r="O26" s="630">
        <v>94.710000000000008</v>
      </c>
      <c r="P26" s="630">
        <v>94.72</v>
      </c>
      <c r="Q26" s="630">
        <v>94.72</v>
      </c>
      <c r="R26" s="596" t="s">
        <v>81</v>
      </c>
      <c r="S26" s="627">
        <v>40976</v>
      </c>
      <c r="T26" s="626">
        <v>94.710000000000008</v>
      </c>
      <c r="U26" s="626">
        <v>94.72</v>
      </c>
      <c r="V26" s="626">
        <v>94.72</v>
      </c>
      <c r="AH26" s="9"/>
      <c r="AJ26" s="1"/>
      <c r="AK26" s="78"/>
      <c r="AW26" s="78"/>
      <c r="AX26" s="16"/>
      <c r="AY26" s="609"/>
      <c r="AZ26" s="609"/>
      <c r="BA26" s="609"/>
      <c r="BB26" s="609"/>
      <c r="BC26" s="609"/>
      <c r="BD26" s="3"/>
      <c r="BH26" s="8"/>
      <c r="BI26" s="83"/>
      <c r="BJ26" s="25"/>
      <c r="BK26" s="599"/>
      <c r="BL26" s="599"/>
      <c r="BM26" s="599"/>
      <c r="BN26" s="599"/>
      <c r="BO26" s="599"/>
      <c r="BP26" s="15"/>
      <c r="BQ26" s="1"/>
      <c r="BR26" s="15"/>
      <c r="BT26" s="52"/>
      <c r="BU26" s="5"/>
      <c r="BW26" s="5"/>
      <c r="BX26" s="303" t="s">
        <v>19</v>
      </c>
      <c r="BY26" s="246">
        <v>12.380960918005046</v>
      </c>
      <c r="BZ26" s="246">
        <v>5.0588872568192667</v>
      </c>
      <c r="CA26" s="246">
        <v>3.5</v>
      </c>
      <c r="CK26" s="206" t="s">
        <v>26</v>
      </c>
      <c r="CL26" s="206" t="s">
        <v>11</v>
      </c>
      <c r="CM26" s="202" t="str">
        <v>AUBP7YX1Y=ICAA</v>
      </c>
      <c r="CP26" s="212">
        <v>5.25</v>
      </c>
      <c r="DA26" s="116" t="s">
        <v>5</v>
      </c>
      <c r="DB26" s="32"/>
      <c r="DC26" s="32"/>
      <c r="DD26" s="32"/>
      <c r="DE26" s="32"/>
      <c r="DF26" s="32"/>
      <c r="DG26" s="32"/>
      <c r="DH26" s="32"/>
      <c r="DI26" s="32"/>
      <c r="EN26" s="213">
        <f t="shared" ref="EN26:EN89" si="27">DATE(YEAR(EN25),MONTH(EN25)+4,1)-1</f>
        <v>40816</v>
      </c>
      <c r="EO26" s="224">
        <f>IF(EN26=CPI0_DATE,1,IF(EN26&lt;CPI0_DATE,EO27/EQ26*EQ27,EXP(_xll.qInterp(EP26,$EJ$10:$EJ$19,$EK$10:$EK$19))))</f>
        <v>0.98504241437690521</v>
      </c>
      <c r="EP26" s="190">
        <f t="shared" si="0"/>
        <v>0.5</v>
      </c>
      <c r="EQ26" s="182">
        <f t="shared" si="1"/>
        <v>0</v>
      </c>
      <c r="ER26" s="186">
        <f t="shared" si="2"/>
        <v>179.38313561022923</v>
      </c>
      <c r="ES26" s="184">
        <f t="shared" si="4"/>
        <v>0.75637509640957834</v>
      </c>
      <c r="ET26" s="184">
        <f t="shared" si="5"/>
        <v>0.7592356128419242</v>
      </c>
      <c r="EU26" s="184">
        <f t="shared" si="8"/>
        <v>3.5101745556399333</v>
      </c>
    </row>
    <row r="27" spans="1:154">
      <c r="F27" s="596" t="str">
        <f>_xll.qFuturesDateToCode(_xll.qFuturesCodeToDate(F26,Today)+92)</f>
        <v>M2</v>
      </c>
      <c r="G27" s="623" t="str">
        <v>YBAM2</v>
      </c>
      <c r="N27" s="624">
        <v>41067</v>
      </c>
      <c r="O27" s="630">
        <v>94.649999999999991</v>
      </c>
      <c r="P27" s="630">
        <v>94.66</v>
      </c>
      <c r="Q27" s="630">
        <v>94.66</v>
      </c>
      <c r="R27" s="596" t="s">
        <v>81</v>
      </c>
      <c r="S27" s="627">
        <v>41067</v>
      </c>
      <c r="T27" s="626">
        <v>94.649999999999991</v>
      </c>
      <c r="U27" s="626">
        <v>94.66</v>
      </c>
      <c r="V27" s="626">
        <v>94.66</v>
      </c>
      <c r="Y27" s="34" t="s">
        <v>24</v>
      </c>
      <c r="Z27" s="204"/>
      <c r="AA27" s="204"/>
      <c r="AB27" s="204"/>
      <c r="AC27" s="204"/>
      <c r="AD27" s="204"/>
      <c r="AE27" s="35"/>
      <c r="AF27" s="35"/>
      <c r="AG27" s="35"/>
      <c r="AH27" s="36" t="s">
        <v>30</v>
      </c>
      <c r="AI27" s="641" t="s">
        <v>25</v>
      </c>
      <c r="AJ27" s="18"/>
      <c r="AK27" s="77"/>
      <c r="AL27" s="33" t="s">
        <v>35</v>
      </c>
      <c r="AM27" s="610"/>
      <c r="AN27" s="610"/>
      <c r="AO27" s="610"/>
      <c r="AP27" s="603" t="str">
        <f ca="1">_xll.RtUpdate("IDN",AN28:AN38,AP28:AP29,AR28,,RTMODE_RATES)</f>
        <v>Updated at 16:52:06</v>
      </c>
      <c r="AQ27" s="610"/>
      <c r="AR27" s="33"/>
      <c r="AS27" s="39"/>
      <c r="AT27" s="39"/>
      <c r="AU27" s="38"/>
      <c r="AV27" s="18"/>
      <c r="AW27" s="77"/>
      <c r="AX27" s="33" t="s">
        <v>36</v>
      </c>
      <c r="AY27" s="610"/>
      <c r="AZ27" s="610"/>
      <c r="BA27" s="610"/>
      <c r="BB27" s="603" t="str">
        <f ca="1">_xll.RtUpdate("IDN",AZ28:AZ34,BB28:BB29,BD28,,RTMODE_RATES)</f>
        <v>Updated at 16:52:06</v>
      </c>
      <c r="BC27" s="610"/>
      <c r="BD27" s="33"/>
      <c r="BE27" s="39"/>
      <c r="BF27" s="39"/>
      <c r="BG27" s="38"/>
      <c r="BH27" s="7"/>
      <c r="BI27" s="87"/>
      <c r="BJ27" s="33" t="s">
        <v>38</v>
      </c>
      <c r="BK27" s="600"/>
      <c r="BL27" s="600"/>
      <c r="BM27" s="600"/>
      <c r="BN27" s="603" t="str">
        <f ca="1">_xll.RtUpdate("IDN",BL28:BL37,BN28:BN29,BP28,,RTMODE_RATES)</f>
        <v>Updated at 16:52:06</v>
      </c>
      <c r="BO27" s="600"/>
      <c r="BP27" s="33"/>
      <c r="BQ27" s="35"/>
      <c r="BR27" s="35"/>
      <c r="BS27" s="38"/>
      <c r="BT27" s="53"/>
      <c r="BU27" s="7"/>
      <c r="BV27" s="576"/>
      <c r="BW27" s="7"/>
      <c r="BX27" s="303" t="s">
        <v>28</v>
      </c>
      <c r="BY27" s="246">
        <v>11.000746719280441</v>
      </c>
      <c r="BZ27" s="246">
        <v>4.4949287670178162</v>
      </c>
      <c r="CA27" s="246">
        <v>3.1089011776245292</v>
      </c>
      <c r="CK27" s="206" t="s">
        <v>26</v>
      </c>
      <c r="CL27" s="206" t="s">
        <v>14</v>
      </c>
      <c r="CM27" s="202" t="str">
        <v>AUBP10YX1Y=ICAA</v>
      </c>
      <c r="CP27" s="212">
        <v>5.1499999999999995</v>
      </c>
      <c r="DA27" s="116" t="s">
        <v>26</v>
      </c>
      <c r="DB27" s="32"/>
      <c r="DC27" s="32"/>
      <c r="DD27" s="32"/>
      <c r="DE27" s="32"/>
      <c r="DF27" s="32"/>
      <c r="DG27" s="32"/>
      <c r="DH27" s="32"/>
      <c r="DI27" s="32"/>
      <c r="DV27" s="202" t="s">
        <v>231</v>
      </c>
      <c r="DX27" s="202" t="s">
        <v>286</v>
      </c>
      <c r="DY27" s="202" t="s">
        <v>277</v>
      </c>
      <c r="EN27" s="213">
        <f t="shared" si="27"/>
        <v>40908</v>
      </c>
      <c r="EO27" s="224">
        <f>IF(EN27=CPI0_DATE,1,IF(EN27&lt;CPI0_DATE,EO28/EQ27*EQ28,EXP(_xll.qInterp(EP27,$EJ$10:$EJ$19,$EK$10:$EK$19))))</f>
        <v>0.97764773041344444</v>
      </c>
      <c r="EP27" s="190">
        <f t="shared" si="0"/>
        <v>0.75</v>
      </c>
      <c r="EQ27" s="182">
        <f t="shared" si="1"/>
        <v>0</v>
      </c>
      <c r="ER27" s="186">
        <f t="shared" si="2"/>
        <v>180.73994497514363</v>
      </c>
      <c r="ES27" s="184">
        <f t="shared" si="4"/>
        <v>0.75637509640957834</v>
      </c>
      <c r="ET27" s="184">
        <f t="shared" si="5"/>
        <v>0.7592356128419242</v>
      </c>
      <c r="EU27" s="184">
        <f t="shared" si="8"/>
        <v>3.873531594910129</v>
      </c>
    </row>
    <row r="28" spans="1:154" s="7" customFormat="1">
      <c r="A28" s="172"/>
      <c r="B28" s="172"/>
      <c r="C28" s="172"/>
      <c r="D28" s="596"/>
      <c r="E28" s="596"/>
      <c r="F28" s="596" t="str">
        <f>_xll.qFuturesDateToCode(_xll.qFuturesCodeToDate(F27,Today)+92)</f>
        <v>U2</v>
      </c>
      <c r="G28" s="623" t="str">
        <v>YBAU2</v>
      </c>
      <c r="H28" s="596"/>
      <c r="I28" s="596"/>
      <c r="J28" s="596"/>
      <c r="K28" s="596"/>
      <c r="L28" s="596"/>
      <c r="M28" s="596"/>
      <c r="N28" s="624">
        <v>41165</v>
      </c>
      <c r="O28" s="630">
        <v>94.51</v>
      </c>
      <c r="P28" s="630">
        <v>94.61999999999999</v>
      </c>
      <c r="Q28" s="630">
        <v>94.61999999999999</v>
      </c>
      <c r="R28" s="596" t="s">
        <v>81</v>
      </c>
      <c r="S28" s="627">
        <v>41165</v>
      </c>
      <c r="T28" s="626">
        <v>94.51</v>
      </c>
      <c r="U28" s="626">
        <v>94.61999999999999</v>
      </c>
      <c r="V28" s="626">
        <v>94.61999999999999</v>
      </c>
      <c r="W28" s="596"/>
      <c r="X28" s="6"/>
      <c r="Y28" s="21" t="s">
        <v>112</v>
      </c>
      <c r="Z28" s="614"/>
      <c r="AA28" s="614"/>
      <c r="AB28" s="614"/>
      <c r="AC28" s="614"/>
      <c r="AD28" s="614"/>
      <c r="AE28" s="58">
        <f t="shared" ref="AE28:AE43" si="28">AVERAGE(AE51,AG51,AI51)</f>
        <v>5.1609999999999987</v>
      </c>
      <c r="AF28" s="58">
        <f t="shared" ref="AF28:AF43" si="29">AVERAGE(AF51,AH51,AJ51)</f>
        <v>5.1309999999999993</v>
      </c>
      <c r="AG28" s="10"/>
      <c r="AH28" s="9"/>
      <c r="AI28" s="30">
        <f>IF(ISNUMBER(AG28),AG28,AVERAGE(AE28:AF28))</f>
        <v>5.145999999999999</v>
      </c>
      <c r="AJ28" s="1"/>
      <c r="AK28" s="78"/>
      <c r="AL28" s="19" t="s">
        <v>26</v>
      </c>
      <c r="AM28" s="601"/>
      <c r="AN28" s="602" t="str">
        <f t="shared" ref="AN28:AN38" si="30">"AUBR6AB"&amp;AL28&amp;"=ICAA"</f>
        <v>AUBR6AB1Y=ICAA</v>
      </c>
      <c r="AO28" s="601"/>
      <c r="AP28" s="602" t="s">
        <v>45</v>
      </c>
      <c r="AQ28" s="601"/>
      <c r="AR28" s="58">
        <v>7.25</v>
      </c>
      <c r="AS28" s="58">
        <v>9.25</v>
      </c>
      <c r="AT28" s="716"/>
      <c r="AU28" s="17">
        <f t="shared" ref="AU28:AU32" si="31">IF(ISNUMBER(AT28),AT28,AVERAGE(AR28:AS28))</f>
        <v>8.25</v>
      </c>
      <c r="AV28" s="11"/>
      <c r="AW28" s="82"/>
      <c r="AX28" s="19" t="s">
        <v>26</v>
      </c>
      <c r="AY28" s="601"/>
      <c r="AZ28" s="602" t="str">
        <f t="shared" ref="AZ28:AZ34" si="32">"AUBR3AB"&amp;AX28&amp;"=ICAA"</f>
        <v>AUBR3AB1Y=ICAA</v>
      </c>
      <c r="BA28" s="601"/>
      <c r="BB28" s="602" t="s">
        <v>45</v>
      </c>
      <c r="BC28" s="601"/>
      <c r="BD28" s="58">
        <v>9.75</v>
      </c>
      <c r="BE28" s="58">
        <v>11.75</v>
      </c>
      <c r="BF28" s="10"/>
      <c r="BG28" s="17">
        <f t="shared" ref="BG28:BG32" si="33">IF(ISNUMBER(BF28),BF28,AVERAGE(BD28:BE28))</f>
        <v>10.75</v>
      </c>
      <c r="BH28" s="11"/>
      <c r="BI28" s="82"/>
      <c r="BJ28" s="19" t="s">
        <v>26</v>
      </c>
      <c r="BK28" s="601"/>
      <c r="BL28" s="602" t="str">
        <f>"AUDCR3B"&amp;BJ28&amp;"=ICAA"</f>
        <v>AUDCR3B1Y=ICAA</v>
      </c>
      <c r="BM28" s="601"/>
      <c r="BN28" s="602" t="s">
        <v>45</v>
      </c>
      <c r="BO28" s="601"/>
      <c r="BP28" s="58">
        <v>14</v>
      </c>
      <c r="BQ28" s="58">
        <v>19</v>
      </c>
      <c r="BR28" s="10"/>
      <c r="BS28" s="17">
        <f t="shared" ref="BS28:BS37" si="34">IF(ISNUMBER(BR28),BR28,AVERAGE(BP28:BQ28))</f>
        <v>16.5</v>
      </c>
      <c r="BT28" s="12"/>
      <c r="BU28" s="5"/>
      <c r="BV28" s="573"/>
      <c r="BW28" s="5"/>
      <c r="BX28" s="303"/>
      <c r="BY28" s="246"/>
      <c r="BZ28" s="248"/>
      <c r="CA28" s="248"/>
      <c r="CB28" s="248"/>
      <c r="CC28" s="303"/>
      <c r="CD28" s="227"/>
      <c r="CE28" s="55"/>
      <c r="CI28" s="202"/>
      <c r="CJ28" s="202"/>
      <c r="CK28" s="206"/>
      <c r="CL28" s="206"/>
      <c r="CM28" s="202"/>
      <c r="CN28" s="202"/>
      <c r="CO28" s="202"/>
      <c r="CP28" s="206"/>
      <c r="CQ28" s="206"/>
      <c r="CR28" s="202"/>
      <c r="CS28" s="5"/>
      <c r="CT28" s="5"/>
      <c r="CU28" s="5"/>
      <c r="CV28" s="5"/>
      <c r="CW28" s="1"/>
      <c r="CX28" s="5"/>
      <c r="CY28" s="5"/>
      <c r="CZ28" s="5"/>
      <c r="DA28" s="116" t="s">
        <v>27</v>
      </c>
      <c r="DB28" s="32"/>
      <c r="DC28" s="32"/>
      <c r="DD28" s="32"/>
      <c r="DE28" s="32"/>
      <c r="DF28" s="32"/>
      <c r="DG28" s="32"/>
      <c r="DH28" s="32"/>
      <c r="DI28" s="32"/>
      <c r="DJ28" s="5"/>
      <c r="DK28" s="5"/>
      <c r="DL28" s="5"/>
      <c r="DU28" s="202"/>
      <c r="DV28" s="202"/>
      <c r="DW28" s="202" t="str">
        <f t="array" ref="DW28:DW36">{"1Y";"3Y";"5Y";"7Y";"10Y";"12Y";"15Y";"20Y";"30Y"}</f>
        <v>1Y</v>
      </c>
      <c r="DX28" s="202" t="str">
        <f t="array" ref="DX28:DX36">"AUILS"&amp;{"1Y";"3Y";"5Y";"7Y";"10Y";"12Y";"15Y";"20Y";"30Y"}&amp;"="</f>
        <v>AUILS1Y=</v>
      </c>
      <c r="DY28" s="202" t="s">
        <v>45</v>
      </c>
      <c r="DZ28" s="202" t="str">
        <f ca="1">_xll.RtUpdate("IDN",DX28:DX36,DY28:DY29,EA28,,DW4)</f>
        <v>Updated at 16:43:59</v>
      </c>
      <c r="EA28" s="209">
        <v>3.01</v>
      </c>
      <c r="EB28" s="209">
        <v>3.11</v>
      </c>
      <c r="EC28" s="202"/>
      <c r="EE28" s="31"/>
      <c r="EF28" s="31"/>
      <c r="EG28" s="31"/>
      <c r="EH28" s="117"/>
      <c r="EI28" s="174"/>
      <c r="EJ28" s="171"/>
      <c r="EK28" s="171"/>
      <c r="EL28" s="31"/>
      <c r="EM28" s="173"/>
      <c r="EN28" s="213">
        <f t="shared" si="27"/>
        <v>40999</v>
      </c>
      <c r="EO28" s="224">
        <f>IF(EN28=CPI0_DATE,1,IF(EN28&lt;CPI0_DATE,EO29/EQ28*EQ29,EXP(_xll.qInterp(EP28,$EJ$10:$EJ$19,$EK$10:$EK$19))))</f>
        <v>0.97030855812148264</v>
      </c>
      <c r="EP28" s="190">
        <f t="shared" si="0"/>
        <v>1</v>
      </c>
      <c r="EQ28" s="182">
        <f t="shared" si="1"/>
        <v>0</v>
      </c>
      <c r="ER28" s="186">
        <f t="shared" si="2"/>
        <v>182.10701690819999</v>
      </c>
      <c r="ES28" s="184">
        <f t="shared" si="4"/>
        <v>0.75637509640957834</v>
      </c>
      <c r="ET28" s="184">
        <f t="shared" si="5"/>
        <v>0.7592356128419242</v>
      </c>
      <c r="EU28" s="184">
        <f t="shared" si="8"/>
        <v>3.0599999999999961</v>
      </c>
      <c r="EV28" s="173"/>
      <c r="EW28" s="173"/>
      <c r="EX28" s="173"/>
    </row>
    <row r="29" spans="1:154">
      <c r="F29" s="596" t="str">
        <f>_xll.qFuturesDateToCode(_xll.qFuturesCodeToDate(F28,Today)+92)</f>
        <v>Z2</v>
      </c>
      <c r="G29" s="623" t="str">
        <v>YBAZ2</v>
      </c>
      <c r="N29" s="624">
        <v>41256</v>
      </c>
      <c r="O29" s="630">
        <v>94.56</v>
      </c>
      <c r="P29" s="630">
        <v>94.58</v>
      </c>
      <c r="Q29" s="630">
        <v>94.57</v>
      </c>
      <c r="R29" s="596" t="s">
        <v>81</v>
      </c>
      <c r="S29" s="627">
        <v>41256</v>
      </c>
      <c r="T29" s="626">
        <v>94.56</v>
      </c>
      <c r="U29" s="626">
        <v>94.58</v>
      </c>
      <c r="V29" s="626">
        <v>94.57</v>
      </c>
      <c r="Y29" s="21" t="s">
        <v>113</v>
      </c>
      <c r="Z29" s="614"/>
      <c r="AA29" s="614"/>
      <c r="AB29" s="614"/>
      <c r="AC29" s="614"/>
      <c r="AD29" s="614"/>
      <c r="AE29" s="58">
        <f t="shared" si="28"/>
        <v>20</v>
      </c>
      <c r="AF29" s="58">
        <f t="shared" si="29"/>
        <v>15.666666666666666</v>
      </c>
      <c r="AG29" s="10"/>
      <c r="AH29" s="3">
        <f t="shared" ref="AH29:AH43" si="35">IF(ISNUMBER(AG29),AG29,AVERAGE(AE29:AF29))</f>
        <v>17.833333333333332</v>
      </c>
      <c r="AI29" s="30">
        <f t="array" ref="AI29:AI32">$AI$5+AH29:AH32%</f>
        <v>5.2283333333333166</v>
      </c>
      <c r="AJ29" s="1"/>
      <c r="AK29" s="78"/>
      <c r="AL29" s="19" t="s">
        <v>27</v>
      </c>
      <c r="AN29" s="602" t="str">
        <f t="shared" si="30"/>
        <v>AUBR6AB2Y=ICAA</v>
      </c>
      <c r="AP29" s="602" t="s">
        <v>46</v>
      </c>
      <c r="AR29" s="58">
        <v>7</v>
      </c>
      <c r="AS29" s="58">
        <v>9</v>
      </c>
      <c r="AT29" s="716"/>
      <c r="AU29" s="17">
        <f t="shared" si="31"/>
        <v>8</v>
      </c>
      <c r="AV29" s="11"/>
      <c r="AW29" s="82"/>
      <c r="AX29" s="19" t="s">
        <v>27</v>
      </c>
      <c r="AY29" s="601"/>
      <c r="AZ29" s="602" t="str">
        <f t="shared" si="32"/>
        <v>AUBR3AB2Y=ICAA</v>
      </c>
      <c r="BA29" s="601"/>
      <c r="BB29" s="602" t="s">
        <v>46</v>
      </c>
      <c r="BC29" s="601"/>
      <c r="BD29" s="58">
        <v>10.75</v>
      </c>
      <c r="BE29" s="58">
        <v>12.75</v>
      </c>
      <c r="BF29" s="10"/>
      <c r="BG29" s="17">
        <f t="shared" si="33"/>
        <v>11.75</v>
      </c>
      <c r="BH29" s="11"/>
      <c r="BI29" s="82"/>
      <c r="BJ29" s="19" t="s">
        <v>27</v>
      </c>
      <c r="BK29" s="601"/>
      <c r="BL29" s="602" t="str">
        <f t="shared" ref="BL29:BL37" si="36">"AUDCR3B"&amp;BJ29&amp;"=ICAA"</f>
        <v>AUDCR3B2Y=ICAA</v>
      </c>
      <c r="BM29" s="601"/>
      <c r="BN29" s="602" t="s">
        <v>46</v>
      </c>
      <c r="BO29" s="601"/>
      <c r="BP29" s="58">
        <v>17.5</v>
      </c>
      <c r="BQ29" s="58">
        <v>22.5</v>
      </c>
      <c r="BR29" s="10"/>
      <c r="BS29" s="17">
        <f t="shared" si="34"/>
        <v>20</v>
      </c>
      <c r="BT29" s="12"/>
      <c r="BU29" s="5"/>
      <c r="BW29" s="5"/>
      <c r="CJ29" s="202" t="s">
        <v>280</v>
      </c>
      <c r="CK29" s="206" t="s">
        <v>110</v>
      </c>
      <c r="CL29" s="206" t="s">
        <v>278</v>
      </c>
      <c r="CM29" s="202" t="s">
        <v>276</v>
      </c>
      <c r="CN29" s="202" t="s">
        <v>277</v>
      </c>
      <c r="DA29" s="116" t="s">
        <v>7</v>
      </c>
      <c r="DB29" s="32"/>
      <c r="DC29" s="32"/>
      <c r="DD29" s="32"/>
      <c r="DE29" s="32"/>
      <c r="DF29" s="32"/>
      <c r="DG29" s="32"/>
      <c r="DH29" s="32"/>
      <c r="DI29" s="32"/>
      <c r="DW29" s="202" t="str">
        <v>3Y</v>
      </c>
      <c r="DX29" s="202" t="str">
        <v>AUILS3Y=</v>
      </c>
      <c r="DY29" s="202" t="s">
        <v>46</v>
      </c>
      <c r="EA29" s="209">
        <v>3</v>
      </c>
      <c r="EB29" s="209">
        <v>3.1</v>
      </c>
      <c r="EN29" s="213">
        <f t="shared" si="27"/>
        <v>41090</v>
      </c>
      <c r="EO29" s="224">
        <f>IF(EN29=CPI0_DATE,1,IF(EN29&lt;CPI0_DATE,EO30/EQ29*EQ30,EXP(_xll.qInterp(EP29,$EJ$10:$EJ$19,$EK$10:$EK$19))))</f>
        <v>0.9630595242728679</v>
      </c>
      <c r="EP29" s="190">
        <f t="shared" ref="EP29:EP56" si="37">ROUND((EN29-CPI0_DATE)/365/0.25,0)*0.25</f>
        <v>1.25</v>
      </c>
      <c r="EQ29" s="182">
        <f t="shared" si="1"/>
        <v>0</v>
      </c>
      <c r="ER29" s="186">
        <f t="shared" si="2"/>
        <v>183.47775246126406</v>
      </c>
      <c r="ES29" s="184">
        <f t="shared" si="4"/>
        <v>0.75270880624827008</v>
      </c>
      <c r="ET29" s="184">
        <f t="shared" si="5"/>
        <v>0.75738860230840643</v>
      </c>
      <c r="EU29" s="184">
        <f t="shared" si="8"/>
        <v>3.0562498862859666</v>
      </c>
    </row>
    <row r="30" spans="1:154">
      <c r="F30" s="596" t="str">
        <f>_xll.qFuturesDateToCode(_xll.qFuturesCodeToDate(F29,Today)+92)</f>
        <v>H3</v>
      </c>
      <c r="G30" s="623" t="str">
        <v>YBAH3</v>
      </c>
      <c r="N30" s="624">
        <v>41340</v>
      </c>
      <c r="O30" s="630">
        <v>0</v>
      </c>
      <c r="P30" s="630">
        <v>0</v>
      </c>
      <c r="Q30" s="630">
        <v>94.58</v>
      </c>
      <c r="R30" s="596" t="s">
        <v>81</v>
      </c>
      <c r="S30" s="627">
        <v>41340</v>
      </c>
      <c r="T30" s="626">
        <v>94.53</v>
      </c>
      <c r="U30" s="626">
        <v>94.54</v>
      </c>
      <c r="V30" s="626">
        <v>94.58</v>
      </c>
      <c r="Y30" s="21" t="s">
        <v>114</v>
      </c>
      <c r="Z30" s="614"/>
      <c r="AA30" s="614"/>
      <c r="AB30" s="614"/>
      <c r="AC30" s="614"/>
      <c r="AD30" s="614"/>
      <c r="AE30" s="58">
        <f t="shared" si="28"/>
        <v>29.75</v>
      </c>
      <c r="AF30" s="58">
        <f t="shared" si="29"/>
        <v>25.416666666666668</v>
      </c>
      <c r="AG30" s="10"/>
      <c r="AH30" s="3">
        <f t="shared" si="35"/>
        <v>27.583333333333336</v>
      </c>
      <c r="AI30" s="30">
        <v>5.3258333333333159</v>
      </c>
      <c r="AJ30" s="1"/>
      <c r="AK30" s="78"/>
      <c r="AL30" s="19" t="s">
        <v>7</v>
      </c>
      <c r="AN30" s="602" t="str">
        <f t="shared" si="30"/>
        <v>AUBR6AB3Y=ICAA</v>
      </c>
      <c r="AR30" s="58">
        <v>6.75</v>
      </c>
      <c r="AS30" s="58">
        <v>8.75</v>
      </c>
      <c r="AT30" s="716"/>
      <c r="AU30" s="17">
        <f t="shared" si="31"/>
        <v>7.75</v>
      </c>
      <c r="AV30" s="11"/>
      <c r="AW30" s="82"/>
      <c r="AX30" s="19" t="s">
        <v>7</v>
      </c>
      <c r="AY30" s="601"/>
      <c r="AZ30" s="602" t="str">
        <f t="shared" si="32"/>
        <v>AUBR3AB3Y=ICAA</v>
      </c>
      <c r="BA30" s="601"/>
      <c r="BB30" s="601"/>
      <c r="BC30" s="601"/>
      <c r="BD30" s="58">
        <v>11</v>
      </c>
      <c r="BE30" s="58">
        <v>13</v>
      </c>
      <c r="BF30" s="10"/>
      <c r="BG30" s="17">
        <f t="shared" si="33"/>
        <v>12</v>
      </c>
      <c r="BH30" s="11"/>
      <c r="BI30" s="82"/>
      <c r="BJ30" s="19" t="s">
        <v>7</v>
      </c>
      <c r="BK30" s="601"/>
      <c r="BL30" s="602" t="str">
        <f t="shared" si="36"/>
        <v>AUDCR3B3Y=ICAA</v>
      </c>
      <c r="BM30" s="601"/>
      <c r="BN30" s="601"/>
      <c r="BO30" s="601"/>
      <c r="BP30" s="58">
        <v>19.5</v>
      </c>
      <c r="BQ30" s="58">
        <v>24.5</v>
      </c>
      <c r="BR30" s="10"/>
      <c r="BS30" s="17">
        <f t="shared" si="34"/>
        <v>22</v>
      </c>
      <c r="BT30" s="12"/>
      <c r="BU30" s="5"/>
      <c r="BW30" s="5"/>
      <c r="CK30" s="206" t="s">
        <v>27</v>
      </c>
      <c r="CL30" s="206" t="s">
        <v>0</v>
      </c>
      <c r="CM30" s="202" t="str">
        <f t="array" ref="CM30:CM40">"AUBP"&amp;CL30:CL40&amp;"X"&amp;CK30:CK40&amp;"=ICAA"</f>
        <v>AUBP1MX2Y=ICAA</v>
      </c>
      <c r="CN30" s="202" t="s">
        <v>223</v>
      </c>
      <c r="CO30" s="202" t="str">
        <f ca="1">_xll.RtUpdate("IDN",CM30:CM40,CN30,CP30,,RTMODE_VOLS)</f>
        <v>Updated at 16:52:06</v>
      </c>
      <c r="CP30" s="212">
        <v>4.2</v>
      </c>
      <c r="DA30" s="116" t="s">
        <v>8</v>
      </c>
      <c r="DB30" s="32"/>
      <c r="DC30" s="32"/>
      <c r="DD30" s="32"/>
      <c r="DE30" s="32"/>
      <c r="DF30" s="32"/>
      <c r="DG30" s="32"/>
      <c r="DH30" s="32"/>
      <c r="DI30" s="32"/>
      <c r="DW30" s="202" t="str">
        <v>5Y</v>
      </c>
      <c r="DX30" s="202" t="str">
        <v>AUILS5Y=</v>
      </c>
      <c r="EA30" s="209">
        <v>3</v>
      </c>
      <c r="EB30" s="209">
        <v>3.1</v>
      </c>
      <c r="EE30" s="173"/>
      <c r="EF30" s="173"/>
      <c r="EG30" s="173"/>
      <c r="EH30" s="118"/>
      <c r="EJ30" s="172"/>
      <c r="EK30" s="172"/>
      <c r="EL30" s="173"/>
      <c r="EN30" s="213">
        <f t="shared" si="27"/>
        <v>41182</v>
      </c>
      <c r="EO30" s="224">
        <f>IF(EN30=CPI0_DATE,1,IF(EN30&lt;CPI0_DATE,EO31/EQ30*EQ31,EXP(_xll.qInterp(EP30,$EJ$10:$EJ$19,$EK$10:$EK$19))))</f>
        <v>0.95586464689983874</v>
      </c>
      <c r="EP30" s="190">
        <f t="shared" si="37"/>
        <v>1.5</v>
      </c>
      <c r="EQ30" s="182">
        <f t="shared" si="1"/>
        <v>0</v>
      </c>
      <c r="ER30" s="186">
        <f t="shared" ref="ER30:ER61" si="38">IF(EQ30&gt;0,EQ30,ER29*EO29/EO30)</f>
        <v>184.85880566154643</v>
      </c>
      <c r="ES30" s="184">
        <f t="shared" si="4"/>
        <v>0.75270880624829228</v>
      </c>
      <c r="ET30" s="184">
        <f t="shared" si="5"/>
        <v>0.75554165898330528</v>
      </c>
      <c r="EU30" s="184">
        <f t="shared" si="8"/>
        <v>3.052499909029871</v>
      </c>
    </row>
    <row r="31" spans="1:154">
      <c r="N31" s="624"/>
      <c r="O31" s="630"/>
      <c r="P31" s="630"/>
      <c r="Q31" s="630"/>
      <c r="R31" s="596" t="s">
        <v>81</v>
      </c>
      <c r="S31" s="627"/>
      <c r="T31" s="626"/>
      <c r="U31" s="626"/>
      <c r="V31" s="626"/>
      <c r="Y31" s="21" t="s">
        <v>8</v>
      </c>
      <c r="Z31" s="614"/>
      <c r="AA31" s="614"/>
      <c r="AB31" s="614"/>
      <c r="AC31" s="614"/>
      <c r="AD31" s="614"/>
      <c r="AE31" s="58">
        <f t="shared" si="28"/>
        <v>50.583333333333336</v>
      </c>
      <c r="AF31" s="58">
        <f t="shared" si="29"/>
        <v>46.25</v>
      </c>
      <c r="AG31" s="10"/>
      <c r="AH31" s="3">
        <f t="shared" si="35"/>
        <v>48.416666666666671</v>
      </c>
      <c r="AI31" s="30">
        <v>5.5341666666666498</v>
      </c>
      <c r="AJ31" s="1"/>
      <c r="AK31" s="78"/>
      <c r="AL31" s="19" t="s">
        <v>8</v>
      </c>
      <c r="AN31" s="602" t="str">
        <f t="shared" si="30"/>
        <v>AUBR6AB4Y=ICAA</v>
      </c>
      <c r="AR31" s="58">
        <v>6.5</v>
      </c>
      <c r="AS31" s="58">
        <v>8.5</v>
      </c>
      <c r="AT31" s="716"/>
      <c r="AU31" s="17">
        <f t="shared" si="31"/>
        <v>7.5</v>
      </c>
      <c r="AV31" s="11"/>
      <c r="AW31" s="82"/>
      <c r="AX31" s="19" t="s">
        <v>8</v>
      </c>
      <c r="AY31" s="601"/>
      <c r="AZ31" s="602" t="str">
        <f t="shared" si="32"/>
        <v>AUBR3AB4Y=ICAA</v>
      </c>
      <c r="BA31" s="601"/>
      <c r="BB31" s="601"/>
      <c r="BC31" s="601"/>
      <c r="BD31" s="58">
        <v>11</v>
      </c>
      <c r="BE31" s="58">
        <v>13</v>
      </c>
      <c r="BF31" s="10"/>
      <c r="BG31" s="17">
        <f t="shared" si="33"/>
        <v>12</v>
      </c>
      <c r="BH31" s="11"/>
      <c r="BI31" s="82"/>
      <c r="BJ31" s="19" t="s">
        <v>8</v>
      </c>
      <c r="BK31" s="601"/>
      <c r="BL31" s="602" t="str">
        <f t="shared" si="36"/>
        <v>AUDCR3B4Y=ICAA</v>
      </c>
      <c r="BM31" s="601"/>
      <c r="BN31" s="601"/>
      <c r="BO31" s="601"/>
      <c r="BP31" s="58">
        <v>20.5</v>
      </c>
      <c r="BQ31" s="58">
        <v>25.5</v>
      </c>
      <c r="BR31" s="10"/>
      <c r="BS31" s="17">
        <f t="shared" si="34"/>
        <v>23</v>
      </c>
      <c r="BT31" s="12"/>
      <c r="BU31" s="9"/>
      <c r="BW31" s="5"/>
      <c r="CK31" s="206" t="s">
        <v>27</v>
      </c>
      <c r="CL31" s="206" t="s">
        <v>1</v>
      </c>
      <c r="CM31" s="202" t="str">
        <v>AUBP2MX2Y=ICAA</v>
      </c>
      <c r="CN31" s="205"/>
      <c r="CP31" s="212">
        <v>4.3</v>
      </c>
      <c r="CS31" s="7"/>
      <c r="CT31" s="7"/>
      <c r="CU31" s="7"/>
      <c r="CV31" s="7"/>
      <c r="CW31" s="18"/>
      <c r="CX31" s="7"/>
      <c r="CY31" s="7"/>
      <c r="CZ31" s="7"/>
      <c r="DA31" s="116" t="s">
        <v>9</v>
      </c>
      <c r="DB31" s="32"/>
      <c r="DC31" s="32"/>
      <c r="DD31" s="32"/>
      <c r="DE31" s="32"/>
      <c r="DF31" s="32"/>
      <c r="DG31" s="32"/>
      <c r="DH31" s="32"/>
      <c r="DI31" s="32"/>
      <c r="DJ31" s="7"/>
      <c r="DK31" s="7"/>
      <c r="DL31" s="7"/>
      <c r="DW31" s="202" t="str">
        <v>7Y</v>
      </c>
      <c r="DX31" s="202" t="str">
        <v>AUILS7Y=</v>
      </c>
      <c r="EA31" s="209">
        <v>3.01</v>
      </c>
      <c r="EB31" s="209">
        <v>3.11</v>
      </c>
      <c r="EN31" s="213">
        <f t="shared" si="27"/>
        <v>41274</v>
      </c>
      <c r="EO31" s="224">
        <f>IF(EN31=CPI0_DATE,1,IF(EN31&lt;CPI0_DATE,EO32/EQ31*EQ32,EXP(_xll.qInterp(EP31,$EJ$10:$EJ$19,$EK$10:$EK$19))))</f>
        <v>0.94872352140725746</v>
      </c>
      <c r="EP31" s="190">
        <f t="shared" si="37"/>
        <v>1.75</v>
      </c>
      <c r="EQ31" s="182">
        <f t="shared" si="1"/>
        <v>0</v>
      </c>
      <c r="ER31" s="186">
        <f t="shared" si="38"/>
        <v>186.25025417088631</v>
      </c>
      <c r="ES31" s="184">
        <f t="shared" si="4"/>
        <v>0.75270880624829228</v>
      </c>
      <c r="ET31" s="184">
        <f t="shared" si="5"/>
        <v>0.75554165898330528</v>
      </c>
      <c r="EU31" s="184">
        <f t="shared" si="8"/>
        <v>3.0487500682267576</v>
      </c>
    </row>
    <row r="32" spans="1:154">
      <c r="E32" s="596" t="s">
        <v>642</v>
      </c>
      <c r="F32" s="596" t="str">
        <f>IF(S12="LIVE",_xll.qFuturesDateToCode(N12),_xll.qFuturesDateToCode(N13))</f>
        <v>K1</v>
      </c>
      <c r="G32" s="623" t="str">
        <f t="array" ref="G32:G39">IF(S12="LIVE","YIB"&amp;F32:F39,"/YIB"&amp;F32:F39)</f>
        <v>YIBK1</v>
      </c>
      <c r="I32" s="623" t="s">
        <v>47</v>
      </c>
      <c r="M32" s="596" t="str">
        <f ca="1">_xll.RtUpdate("IDN",G32:G39,I32:I35,N32,,RTMODE_RATES)</f>
        <v>Updated at 16:52:20</v>
      </c>
      <c r="N32" s="624">
        <v>40694</v>
      </c>
      <c r="O32" s="630">
        <v>0</v>
      </c>
      <c r="P32" s="630">
        <v>0</v>
      </c>
      <c r="Q32" s="630">
        <v>95.254999999999995</v>
      </c>
      <c r="S32" s="627">
        <v>40694</v>
      </c>
      <c r="T32" s="626">
        <v>95.25</v>
      </c>
      <c r="U32" s="626">
        <v>95.254999999999995</v>
      </c>
      <c r="V32" s="626">
        <v>95.254999999999995</v>
      </c>
      <c r="Y32" s="21" t="s">
        <v>9</v>
      </c>
      <c r="Z32" s="614"/>
      <c r="AA32" s="614"/>
      <c r="AB32" s="614"/>
      <c r="AC32" s="614"/>
      <c r="AD32" s="614"/>
      <c r="AE32" s="58">
        <f t="shared" si="28"/>
        <v>61.25</v>
      </c>
      <c r="AF32" s="58">
        <f t="shared" si="29"/>
        <v>56.916666666666664</v>
      </c>
      <c r="AG32" s="10"/>
      <c r="AH32" s="3">
        <f t="shared" si="35"/>
        <v>59.083333333333329</v>
      </c>
      <c r="AI32" s="30">
        <v>5.6408333333333163</v>
      </c>
      <c r="AJ32" s="1"/>
      <c r="AK32" s="78"/>
      <c r="AL32" s="19" t="s">
        <v>9</v>
      </c>
      <c r="AN32" s="602" t="str">
        <f t="shared" si="30"/>
        <v>AUBR6AB5Y=ICAA</v>
      </c>
      <c r="AR32" s="58">
        <v>6.25</v>
      </c>
      <c r="AS32" s="58">
        <v>8.25</v>
      </c>
      <c r="AT32" s="716"/>
      <c r="AU32" s="17">
        <f t="shared" si="31"/>
        <v>7.25</v>
      </c>
      <c r="AV32" s="11"/>
      <c r="AW32" s="82"/>
      <c r="AX32" s="19" t="s">
        <v>9</v>
      </c>
      <c r="AY32" s="601"/>
      <c r="AZ32" s="602" t="str">
        <f t="shared" si="32"/>
        <v>AUBR3AB5Y=ICAA</v>
      </c>
      <c r="BA32" s="601"/>
      <c r="BB32" s="601"/>
      <c r="BC32" s="601"/>
      <c r="BD32" s="58">
        <v>10.75</v>
      </c>
      <c r="BE32" s="58">
        <v>12.75</v>
      </c>
      <c r="BF32" s="10"/>
      <c r="BG32" s="17">
        <f t="shared" si="33"/>
        <v>11.75</v>
      </c>
      <c r="BH32" s="11"/>
      <c r="BI32" s="82"/>
      <c r="BJ32" s="19" t="s">
        <v>9</v>
      </c>
      <c r="BK32" s="601"/>
      <c r="BL32" s="602" t="str">
        <f t="shared" si="36"/>
        <v>AUDCR3B5Y=ICAA</v>
      </c>
      <c r="BM32" s="601"/>
      <c r="BN32" s="601"/>
      <c r="BO32" s="601"/>
      <c r="BP32" s="58">
        <v>21</v>
      </c>
      <c r="BQ32" s="58">
        <v>26</v>
      </c>
      <c r="BR32" s="10"/>
      <c r="BS32" s="17">
        <f t="shared" si="34"/>
        <v>23.5</v>
      </c>
      <c r="BT32" s="12"/>
      <c r="BU32" s="5"/>
      <c r="BW32" s="5"/>
      <c r="CK32" s="206" t="s">
        <v>27</v>
      </c>
      <c r="CL32" s="206" t="s">
        <v>2</v>
      </c>
      <c r="CM32" s="202" t="str">
        <v>AUBP3MX2Y=ICAA</v>
      </c>
      <c r="CP32" s="212">
        <v>4.9000000000000004</v>
      </c>
      <c r="DA32" s="116" t="s">
        <v>11</v>
      </c>
      <c r="DB32" s="32"/>
      <c r="DC32" s="32"/>
      <c r="DD32" s="32"/>
      <c r="DE32" s="32"/>
      <c r="DF32" s="32"/>
      <c r="DG32" s="32"/>
      <c r="DH32" s="32"/>
      <c r="DI32" s="32"/>
      <c r="DW32" s="202" t="str">
        <v>10Y</v>
      </c>
      <c r="DX32" s="202" t="str">
        <v>AUILS10Y=</v>
      </c>
      <c r="EA32" s="209">
        <v>3.03</v>
      </c>
      <c r="EB32" s="209">
        <v>3.13</v>
      </c>
      <c r="EN32" s="213">
        <f t="shared" si="27"/>
        <v>41364</v>
      </c>
      <c r="EO32" s="224">
        <f>IF(EN32=CPI0_DATE,1,IF(EN32&lt;CPI0_DATE,EO33/EQ32*EQ33,EXP(_xll.qInterp(EP32,$EJ$10:$EJ$19,$EK$10:$EK$19))))</f>
        <v>0.94163574622265778</v>
      </c>
      <c r="EP32" s="190">
        <f t="shared" si="37"/>
        <v>2</v>
      </c>
      <c r="EQ32" s="182">
        <f t="shared" si="1"/>
        <v>0</v>
      </c>
      <c r="ER32" s="186">
        <f t="shared" si="38"/>
        <v>187.65217623569038</v>
      </c>
      <c r="ES32" s="184">
        <f t="shared" si="4"/>
        <v>0.75270880624829228</v>
      </c>
      <c r="ET32" s="184">
        <f t="shared" si="5"/>
        <v>0.75554165898330528</v>
      </c>
      <c r="EU32" s="184">
        <f t="shared" si="8"/>
        <v>3.0450003638715861</v>
      </c>
    </row>
    <row r="33" spans="5:151">
      <c r="F33" s="596" t="str">
        <f>_xll.qFuturesDateToCode(_xll.qFuturesCodeToDate(F32,Today)+31)</f>
        <v>M1</v>
      </c>
      <c r="G33" s="623" t="str">
        <v>YIBM1</v>
      </c>
      <c r="I33" s="623" t="s">
        <v>45</v>
      </c>
      <c r="N33" s="624">
        <v>40724</v>
      </c>
      <c r="O33" s="630">
        <v>0</v>
      </c>
      <c r="P33" s="630">
        <v>0</v>
      </c>
      <c r="Q33" s="630">
        <v>95.215000000000003</v>
      </c>
      <c r="S33" s="627">
        <v>40724</v>
      </c>
      <c r="T33" s="626">
        <v>95.210000000000008</v>
      </c>
      <c r="U33" s="626">
        <v>95.215000000000003</v>
      </c>
      <c r="V33" s="626">
        <v>95.215000000000003</v>
      </c>
      <c r="Y33" s="21" t="s">
        <v>10</v>
      </c>
      <c r="Z33" s="614"/>
      <c r="AA33" s="614"/>
      <c r="AB33" s="614"/>
      <c r="AC33" s="614"/>
      <c r="AD33" s="614"/>
      <c r="AE33" s="58">
        <f t="shared" si="28"/>
        <v>38.583333333333336</v>
      </c>
      <c r="AF33" s="58">
        <f t="shared" si="29"/>
        <v>34.25</v>
      </c>
      <c r="AG33" s="10"/>
      <c r="AH33" s="3">
        <f t="shared" si="35"/>
        <v>36.416666666666671</v>
      </c>
      <c r="AI33" s="30">
        <f t="array" ref="AI33:AI43">$AI$6+AH33:AH43%</f>
        <v>5.759166666666677</v>
      </c>
      <c r="AJ33" s="1"/>
      <c r="AK33" s="78"/>
      <c r="AL33" s="19" t="s">
        <v>11</v>
      </c>
      <c r="AN33" s="602" t="str">
        <f t="shared" si="30"/>
        <v>AUBR6AB7Y=ICAA</v>
      </c>
      <c r="AR33" s="58">
        <v>5.75</v>
      </c>
      <c r="AS33" s="58">
        <v>7.75</v>
      </c>
      <c r="AT33" s="716"/>
      <c r="AU33" s="17">
        <f t="shared" ref="AU33:AU38" si="39">IF(ISNUMBER(AT33),AT33,AVERAGE(AR33:AS33))</f>
        <v>6.75</v>
      </c>
      <c r="AV33" s="11"/>
      <c r="AW33" s="82"/>
      <c r="AX33" s="19" t="s">
        <v>11</v>
      </c>
      <c r="AY33" s="601"/>
      <c r="AZ33" s="602" t="str">
        <f t="shared" si="32"/>
        <v>AUBR3AB7Y=ICAA</v>
      </c>
      <c r="BA33" s="601"/>
      <c r="BB33" s="601"/>
      <c r="BC33" s="601"/>
      <c r="BD33" s="58">
        <v>9.75</v>
      </c>
      <c r="BE33" s="58">
        <v>11.75</v>
      </c>
      <c r="BF33" s="10"/>
      <c r="BG33" s="17">
        <f>IF(ISNUMBER(BF33),BF33,AVERAGE(BD33:BE33))</f>
        <v>10.75</v>
      </c>
      <c r="BH33" s="11"/>
      <c r="BI33" s="82"/>
      <c r="BJ33" s="19" t="s">
        <v>10</v>
      </c>
      <c r="BK33" s="601"/>
      <c r="BL33" s="602" t="str">
        <f t="shared" si="36"/>
        <v>AUDCR3B6Y=ICAA</v>
      </c>
      <c r="BM33" s="601"/>
      <c r="BN33" s="601"/>
      <c r="BO33" s="601"/>
      <c r="BP33" s="58">
        <v>21</v>
      </c>
      <c r="BQ33" s="58">
        <v>26</v>
      </c>
      <c r="BR33" s="10"/>
      <c r="BS33" s="17">
        <f t="shared" si="34"/>
        <v>23.5</v>
      </c>
      <c r="BT33" s="12"/>
      <c r="BU33" s="5"/>
      <c r="BW33" s="5"/>
      <c r="CK33" s="206" t="s">
        <v>27</v>
      </c>
      <c r="CL33" s="206" t="s">
        <v>5</v>
      </c>
      <c r="CM33" s="202" t="str">
        <v>AUBP6MX2Y=ICAA</v>
      </c>
      <c r="CP33" s="212">
        <v>5.2</v>
      </c>
      <c r="DA33" s="116" t="s">
        <v>14</v>
      </c>
      <c r="DB33" s="32"/>
      <c r="DC33" s="32"/>
      <c r="DD33" s="32"/>
      <c r="DE33" s="32"/>
      <c r="DF33" s="32"/>
      <c r="DG33" s="32"/>
      <c r="DH33" s="32"/>
      <c r="DI33" s="32"/>
      <c r="DW33" s="202" t="str">
        <v>12Y</v>
      </c>
      <c r="DX33" s="202" t="str">
        <v>AUILS12Y=</v>
      </c>
      <c r="EA33" s="209">
        <v>3.04</v>
      </c>
      <c r="EB33" s="209">
        <v>3.14</v>
      </c>
      <c r="EN33" s="213">
        <f t="shared" si="27"/>
        <v>41455</v>
      </c>
      <c r="EO33" s="224">
        <f>IF(EN33=CPI0_DATE,1,IF(EN33&lt;CPI0_DATE,EO34/EQ33*EQ34,EXP(_xll.qInterp(EP33,$EJ$10:$EJ$19,$EK$10:$EK$19))))</f>
        <v>0.93460092277366269</v>
      </c>
      <c r="EP33" s="190">
        <f t="shared" si="37"/>
        <v>2.25</v>
      </c>
      <c r="EQ33" s="182">
        <f t="shared" si="1"/>
        <v>0</v>
      </c>
      <c r="ER33" s="186">
        <f t="shared" si="38"/>
        <v>189.06465069133296</v>
      </c>
      <c r="ES33" s="184">
        <f t="shared" si="4"/>
        <v>0.75270880624827008</v>
      </c>
      <c r="ET33" s="184">
        <f t="shared" si="5"/>
        <v>0.75554165898329417</v>
      </c>
      <c r="EU33" s="184">
        <f t="shared" si="8"/>
        <v>3.0450003638715861</v>
      </c>
    </row>
    <row r="34" spans="5:151">
      <c r="F34" s="596" t="str">
        <f>_xll.qFuturesDateToCode(_xll.qFuturesCodeToDate(F33,Today)+31)</f>
        <v>N1</v>
      </c>
      <c r="G34" s="623" t="str">
        <v>YIBN1</v>
      </c>
      <c r="I34" s="623" t="s">
        <v>46</v>
      </c>
      <c r="N34" s="624">
        <v>40753</v>
      </c>
      <c r="O34" s="630">
        <v>0</v>
      </c>
      <c r="P34" s="630">
        <v>0</v>
      </c>
      <c r="Q34" s="630">
        <v>95.169999999999987</v>
      </c>
      <c r="S34" s="627">
        <v>40753</v>
      </c>
      <c r="T34" s="626">
        <v>95.164999999999992</v>
      </c>
      <c r="U34" s="626">
        <v>95.169999999999987</v>
      </c>
      <c r="V34" s="626">
        <v>95.169999999999987</v>
      </c>
      <c r="Y34" s="21" t="s">
        <v>11</v>
      </c>
      <c r="Z34" s="614"/>
      <c r="AA34" s="614"/>
      <c r="AB34" s="614"/>
      <c r="AC34" s="614"/>
      <c r="AD34" s="614"/>
      <c r="AE34" s="58">
        <f t="shared" si="28"/>
        <v>45.75</v>
      </c>
      <c r="AF34" s="58">
        <f t="shared" si="29"/>
        <v>41.416666666666664</v>
      </c>
      <c r="AG34" s="10"/>
      <c r="AH34" s="3">
        <f t="shared" si="35"/>
        <v>43.583333333333329</v>
      </c>
      <c r="AI34" s="30">
        <v>5.8308333333333433</v>
      </c>
      <c r="AJ34" s="1"/>
      <c r="AK34" s="78"/>
      <c r="AL34" s="19" t="s">
        <v>14</v>
      </c>
      <c r="AN34" s="602" t="str">
        <f t="shared" si="30"/>
        <v>AUBR6AB10Y=ICAA</v>
      </c>
      <c r="AR34" s="58">
        <v>5.25</v>
      </c>
      <c r="AS34" s="58">
        <v>7.25</v>
      </c>
      <c r="AT34" s="716"/>
      <c r="AU34" s="17">
        <f t="shared" si="39"/>
        <v>6.25</v>
      </c>
      <c r="AV34" s="11"/>
      <c r="AW34" s="82"/>
      <c r="AX34" s="19" t="s">
        <v>14</v>
      </c>
      <c r="AY34" s="601"/>
      <c r="AZ34" s="602" t="str">
        <f t="shared" si="32"/>
        <v>AUBR3AB10Y=ICAA</v>
      </c>
      <c r="BA34" s="601"/>
      <c r="BB34" s="601"/>
      <c r="BC34" s="601"/>
      <c r="BD34" s="58">
        <v>8.5</v>
      </c>
      <c r="BE34" s="58">
        <v>10.5</v>
      </c>
      <c r="BF34" s="10"/>
      <c r="BG34" s="17">
        <f>IF(ISNUMBER(BF34),BF34,AVERAGE(BD34:BE34))</f>
        <v>9.5</v>
      </c>
      <c r="BH34" s="11"/>
      <c r="BI34" s="82"/>
      <c r="BJ34" s="19" t="s">
        <v>11</v>
      </c>
      <c r="BK34" s="601"/>
      <c r="BL34" s="602" t="str">
        <f t="shared" si="36"/>
        <v>AUDCR3B7Y=ICAA</v>
      </c>
      <c r="BM34" s="601"/>
      <c r="BN34" s="601"/>
      <c r="BO34" s="601"/>
      <c r="BP34" s="58">
        <v>21</v>
      </c>
      <c r="BQ34" s="58">
        <v>26</v>
      </c>
      <c r="BR34" s="10"/>
      <c r="BS34" s="17">
        <f t="shared" si="34"/>
        <v>23.5</v>
      </c>
      <c r="BT34" s="12"/>
      <c r="BU34" s="5"/>
      <c r="BW34" s="5"/>
      <c r="CK34" s="206" t="s">
        <v>27</v>
      </c>
      <c r="CL34" s="206" t="s">
        <v>26</v>
      </c>
      <c r="CM34" s="202" t="str">
        <v>AUBP1YX2Y=ICAA</v>
      </c>
      <c r="CP34" s="212">
        <v>5.7</v>
      </c>
      <c r="DW34" s="202" t="str">
        <v>15Y</v>
      </c>
      <c r="DX34" s="202" t="str">
        <v>AUILS15Y=</v>
      </c>
      <c r="EA34" s="209">
        <v>3.04</v>
      </c>
      <c r="EB34" s="209">
        <v>3.14</v>
      </c>
      <c r="EN34" s="213">
        <f t="shared" si="27"/>
        <v>41547</v>
      </c>
      <c r="EO34" s="224">
        <f>IF(EN34=CPI0_DATE,1,IF(EN34&lt;CPI0_DATE,EO35/EQ34*EQ35,EXP(_xll.qInterp(EP34,$EJ$10:$EJ$19,$EK$10:$EK$19))))</f>
        <v>0.92761865546557143</v>
      </c>
      <c r="EP34" s="190">
        <f t="shared" si="37"/>
        <v>2.5</v>
      </c>
      <c r="EQ34" s="182">
        <f t="shared" si="1"/>
        <v>0</v>
      </c>
      <c r="ER34" s="186">
        <f t="shared" si="38"/>
        <v>190.48775696658919</v>
      </c>
      <c r="ES34" s="184">
        <f t="shared" si="4"/>
        <v>0.75270880624829228</v>
      </c>
      <c r="ET34" s="184">
        <f t="shared" si="5"/>
        <v>0.75554165898330528</v>
      </c>
      <c r="EU34" s="184">
        <f t="shared" si="8"/>
        <v>3.0450003638715861</v>
      </c>
    </row>
    <row r="35" spans="5:151">
      <c r="F35" s="596" t="str">
        <f>_xll.qFuturesDateToCode(_xll.qFuturesCodeToDate(F34,Today)+31)</f>
        <v>Q1</v>
      </c>
      <c r="G35" s="623" t="str">
        <v>YIBQ1</v>
      </c>
      <c r="I35" s="623" t="s">
        <v>598</v>
      </c>
      <c r="N35" s="624">
        <v>40786</v>
      </c>
      <c r="O35" s="630">
        <v>0</v>
      </c>
      <c r="P35" s="630">
        <v>0</v>
      </c>
      <c r="Q35" s="630">
        <v>95.1</v>
      </c>
      <c r="S35" s="627">
        <v>40786</v>
      </c>
      <c r="T35" s="626">
        <v>95.09</v>
      </c>
      <c r="U35" s="626">
        <v>95.1</v>
      </c>
      <c r="V35" s="626">
        <v>95.1</v>
      </c>
      <c r="Y35" s="21" t="s">
        <v>12</v>
      </c>
      <c r="Z35" s="614"/>
      <c r="AA35" s="614"/>
      <c r="AB35" s="614"/>
      <c r="AC35" s="614"/>
      <c r="AD35" s="614"/>
      <c r="AE35" s="58">
        <f t="shared" si="28"/>
        <v>50.25</v>
      </c>
      <c r="AF35" s="58">
        <f t="shared" si="29"/>
        <v>45.916666666666664</v>
      </c>
      <c r="AG35" s="10"/>
      <c r="AH35" s="3">
        <f t="shared" si="35"/>
        <v>48.083333333333329</v>
      </c>
      <c r="AI35" s="30">
        <v>5.8758333333333432</v>
      </c>
      <c r="AJ35" s="1"/>
      <c r="AK35" s="78"/>
      <c r="AL35" s="19" t="s">
        <v>16</v>
      </c>
      <c r="AN35" s="602" t="str">
        <f t="shared" si="30"/>
        <v>AUBR6AB15Y=ICAA</v>
      </c>
      <c r="AR35" s="58">
        <v>3.5</v>
      </c>
      <c r="AS35" s="58">
        <v>6.5</v>
      </c>
      <c r="AT35" s="716"/>
      <c r="AU35" s="17">
        <f t="shared" si="39"/>
        <v>5</v>
      </c>
      <c r="AV35" s="11"/>
      <c r="AW35" s="82"/>
      <c r="AX35" s="16"/>
      <c r="AY35" s="609"/>
      <c r="AZ35" s="609"/>
      <c r="BA35" s="609"/>
      <c r="BB35" s="609"/>
      <c r="BC35" s="609"/>
      <c r="BD35" s="3"/>
      <c r="BH35" s="11"/>
      <c r="BI35" s="82"/>
      <c r="BJ35" s="19" t="s">
        <v>12</v>
      </c>
      <c r="BK35" s="601"/>
      <c r="BL35" s="602" t="str">
        <f t="shared" si="36"/>
        <v>AUDCR3B8Y=ICAA</v>
      </c>
      <c r="BM35" s="601"/>
      <c r="BN35" s="601"/>
      <c r="BO35" s="601"/>
      <c r="BP35" s="58">
        <v>21</v>
      </c>
      <c r="BQ35" s="58">
        <v>26</v>
      </c>
      <c r="BR35" s="10"/>
      <c r="BS35" s="17">
        <f t="shared" si="34"/>
        <v>23.5</v>
      </c>
      <c r="BT35" s="12"/>
      <c r="BU35" s="5"/>
      <c r="BW35" s="5"/>
      <c r="CK35" s="206" t="s">
        <v>27</v>
      </c>
      <c r="CL35" s="206" t="s">
        <v>27</v>
      </c>
      <c r="CM35" s="202" t="str">
        <v>AUBP2YX2Y=ICAA</v>
      </c>
      <c r="CP35" s="212">
        <v>6</v>
      </c>
      <c r="DW35" s="202" t="str">
        <v>20Y</v>
      </c>
      <c r="DX35" s="202" t="str">
        <v>AUILS20Y=</v>
      </c>
      <c r="EA35" s="209">
        <v>3.05</v>
      </c>
      <c r="EB35" s="209">
        <v>3.15</v>
      </c>
      <c r="EN35" s="213">
        <f t="shared" si="27"/>
        <v>41639</v>
      </c>
      <c r="EO35" s="224">
        <f>IF(EN35=CPI0_DATE,1,IF(EN35&lt;CPI0_DATE,EO36/EQ35*EQ36,EXP(_xll.qInterp(EP35,$EJ$10:$EJ$19,$EK$10:$EK$19))))</f>
        <v>0.92068855165911345</v>
      </c>
      <c r="EP35" s="190">
        <f t="shared" si="37"/>
        <v>2.75</v>
      </c>
      <c r="EQ35" s="182">
        <f t="shared" si="1"/>
        <v>0</v>
      </c>
      <c r="ER35" s="186">
        <f t="shared" si="38"/>
        <v>191.92157508810155</v>
      </c>
      <c r="ES35" s="184">
        <f t="shared" si="4"/>
        <v>0.75270880624829228</v>
      </c>
      <c r="ET35" s="184">
        <f t="shared" si="5"/>
        <v>0.75554165898330528</v>
      </c>
      <c r="EU35" s="184">
        <f t="shared" si="8"/>
        <v>3.0450003638715861</v>
      </c>
    </row>
    <row r="36" spans="5:151">
      <c r="F36" s="596" t="str">
        <f>_xll.qFuturesDateToCode(_xll.qFuturesCodeToDate(F35,Today)+31)</f>
        <v>U1</v>
      </c>
      <c r="G36" s="623" t="str">
        <v>YIBU1</v>
      </c>
      <c r="N36" s="624">
        <v>40816</v>
      </c>
      <c r="O36" s="630">
        <v>0</v>
      </c>
      <c r="P36" s="630">
        <v>0</v>
      </c>
      <c r="Q36" s="630">
        <v>95.084999999999994</v>
      </c>
      <c r="S36" s="627">
        <v>40816</v>
      </c>
      <c r="T36" s="626">
        <v>95.07</v>
      </c>
      <c r="U36" s="626">
        <v>95.084999999999994</v>
      </c>
      <c r="V36" s="626">
        <v>95.084999999999994</v>
      </c>
      <c r="Y36" s="21" t="s">
        <v>13</v>
      </c>
      <c r="Z36" s="614"/>
      <c r="AA36" s="614"/>
      <c r="AB36" s="614"/>
      <c r="AC36" s="614"/>
      <c r="AD36" s="614"/>
      <c r="AE36" s="58">
        <f t="shared" si="28"/>
        <v>53.583333333333336</v>
      </c>
      <c r="AF36" s="58">
        <f t="shared" si="29"/>
        <v>49.25</v>
      </c>
      <c r="AG36" s="10"/>
      <c r="AH36" s="3">
        <f t="shared" si="35"/>
        <v>51.416666666666671</v>
      </c>
      <c r="AI36" s="30">
        <v>5.9091666666666764</v>
      </c>
      <c r="AJ36" s="1"/>
      <c r="AK36" s="78"/>
      <c r="AL36" s="19" t="s">
        <v>17</v>
      </c>
      <c r="AN36" s="602" t="str">
        <f t="shared" si="30"/>
        <v>AUBR6AB20Y=ICAA</v>
      </c>
      <c r="AR36" s="58">
        <v>2.75</v>
      </c>
      <c r="AS36" s="58">
        <v>5.75</v>
      </c>
      <c r="AT36" s="716"/>
      <c r="AU36" s="17">
        <f t="shared" si="39"/>
        <v>4.25</v>
      </c>
      <c r="AV36" s="11"/>
      <c r="AW36" s="82"/>
      <c r="AX36" s="16"/>
      <c r="AY36" s="609"/>
      <c r="AZ36" s="609"/>
      <c r="BA36" s="609"/>
      <c r="BB36" s="609"/>
      <c r="BC36" s="609"/>
      <c r="BD36" s="3"/>
      <c r="BH36" s="11"/>
      <c r="BI36" s="82"/>
      <c r="BJ36" s="19" t="s">
        <v>13</v>
      </c>
      <c r="BK36" s="601"/>
      <c r="BL36" s="602" t="str">
        <f t="shared" si="36"/>
        <v>AUDCR3B9Y=ICAA</v>
      </c>
      <c r="BM36" s="601"/>
      <c r="BN36" s="601"/>
      <c r="BO36" s="601"/>
      <c r="BP36" s="58">
        <v>20.75</v>
      </c>
      <c r="BQ36" s="58">
        <v>25.75</v>
      </c>
      <c r="BR36" s="10"/>
      <c r="BS36" s="17">
        <f t="shared" si="34"/>
        <v>23.25</v>
      </c>
      <c r="BT36" s="12"/>
      <c r="BU36" s="5"/>
      <c r="BW36" s="5"/>
      <c r="CK36" s="206" t="s">
        <v>27</v>
      </c>
      <c r="CL36" s="206" t="s">
        <v>7</v>
      </c>
      <c r="CM36" s="202" t="str">
        <v>AUBP3YX2Y=ICAA</v>
      </c>
      <c r="CP36" s="212">
        <v>5.7</v>
      </c>
      <c r="DW36" s="202" t="str">
        <v>30Y</v>
      </c>
      <c r="DX36" s="202" t="str">
        <v>AUILS30Y=</v>
      </c>
      <c r="EA36" s="209">
        <v>3.05</v>
      </c>
      <c r="EB36" s="209">
        <v>3.15</v>
      </c>
      <c r="EN36" s="213">
        <f t="shared" si="27"/>
        <v>41729</v>
      </c>
      <c r="EO36" s="224">
        <f>IF(EN36=CPI0_DATE,1,IF(EN36&lt;CPI0_DATE,EO37/EQ36*EQ37,EXP(_xll.qInterp(EP36,$EJ$10:$EJ$19,$EK$10:$EK$19))))</f>
        <v>0.91381022164836923</v>
      </c>
      <c r="EP36" s="190">
        <f t="shared" si="37"/>
        <v>3</v>
      </c>
      <c r="EQ36" s="182">
        <f t="shared" si="1"/>
        <v>0</v>
      </c>
      <c r="ER36" s="186">
        <f t="shared" si="38"/>
        <v>193.36618568488009</v>
      </c>
      <c r="ES36" s="184">
        <f t="shared" si="4"/>
        <v>0.75270880624827008</v>
      </c>
      <c r="ET36" s="184">
        <f t="shared" si="5"/>
        <v>0.75554165898330528</v>
      </c>
      <c r="EU36" s="184">
        <f t="shared" si="8"/>
        <v>3.0450003638715861</v>
      </c>
    </row>
    <row r="37" spans="5:151">
      <c r="F37" s="596" t="str">
        <f>_xll.qFuturesDateToCode(_xll.qFuturesCodeToDate(F36,Today)+31)</f>
        <v>V1</v>
      </c>
      <c r="G37" s="623" t="str">
        <v>YIBV1</v>
      </c>
      <c r="N37" s="624">
        <v>40847</v>
      </c>
      <c r="O37" s="630">
        <v>0</v>
      </c>
      <c r="P37" s="630">
        <v>0</v>
      </c>
      <c r="Q37" s="630">
        <v>95.074999999999989</v>
      </c>
      <c r="S37" s="627">
        <v>40847</v>
      </c>
      <c r="T37" s="626">
        <v>95.045000000000002</v>
      </c>
      <c r="U37" s="626">
        <v>95.064999999999998</v>
      </c>
      <c r="V37" s="626">
        <v>95.074999999999989</v>
      </c>
      <c r="Y37" s="21" t="s">
        <v>14</v>
      </c>
      <c r="Z37" s="614"/>
      <c r="AA37" s="614"/>
      <c r="AB37" s="614"/>
      <c r="AC37" s="614"/>
      <c r="AD37" s="614"/>
      <c r="AE37" s="58">
        <f t="shared" si="28"/>
        <v>56.376666666666665</v>
      </c>
      <c r="AF37" s="58">
        <f t="shared" si="29"/>
        <v>52.043333333333329</v>
      </c>
      <c r="AG37" s="10"/>
      <c r="AH37" s="3">
        <f t="shared" si="35"/>
        <v>54.209999999999994</v>
      </c>
      <c r="AI37" s="30">
        <v>5.9371000000000098</v>
      </c>
      <c r="AJ37" s="1"/>
      <c r="AK37" s="78"/>
      <c r="AL37" s="19" t="s">
        <v>18</v>
      </c>
      <c r="AN37" s="602" t="str">
        <f t="shared" si="30"/>
        <v>AUBR6AB25Y=ICAA</v>
      </c>
      <c r="AR37" s="58">
        <v>2.25</v>
      </c>
      <c r="AS37" s="58">
        <v>5.25</v>
      </c>
      <c r="AT37" s="716"/>
      <c r="AU37" s="17">
        <f t="shared" si="39"/>
        <v>3.75</v>
      </c>
      <c r="AV37" s="11"/>
      <c r="AW37" s="82"/>
      <c r="AX37" s="16"/>
      <c r="AY37" s="609"/>
      <c r="AZ37" s="609"/>
      <c r="BA37" s="609"/>
      <c r="BB37" s="609"/>
      <c r="BC37" s="609"/>
      <c r="BD37" s="3"/>
      <c r="BH37" s="11"/>
      <c r="BI37" s="82"/>
      <c r="BJ37" s="19" t="s">
        <v>14</v>
      </c>
      <c r="BK37" s="601"/>
      <c r="BL37" s="602" t="str">
        <f t="shared" si="36"/>
        <v>AUDCR3B10Y=ICAA</v>
      </c>
      <c r="BM37" s="601"/>
      <c r="BN37" s="601"/>
      <c r="BO37" s="601"/>
      <c r="BP37" s="58">
        <v>20.75</v>
      </c>
      <c r="BQ37" s="58">
        <v>25.75</v>
      </c>
      <c r="BR37" s="10"/>
      <c r="BS37" s="17">
        <f t="shared" si="34"/>
        <v>23.25</v>
      </c>
      <c r="BT37" s="12"/>
      <c r="BU37" s="5"/>
      <c r="BW37" s="5"/>
      <c r="CK37" s="206" t="s">
        <v>27</v>
      </c>
      <c r="CL37" s="206" t="s">
        <v>8</v>
      </c>
      <c r="CM37" s="202" t="str">
        <v>AUBP4YX2Y=ICAA</v>
      </c>
      <c r="CP37" s="212">
        <v>5.46</v>
      </c>
      <c r="EN37" s="213">
        <f t="shared" si="27"/>
        <v>41820</v>
      </c>
      <c r="EO37" s="224">
        <f>IF(EN37=CPI0_DATE,1,IF(EN37&lt;CPI0_DATE,EO38/EQ37*EQ38,EXP(_xll.qInterp(EP37,$EJ$10:$EJ$19,$EK$10:$EK$19))))</f>
        <v>0.90697227750137066</v>
      </c>
      <c r="EP37" s="190">
        <f t="shared" si="37"/>
        <v>3.25</v>
      </c>
      <c r="EQ37" s="182">
        <f t="shared" si="1"/>
        <v>0</v>
      </c>
      <c r="ER37" s="186">
        <f t="shared" si="38"/>
        <v>194.82403308598697</v>
      </c>
      <c r="ES37" s="184">
        <f t="shared" si="4"/>
        <v>0.75393088814539322</v>
      </c>
      <c r="ET37" s="184">
        <f t="shared" si="5"/>
        <v>0.75615729929088271</v>
      </c>
      <c r="EU37" s="184">
        <f t="shared" si="8"/>
        <v>3.0462502501627187</v>
      </c>
    </row>
    <row r="38" spans="5:151">
      <c r="F38" s="596" t="str">
        <f>_xll.qFuturesDateToCode(_xll.qFuturesCodeToDate(F37,Today)+31)</f>
        <v>X1</v>
      </c>
      <c r="G38" s="623" t="str">
        <v>YIBX1</v>
      </c>
      <c r="N38" s="624">
        <v>40877</v>
      </c>
      <c r="O38" s="630">
        <v>0</v>
      </c>
      <c r="P38" s="630">
        <v>0</v>
      </c>
      <c r="Q38" s="630">
        <v>95.04</v>
      </c>
      <c r="S38" s="627">
        <v>40877</v>
      </c>
      <c r="T38" s="626">
        <v>95.004999999999995</v>
      </c>
      <c r="U38" s="626">
        <v>95.03</v>
      </c>
      <c r="V38" s="626">
        <v>95.04</v>
      </c>
      <c r="Y38" s="21" t="s">
        <v>15</v>
      </c>
      <c r="Z38" s="614"/>
      <c r="AA38" s="614"/>
      <c r="AB38" s="614"/>
      <c r="AC38" s="614"/>
      <c r="AD38" s="614"/>
      <c r="AE38" s="58">
        <f t="shared" si="28"/>
        <v>61.71</v>
      </c>
      <c r="AF38" s="58">
        <f t="shared" si="29"/>
        <v>57.043333333333329</v>
      </c>
      <c r="AG38" s="10"/>
      <c r="AH38" s="3">
        <f t="shared" si="35"/>
        <v>59.376666666666665</v>
      </c>
      <c r="AI38" s="30">
        <v>5.9887666666666766</v>
      </c>
      <c r="AJ38" s="1"/>
      <c r="AK38" s="78"/>
      <c r="AL38" s="19" t="s">
        <v>19</v>
      </c>
      <c r="AN38" s="602" t="str">
        <f t="shared" si="30"/>
        <v>AUBR6AB30Y=ICAA</v>
      </c>
      <c r="AR38" s="58">
        <v>2</v>
      </c>
      <c r="AS38" s="58">
        <v>5</v>
      </c>
      <c r="AT38" s="716"/>
      <c r="AU38" s="17">
        <f t="shared" si="39"/>
        <v>3.5</v>
      </c>
      <c r="AV38" s="11"/>
      <c r="AW38" s="82"/>
      <c r="AX38" s="16"/>
      <c r="AY38" s="609"/>
      <c r="AZ38" s="609"/>
      <c r="BA38" s="609"/>
      <c r="BB38" s="609"/>
      <c r="BC38" s="609"/>
      <c r="BD38" s="3"/>
      <c r="BH38" s="11"/>
      <c r="BI38" s="82"/>
      <c r="BJ38" s="12"/>
      <c r="BK38" s="609"/>
      <c r="BL38" s="609"/>
      <c r="BM38" s="609"/>
      <c r="BN38" s="609"/>
      <c r="BO38" s="609"/>
      <c r="BP38" s="3"/>
      <c r="BT38" s="12"/>
      <c r="BU38" s="5"/>
      <c r="BW38" s="5"/>
      <c r="CK38" s="206" t="s">
        <v>27</v>
      </c>
      <c r="CL38" s="206" t="s">
        <v>9</v>
      </c>
      <c r="CM38" s="202" t="str">
        <v>AUBP5YX2Y=ICAA</v>
      </c>
      <c r="CP38" s="212">
        <v>5.28</v>
      </c>
      <c r="EN38" s="213">
        <f t="shared" si="27"/>
        <v>41912</v>
      </c>
      <c r="EO38" s="224">
        <f>IF(EN38=CPI0_DATE,1,IF(EN38&lt;CPI0_DATE,EO39/EQ38*EQ39,EXP(_xll.qInterp(EP38,$EJ$10:$EJ$19,$EK$10:$EK$19))))</f>
        <v>0.90018550095903416</v>
      </c>
      <c r="EP38" s="190">
        <f t="shared" si="37"/>
        <v>3.5</v>
      </c>
      <c r="EQ38" s="182">
        <f t="shared" si="1"/>
        <v>0</v>
      </c>
      <c r="ER38" s="186">
        <f t="shared" si="38"/>
        <v>196.29287164895283</v>
      </c>
      <c r="ES38" s="184">
        <f t="shared" si="4"/>
        <v>0.75393088814539322</v>
      </c>
      <c r="ET38" s="184">
        <f t="shared" si="5"/>
        <v>0.75677294706588683</v>
      </c>
      <c r="EU38" s="184">
        <f t="shared" si="8"/>
        <v>3.0475001516143907</v>
      </c>
    </row>
    <row r="39" spans="5:151">
      <c r="F39" s="596" t="str">
        <f>_xll.qFuturesDateToCode(_xll.qFuturesCodeToDate(F38,Today)+31)</f>
        <v>Z1</v>
      </c>
      <c r="G39" s="623" t="str">
        <v>YIBZ1</v>
      </c>
      <c r="N39" s="624">
        <v>40907</v>
      </c>
      <c r="O39" s="630">
        <v>0</v>
      </c>
      <c r="P39" s="630">
        <v>0</v>
      </c>
      <c r="Q39" s="630">
        <v>95.024999999999991</v>
      </c>
      <c r="S39" s="627">
        <v>40907</v>
      </c>
      <c r="T39" s="626">
        <v>94.995000000000005</v>
      </c>
      <c r="U39" s="626">
        <v>95.004999999999995</v>
      </c>
      <c r="V39" s="626">
        <v>95.024999999999991</v>
      </c>
      <c r="Y39" s="21" t="s">
        <v>16</v>
      </c>
      <c r="Z39" s="614"/>
      <c r="AA39" s="614"/>
      <c r="AB39" s="614"/>
      <c r="AC39" s="614"/>
      <c r="AD39" s="614"/>
      <c r="AE39" s="58">
        <f t="shared" si="28"/>
        <v>64.626666666666665</v>
      </c>
      <c r="AF39" s="58">
        <f t="shared" si="29"/>
        <v>59.96</v>
      </c>
      <c r="AG39" s="10"/>
      <c r="AH39" s="3">
        <f t="shared" si="35"/>
        <v>62.293333333333337</v>
      </c>
      <c r="AI39" s="30">
        <v>6.0179333333333433</v>
      </c>
      <c r="AJ39" s="1"/>
      <c r="AK39" s="78"/>
      <c r="AV39" s="11"/>
      <c r="AW39" s="82"/>
      <c r="AX39" s="16"/>
      <c r="AY39" s="609"/>
      <c r="AZ39" s="609"/>
      <c r="BA39" s="609"/>
      <c r="BB39" s="609"/>
      <c r="BC39" s="609"/>
      <c r="BD39" s="3"/>
      <c r="BH39" s="11"/>
      <c r="BI39" s="82"/>
      <c r="BJ39" s="12"/>
      <c r="BK39" s="609"/>
      <c r="BL39" s="609"/>
      <c r="BM39" s="609"/>
      <c r="BN39" s="609"/>
      <c r="BO39" s="609"/>
      <c r="BP39" s="3"/>
      <c r="BT39" s="12"/>
      <c r="BU39" s="5"/>
      <c r="BW39" s="5"/>
      <c r="CK39" s="206" t="s">
        <v>27</v>
      </c>
      <c r="CL39" s="206" t="s">
        <v>11</v>
      </c>
      <c r="CM39" s="202" t="str">
        <v>AUBP7YX2Y=ICAA</v>
      </c>
      <c r="CP39" s="212">
        <v>5.1499999999999995</v>
      </c>
      <c r="EN39" s="213">
        <f t="shared" si="27"/>
        <v>42004</v>
      </c>
      <c r="EO39" s="224">
        <f>IF(EN39=CPI0_DATE,1,IF(EN39&lt;CPI0_DATE,EO40/EQ39*EQ40,EXP(_xll.qInterp(EP39,$EJ$10:$EJ$19,$EK$10:$EK$19))))</f>
        <v>0.89344950913964694</v>
      </c>
      <c r="EP39" s="190">
        <f t="shared" si="37"/>
        <v>3.75</v>
      </c>
      <c r="EQ39" s="182">
        <f t="shared" si="1"/>
        <v>0</v>
      </c>
      <c r="ER39" s="186">
        <f t="shared" si="38"/>
        <v>197.77278423954189</v>
      </c>
      <c r="ES39" s="184">
        <f t="shared" si="4"/>
        <v>0.75393088814539322</v>
      </c>
      <c r="ET39" s="184">
        <f t="shared" si="5"/>
        <v>0.75677294706589793</v>
      </c>
      <c r="EU39" s="184">
        <f t="shared" si="8"/>
        <v>3.0487500682267576</v>
      </c>
    </row>
    <row r="40" spans="5:151">
      <c r="N40" s="624"/>
      <c r="O40" s="630"/>
      <c r="P40" s="630"/>
      <c r="Q40" s="630"/>
      <c r="S40" s="627"/>
      <c r="T40" s="626"/>
      <c r="U40" s="626"/>
      <c r="V40" s="626"/>
      <c r="Y40" s="21" t="s">
        <v>17</v>
      </c>
      <c r="Z40" s="614"/>
      <c r="AA40" s="614"/>
      <c r="AB40" s="614"/>
      <c r="AC40" s="614"/>
      <c r="AD40" s="614"/>
      <c r="AE40" s="58">
        <f t="shared" ref="AE40:AE41" si="40">AVERAGE(AE63,AG63,AI63)</f>
        <v>55.293333333333329</v>
      </c>
      <c r="AF40" s="58">
        <f t="shared" si="29"/>
        <v>50.626666666666665</v>
      </c>
      <c r="AG40" s="10"/>
      <c r="AH40" s="3">
        <f t="shared" si="35"/>
        <v>52.959999999999994</v>
      </c>
      <c r="AI40" s="30">
        <v>5.9246000000000105</v>
      </c>
      <c r="AJ40" s="1"/>
      <c r="AK40" s="78"/>
      <c r="AV40" s="11"/>
      <c r="AW40" s="82"/>
      <c r="AX40" s="16"/>
      <c r="AY40" s="609"/>
      <c r="AZ40" s="609"/>
      <c r="BA40" s="609"/>
      <c r="BB40" s="609"/>
      <c r="BC40" s="609"/>
      <c r="BD40" s="3"/>
      <c r="BH40" s="11"/>
      <c r="BI40" s="82"/>
      <c r="BJ40" s="12"/>
      <c r="BK40" s="609"/>
      <c r="BL40" s="609"/>
      <c r="BM40" s="609"/>
      <c r="BN40" s="609"/>
      <c r="BO40" s="609"/>
      <c r="BP40" s="3"/>
      <c r="BT40" s="12"/>
      <c r="BU40" s="5"/>
      <c r="BW40" s="5"/>
      <c r="CK40" s="206" t="s">
        <v>27</v>
      </c>
      <c r="CL40" s="206" t="s">
        <v>14</v>
      </c>
      <c r="CM40" s="202" t="str">
        <v>AUBP10YX2Y=ICAA</v>
      </c>
      <c r="CP40" s="212">
        <v>5.0999999999999996</v>
      </c>
      <c r="EN40" s="213">
        <f t="shared" si="27"/>
        <v>42094</v>
      </c>
      <c r="EO40" s="224">
        <f>IF(EN40=CPI0_DATE,1,IF(EN40&lt;CPI0_DATE,EO41/EQ40*EQ41,EXP(_xll.qInterp(EP40,$EJ$10:$EJ$19,$EK$10:$EK$19))))</f>
        <v>0.88676392202655918</v>
      </c>
      <c r="EP40" s="190">
        <f t="shared" si="37"/>
        <v>4</v>
      </c>
      <c r="EQ40" s="182">
        <f t="shared" si="1"/>
        <v>0</v>
      </c>
      <c r="ER40" s="186">
        <f t="shared" si="38"/>
        <v>199.26385434826892</v>
      </c>
      <c r="ES40" s="184">
        <f t="shared" si="4"/>
        <v>0.75393088814539322</v>
      </c>
      <c r="ET40" s="184">
        <f t="shared" si="5"/>
        <v>0.75677294706588683</v>
      </c>
      <c r="EU40" s="184">
        <f t="shared" si="8"/>
        <v>3.0499999999999972</v>
      </c>
    </row>
    <row r="41" spans="5:151">
      <c r="E41" s="596" t="s">
        <v>83</v>
      </c>
      <c r="G41" s="623" t="s">
        <v>48</v>
      </c>
      <c r="I41" s="623" t="s">
        <v>49</v>
      </c>
      <c r="M41" s="596" t="str">
        <f ca="1">_xll.RtUpdate("IDN",G41,I41,O41,,RTMODE_RATES)</f>
        <v>Updated at 16:52:06</v>
      </c>
      <c r="N41" s="624"/>
      <c r="O41" s="630">
        <v>4.75</v>
      </c>
      <c r="P41" s="630"/>
      <c r="Q41" s="630"/>
      <c r="R41" s="596" t="s">
        <v>81</v>
      </c>
      <c r="S41" s="627"/>
      <c r="T41" s="626">
        <v>4.75</v>
      </c>
      <c r="U41" s="626"/>
      <c r="V41" s="626"/>
      <c r="Y41" s="21" t="s">
        <v>18</v>
      </c>
      <c r="Z41" s="614"/>
      <c r="AA41" s="614"/>
      <c r="AB41" s="614"/>
      <c r="AC41" s="614"/>
      <c r="AD41" s="614"/>
      <c r="AE41" s="58">
        <f t="shared" si="40"/>
        <v>41.69</v>
      </c>
      <c r="AF41" s="58">
        <f t="shared" si="29"/>
        <v>36.69</v>
      </c>
      <c r="AG41" s="10"/>
      <c r="AH41" s="3">
        <f t="shared" si="35"/>
        <v>39.19</v>
      </c>
      <c r="AI41" s="30">
        <v>5.7869000000000099</v>
      </c>
      <c r="AJ41" s="1"/>
      <c r="AK41" s="78"/>
      <c r="AV41" s="11"/>
      <c r="AW41" s="82"/>
      <c r="AX41" s="16"/>
      <c r="AY41" s="609"/>
      <c r="AZ41" s="609"/>
      <c r="BA41" s="609"/>
      <c r="BB41" s="609"/>
      <c r="BC41" s="609"/>
      <c r="BD41" s="3"/>
      <c r="BH41" s="11"/>
      <c r="BI41" s="82"/>
      <c r="BJ41" s="12"/>
      <c r="BK41" s="609"/>
      <c r="BL41" s="609"/>
      <c r="BM41" s="609"/>
      <c r="BN41" s="609"/>
      <c r="BO41" s="609"/>
      <c r="BP41" s="3"/>
      <c r="BT41" s="12"/>
      <c r="BU41" s="572"/>
      <c r="BW41" s="5"/>
      <c r="EN41" s="213">
        <f t="shared" si="27"/>
        <v>42185</v>
      </c>
      <c r="EO41" s="224">
        <f>IF(EN41=CPI0_DATE,1,IF(EN41&lt;CPI0_DATE,EO42/EQ41*EQ42,EXP(_xll.qInterp(EP41,$EJ$10:$EJ$19,$EK$10:$EK$19))))</f>
        <v>0.88012836244674486</v>
      </c>
      <c r="EP41" s="190">
        <f t="shared" si="37"/>
        <v>4.25</v>
      </c>
      <c r="EQ41" s="182">
        <f t="shared" si="1"/>
        <v>0</v>
      </c>
      <c r="ER41" s="186">
        <f t="shared" si="38"/>
        <v>200.76616609510958</v>
      </c>
      <c r="ES41" s="184">
        <f t="shared" si="4"/>
        <v>0.75393088814539322</v>
      </c>
      <c r="ET41" s="184">
        <f t="shared" si="5"/>
        <v>0.75677294706588683</v>
      </c>
      <c r="EU41" s="184">
        <f t="shared" si="8"/>
        <v>3.0499999999999972</v>
      </c>
    </row>
    <row r="42" spans="5:151">
      <c r="N42" s="624"/>
      <c r="O42" s="630"/>
      <c r="P42" s="630"/>
      <c r="Q42" s="630"/>
      <c r="R42" s="596" t="s">
        <v>81</v>
      </c>
      <c r="S42" s="627"/>
      <c r="T42" s="626"/>
      <c r="U42" s="626"/>
      <c r="V42" s="626"/>
      <c r="Y42" s="21" t="s">
        <v>19</v>
      </c>
      <c r="Z42" s="614"/>
      <c r="AA42" s="614"/>
      <c r="AB42" s="614"/>
      <c r="AC42" s="614"/>
      <c r="AD42" s="614"/>
      <c r="AE42" s="58">
        <f t="shared" si="28"/>
        <v>27.543333333333333</v>
      </c>
      <c r="AF42" s="58">
        <f t="shared" si="29"/>
        <v>22.876666666666665</v>
      </c>
      <c r="AG42" s="10"/>
      <c r="AH42" s="3">
        <f t="shared" si="35"/>
        <v>25.21</v>
      </c>
      <c r="AI42" s="30">
        <v>5.6471000000000107</v>
      </c>
      <c r="AJ42" s="1"/>
      <c r="AK42" s="78"/>
      <c r="AV42" s="11"/>
      <c r="AW42" s="82"/>
      <c r="AX42" s="16"/>
      <c r="AY42" s="609"/>
      <c r="AZ42" s="609"/>
      <c r="BA42" s="609"/>
      <c r="BB42" s="609"/>
      <c r="BC42" s="609"/>
      <c r="BD42" s="3"/>
      <c r="BH42" s="11"/>
      <c r="BI42" s="82"/>
      <c r="BJ42" s="12"/>
      <c r="BK42" s="609"/>
      <c r="BL42" s="609"/>
      <c r="BM42" s="609"/>
      <c r="BN42" s="609"/>
      <c r="BO42" s="609"/>
      <c r="BP42" s="3"/>
      <c r="BT42" s="12"/>
      <c r="BU42" s="572"/>
      <c r="BW42" s="5"/>
      <c r="CJ42" s="202" t="s">
        <v>281</v>
      </c>
      <c r="CK42" s="206" t="s">
        <v>110</v>
      </c>
      <c r="CL42" s="206" t="s">
        <v>278</v>
      </c>
      <c r="CM42" s="202" t="s">
        <v>276</v>
      </c>
      <c r="CN42" s="202" t="s">
        <v>277</v>
      </c>
      <c r="EN42" s="213">
        <f t="shared" si="27"/>
        <v>42277</v>
      </c>
      <c r="EO42" s="224">
        <f>IF(EN42=CPI0_DATE,1,IF(EN42&lt;CPI0_DATE,EO43/EQ42*EQ43,EXP(_xll.qInterp(EP42,$EJ$10:$EJ$19,$EK$10:$EK$19))))</f>
        <v>0.87354245604952363</v>
      </c>
      <c r="EP42" s="190">
        <f t="shared" si="37"/>
        <v>4.5</v>
      </c>
      <c r="EQ42" s="182">
        <f t="shared" si="1"/>
        <v>0</v>
      </c>
      <c r="ER42" s="186">
        <f t="shared" si="38"/>
        <v>202.27980423424592</v>
      </c>
      <c r="ES42" s="184">
        <f t="shared" si="4"/>
        <v>0.75393088814539322</v>
      </c>
      <c r="ET42" s="184">
        <f t="shared" si="5"/>
        <v>0.75677294706589793</v>
      </c>
      <c r="EU42" s="184">
        <f t="shared" si="8"/>
        <v>3.0500000000000194</v>
      </c>
    </row>
    <row r="43" spans="5:151">
      <c r="Y43" s="21" t="s">
        <v>28</v>
      </c>
      <c r="Z43" s="614"/>
      <c r="AA43" s="614"/>
      <c r="AB43" s="614"/>
      <c r="AC43" s="614"/>
      <c r="AD43" s="614"/>
      <c r="AE43" s="58">
        <f t="shared" si="28"/>
        <v>-8.4400000000000013</v>
      </c>
      <c r="AF43" s="58">
        <f t="shared" si="29"/>
        <v>-14.414999999999999</v>
      </c>
      <c r="AG43" s="10"/>
      <c r="AH43" s="3">
        <f t="shared" si="35"/>
        <v>-11.4275</v>
      </c>
      <c r="AI43" s="30">
        <v>5.2807250000000101</v>
      </c>
      <c r="AJ43" s="1"/>
      <c r="AK43" s="78"/>
      <c r="AR43" s="1"/>
      <c r="AV43" s="11"/>
      <c r="AW43" s="82"/>
      <c r="AX43" s="16"/>
      <c r="AY43" s="609"/>
      <c r="AZ43" s="609"/>
      <c r="BA43" s="609"/>
      <c r="BB43" s="609"/>
      <c r="BC43" s="609"/>
      <c r="BD43" s="3"/>
      <c r="BH43" s="11"/>
      <c r="BI43" s="82"/>
      <c r="BJ43" s="12"/>
      <c r="BK43" s="609"/>
      <c r="BL43" s="609"/>
      <c r="BM43" s="609"/>
      <c r="BN43" s="609"/>
      <c r="BO43" s="609"/>
      <c r="BP43" s="3"/>
      <c r="BT43" s="12"/>
      <c r="BU43" s="572"/>
      <c r="BW43" s="5"/>
      <c r="CK43" s="206" t="s">
        <v>7</v>
      </c>
      <c r="CL43" s="206" t="s">
        <v>0</v>
      </c>
      <c r="CM43" s="202" t="str">
        <f t="array" ref="CM43:CM53">"AUBP"&amp;CL43:CL53&amp;"X"&amp;CK43:CK53&amp;"=ICAA"</f>
        <v>AUBP1MX3Y=ICAA</v>
      </c>
      <c r="CN43" s="202" t="s">
        <v>223</v>
      </c>
      <c r="CO43" s="202" t="str">
        <f ca="1">_xll.RtUpdate("IDN",CM43:CM53,CN43,CP43,,RTMODE_VOLS)</f>
        <v>Updated at 16:52:06</v>
      </c>
      <c r="CP43" s="212">
        <v>4.4000000000000004</v>
      </c>
      <c r="EN43" s="213">
        <f t="shared" si="27"/>
        <v>42369</v>
      </c>
      <c r="EO43" s="224">
        <f>IF(EN43=CPI0_DATE,1,IF(EN43&lt;CPI0_DATE,EO44/EQ43*EQ44,EXP(_xll.qInterp(EP43,$EJ$10:$EJ$19,$EK$10:$EK$19))))</f>
        <v>0.86700583128544095</v>
      </c>
      <c r="EP43" s="190">
        <f t="shared" si="37"/>
        <v>4.75</v>
      </c>
      <c r="EQ43" s="182">
        <f t="shared" si="1"/>
        <v>0</v>
      </c>
      <c r="ER43" s="186">
        <f t="shared" si="38"/>
        <v>203.80485415884792</v>
      </c>
      <c r="ES43" s="184">
        <f t="shared" si="4"/>
        <v>0.75393088814539322</v>
      </c>
      <c r="ET43" s="184">
        <f t="shared" si="5"/>
        <v>0.75677294706589793</v>
      </c>
      <c r="EU43" s="184">
        <f t="shared" si="8"/>
        <v>3.0499999999999972</v>
      </c>
    </row>
    <row r="44" spans="5:151">
      <c r="AH44" s="9"/>
      <c r="AJ44" s="1"/>
      <c r="AK44" s="1"/>
      <c r="AR44" s="1"/>
      <c r="AX44" s="16"/>
      <c r="AY44" s="609"/>
      <c r="AZ44" s="609"/>
      <c r="BA44" s="609"/>
      <c r="BB44" s="609"/>
      <c r="BC44" s="609"/>
      <c r="BD44" s="3"/>
      <c r="BH44" s="8"/>
      <c r="BI44" s="8"/>
      <c r="BJ44" s="12"/>
      <c r="BK44" s="609"/>
      <c r="BL44" s="609"/>
      <c r="BM44" s="609"/>
      <c r="BN44" s="609"/>
      <c r="BO44" s="609"/>
      <c r="BP44" s="3"/>
      <c r="BT44" s="13"/>
      <c r="BU44" s="572"/>
      <c r="BW44" s="5"/>
      <c r="CK44" s="206" t="s">
        <v>7</v>
      </c>
      <c r="CL44" s="206" t="s">
        <v>1</v>
      </c>
      <c r="CM44" s="202" t="str">
        <v>AUBP2MX3Y=ICAA</v>
      </c>
      <c r="CN44" s="205"/>
      <c r="CP44" s="212">
        <v>4.5</v>
      </c>
      <c r="EN44" s="213">
        <f t="shared" si="27"/>
        <v>42460</v>
      </c>
      <c r="EO44" s="224">
        <f>IF(EN44=CPI0_DATE,1,IF(EN44&lt;CPI0_DATE,EO45/EQ44*EQ45,EXP(_xll.qInterp(EP44,$EJ$10:$EJ$19,$EK$10:$EK$19))))</f>
        <v>0.86051811938530731</v>
      </c>
      <c r="EP44" s="190">
        <f t="shared" si="37"/>
        <v>5</v>
      </c>
      <c r="EQ44" s="182">
        <f t="shared" si="1"/>
        <v>0</v>
      </c>
      <c r="ER44" s="186">
        <f t="shared" si="38"/>
        <v>205.34140190589113</v>
      </c>
      <c r="ES44" s="184">
        <f t="shared" si="4"/>
        <v>0.75393088814539322</v>
      </c>
      <c r="ET44" s="184">
        <f t="shared" si="5"/>
        <v>0.75677294706588683</v>
      </c>
      <c r="EU44" s="184">
        <f t="shared" si="8"/>
        <v>3.0499999999999972</v>
      </c>
    </row>
    <row r="45" spans="5:151">
      <c r="E45" s="622"/>
      <c r="AE45" s="5"/>
      <c r="AF45" s="5"/>
      <c r="AG45" s="5"/>
      <c r="AI45" s="15"/>
      <c r="AJ45" s="1"/>
      <c r="AK45" s="1"/>
      <c r="AR45" s="1"/>
      <c r="AX45" s="16"/>
      <c r="AY45" s="609"/>
      <c r="AZ45" s="609"/>
      <c r="BA45" s="609"/>
      <c r="BB45" s="609"/>
      <c r="BC45" s="609"/>
      <c r="BD45" s="3"/>
      <c r="BH45" s="8"/>
      <c r="BI45" s="8"/>
      <c r="BJ45" s="12"/>
      <c r="BK45" s="609"/>
      <c r="BL45" s="609"/>
      <c r="BM45" s="609"/>
      <c r="BN45" s="609"/>
      <c r="BO45" s="609"/>
      <c r="BP45" s="3"/>
      <c r="BT45" s="13"/>
      <c r="BU45" s="572"/>
      <c r="BW45" s="5"/>
      <c r="CK45" s="206" t="s">
        <v>7</v>
      </c>
      <c r="CL45" s="206" t="s">
        <v>2</v>
      </c>
      <c r="CM45" s="202" t="str">
        <v>AUBP3MX3Y=ICAA</v>
      </c>
      <c r="CP45" s="212">
        <v>4.9000000000000004</v>
      </c>
      <c r="EN45" s="213">
        <f t="shared" si="27"/>
        <v>42551</v>
      </c>
      <c r="EO45" s="224">
        <f>IF(EN45=CPI0_DATE,1,IF(EN45&lt;CPI0_DATE,EO46/EQ45*EQ46,EXP(_xll.qInterp(EP45,$EJ$10:$EJ$19,$EK$10:$EK$19))))</f>
        <v>0.8540064408892406</v>
      </c>
      <c r="EP45" s="190">
        <f t="shared" si="37"/>
        <v>5.25</v>
      </c>
      <c r="EQ45" s="182">
        <f t="shared" si="1"/>
        <v>0</v>
      </c>
      <c r="ER45" s="186">
        <f t="shared" si="38"/>
        <v>206.90710109400322</v>
      </c>
      <c r="ES45" s="184">
        <f t="shared" si="4"/>
        <v>0.76248587648664046</v>
      </c>
      <c r="ET45" s="184">
        <f t="shared" si="5"/>
        <v>0.76108269058630107</v>
      </c>
      <c r="EU45" s="184">
        <f t="shared" si="8"/>
        <v>3.0587499469330259</v>
      </c>
    </row>
    <row r="46" spans="5:151">
      <c r="E46" s="622" t="s">
        <v>24</v>
      </c>
      <c r="AE46" s="5"/>
      <c r="AF46" s="5"/>
      <c r="AG46" s="5"/>
      <c r="AH46" s="5"/>
      <c r="AI46" s="15"/>
      <c r="AJ46" s="1"/>
      <c r="AK46" s="1"/>
      <c r="BU46" s="572"/>
      <c r="CK46" s="206" t="s">
        <v>7</v>
      </c>
      <c r="CL46" s="206" t="s">
        <v>5</v>
      </c>
      <c r="CM46" s="202" t="str">
        <v>AUBP6MX3Y=ICAA</v>
      </c>
      <c r="CP46" s="212">
        <v>5.0999999999999996</v>
      </c>
      <c r="EN46" s="213">
        <f t="shared" si="27"/>
        <v>42643</v>
      </c>
      <c r="EO46" s="224">
        <f>IF(EN46=CPI0_DATE,1,IF(EN46&lt;CPI0_DATE,EO47/EQ46*EQ47,EXP(_xll.qInterp(EP46,$EJ$10:$EJ$19,$EK$10:$EK$19))))</f>
        <v>0.84754403730776418</v>
      </c>
      <c r="EP46" s="190">
        <f t="shared" si="37"/>
        <v>5.5</v>
      </c>
      <c r="EQ46" s="182">
        <f t="shared" si="1"/>
        <v>0</v>
      </c>
      <c r="ER46" s="186">
        <f t="shared" si="38"/>
        <v>208.48473851729295</v>
      </c>
      <c r="ES46" s="184">
        <f t="shared" si="4"/>
        <v>0.76248587648664046</v>
      </c>
      <c r="ET46" s="184">
        <f t="shared" si="5"/>
        <v>0.76539280004584986</v>
      </c>
      <c r="EU46" s="184">
        <f t="shared" si="8"/>
        <v>3.0675006368216184</v>
      </c>
    </row>
    <row r="47" spans="5:151">
      <c r="AE47" s="5"/>
      <c r="AF47" s="5"/>
      <c r="AG47" s="5"/>
      <c r="AH47" s="5"/>
      <c r="AI47" s="15"/>
      <c r="AJ47" s="1"/>
      <c r="AK47" s="1"/>
      <c r="BD47" s="52"/>
      <c r="BU47" s="572"/>
      <c r="CK47" s="206" t="s">
        <v>7</v>
      </c>
      <c r="CL47" s="206" t="s">
        <v>26</v>
      </c>
      <c r="CM47" s="202" t="str">
        <v>AUBP1YX3Y=ICAA</v>
      </c>
      <c r="CP47" s="212">
        <v>5.7</v>
      </c>
      <c r="EN47" s="213">
        <f t="shared" si="27"/>
        <v>42735</v>
      </c>
      <c r="EO47" s="224">
        <f>IF(EN47=CPI0_DATE,1,IF(EN47&lt;CPI0_DATE,EO48/EQ47*EQ48,EXP(_xll.qInterp(EP47,$EJ$10:$EJ$19,$EK$10:$EK$19))))</f>
        <v>0.84113053576970376</v>
      </c>
      <c r="EP47" s="190">
        <f t="shared" si="37"/>
        <v>5.75</v>
      </c>
      <c r="EQ47" s="182">
        <f t="shared" si="1"/>
        <v>0</v>
      </c>
      <c r="ER47" s="186">
        <f t="shared" si="38"/>
        <v>210.07440520311741</v>
      </c>
      <c r="ES47" s="184">
        <f t="shared" si="4"/>
        <v>0.76248587648664046</v>
      </c>
      <c r="ET47" s="184">
        <f t="shared" si="5"/>
        <v>0.76539280004584986</v>
      </c>
      <c r="EU47" s="184">
        <f t="shared" si="8"/>
        <v>3.0762520697288798</v>
      </c>
    </row>
    <row r="48" spans="5:151">
      <c r="E48" s="596" t="s">
        <v>645</v>
      </c>
      <c r="F48" s="596" t="s">
        <v>26</v>
      </c>
      <c r="G48" s="623" t="s">
        <v>50</v>
      </c>
      <c r="I48" s="623" t="s">
        <v>46</v>
      </c>
      <c r="M48" s="596" t="str">
        <f ca="1">_xll.RtUpdate("IDN",G48:G63,I48:I51,N48,,RTMODE_RATES)</f>
        <v>Updated at 16:52:06</v>
      </c>
      <c r="N48" s="630">
        <v>5.17</v>
      </c>
      <c r="O48" s="630">
        <v>5.1199999999999992</v>
      </c>
      <c r="P48" s="630">
        <v>0</v>
      </c>
      <c r="Q48" s="630">
        <v>0</v>
      </c>
      <c r="Y48" s="31"/>
      <c r="AE48" s="817" t="s">
        <v>42</v>
      </c>
      <c r="AF48" s="818"/>
      <c r="AG48" s="817" t="s">
        <v>43</v>
      </c>
      <c r="AH48" s="818"/>
      <c r="AI48" s="817" t="s">
        <v>44</v>
      </c>
      <c r="AJ48" s="821"/>
      <c r="AK48" s="818"/>
      <c r="AT48" s="823" t="s">
        <v>243</v>
      </c>
      <c r="AU48" s="823"/>
      <c r="AV48" s="823"/>
      <c r="AW48" s="823"/>
      <c r="AX48" s="823"/>
      <c r="AY48" s="823"/>
      <c r="AZ48" s="823"/>
      <c r="BA48" s="823"/>
      <c r="BB48" s="823"/>
      <c r="BC48" s="823"/>
      <c r="BD48" s="823"/>
      <c r="BE48" s="823"/>
      <c r="BF48" s="823"/>
      <c r="BG48" s="823"/>
      <c r="BH48" s="823"/>
      <c r="BI48" s="823"/>
      <c r="BJ48" s="823"/>
      <c r="BK48" s="823"/>
      <c r="BL48" s="823"/>
      <c r="BM48" s="823"/>
      <c r="BN48" s="823"/>
      <c r="BO48" s="823"/>
      <c r="BP48" s="823"/>
      <c r="BQ48" s="823"/>
      <c r="BR48" s="823"/>
      <c r="BS48" s="823"/>
      <c r="BT48" s="823"/>
      <c r="BU48" s="572"/>
      <c r="CK48" s="206" t="s">
        <v>7</v>
      </c>
      <c r="CL48" s="206" t="s">
        <v>27</v>
      </c>
      <c r="CM48" s="202" t="str">
        <v>AUBP2YX3Y=ICAA</v>
      </c>
      <c r="CP48" s="212">
        <v>5.85</v>
      </c>
      <c r="EN48" s="213">
        <f t="shared" si="27"/>
        <v>42825</v>
      </c>
      <c r="EO48" s="224">
        <f>IF(EN48=CPI0_DATE,1,IF(EN48&lt;CPI0_DATE,EO49/EQ48*EQ49,EXP(_xll.qInterp(EP48,$EJ$10:$EJ$19,$EK$10:$EK$19))))</f>
        <v>0.83476556622546083</v>
      </c>
      <c r="EP48" s="190">
        <f t="shared" si="37"/>
        <v>6</v>
      </c>
      <c r="EQ48" s="182">
        <f t="shared" si="1"/>
        <v>0</v>
      </c>
      <c r="ER48" s="186">
        <f t="shared" si="38"/>
        <v>211.67619287290452</v>
      </c>
      <c r="ES48" s="184">
        <f t="shared" si="4"/>
        <v>0.76248587648666266</v>
      </c>
      <c r="ET48" s="184">
        <f t="shared" si="5"/>
        <v>0.76539280004584986</v>
      </c>
      <c r="EU48" s="184">
        <f t="shared" si="8"/>
        <v>3.0850042457178928</v>
      </c>
    </row>
    <row r="49" spans="6:151">
      <c r="F49" s="596" t="s">
        <v>27</v>
      </c>
      <c r="G49" s="623" t="s">
        <v>51</v>
      </c>
      <c r="I49" s="623" t="s">
        <v>45</v>
      </c>
      <c r="L49" s="596" t="s">
        <v>81</v>
      </c>
      <c r="N49" s="630">
        <v>5.28</v>
      </c>
      <c r="O49" s="630">
        <v>5.22</v>
      </c>
      <c r="P49" s="630">
        <v>20</v>
      </c>
      <c r="Q49" s="630">
        <v>15</v>
      </c>
      <c r="Y49" s="31"/>
      <c r="AE49" s="819"/>
      <c r="AF49" s="820"/>
      <c r="AG49" s="819"/>
      <c r="AH49" s="820"/>
      <c r="AI49" s="819"/>
      <c r="AJ49" s="822"/>
      <c r="AK49" s="820"/>
      <c r="AT49" s="823"/>
      <c r="AU49" s="823"/>
      <c r="AV49" s="823"/>
      <c r="AW49" s="823"/>
      <c r="AX49" s="823"/>
      <c r="AY49" s="823"/>
      <c r="AZ49" s="823"/>
      <c r="BA49" s="823"/>
      <c r="BB49" s="823"/>
      <c r="BC49" s="823"/>
      <c r="BD49" s="823"/>
      <c r="BE49" s="823"/>
      <c r="BF49" s="823"/>
      <c r="BG49" s="823"/>
      <c r="BH49" s="823"/>
      <c r="BI49" s="823"/>
      <c r="BJ49" s="823"/>
      <c r="BK49" s="823"/>
      <c r="BL49" s="823"/>
      <c r="BM49" s="823"/>
      <c r="BN49" s="823"/>
      <c r="BO49" s="823"/>
      <c r="BP49" s="823"/>
      <c r="BQ49" s="823"/>
      <c r="BR49" s="823"/>
      <c r="BS49" s="823"/>
      <c r="BT49" s="823"/>
      <c r="BU49" s="572"/>
      <c r="CK49" s="206" t="s">
        <v>7</v>
      </c>
      <c r="CL49" s="206" t="s">
        <v>7</v>
      </c>
      <c r="CM49" s="202" t="str">
        <v>AUBP3YX3Y=ICAA</v>
      </c>
      <c r="CP49" s="212">
        <v>5.6</v>
      </c>
      <c r="EN49" s="213">
        <f t="shared" si="27"/>
        <v>42916</v>
      </c>
      <c r="EO49" s="224">
        <f>IF(EN49=CPI0_DATE,1,IF(EN49&lt;CPI0_DATE,EO50/EQ49*EQ50,EXP(_xll.qInterp(EP49,$EJ$10:$EJ$19,$EK$10:$EK$19))))</f>
        <v>0.82844876142566171</v>
      </c>
      <c r="EP49" s="190">
        <f t="shared" si="37"/>
        <v>6.25</v>
      </c>
      <c r="EQ49" s="182">
        <f t="shared" si="1"/>
        <v>0</v>
      </c>
      <c r="ER49" s="186">
        <f t="shared" si="38"/>
        <v>213.29019394744503</v>
      </c>
      <c r="ES49" s="184">
        <f t="shared" si="4"/>
        <v>0.76248587648664046</v>
      </c>
      <c r="ET49" s="184">
        <f t="shared" si="5"/>
        <v>0.76539280004584986</v>
      </c>
      <c r="EU49" s="184">
        <f t="shared" si="8"/>
        <v>3.0850042457178928</v>
      </c>
    </row>
    <row r="50" spans="6:151">
      <c r="F50" s="596" t="s">
        <v>7</v>
      </c>
      <c r="G50" s="623" t="s">
        <v>52</v>
      </c>
      <c r="I50" s="623" t="s">
        <v>84</v>
      </c>
      <c r="N50" s="630">
        <v>5.38</v>
      </c>
      <c r="O50" s="630">
        <v>5.3199999999999994</v>
      </c>
      <c r="P50" s="630">
        <v>30</v>
      </c>
      <c r="Q50" s="630">
        <v>25</v>
      </c>
      <c r="Y50" s="31"/>
      <c r="AE50" s="114" t="s">
        <v>40</v>
      </c>
      <c r="AF50" s="115" t="s">
        <v>41</v>
      </c>
      <c r="AG50" s="114" t="s">
        <v>40</v>
      </c>
      <c r="AH50" s="115" t="s">
        <v>41</v>
      </c>
      <c r="AI50" s="114" t="s">
        <v>40</v>
      </c>
      <c r="AJ50" s="815" t="s">
        <v>41</v>
      </c>
      <c r="AK50" s="816"/>
      <c r="AT50" s="824"/>
      <c r="AU50" s="824"/>
      <c r="AV50" s="824"/>
      <c r="AW50" s="824"/>
      <c r="AX50" s="824"/>
      <c r="AY50" s="824"/>
      <c r="AZ50" s="824"/>
      <c r="BA50" s="824"/>
      <c r="BB50" s="824"/>
      <c r="BC50" s="824"/>
      <c r="BD50" s="824"/>
      <c r="BE50" s="824"/>
      <c r="BF50" s="824"/>
      <c r="BG50" s="824"/>
      <c r="BH50" s="824"/>
      <c r="BI50" s="824"/>
      <c r="BJ50" s="824"/>
      <c r="BK50" s="824"/>
      <c r="BL50" s="824"/>
      <c r="BM50" s="824"/>
      <c r="BN50" s="824"/>
      <c r="BO50" s="824"/>
      <c r="BP50" s="824"/>
      <c r="BQ50" s="824"/>
      <c r="BR50" s="824"/>
      <c r="BS50" s="824"/>
      <c r="BT50" s="824"/>
      <c r="BU50" s="572"/>
      <c r="CK50" s="206" t="s">
        <v>7</v>
      </c>
      <c r="CL50" s="206" t="s">
        <v>8</v>
      </c>
      <c r="CM50" s="202" t="str">
        <v>AUBP4YX3Y=ICAA</v>
      </c>
      <c r="CP50" s="212">
        <v>5.38</v>
      </c>
      <c r="EN50" s="213">
        <f t="shared" si="27"/>
        <v>43008</v>
      </c>
      <c r="EO50" s="224">
        <f>IF(EN50=CPI0_DATE,1,IF(EN50&lt;CPI0_DATE,EO51/EQ50*EQ51,EXP(_xll.qInterp(EP50,$EJ$10:$EJ$19,$EK$10:$EK$19))))</f>
        <v>0.82217975689996714</v>
      </c>
      <c r="EP50" s="190">
        <f t="shared" si="37"/>
        <v>6.5</v>
      </c>
      <c r="EQ50" s="182">
        <f t="shared" si="1"/>
        <v>0</v>
      </c>
      <c r="ER50" s="186">
        <f t="shared" si="38"/>
        <v>214.9165015522253</v>
      </c>
      <c r="ES50" s="184">
        <f t="shared" si="4"/>
        <v>0.76248587648666266</v>
      </c>
      <c r="ET50" s="184">
        <f t="shared" si="5"/>
        <v>0.76539280004584986</v>
      </c>
      <c r="EU50" s="184">
        <f t="shared" si="8"/>
        <v>3.0850042457178928</v>
      </c>
    </row>
    <row r="51" spans="6:151">
      <c r="F51" s="596" t="s">
        <v>8</v>
      </c>
      <c r="G51" s="623" t="s">
        <v>53</v>
      </c>
      <c r="I51" s="623" t="s">
        <v>85</v>
      </c>
      <c r="N51" s="630">
        <v>5.5874999999999995</v>
      </c>
      <c r="O51" s="630">
        <v>5.527499999999999</v>
      </c>
      <c r="P51" s="630">
        <v>50.75</v>
      </c>
      <c r="Q51" s="630">
        <v>45.75</v>
      </c>
      <c r="X51" s="28"/>
      <c r="Y51" s="43" t="s">
        <v>26</v>
      </c>
      <c r="Z51" s="582"/>
      <c r="AA51" s="582"/>
      <c r="AB51" s="582"/>
      <c r="AC51" s="582"/>
      <c r="AD51" s="582"/>
      <c r="AE51" s="113">
        <f t="array" ref="AE51:AF51">IF(AE67,N48:O48,"")</f>
        <v>5.17</v>
      </c>
      <c r="AF51" s="113">
        <v>5.1199999999999992</v>
      </c>
      <c r="AG51" s="113">
        <f t="array" ref="AG51:AG66">IF($AG$67,P65:P80,"")</f>
        <v>5.1569999999999991</v>
      </c>
      <c r="AH51" s="113">
        <f t="array" ref="AH51:AH66">IF($AG$67,Q65:Q80,"")</f>
        <v>5.1369999999999996</v>
      </c>
      <c r="AI51" s="582">
        <f t="array" ref="AI51:AI66">IF($AI$67,P82:P97,"")</f>
        <v>5.1559999999999997</v>
      </c>
      <c r="AJ51" s="825">
        <f t="shared" ref="AJ51:AJ66" si="41">IF($AI$67,Q82,"")</f>
        <v>5.1360000000000001</v>
      </c>
      <c r="AK51" s="825"/>
      <c r="BD51" s="52"/>
      <c r="BU51" s="572"/>
      <c r="CK51" s="206" t="s">
        <v>7</v>
      </c>
      <c r="CL51" s="206" t="s">
        <v>9</v>
      </c>
      <c r="CM51" s="202" t="str">
        <v>AUBP5YX3Y=ICAA</v>
      </c>
      <c r="CP51" s="212">
        <v>5.2</v>
      </c>
      <c r="EN51" s="213">
        <f t="shared" si="27"/>
        <v>43100</v>
      </c>
      <c r="EO51" s="224">
        <f>IF(EN51=CPI0_DATE,1,IF(EN51&lt;CPI0_DATE,EO52/EQ51*EQ52,EXP(_xll.qInterp(EP51,$EJ$10:$EJ$19,$EK$10:$EK$19))))</f>
        <v>0.81595819093604394</v>
      </c>
      <c r="EP51" s="190">
        <f t="shared" si="37"/>
        <v>6.75</v>
      </c>
      <c r="EQ51" s="182">
        <f t="shared" si="1"/>
        <v>0</v>
      </c>
      <c r="ER51" s="186">
        <f t="shared" si="38"/>
        <v>216.5552095228002</v>
      </c>
      <c r="ES51" s="184">
        <f t="shared" si="4"/>
        <v>0.76248587648664046</v>
      </c>
      <c r="ET51" s="184">
        <f t="shared" si="5"/>
        <v>0.76539280004584986</v>
      </c>
      <c r="EU51" s="184">
        <f t="shared" si="8"/>
        <v>3.0850042457178928</v>
      </c>
    </row>
    <row r="52" spans="6:151">
      <c r="F52" s="596" t="s">
        <v>9</v>
      </c>
      <c r="G52" s="623" t="s">
        <v>54</v>
      </c>
      <c r="N52" s="630">
        <v>5.6949999999999994</v>
      </c>
      <c r="O52" s="630">
        <v>5.6349999999999998</v>
      </c>
      <c r="P52" s="630">
        <v>61.5</v>
      </c>
      <c r="Q52" s="630">
        <v>56.5</v>
      </c>
      <c r="X52" s="28"/>
      <c r="Y52" s="43" t="s">
        <v>27</v>
      </c>
      <c r="Z52" s="582"/>
      <c r="AA52" s="582"/>
      <c r="AB52" s="582"/>
      <c r="AC52" s="582"/>
      <c r="AD52" s="582"/>
      <c r="AE52" s="113">
        <f t="array" ref="AE52:AE66">IF($AE$67,P49:P63,"")</f>
        <v>20</v>
      </c>
      <c r="AF52" s="113">
        <f t="array" ref="AF52:AF66">IF($AE$67,Q49:Q63,"")</f>
        <v>15</v>
      </c>
      <c r="AG52" s="113">
        <v>20.5</v>
      </c>
      <c r="AH52" s="113">
        <v>16.5</v>
      </c>
      <c r="AI52" s="582">
        <v>19.5</v>
      </c>
      <c r="AJ52" s="814">
        <f t="shared" si="41"/>
        <v>15.5</v>
      </c>
      <c r="AK52" s="814"/>
      <c r="AT52" s="41" t="s">
        <v>335</v>
      </c>
      <c r="AU52" s="37"/>
      <c r="AV52" s="35"/>
      <c r="AW52" s="35"/>
      <c r="AX52" s="35"/>
      <c r="AY52" s="219"/>
      <c r="AZ52" s="219"/>
      <c r="BA52" s="219"/>
      <c r="BB52" s="219"/>
      <c r="BC52" s="219"/>
      <c r="BD52" s="41" t="s">
        <v>263</v>
      </c>
      <c r="BE52" s="39"/>
      <c r="BG52" s="55" t="str">
        <f>_xll.qIRcurveZeroBankReval("AUD.ZB.DISC","AUD",Today,AI9:AI12,AU18:AU25,Y18:Y25,AI30:AI43,AU28:AU38)</f>
        <v>AUD.ZB.DISC|[Swap Pricer 1f.xlsm]AU!$BG$52#13375</v>
      </c>
      <c r="BT52" s="3"/>
      <c r="BU52" s="572"/>
      <c r="CK52" s="206" t="s">
        <v>7</v>
      </c>
      <c r="CL52" s="206" t="s">
        <v>11</v>
      </c>
      <c r="CM52" s="202" t="str">
        <v>AUBP7YX3Y=ICAA</v>
      </c>
      <c r="CP52" s="212">
        <v>5.0999999999999996</v>
      </c>
      <c r="EN52" s="213">
        <f t="shared" si="27"/>
        <v>43190</v>
      </c>
      <c r="EO52" s="224">
        <f>IF(EN52=CPI0_DATE,1,IF(EN52&lt;CPI0_DATE,EO53/EQ52*EQ53,EXP(_xll.qInterp(EP52,$EJ$10:$EJ$19,$EK$10:$EK$19))))</f>
        <v>0.80978370455869353</v>
      </c>
      <c r="EP52" s="190">
        <f t="shared" si="37"/>
        <v>7</v>
      </c>
      <c r="EQ52" s="182">
        <f t="shared" si="1"/>
        <v>0</v>
      </c>
      <c r="ER52" s="186">
        <f t="shared" si="38"/>
        <v>218.20641241020761</v>
      </c>
      <c r="ES52" s="184">
        <f t="shared" si="4"/>
        <v>0.76248587648664046</v>
      </c>
      <c r="ET52" s="184">
        <f t="shared" si="5"/>
        <v>0.76539280004584986</v>
      </c>
      <c r="EU52" s="184">
        <f t="shared" si="8"/>
        <v>3.0850042457178928</v>
      </c>
    </row>
    <row r="53" spans="6:151">
      <c r="F53" s="596" t="s">
        <v>10</v>
      </c>
      <c r="G53" s="623" t="s">
        <v>55</v>
      </c>
      <c r="N53" s="630">
        <v>5.79</v>
      </c>
      <c r="O53" s="630">
        <v>5.7350000000000003</v>
      </c>
      <c r="P53" s="630">
        <v>39.5</v>
      </c>
      <c r="Q53" s="630">
        <v>34.5</v>
      </c>
      <c r="X53" s="28"/>
      <c r="Y53" s="43" t="s">
        <v>7</v>
      </c>
      <c r="Z53" s="582"/>
      <c r="AA53" s="582"/>
      <c r="AB53" s="582"/>
      <c r="AC53" s="582"/>
      <c r="AD53" s="582"/>
      <c r="AE53" s="113">
        <v>30</v>
      </c>
      <c r="AF53" s="113">
        <v>25</v>
      </c>
      <c r="AG53" s="113">
        <v>29.75</v>
      </c>
      <c r="AH53" s="113">
        <v>25.75</v>
      </c>
      <c r="AI53" s="582">
        <v>29.5</v>
      </c>
      <c r="AJ53" s="814">
        <f t="shared" si="41"/>
        <v>25.5</v>
      </c>
      <c r="AK53" s="814"/>
      <c r="AT53" s="41"/>
      <c r="AU53" s="37"/>
      <c r="AV53" s="35"/>
      <c r="AW53" s="35"/>
      <c r="AX53" s="35"/>
      <c r="AY53" s="219"/>
      <c r="AZ53" s="219"/>
      <c r="BA53" s="219"/>
      <c r="BB53" s="219"/>
      <c r="BC53" s="219"/>
      <c r="BD53" s="41" t="s">
        <v>6</v>
      </c>
      <c r="BE53" s="39"/>
      <c r="BG53" s="55" t="str">
        <f>_xll.qIRcurveSCBasisReval("AUD.ZB.ON","AUD",AUD.ZB.DISC,"1v3","Synthetic",BY7:BY27)</f>
        <v>AUD.ZB.ON|[Swap Pricer 1f.xlsm]AU!$BG$53#13376</v>
      </c>
      <c r="BT53" s="3"/>
      <c r="BU53" s="572"/>
      <c r="CK53" s="206" t="s">
        <v>7</v>
      </c>
      <c r="CL53" s="206" t="s">
        <v>14</v>
      </c>
      <c r="CM53" s="202" t="str">
        <v>AUBP10YX3Y=ICAA</v>
      </c>
      <c r="CP53" s="212">
        <v>5.05</v>
      </c>
      <c r="EN53" s="213">
        <f t="shared" si="27"/>
        <v>43281</v>
      </c>
      <c r="EO53" s="224">
        <f>IF(EN53=CPI0_DATE,1,IF(EN53&lt;CPI0_DATE,EO54/EQ53*EQ54,EXP(_xll.qInterp(EP53,$EJ$10:$EJ$19,$EK$10:$EK$19))))</f>
        <v>0.80357473201979712</v>
      </c>
      <c r="EP53" s="190">
        <f t="shared" si="37"/>
        <v>7.25</v>
      </c>
      <c r="EQ53" s="182">
        <f t="shared" si="1"/>
        <v>0</v>
      </c>
      <c r="ER53" s="186">
        <f t="shared" si="38"/>
        <v>219.89242563148036</v>
      </c>
      <c r="ES53" s="184">
        <f t="shared" si="4"/>
        <v>0.77266896176415578</v>
      </c>
      <c r="ET53" s="184">
        <f t="shared" si="5"/>
        <v>0.77052316497812079</v>
      </c>
      <c r="EU53" s="184">
        <f t="shared" si="8"/>
        <v>3.0954220453576653</v>
      </c>
    </row>
    <row r="54" spans="6:151">
      <c r="F54" s="596" t="s">
        <v>11</v>
      </c>
      <c r="G54" s="623" t="s">
        <v>56</v>
      </c>
      <c r="N54" s="630">
        <v>5.8524999999999991</v>
      </c>
      <c r="O54" s="630">
        <v>5.7974999999999994</v>
      </c>
      <c r="P54" s="630">
        <v>45.75</v>
      </c>
      <c r="Q54" s="630">
        <v>40.75</v>
      </c>
      <c r="X54" s="28"/>
      <c r="Y54" s="43" t="s">
        <v>8</v>
      </c>
      <c r="Z54" s="582"/>
      <c r="AA54" s="582"/>
      <c r="AB54" s="582"/>
      <c r="AC54" s="582"/>
      <c r="AD54" s="582"/>
      <c r="AE54" s="113">
        <v>50.75</v>
      </c>
      <c r="AF54" s="113">
        <v>45.75</v>
      </c>
      <c r="AG54" s="113">
        <v>50.5</v>
      </c>
      <c r="AH54" s="113">
        <v>46.5</v>
      </c>
      <c r="AI54" s="582">
        <v>50.5</v>
      </c>
      <c r="AJ54" s="814">
        <f t="shared" si="41"/>
        <v>46.5</v>
      </c>
      <c r="AK54" s="814"/>
      <c r="AT54" s="37"/>
      <c r="AU54" s="37"/>
      <c r="AV54" s="35"/>
      <c r="AW54" s="35"/>
      <c r="AX54" s="35"/>
      <c r="AY54" s="219"/>
      <c r="AZ54" s="219"/>
      <c r="BA54" s="219"/>
      <c r="BB54" s="219"/>
      <c r="BC54" s="219"/>
      <c r="BD54" s="41" t="s">
        <v>0</v>
      </c>
      <c r="BE54" s="39"/>
      <c r="BG54" s="56" t="str">
        <f>_xll.qIRcurveSCBasisReval("AUD.ZB.1M","AUD",AUD.ZB.DISC,"1v3","Synthetic",BZ7:BZ27)</f>
        <v>AUD.ZB.1M|[Swap Pricer 1f.xlsm]AU!$BG$54#13377</v>
      </c>
      <c r="BT54" s="3"/>
      <c r="BU54" s="572"/>
      <c r="EN54" s="213">
        <f t="shared" si="27"/>
        <v>43373</v>
      </c>
      <c r="EO54" s="224">
        <f>IF(EN54=CPI0_DATE,1,IF(EN54&lt;CPI0_DATE,EO55/EQ54*EQ55,EXP(_xll.qInterp(EP54,$EJ$10:$EJ$19,$EK$10:$EK$19))))</f>
        <v>0.79741336644035399</v>
      </c>
      <c r="EP54" s="190">
        <f t="shared" si="37"/>
        <v>7.5</v>
      </c>
      <c r="EQ54" s="182">
        <f t="shared" si="1"/>
        <v>0</v>
      </c>
      <c r="ER54" s="186">
        <f t="shared" si="38"/>
        <v>221.5914661536051</v>
      </c>
      <c r="ES54" s="184">
        <f t="shared" si="4"/>
        <v>0.77266896176413358</v>
      </c>
      <c r="ET54" s="184">
        <f t="shared" si="5"/>
        <v>0.77565404838650931</v>
      </c>
      <c r="EU54" s="184">
        <f t="shared" si="8"/>
        <v>3.1058408978231755</v>
      </c>
    </row>
    <row r="55" spans="6:151">
      <c r="F55" s="596" t="s">
        <v>12</v>
      </c>
      <c r="G55" s="623" t="s">
        <v>57</v>
      </c>
      <c r="N55" s="630">
        <v>5.9</v>
      </c>
      <c r="O55" s="630">
        <v>5.8449999999999998</v>
      </c>
      <c r="P55" s="630">
        <v>50.5</v>
      </c>
      <c r="Q55" s="630">
        <v>45.5</v>
      </c>
      <c r="X55" s="28"/>
      <c r="Y55" s="43" t="s">
        <v>9</v>
      </c>
      <c r="Z55" s="582"/>
      <c r="AA55" s="582"/>
      <c r="AB55" s="582"/>
      <c r="AC55" s="582"/>
      <c r="AD55" s="582"/>
      <c r="AE55" s="113">
        <v>61.5</v>
      </c>
      <c r="AF55" s="113">
        <v>56.5</v>
      </c>
      <c r="AG55" s="113">
        <v>61.25</v>
      </c>
      <c r="AH55" s="113">
        <v>57.25</v>
      </c>
      <c r="AI55" s="582">
        <v>61</v>
      </c>
      <c r="AJ55" s="814">
        <f t="shared" si="41"/>
        <v>57</v>
      </c>
      <c r="AK55" s="814"/>
      <c r="AT55" s="37"/>
      <c r="AU55" s="37"/>
      <c r="AV55" s="35"/>
      <c r="AW55" s="35"/>
      <c r="AX55" s="35"/>
      <c r="AY55" s="219"/>
      <c r="AZ55" s="219"/>
      <c r="BA55" s="219"/>
      <c r="BB55" s="219"/>
      <c r="BC55" s="219"/>
      <c r="BD55" s="41" t="s">
        <v>2</v>
      </c>
      <c r="BE55" s="39"/>
      <c r="BG55" s="56" t="str">
        <f>AUD.ZB.DISC</f>
        <v>AUD.ZB.DISC|[Swap Pricer 1f.xlsm]AU!$BG$52#13375</v>
      </c>
      <c r="BT55" s="3"/>
      <c r="BU55" s="572"/>
      <c r="CJ55" s="202" t="s">
        <v>282</v>
      </c>
      <c r="CK55" s="206" t="s">
        <v>110</v>
      </c>
      <c r="CL55" s="206" t="s">
        <v>278</v>
      </c>
      <c r="CM55" s="202" t="s">
        <v>276</v>
      </c>
      <c r="CN55" s="202" t="s">
        <v>277</v>
      </c>
      <c r="EN55" s="213">
        <f t="shared" si="27"/>
        <v>43465</v>
      </c>
      <c r="EO55" s="224">
        <f>IF(EN55=CPI0_DATE,1,IF(EN55&lt;CPI0_DATE,EO56/EQ55*EQ56,EXP(_xll.qInterp(EP55,$EJ$10:$EJ$19,$EK$10:$EK$19))))</f>
        <v>0.79129924279659003</v>
      </c>
      <c r="EP55" s="190">
        <f t="shared" si="37"/>
        <v>7.75</v>
      </c>
      <c r="EQ55" s="182">
        <f t="shared" si="1"/>
        <v>0</v>
      </c>
      <c r="ER55" s="186">
        <f t="shared" si="38"/>
        <v>223.30363463449211</v>
      </c>
      <c r="ES55" s="184">
        <f t="shared" si="4"/>
        <v>0.77266896176415578</v>
      </c>
      <c r="ET55" s="184">
        <f t="shared" si="5"/>
        <v>0.77565404838650931</v>
      </c>
      <c r="EU55" s="184">
        <f t="shared" si="8"/>
        <v>3.1162608032208938</v>
      </c>
    </row>
    <row r="56" spans="6:151">
      <c r="F56" s="596" t="s">
        <v>13</v>
      </c>
      <c r="G56" s="623" t="s">
        <v>58</v>
      </c>
      <c r="N56" s="630">
        <v>5.9325000000000001</v>
      </c>
      <c r="O56" s="630">
        <v>5.8774999999999995</v>
      </c>
      <c r="P56" s="630">
        <v>53.75</v>
      </c>
      <c r="Q56" s="630">
        <v>48.75</v>
      </c>
      <c r="X56" s="28"/>
      <c r="Y56" s="43" t="s">
        <v>10</v>
      </c>
      <c r="Z56" s="582"/>
      <c r="AA56" s="582"/>
      <c r="AB56" s="582"/>
      <c r="AC56" s="582"/>
      <c r="AD56" s="582"/>
      <c r="AE56" s="113">
        <v>39.5</v>
      </c>
      <c r="AF56" s="113">
        <v>34.5</v>
      </c>
      <c r="AG56" s="113">
        <v>39.25</v>
      </c>
      <c r="AH56" s="113">
        <v>35.25</v>
      </c>
      <c r="AI56" s="582">
        <v>37</v>
      </c>
      <c r="AJ56" s="814">
        <f t="shared" si="41"/>
        <v>33</v>
      </c>
      <c r="AK56" s="814"/>
      <c r="AT56" s="37"/>
      <c r="AU56" s="37"/>
      <c r="AV56" s="35"/>
      <c r="AW56" s="35"/>
      <c r="AX56" s="35"/>
      <c r="AY56" s="219"/>
      <c r="AZ56" s="219"/>
      <c r="BA56" s="219"/>
      <c r="BB56" s="219"/>
      <c r="BC56" s="219"/>
      <c r="BD56" s="41" t="s">
        <v>5</v>
      </c>
      <c r="BE56" s="39"/>
      <c r="BG56" s="56" t="str">
        <f>_xll.qIRcurveSCBasisReval("AUD.ZB.6M","AUD",AUD.ZB.DISC,"3v6","Synthetic",CA7:CA27)</f>
        <v>AUD.ZB.6M|[Swap Pricer 1f.xlsm]AU!$BG$56#13378</v>
      </c>
      <c r="BT56" s="3"/>
      <c r="BU56" s="572"/>
      <c r="CK56" s="206" t="s">
        <v>8</v>
      </c>
      <c r="CL56" s="206" t="s">
        <v>0</v>
      </c>
      <c r="CM56" s="202" t="str">
        <f t="array" ref="CM56:CM66">"AUBP"&amp;CL56:CL66&amp;"X"&amp;CK56:CK66&amp;"=ICAA"</f>
        <v>AUBP1MX4Y=ICAA</v>
      </c>
      <c r="CN56" s="202" t="s">
        <v>223</v>
      </c>
      <c r="CO56" s="202" t="str">
        <f ca="1">_xll.RtUpdate("IDN",CM56:CM66,CN56,CP56,,RTMODE_VOLS)</f>
        <v>Updated at 16:52:06</v>
      </c>
      <c r="CP56" s="212">
        <v>4.4000000000000004</v>
      </c>
      <c r="EN56" s="213">
        <f t="shared" si="27"/>
        <v>43555</v>
      </c>
      <c r="EO56" s="224">
        <f>IF(EN56=CPI0_DATE,1,IF(EN56&lt;CPI0_DATE,EO57/EQ56*EQ57,EXP(_xll.qInterp(EP56,$EJ$10:$EJ$19,$EK$10:$EK$19))))</f>
        <v>0.78523199886353134</v>
      </c>
      <c r="EP56" s="190">
        <f t="shared" si="37"/>
        <v>8</v>
      </c>
      <c r="EQ56" s="182">
        <f t="shared" si="1"/>
        <v>0</v>
      </c>
      <c r="ER56" s="186">
        <f t="shared" si="38"/>
        <v>225.02903250980404</v>
      </c>
      <c r="ES56" s="184">
        <f t="shared" si="4"/>
        <v>0.77266896176413358</v>
      </c>
      <c r="ET56" s="184">
        <f t="shared" si="5"/>
        <v>0.77565404838650931</v>
      </c>
      <c r="EU56" s="184">
        <f t="shared" si="8"/>
        <v>3.1266817616572018</v>
      </c>
    </row>
    <row r="57" spans="6:151">
      <c r="F57" s="596" t="s">
        <v>14</v>
      </c>
      <c r="G57" s="623" t="s">
        <v>59</v>
      </c>
      <c r="N57" s="630">
        <v>5.9624999999999995</v>
      </c>
      <c r="O57" s="630">
        <v>5.9074999999999998</v>
      </c>
      <c r="P57" s="630">
        <v>56.75</v>
      </c>
      <c r="Q57" s="630">
        <v>51.75</v>
      </c>
      <c r="X57" s="28"/>
      <c r="Y57" s="43" t="s">
        <v>11</v>
      </c>
      <c r="Z57" s="582"/>
      <c r="AA57" s="582"/>
      <c r="AB57" s="582"/>
      <c r="AC57" s="582"/>
      <c r="AD57" s="582"/>
      <c r="AE57" s="113">
        <v>45.75</v>
      </c>
      <c r="AF57" s="113">
        <v>40.75</v>
      </c>
      <c r="AG57" s="113">
        <v>46</v>
      </c>
      <c r="AH57" s="113">
        <v>42</v>
      </c>
      <c r="AI57" s="582">
        <v>45.5</v>
      </c>
      <c r="AJ57" s="814">
        <f t="shared" si="41"/>
        <v>41.5</v>
      </c>
      <c r="AK57" s="814"/>
      <c r="AT57" s="37"/>
      <c r="AU57" s="37"/>
      <c r="AV57" s="35"/>
      <c r="AW57" s="35"/>
      <c r="AX57" s="35"/>
      <c r="AY57" s="219"/>
      <c r="AZ57" s="219"/>
      <c r="BA57" s="219"/>
      <c r="BB57" s="219"/>
      <c r="BC57" s="219"/>
      <c r="BD57" s="41" t="s">
        <v>26</v>
      </c>
      <c r="BE57" s="39"/>
      <c r="BG57" s="56" t="str">
        <f>BG56</f>
        <v>AUD.ZB.6M|[Swap Pricer 1f.xlsm]AU!$BG$56#13378</v>
      </c>
      <c r="BT57" s="3"/>
      <c r="BU57" s="572"/>
      <c r="CK57" s="206" t="s">
        <v>8</v>
      </c>
      <c r="CL57" s="206" t="s">
        <v>1</v>
      </c>
      <c r="CM57" s="202" t="str">
        <v>AUBP2MX4Y=ICAA</v>
      </c>
      <c r="CN57" s="205"/>
      <c r="CP57" s="212">
        <v>4.5</v>
      </c>
      <c r="EN57" s="213">
        <f t="shared" si="27"/>
        <v>43646</v>
      </c>
      <c r="EO57" s="224">
        <f>IF(EN57=CPI0_DATE,1,IF(EN57&lt;CPI0_DATE,EO58/EQ57*EQ58,EXP(_xll.qInterp(EP57,$EJ$10:$EJ$19,$EK$10:$EK$19))))</f>
        <v>0.77921127519354416</v>
      </c>
      <c r="EP57" s="190">
        <f t="shared" ref="EP57:EP88" si="42">ROUND((EN57-CPI0_DATE)/365/0.25,0)*0.25</f>
        <v>8.25</v>
      </c>
      <c r="EQ57" s="182">
        <f t="shared" si="1"/>
        <v>0</v>
      </c>
      <c r="ER57" s="186">
        <f t="shared" si="38"/>
        <v>226.76776199896545</v>
      </c>
      <c r="ES57" s="184">
        <f t="shared" si="4"/>
        <v>0.77266896176415578</v>
      </c>
      <c r="ET57" s="184">
        <f t="shared" si="5"/>
        <v>0.77565404838652041</v>
      </c>
      <c r="EU57" s="184">
        <f t="shared" si="8"/>
        <v>3.1266817616571796</v>
      </c>
    </row>
    <row r="58" spans="6:151">
      <c r="F58" s="596" t="s">
        <v>15</v>
      </c>
      <c r="G58" s="623" t="s">
        <v>60</v>
      </c>
      <c r="N58" s="630">
        <v>6.02</v>
      </c>
      <c r="O58" s="630">
        <v>5.9550000000000001</v>
      </c>
      <c r="P58" s="630">
        <v>62.5</v>
      </c>
      <c r="Q58" s="630">
        <v>56.5</v>
      </c>
      <c r="X58" s="28"/>
      <c r="Y58" s="43" t="s">
        <v>12</v>
      </c>
      <c r="Z58" s="582"/>
      <c r="AA58" s="582"/>
      <c r="AB58" s="582"/>
      <c r="AC58" s="582"/>
      <c r="AD58" s="582"/>
      <c r="AE58" s="113">
        <v>50.5</v>
      </c>
      <c r="AF58" s="113">
        <v>45.5</v>
      </c>
      <c r="AG58" s="113">
        <v>50.5</v>
      </c>
      <c r="AH58" s="113">
        <v>46.5</v>
      </c>
      <c r="AI58" s="582">
        <v>49.75</v>
      </c>
      <c r="AJ58" s="814">
        <f t="shared" si="41"/>
        <v>45.75</v>
      </c>
      <c r="AK58" s="814"/>
      <c r="BG58" s="192"/>
      <c r="BT58" s="3"/>
      <c r="BU58" s="572"/>
      <c r="CK58" s="206" t="s">
        <v>8</v>
      </c>
      <c r="CL58" s="206" t="s">
        <v>2</v>
      </c>
      <c r="CM58" s="202" t="str">
        <v>AUBP3MX4Y=ICAA</v>
      </c>
      <c r="CP58" s="212">
        <v>4.9000000000000004</v>
      </c>
      <c r="EN58" s="213">
        <f t="shared" si="27"/>
        <v>43738</v>
      </c>
      <c r="EO58" s="224">
        <f>IF(EN58=CPI0_DATE,1,IF(EN58&lt;CPI0_DATE,EO59/EQ58*EQ59,EXP(_xll.qInterp(EP58,$EJ$10:$EJ$19,$EK$10:$EK$19))))</f>
        <v>0.77323671509504011</v>
      </c>
      <c r="EP58" s="190">
        <f t="shared" si="42"/>
        <v>8.5</v>
      </c>
      <c r="EQ58" s="182">
        <f t="shared" si="1"/>
        <v>0</v>
      </c>
      <c r="ER58" s="186">
        <f t="shared" si="38"/>
        <v>228.51992611121867</v>
      </c>
      <c r="ES58" s="184">
        <f t="shared" si="4"/>
        <v>0.77266896176415578</v>
      </c>
      <c r="ET58" s="184">
        <f t="shared" si="5"/>
        <v>0.77565404838652041</v>
      </c>
      <c r="EU58" s="184">
        <f t="shared" si="8"/>
        <v>3.1266817616572018</v>
      </c>
    </row>
    <row r="59" spans="6:151">
      <c r="F59" s="596" t="s">
        <v>16</v>
      </c>
      <c r="G59" s="623" t="s">
        <v>61</v>
      </c>
      <c r="N59" s="630">
        <v>6.05</v>
      </c>
      <c r="O59" s="630">
        <v>5.9850000000000003</v>
      </c>
      <c r="P59" s="630">
        <v>65.5</v>
      </c>
      <c r="Q59" s="630">
        <v>59.5</v>
      </c>
      <c r="X59" s="28"/>
      <c r="Y59" s="43" t="s">
        <v>13</v>
      </c>
      <c r="Z59" s="582"/>
      <c r="AA59" s="582"/>
      <c r="AB59" s="582"/>
      <c r="AC59" s="582"/>
      <c r="AD59" s="582"/>
      <c r="AE59" s="113">
        <v>53.75</v>
      </c>
      <c r="AF59" s="113">
        <v>48.75</v>
      </c>
      <c r="AG59" s="113">
        <v>54</v>
      </c>
      <c r="AH59" s="113">
        <v>50</v>
      </c>
      <c r="AI59" s="582">
        <v>53</v>
      </c>
      <c r="AJ59" s="814">
        <f t="shared" si="41"/>
        <v>49</v>
      </c>
      <c r="AK59" s="814"/>
      <c r="AT59" s="41" t="s">
        <v>336</v>
      </c>
      <c r="AU59" s="37"/>
      <c r="AV59" s="35"/>
      <c r="AW59" s="35"/>
      <c r="AX59" s="35"/>
      <c r="AY59" s="219"/>
      <c r="AZ59" s="219"/>
      <c r="BA59" s="219"/>
      <c r="BB59" s="219"/>
      <c r="BC59" s="219"/>
      <c r="BD59" s="40" t="s">
        <v>261</v>
      </c>
      <c r="BE59" s="39"/>
      <c r="BG59" s="192" t="str">
        <f>_xll.qIRcurveXCBasisReval("AUD.ZBX.DISC",AUD.ZB.DISC,"MARKET",FX!N32:N41,USD.ZB.DISC,FxcurveAUD)</f>
        <v>AUD.ZBX.DISC|[Swap Pricer 1f.xlsm]AU!$BG$59#13398</v>
      </c>
      <c r="BT59" s="3"/>
      <c r="BU59" s="572"/>
      <c r="CK59" s="206" t="s">
        <v>8</v>
      </c>
      <c r="CL59" s="206" t="s">
        <v>5</v>
      </c>
      <c r="CM59" s="202" t="str">
        <v>AUBP6MX4Y=ICAA</v>
      </c>
      <c r="CP59" s="212">
        <v>5.0999999999999996</v>
      </c>
      <c r="EN59" s="213">
        <f t="shared" si="27"/>
        <v>43830</v>
      </c>
      <c r="EO59" s="224">
        <f>IF(EN59=CPI0_DATE,1,IF(EN59&lt;CPI0_DATE,EO60/EQ59*EQ60,EXP(_xll.qInterp(EP59,$EJ$10:$EJ$19,$EK$10:$EK$19))))</f>
        <v>0.7673079646113441</v>
      </c>
      <c r="EP59" s="190">
        <f t="shared" si="42"/>
        <v>8.75</v>
      </c>
      <c r="EQ59" s="182">
        <f t="shared" si="1"/>
        <v>0</v>
      </c>
      <c r="ER59" s="186">
        <f t="shared" si="38"/>
        <v>230.2856286517264</v>
      </c>
      <c r="ES59" s="184">
        <f t="shared" si="4"/>
        <v>0.77266896176413358</v>
      </c>
      <c r="ET59" s="184">
        <f t="shared" si="5"/>
        <v>0.77565404838650931</v>
      </c>
      <c r="EU59" s="184">
        <f t="shared" si="8"/>
        <v>3.1266817616572018</v>
      </c>
    </row>
    <row r="60" spans="6:151">
      <c r="F60" s="596" t="s">
        <v>17</v>
      </c>
      <c r="G60" s="623" t="s">
        <v>62</v>
      </c>
      <c r="N60" s="630">
        <v>5.9550000000000001</v>
      </c>
      <c r="O60" s="630">
        <v>5.89</v>
      </c>
      <c r="P60" s="630">
        <v>56</v>
      </c>
      <c r="Q60" s="630">
        <v>50</v>
      </c>
      <c r="X60" s="28"/>
      <c r="Y60" s="43" t="s">
        <v>14</v>
      </c>
      <c r="Z60" s="582"/>
      <c r="AA60" s="582"/>
      <c r="AB60" s="582"/>
      <c r="AC60" s="582"/>
      <c r="AD60" s="582"/>
      <c r="AE60" s="113">
        <v>56.75</v>
      </c>
      <c r="AF60" s="113">
        <v>51.75</v>
      </c>
      <c r="AG60" s="113">
        <v>56</v>
      </c>
      <c r="AH60" s="113">
        <v>52</v>
      </c>
      <c r="AI60" s="582">
        <v>56.38</v>
      </c>
      <c r="AJ60" s="814">
        <f t="shared" si="41"/>
        <v>52.38</v>
      </c>
      <c r="AK60" s="814"/>
      <c r="AT60" s="41"/>
      <c r="AU60" s="37"/>
      <c r="AV60" s="35"/>
      <c r="AW60" s="35"/>
      <c r="AX60" s="35"/>
      <c r="AY60" s="219"/>
      <c r="AZ60" s="219"/>
      <c r="BA60" s="219"/>
      <c r="BB60" s="219"/>
      <c r="BC60" s="219"/>
      <c r="BD60" s="41" t="s">
        <v>246</v>
      </c>
      <c r="BE60" s="39"/>
      <c r="BG60" s="192" t="str">
        <f t="array" ref="BG60:BG64">BG53:BG57</f>
        <v>AUD.ZB.ON|[Swap Pricer 1f.xlsm]AU!$BG$53#13376</v>
      </c>
      <c r="BT60" s="3"/>
      <c r="BU60" s="572"/>
      <c r="CK60" s="206" t="s">
        <v>8</v>
      </c>
      <c r="CL60" s="206" t="s">
        <v>26</v>
      </c>
      <c r="CM60" s="202" t="str">
        <v>AUBP1YX4Y=ICAA</v>
      </c>
      <c r="CP60" s="212">
        <v>5.6</v>
      </c>
      <c r="EN60" s="213">
        <f t="shared" si="27"/>
        <v>43921</v>
      </c>
      <c r="EO60" s="224">
        <f>IF(EN60=CPI0_DATE,1,IF(EN60&lt;CPI0_DATE,EO61/EQ60*EQ61,EXP(_xll.qInterp(EP60,$EJ$10:$EJ$19,$EK$10:$EK$19))))</f>
        <v>0.76142467249972445</v>
      </c>
      <c r="EP60" s="190">
        <f t="shared" si="42"/>
        <v>9</v>
      </c>
      <c r="EQ60" s="182">
        <f t="shared" si="1"/>
        <v>0</v>
      </c>
      <c r="ER60" s="186">
        <f t="shared" si="38"/>
        <v>232.06497422772171</v>
      </c>
      <c r="ES60" s="184">
        <f t="shared" si="4"/>
        <v>0.77266896176413358</v>
      </c>
      <c r="ET60" s="184">
        <f t="shared" si="5"/>
        <v>0.77565404838650931</v>
      </c>
      <c r="EU60" s="184">
        <f t="shared" si="8"/>
        <v>3.1266817616571796</v>
      </c>
    </row>
    <row r="61" spans="6:151">
      <c r="F61" s="596" t="s">
        <v>18</v>
      </c>
      <c r="G61" s="623" t="s">
        <v>63</v>
      </c>
      <c r="N61" s="630">
        <v>5.817499999999999</v>
      </c>
      <c r="O61" s="630">
        <v>5.7524999999999995</v>
      </c>
      <c r="P61" s="630">
        <v>42.25</v>
      </c>
      <c r="Q61" s="630">
        <v>36.25</v>
      </c>
      <c r="X61" s="28"/>
      <c r="Y61" s="43" t="s">
        <v>15</v>
      </c>
      <c r="Z61" s="582"/>
      <c r="AA61" s="582"/>
      <c r="AB61" s="582"/>
      <c r="AC61" s="582"/>
      <c r="AD61" s="582"/>
      <c r="AE61" s="113">
        <v>62.5</v>
      </c>
      <c r="AF61" s="113">
        <v>56.5</v>
      </c>
      <c r="AG61" s="113">
        <v>61.25</v>
      </c>
      <c r="AH61" s="113">
        <v>57.25</v>
      </c>
      <c r="AI61" s="582">
        <v>61.38</v>
      </c>
      <c r="AJ61" s="814">
        <f t="shared" si="41"/>
        <v>57.38</v>
      </c>
      <c r="AK61" s="814"/>
      <c r="BD61" s="41" t="s">
        <v>0</v>
      </c>
      <c r="BG61" s="192" t="str">
        <v>AUD.ZB.1M|[Swap Pricer 1f.xlsm]AU!$BG$54#13377</v>
      </c>
      <c r="BU61" s="572"/>
      <c r="CK61" s="206" t="s">
        <v>8</v>
      </c>
      <c r="CL61" s="206" t="s">
        <v>27</v>
      </c>
      <c r="CM61" s="202" t="str">
        <v>AUBP2YX4Y=ICAA</v>
      </c>
      <c r="CP61" s="212">
        <v>5.72</v>
      </c>
      <c r="EN61" s="213">
        <f t="shared" si="27"/>
        <v>44012</v>
      </c>
      <c r="EO61" s="224">
        <f>IF(EN61=CPI0_DATE,1,IF(EN61&lt;CPI0_DATE,EO62/EQ61*EQ62,EXP(_xll.qInterp(EP61,$EJ$10:$EJ$19,$EK$10:$EK$19))))</f>
        <v>0.75558649021058422</v>
      </c>
      <c r="EP61" s="190">
        <f t="shared" si="42"/>
        <v>9.25</v>
      </c>
      <c r="EQ61" s="182">
        <f t="shared" si="1"/>
        <v>0</v>
      </c>
      <c r="ER61" s="186">
        <f t="shared" si="38"/>
        <v>233.85806825470527</v>
      </c>
      <c r="ES61" s="184">
        <f t="shared" si="4"/>
        <v>0.77266896176415578</v>
      </c>
      <c r="ET61" s="184">
        <f t="shared" si="5"/>
        <v>0.77565404838650931</v>
      </c>
      <c r="EU61" s="184">
        <f t="shared" si="8"/>
        <v>3.1266817616571796</v>
      </c>
    </row>
    <row r="62" spans="6:151">
      <c r="F62" s="596" t="s">
        <v>19</v>
      </c>
      <c r="G62" s="623" t="s">
        <v>64</v>
      </c>
      <c r="N62" s="630">
        <v>5.6774999999999993</v>
      </c>
      <c r="O62" s="630">
        <v>5.6124999999999989</v>
      </c>
      <c r="P62" s="630">
        <v>28.25</v>
      </c>
      <c r="Q62" s="630">
        <v>22.25</v>
      </c>
      <c r="X62" s="28"/>
      <c r="Y62" s="43" t="s">
        <v>16</v>
      </c>
      <c r="Z62" s="582"/>
      <c r="AA62" s="582"/>
      <c r="AB62" s="582"/>
      <c r="AC62" s="582"/>
      <c r="AD62" s="582"/>
      <c r="AE62" s="113">
        <v>65.5</v>
      </c>
      <c r="AF62" s="113">
        <v>59.5</v>
      </c>
      <c r="AG62" s="113">
        <v>64.25</v>
      </c>
      <c r="AH62" s="113">
        <v>60.25</v>
      </c>
      <c r="AI62" s="582">
        <v>64.13</v>
      </c>
      <c r="AJ62" s="814">
        <f t="shared" si="41"/>
        <v>60.13</v>
      </c>
      <c r="AK62" s="814"/>
      <c r="BD62" s="41" t="s">
        <v>2</v>
      </c>
      <c r="BG62" s="192" t="str">
        <v>AUD.ZB.DISC|[Swap Pricer 1f.xlsm]AU!$BG$52#13375</v>
      </c>
      <c r="CK62" s="206" t="s">
        <v>8</v>
      </c>
      <c r="CL62" s="206" t="s">
        <v>7</v>
      </c>
      <c r="CM62" s="202" t="str">
        <v>AUBP3YX4Y=ICAA</v>
      </c>
      <c r="CP62" s="212">
        <v>5.5</v>
      </c>
      <c r="EN62" s="213">
        <f t="shared" si="27"/>
        <v>44104</v>
      </c>
      <c r="EO62" s="224">
        <f>IF(EN62=CPI0_DATE,1,IF(EN62&lt;CPI0_DATE,EO63/EQ62*EQ63,EXP(_xll.qInterp(EP62,$EJ$10:$EJ$19,$EK$10:$EK$19))))</f>
        <v>0.74979307186681143</v>
      </c>
      <c r="EP62" s="190">
        <f t="shared" si="42"/>
        <v>9.5</v>
      </c>
      <c r="EQ62" s="182">
        <f t="shared" si="1"/>
        <v>0</v>
      </c>
      <c r="ER62" s="186">
        <f t="shared" ref="ER62:ER93" si="43">IF(EQ62&gt;0,EQ62,ER61*EO61/EO62)</f>
        <v>235.66501696269057</v>
      </c>
      <c r="ES62" s="184">
        <f t="shared" si="4"/>
        <v>0.77266896176413358</v>
      </c>
      <c r="ET62" s="184">
        <f t="shared" si="5"/>
        <v>0.77565404838650931</v>
      </c>
      <c r="EU62" s="184">
        <f t="shared" si="8"/>
        <v>3.1266817616571574</v>
      </c>
    </row>
    <row r="63" spans="6:151">
      <c r="F63" s="596" t="s">
        <v>28</v>
      </c>
      <c r="G63" s="623" t="s">
        <v>65</v>
      </c>
      <c r="N63" s="630">
        <v>5.3374999999999995</v>
      </c>
      <c r="O63" s="630">
        <v>5.2524999999999995</v>
      </c>
      <c r="P63" s="630">
        <v>-5.75</v>
      </c>
      <c r="Q63" s="630">
        <v>-13.7</v>
      </c>
      <c r="X63" s="28"/>
      <c r="Y63" s="43" t="s">
        <v>17</v>
      </c>
      <c r="Z63" s="582"/>
      <c r="AA63" s="582"/>
      <c r="AB63" s="582"/>
      <c r="AC63" s="582"/>
      <c r="AD63" s="582"/>
      <c r="AE63" s="113">
        <v>56</v>
      </c>
      <c r="AF63" s="113">
        <v>50</v>
      </c>
      <c r="AG63" s="113">
        <v>54.75</v>
      </c>
      <c r="AH63" s="113">
        <v>50.75</v>
      </c>
      <c r="AI63" s="582">
        <v>55.13</v>
      </c>
      <c r="AJ63" s="814">
        <f t="shared" si="41"/>
        <v>51.13</v>
      </c>
      <c r="AK63" s="814"/>
      <c r="BD63" s="41" t="s">
        <v>5</v>
      </c>
      <c r="BG63" s="192" t="str">
        <v>AUD.ZB.6M|[Swap Pricer 1f.xlsm]AU!$BG$56#13378</v>
      </c>
      <c r="CK63" s="206" t="s">
        <v>8</v>
      </c>
      <c r="CL63" s="206" t="s">
        <v>8</v>
      </c>
      <c r="CM63" s="202" t="str">
        <v>AUBP4YX4Y=ICAA</v>
      </c>
      <c r="CP63" s="212">
        <v>5.33</v>
      </c>
      <c r="EN63" s="213">
        <f t="shared" si="27"/>
        <v>44196</v>
      </c>
      <c r="EO63" s="224">
        <f>IF(EN63=CPI0_DATE,1,IF(EN63&lt;CPI0_DATE,EO64/EQ63*EQ64,EXP(_xll.qInterp(EP63,$EJ$10:$EJ$19,$EK$10:$EK$19))))</f>
        <v>0.74404407424328811</v>
      </c>
      <c r="EP63" s="190">
        <f t="shared" si="42"/>
        <v>9.75</v>
      </c>
      <c r="EQ63" s="182">
        <f t="shared" si="1"/>
        <v>0</v>
      </c>
      <c r="ER63" s="186">
        <f t="shared" si="43"/>
        <v>237.48592740249751</v>
      </c>
      <c r="ES63" s="184">
        <f t="shared" si="4"/>
        <v>0.77266896176415578</v>
      </c>
      <c r="ET63" s="184">
        <f t="shared" si="5"/>
        <v>0.77565404838650931</v>
      </c>
      <c r="EU63" s="184">
        <f t="shared" si="8"/>
        <v>3.1266817616571796</v>
      </c>
    </row>
    <row r="64" spans="6:151">
      <c r="R64" s="596" t="s">
        <v>81</v>
      </c>
      <c r="X64" s="28"/>
      <c r="Y64" s="43" t="s">
        <v>18</v>
      </c>
      <c r="Z64" s="582"/>
      <c r="AA64" s="582"/>
      <c r="AB64" s="582"/>
      <c r="AC64" s="582"/>
      <c r="AD64" s="582"/>
      <c r="AE64" s="113">
        <v>42.25</v>
      </c>
      <c r="AF64" s="113">
        <v>36.25</v>
      </c>
      <c r="AG64" s="113" t="str">
        <v/>
      </c>
      <c r="AH64" s="113" t="str">
        <v/>
      </c>
      <c r="AI64" s="582">
        <v>41.13</v>
      </c>
      <c r="AJ64" s="814">
        <f t="shared" si="41"/>
        <v>37.130000000000003</v>
      </c>
      <c r="AK64" s="814"/>
      <c r="BD64" s="41" t="s">
        <v>26</v>
      </c>
      <c r="BG64" s="192" t="str">
        <v>AUD.ZB.6M|[Swap Pricer 1f.xlsm]AU!$BG$56#13378</v>
      </c>
      <c r="CK64" s="206" t="s">
        <v>8</v>
      </c>
      <c r="CL64" s="206" t="s">
        <v>9</v>
      </c>
      <c r="CM64" s="202" t="str">
        <v>AUBP5YX4Y=ICAA</v>
      </c>
      <c r="CP64" s="212">
        <v>5.18</v>
      </c>
      <c r="EN64" s="213">
        <f t="shared" si="27"/>
        <v>44286</v>
      </c>
      <c r="EO64" s="224">
        <f>IF(EN64=CPI0_DATE,1,IF(EN64&lt;CPI0_DATE,EO65/EQ64*EQ65,EXP(_xll.qInterp(EP64,$EJ$10:$EJ$19,$EK$10:$EK$19))))</f>
        <v>0.73833915674655637</v>
      </c>
      <c r="EP64" s="190">
        <f t="shared" si="42"/>
        <v>10</v>
      </c>
      <c r="EQ64" s="182">
        <f t="shared" si="1"/>
        <v>0</v>
      </c>
      <c r="ER64" s="186">
        <f t="shared" si="43"/>
        <v>239.32090745209433</v>
      </c>
      <c r="ES64" s="184">
        <f t="shared" si="4"/>
        <v>0.77266896176413358</v>
      </c>
      <c r="ET64" s="184">
        <f t="shared" si="5"/>
        <v>0.77565404838652041</v>
      </c>
      <c r="EU64" s="184">
        <f t="shared" si="8"/>
        <v>3.1266817616571796</v>
      </c>
    </row>
    <row r="65" spans="5:151">
      <c r="E65" s="596" t="s">
        <v>646</v>
      </c>
      <c r="F65" s="596" t="s">
        <v>26</v>
      </c>
      <c r="G65" s="623" t="s">
        <v>66</v>
      </c>
      <c r="M65" s="596" t="str">
        <f ca="1">_xll.RtUpdate("IDN",G65,I48:I49,N65,,RTMODE_RATES)</f>
        <v>Updated at 17:02:55</v>
      </c>
      <c r="N65" s="631">
        <v>5.1569999999999991</v>
      </c>
      <c r="O65" s="631">
        <v>5.1369999999999996</v>
      </c>
      <c r="P65" s="634">
        <f t="array" ref="P65:Q65">N65:O65+0</f>
        <v>5.1569999999999991</v>
      </c>
      <c r="Q65" s="634">
        <v>5.1369999999999996</v>
      </c>
      <c r="R65" s="596" t="s">
        <v>81</v>
      </c>
      <c r="X65" s="28"/>
      <c r="Y65" s="43" t="s">
        <v>19</v>
      </c>
      <c r="Z65" s="582"/>
      <c r="AA65" s="582"/>
      <c r="AB65" s="582"/>
      <c r="AC65" s="582"/>
      <c r="AD65" s="582"/>
      <c r="AE65" s="113">
        <v>28.25</v>
      </c>
      <c r="AF65" s="113">
        <v>22.25</v>
      </c>
      <c r="AG65" s="113">
        <v>27</v>
      </c>
      <c r="AH65" s="113">
        <v>23</v>
      </c>
      <c r="AI65" s="582">
        <v>27.38</v>
      </c>
      <c r="AJ65" s="814">
        <f t="shared" si="41"/>
        <v>23.38</v>
      </c>
      <c r="AK65" s="814"/>
      <c r="CK65" s="206" t="s">
        <v>8</v>
      </c>
      <c r="CL65" s="206" t="s">
        <v>11</v>
      </c>
      <c r="CM65" s="202" t="str">
        <v>AUBP7YX4Y=ICAA</v>
      </c>
      <c r="CP65" s="212">
        <v>5.0999999999999996</v>
      </c>
      <c r="EN65" s="213">
        <f t="shared" si="27"/>
        <v>44377</v>
      </c>
      <c r="EO65" s="224">
        <f>IF(EN65=CPI0_DATE,1,IF(EN65&lt;CPI0_DATE,EO66/EQ65*EQ66,EXP(_xll.qInterp(EP65,$EJ$10:$EJ$19,$EK$10:$EK$19))))</f>
        <v>0.73265430213501492</v>
      </c>
      <c r="EP65" s="190">
        <f t="shared" si="42"/>
        <v>10.25</v>
      </c>
      <c r="EQ65" s="182">
        <f t="shared" si="1"/>
        <v>0</v>
      </c>
      <c r="ER65" s="186">
        <f t="shared" si="43"/>
        <v>241.17786039757314</v>
      </c>
      <c r="ES65" s="184">
        <f t="shared" si="4"/>
        <v>0.77592591689905621</v>
      </c>
      <c r="ET65" s="184">
        <f t="shared" si="5"/>
        <v>0.77729510869468665</v>
      </c>
      <c r="EU65" s="184">
        <f t="shared" si="8"/>
        <v>3.130014798076397</v>
      </c>
    </row>
    <row r="66" spans="5:151">
      <c r="F66" s="596" t="s">
        <v>27</v>
      </c>
      <c r="G66" s="623" t="s">
        <v>80</v>
      </c>
      <c r="I66" s="623" t="s">
        <v>67</v>
      </c>
      <c r="L66" s="596" t="s">
        <v>81</v>
      </c>
      <c r="M66" s="629" t="str">
        <f ca="1">_xll.RtUpdate("IDN",G66,I66,N66,,RTMODE_RATES)</f>
        <v>Updated at 17:02:25</v>
      </c>
      <c r="N66" s="624" t="s">
        <v>769</v>
      </c>
      <c r="O66" s="632" t="str">
        <f t="array" ref="O66:O79">""</f>
        <v/>
      </c>
      <c r="P66" s="635">
        <f t="shared" ref="P66:P79" si="44">MID(N66,7,6)+0</f>
        <v>20.5</v>
      </c>
      <c r="Q66" s="635">
        <f t="shared" ref="Q66:Q79" si="45">MID(N66,15,6)+0</f>
        <v>16.5</v>
      </c>
      <c r="X66" s="28"/>
      <c r="Y66" s="43" t="s">
        <v>28</v>
      </c>
      <c r="Z66" s="582"/>
      <c r="AA66" s="582"/>
      <c r="AB66" s="582"/>
      <c r="AC66" s="582"/>
      <c r="AD66" s="582"/>
      <c r="AE66" s="113">
        <v>-5.75</v>
      </c>
      <c r="AF66" s="113">
        <v>-13.7</v>
      </c>
      <c r="AG66" s="113" t="str">
        <v/>
      </c>
      <c r="AH66" s="113" t="str">
        <v/>
      </c>
      <c r="AI66" s="582">
        <v>-11.13</v>
      </c>
      <c r="AJ66" s="814">
        <f t="shared" si="41"/>
        <v>-15.13</v>
      </c>
      <c r="AK66" s="814"/>
      <c r="CK66" s="206" t="s">
        <v>8</v>
      </c>
      <c r="CL66" s="206" t="s">
        <v>14</v>
      </c>
      <c r="CM66" s="202" t="str">
        <v>AUBP10YX4Y=ICAA</v>
      </c>
      <c r="CP66" s="212">
        <v>5.05</v>
      </c>
      <c r="EN66" s="213">
        <f t="shared" si="27"/>
        <v>44469</v>
      </c>
      <c r="EO66" s="224">
        <f>IF(EN66=CPI0_DATE,1,IF(EN66&lt;CPI0_DATE,EO67/EQ66*EQ67,EXP(_xll.qInterp(EP66,$EJ$10:$EJ$19,$EK$10:$EK$19))))</f>
        <v>0.72701321815606035</v>
      </c>
      <c r="EP66" s="190">
        <f t="shared" si="42"/>
        <v>10.5</v>
      </c>
      <c r="EQ66" s="182">
        <f t="shared" si="1"/>
        <v>0</v>
      </c>
      <c r="ER66" s="186">
        <f t="shared" si="43"/>
        <v>243.04922192222048</v>
      </c>
      <c r="ES66" s="184">
        <f t="shared" si="4"/>
        <v>0.77592591689903401</v>
      </c>
      <c r="ET66" s="184">
        <f t="shared" si="5"/>
        <v>0.77893622204162627</v>
      </c>
      <c r="EU66" s="184">
        <f t="shared" si="8"/>
        <v>3.1333479422187338</v>
      </c>
    </row>
    <row r="67" spans="5:151">
      <c r="F67" s="596" t="s">
        <v>7</v>
      </c>
      <c r="G67" s="623" t="s">
        <v>80</v>
      </c>
      <c r="I67" s="623" t="s">
        <v>68</v>
      </c>
      <c r="L67" s="596" t="s">
        <v>81</v>
      </c>
      <c r="M67" s="629" t="str">
        <f ca="1">_xll.RtUpdate("IDN",G67,I67,N67,,RTMODE_RATES)</f>
        <v>Updated at 17:02:25</v>
      </c>
      <c r="N67" s="624" t="s">
        <v>793</v>
      </c>
      <c r="O67" s="632" t="str">
        <v/>
      </c>
      <c r="P67" s="635">
        <f t="shared" si="44"/>
        <v>29.75</v>
      </c>
      <c r="Q67" s="635">
        <f t="shared" si="45"/>
        <v>25.75</v>
      </c>
      <c r="AE67" s="162" t="b">
        <v>1</v>
      </c>
      <c r="AF67" s="44"/>
      <c r="AG67" s="162" t="b">
        <v>1</v>
      </c>
      <c r="AH67" s="44"/>
      <c r="AI67" s="642" t="b">
        <v>1</v>
      </c>
      <c r="AJ67" s="45"/>
      <c r="AK67" s="45"/>
      <c r="EN67" s="213">
        <f t="shared" si="27"/>
        <v>44561</v>
      </c>
      <c r="EO67" s="224">
        <f>IF(EN67=CPI0_DATE,1,IF(EN67&lt;CPI0_DATE,EO68/EQ67*EQ68,EXP(_xll.qInterp(EP67,$EJ$10:$EJ$19,$EK$10:$EK$19))))</f>
        <v>0.72141556779697913</v>
      </c>
      <c r="EP67" s="190">
        <f t="shared" si="42"/>
        <v>10.75</v>
      </c>
      <c r="EQ67" s="182">
        <f t="shared" si="1"/>
        <v>0</v>
      </c>
      <c r="ER67" s="186">
        <f t="shared" si="43"/>
        <v>244.93510382593647</v>
      </c>
      <c r="ES67" s="184">
        <f t="shared" si="4"/>
        <v>0.77592591689903401</v>
      </c>
      <c r="ET67" s="184">
        <f t="shared" si="5"/>
        <v>0.77893622204161517</v>
      </c>
      <c r="EU67" s="184">
        <f t="shared" si="8"/>
        <v>3.1366811940877204</v>
      </c>
    </row>
    <row r="68" spans="5:151">
      <c r="F68" s="596" t="s">
        <v>8</v>
      </c>
      <c r="G68" s="623" t="s">
        <v>80</v>
      </c>
      <c r="I68" s="623" t="s">
        <v>69</v>
      </c>
      <c r="L68" s="596" t="s">
        <v>81</v>
      </c>
      <c r="M68" s="629" t="str">
        <f ca="1">_xll.RtUpdate("IDN",G68,I68,N68,,RTMODE_RATES)</f>
        <v>Updated at 17:02:25</v>
      </c>
      <c r="N68" s="624" t="s">
        <v>789</v>
      </c>
      <c r="O68" s="632" t="str">
        <v/>
      </c>
      <c r="P68" s="635">
        <f t="shared" si="44"/>
        <v>50.5</v>
      </c>
      <c r="Q68" s="635">
        <f t="shared" si="45"/>
        <v>46.5</v>
      </c>
      <c r="AT68" s="37"/>
      <c r="AU68" s="37"/>
      <c r="AV68" s="35"/>
      <c r="AW68" s="35"/>
      <c r="AX68" s="35"/>
      <c r="AY68" s="219"/>
      <c r="AZ68" s="219"/>
      <c r="BA68" s="219"/>
      <c r="BB68" s="219"/>
      <c r="BC68" s="219"/>
      <c r="BD68" s="40"/>
      <c r="BE68" s="39"/>
      <c r="CJ68" s="202" t="s">
        <v>283</v>
      </c>
      <c r="CK68" s="206" t="s">
        <v>110</v>
      </c>
      <c r="CL68" s="206" t="s">
        <v>278</v>
      </c>
      <c r="CM68" s="202" t="s">
        <v>276</v>
      </c>
      <c r="CN68" s="202" t="s">
        <v>277</v>
      </c>
      <c r="EN68" s="213">
        <f t="shared" si="27"/>
        <v>44651</v>
      </c>
      <c r="EO68" s="224">
        <f>IF(EN68=CPI0_DATE,1,IF(EN68&lt;CPI0_DATE,EO69/EQ68*EQ69,EXP(_xll.qInterp(EP68,$EJ$10:$EJ$19,$EK$10:$EK$19))))</f>
        <v>0.71586101663989321</v>
      </c>
      <c r="EP68" s="190">
        <f t="shared" si="42"/>
        <v>11</v>
      </c>
      <c r="EQ68" s="182">
        <f t="shared" si="1"/>
        <v>0</v>
      </c>
      <c r="ER68" s="186">
        <f t="shared" si="43"/>
        <v>246.83561877610549</v>
      </c>
      <c r="ES68" s="184">
        <f t="shared" si="4"/>
        <v>0.77592591689903401</v>
      </c>
      <c r="ET68" s="184">
        <f t="shared" si="5"/>
        <v>0.77893622204162627</v>
      </c>
      <c r="EU68" s="184">
        <f t="shared" si="8"/>
        <v>3.1400145536868429</v>
      </c>
    </row>
    <row r="69" spans="5:151">
      <c r="F69" s="596" t="s">
        <v>9</v>
      </c>
      <c r="G69" s="623" t="s">
        <v>80</v>
      </c>
      <c r="I69" s="623" t="s">
        <v>70</v>
      </c>
      <c r="L69" s="596" t="s">
        <v>81</v>
      </c>
      <c r="M69" s="629" t="str">
        <f ca="1">_xll.RtUpdate("IDN",G69,I69,N69,,RTMODE_RATES)</f>
        <v>Updated at 17:02:25</v>
      </c>
      <c r="N69" s="624" t="s">
        <v>794</v>
      </c>
      <c r="O69" s="632" t="str">
        <v/>
      </c>
      <c r="P69" s="635">
        <f t="shared" si="44"/>
        <v>61.25</v>
      </c>
      <c r="Q69" s="635">
        <f t="shared" si="45"/>
        <v>57.25</v>
      </c>
      <c r="AT69" s="37"/>
      <c r="AU69" s="37"/>
      <c r="AV69" s="35"/>
      <c r="AW69" s="35"/>
      <c r="AX69" s="35"/>
      <c r="AY69" s="219"/>
      <c r="AZ69" s="219"/>
      <c r="BA69" s="219"/>
      <c r="BB69" s="219"/>
      <c r="BC69" s="219"/>
      <c r="BD69" s="35"/>
      <c r="BE69" s="41"/>
      <c r="BJ69" s="27"/>
      <c r="BK69" s="617"/>
      <c r="BL69" s="617"/>
      <c r="BM69" s="617"/>
      <c r="BN69" s="617"/>
      <c r="BO69" s="617"/>
      <c r="BP69" s="8"/>
      <c r="BQ69" s="640"/>
      <c r="BT69" s="3"/>
      <c r="CK69" s="206" t="s">
        <v>9</v>
      </c>
      <c r="CL69" s="206" t="s">
        <v>0</v>
      </c>
      <c r="CM69" s="202" t="str">
        <f t="array" ref="CM69:CM79">"AUBP"&amp;CL69:CL79&amp;"X"&amp;CK69:CK79&amp;"=ICAA"</f>
        <v>AUBP1MX5Y=ICAA</v>
      </c>
      <c r="CN69" s="202" t="s">
        <v>223</v>
      </c>
      <c r="CO69" s="202" t="str">
        <f ca="1">_xll.RtUpdate("IDN",CM69:CM79,CN69,CP69,,RTMODE_VOLS)</f>
        <v>Updated at 16:52:06</v>
      </c>
      <c r="CP69" s="212">
        <v>4.4000000000000004</v>
      </c>
      <c r="EN69" s="213">
        <f t="shared" si="27"/>
        <v>44742</v>
      </c>
      <c r="EO69" s="224">
        <f>IF(EN69=CPI0_DATE,1,IF(EN69&lt;CPI0_DATE,EO70/EQ69*EQ70,EXP(_xll.qInterp(EP69,$EJ$10:$EJ$19,$EK$10:$EK$19))))</f>
        <v>0.71034923284178031</v>
      </c>
      <c r="EP69" s="190">
        <f t="shared" si="42"/>
        <v>11.25</v>
      </c>
      <c r="EQ69" s="182">
        <f t="shared" ref="EQ69:EQ132" si="46">IF(EN69&lt;CPI0_DATE,INDEX($EB$6:$EB$25,MATCH(EN69,$EA$6:$EA$25)),IF(EN69=CPI0_DATE,CPI0_VALUE,0))</f>
        <v>0</v>
      </c>
      <c r="ER69" s="186">
        <f t="shared" si="43"/>
        <v>248.75088031432742</v>
      </c>
      <c r="ES69" s="184">
        <f t="shared" si="4"/>
        <v>0.77592591689903401</v>
      </c>
      <c r="ET69" s="184">
        <f t="shared" si="5"/>
        <v>0.77893622204162627</v>
      </c>
      <c r="EU69" s="184">
        <f t="shared" ref="EU69:EU132" si="47">100*(ER69/ER65-1)</f>
        <v>3.1400145536868207</v>
      </c>
    </row>
    <row r="70" spans="5:151">
      <c r="F70" s="596" t="s">
        <v>10</v>
      </c>
      <c r="G70" s="623" t="s">
        <v>80</v>
      </c>
      <c r="I70" s="623" t="s">
        <v>71</v>
      </c>
      <c r="L70" s="596" t="s">
        <v>81</v>
      </c>
      <c r="M70" s="629" t="str">
        <f ca="1">_xll.RtUpdate("IDN",G70,I70,N70,,RTMODE_RATES)</f>
        <v>Updated at 17:02:40</v>
      </c>
      <c r="N70" s="624" t="s">
        <v>795</v>
      </c>
      <c r="O70" s="632" t="str">
        <v/>
      </c>
      <c r="P70" s="635">
        <f t="shared" si="44"/>
        <v>39.25</v>
      </c>
      <c r="Q70" s="635">
        <f t="shared" si="45"/>
        <v>35.25</v>
      </c>
      <c r="AT70" s="37"/>
      <c r="AU70" s="37"/>
      <c r="AV70" s="35"/>
      <c r="AW70" s="35"/>
      <c r="AX70" s="35"/>
      <c r="AY70" s="219"/>
      <c r="AZ70" s="219"/>
      <c r="BA70" s="219"/>
      <c r="BB70" s="219"/>
      <c r="BC70" s="219"/>
      <c r="BD70" s="35"/>
      <c r="BE70" s="41"/>
      <c r="BJ70" s="27"/>
      <c r="BK70" s="617"/>
      <c r="BL70" s="617"/>
      <c r="BM70" s="617"/>
      <c r="BN70" s="617"/>
      <c r="BO70" s="617"/>
      <c r="BP70" s="8"/>
      <c r="BQ70" s="640"/>
      <c r="BT70" s="3"/>
      <c r="CK70" s="206" t="s">
        <v>9</v>
      </c>
      <c r="CL70" s="206" t="s">
        <v>1</v>
      </c>
      <c r="CM70" s="202" t="str">
        <v>AUBP2MX5Y=ICAA</v>
      </c>
      <c r="CN70" s="205"/>
      <c r="CP70" s="212">
        <v>4.5</v>
      </c>
      <c r="EN70" s="213">
        <f t="shared" si="27"/>
        <v>44834</v>
      </c>
      <c r="EO70" s="224">
        <f>IF(EN70=CPI0_DATE,1,IF(EN70&lt;CPI0_DATE,EO71/EQ70*EQ71,EXP(_xll.qInterp(EP70,$EJ$10:$EJ$19,$EK$10:$EK$19))))</f>
        <v>0.70487988711464911</v>
      </c>
      <c r="EP70" s="190">
        <f t="shared" si="42"/>
        <v>11.5</v>
      </c>
      <c r="EQ70" s="182">
        <f t="shared" si="46"/>
        <v>0</v>
      </c>
      <c r="ER70" s="186">
        <f t="shared" si="43"/>
        <v>250.68100286320077</v>
      </c>
      <c r="ES70" s="184">
        <f t="shared" si="4"/>
        <v>0.77592591689903401</v>
      </c>
      <c r="ET70" s="184">
        <f t="shared" si="5"/>
        <v>0.77893622204161517</v>
      </c>
      <c r="EU70" s="184">
        <f t="shared" si="47"/>
        <v>3.1400145536868207</v>
      </c>
    </row>
    <row r="71" spans="5:151">
      <c r="F71" s="596" t="s">
        <v>11</v>
      </c>
      <c r="G71" s="623" t="s">
        <v>80</v>
      </c>
      <c r="I71" s="623" t="s">
        <v>72</v>
      </c>
      <c r="L71" s="596" t="s">
        <v>81</v>
      </c>
      <c r="M71" s="629" t="str">
        <f ca="1">_xll.RtUpdate("IDN",G71,I71,N71,,RTMODE_RATES)</f>
        <v>Updated at 17:02:40</v>
      </c>
      <c r="N71" s="624" t="s">
        <v>796</v>
      </c>
      <c r="O71" s="632" t="str">
        <v/>
      </c>
      <c r="P71" s="635">
        <f t="shared" si="44"/>
        <v>46</v>
      </c>
      <c r="Q71" s="635">
        <f t="shared" si="45"/>
        <v>42</v>
      </c>
      <c r="BD71" s="1"/>
      <c r="BE71" s="2"/>
      <c r="BJ71" s="27"/>
      <c r="BK71" s="617"/>
      <c r="BL71" s="617"/>
      <c r="BM71" s="617"/>
      <c r="BN71" s="617"/>
      <c r="BO71" s="617"/>
      <c r="BP71" s="8"/>
      <c r="BQ71" s="640"/>
      <c r="BT71" s="3"/>
      <c r="CK71" s="206" t="s">
        <v>9</v>
      </c>
      <c r="CL71" s="206" t="s">
        <v>2</v>
      </c>
      <c r="CM71" s="202" t="str">
        <v>AUBP3MX5Y=ICAA</v>
      </c>
      <c r="CP71" s="212">
        <v>4.9000000000000004</v>
      </c>
      <c r="EN71" s="213">
        <f t="shared" si="27"/>
        <v>44926</v>
      </c>
      <c r="EO71" s="224">
        <f>IF(EN71=CPI0_DATE,1,IF(EN71&lt;CPI0_DATE,EO72/EQ71*EQ72,EXP(_xll.qInterp(EP71,$EJ$10:$EJ$19,$EK$10:$EK$19))))</f>
        <v>0.69945265270586643</v>
      </c>
      <c r="EP71" s="190">
        <f t="shared" si="42"/>
        <v>11.75</v>
      </c>
      <c r="EQ71" s="182">
        <f t="shared" si="46"/>
        <v>0</v>
      </c>
      <c r="ER71" s="186">
        <f t="shared" si="43"/>
        <v>252.62610173315878</v>
      </c>
      <c r="ES71" s="184">
        <f t="shared" ref="ES71:ES134" si="48">100*(ER71/ER70-1)</f>
        <v>0.77592591689903401</v>
      </c>
      <c r="ET71" s="184">
        <f t="shared" ref="ET71:ET134" si="49">50*(ER71/ER69-1)</f>
        <v>0.77893622204161517</v>
      </c>
      <c r="EU71" s="184">
        <f t="shared" si="47"/>
        <v>3.1400145536868207</v>
      </c>
    </row>
    <row r="72" spans="5:151">
      <c r="F72" s="596" t="s">
        <v>12</v>
      </c>
      <c r="G72" s="623" t="s">
        <v>80</v>
      </c>
      <c r="I72" s="623" t="s">
        <v>73</v>
      </c>
      <c r="L72" s="596" t="s">
        <v>81</v>
      </c>
      <c r="M72" s="629" t="str">
        <f ca="1">_xll.RtUpdate("IDN",G72,I72,N72,,RTMODE_RATES)</f>
        <v>Updated at 17:02:40</v>
      </c>
      <c r="N72" s="624" t="s">
        <v>798</v>
      </c>
      <c r="O72" s="632" t="str">
        <v/>
      </c>
      <c r="P72" s="635">
        <f t="shared" si="44"/>
        <v>50.5</v>
      </c>
      <c r="Q72" s="635">
        <f t="shared" si="45"/>
        <v>46.5</v>
      </c>
      <c r="BD72" s="1"/>
      <c r="BE72" s="2"/>
      <c r="BJ72" s="27"/>
      <c r="BK72" s="617"/>
      <c r="BL72" s="617"/>
      <c r="BM72" s="617"/>
      <c r="BN72" s="617"/>
      <c r="BO72" s="617"/>
      <c r="BP72" s="8"/>
      <c r="BQ72" s="640"/>
      <c r="BT72" s="3"/>
      <c r="CK72" s="206" t="s">
        <v>9</v>
      </c>
      <c r="CL72" s="206" t="s">
        <v>5</v>
      </c>
      <c r="CM72" s="202" t="str">
        <v>AUBP6MX5Y=ICAA</v>
      </c>
      <c r="CP72" s="212">
        <v>5.0999999999999996</v>
      </c>
      <c r="EN72" s="213">
        <f t="shared" si="27"/>
        <v>45016</v>
      </c>
      <c r="EO72" s="224">
        <f>IF(EN72=CPI0_DATE,1,IF(EN72&lt;CPI0_DATE,EO73/EQ72*EQ73,EXP(_xll.qInterp(EP72,$EJ$10:$EJ$19,$EK$10:$EK$19))))</f>
        <v>0.69406720537863664</v>
      </c>
      <c r="EP72" s="190">
        <f t="shared" si="42"/>
        <v>12</v>
      </c>
      <c r="EQ72" s="182">
        <f t="shared" si="46"/>
        <v>0</v>
      </c>
      <c r="ER72" s="186">
        <f t="shared" si="43"/>
        <v>254.58629312935813</v>
      </c>
      <c r="ES72" s="184">
        <f t="shared" si="48"/>
        <v>0.77592591689905621</v>
      </c>
      <c r="ET72" s="184">
        <f t="shared" si="49"/>
        <v>0.77893622204162627</v>
      </c>
      <c r="EU72" s="184">
        <f t="shared" si="47"/>
        <v>3.1400145536868207</v>
      </c>
    </row>
    <row r="73" spans="5:151">
      <c r="F73" s="596" t="s">
        <v>13</v>
      </c>
      <c r="G73" s="623" t="s">
        <v>80</v>
      </c>
      <c r="I73" s="623" t="s">
        <v>74</v>
      </c>
      <c r="L73" s="596" t="s">
        <v>81</v>
      </c>
      <c r="M73" s="629" t="str">
        <f ca="1">_xll.RtUpdate("IDN",G73,I73,N73,,RTMODE_RATES)</f>
        <v>Updated at 17:02:40</v>
      </c>
      <c r="N73" s="624" t="s">
        <v>790</v>
      </c>
      <c r="O73" s="632" t="str">
        <v/>
      </c>
      <c r="P73" s="635">
        <f t="shared" si="44"/>
        <v>54</v>
      </c>
      <c r="Q73" s="635">
        <f t="shared" si="45"/>
        <v>50</v>
      </c>
      <c r="BD73" s="1"/>
      <c r="BE73" s="2"/>
      <c r="BJ73" s="27"/>
      <c r="BK73" s="617"/>
      <c r="BL73" s="617"/>
      <c r="BM73" s="617"/>
      <c r="BN73" s="617"/>
      <c r="BO73" s="617"/>
      <c r="BP73" s="8"/>
      <c r="BQ73" s="640"/>
      <c r="BT73" s="3"/>
      <c r="CK73" s="206" t="s">
        <v>9</v>
      </c>
      <c r="CL73" s="206" t="s">
        <v>26</v>
      </c>
      <c r="CM73" s="202" t="str">
        <v>AUBP1YX5Y=ICAA</v>
      </c>
      <c r="CP73" s="212">
        <v>5.5</v>
      </c>
      <c r="EN73" s="213">
        <f t="shared" si="27"/>
        <v>45107</v>
      </c>
      <c r="EO73" s="224">
        <f>IF(EN73=CPI0_DATE,1,IF(EN73&lt;CPI0_DATE,EO74/EQ73*EQ74,EXP(_xll.qInterp(EP73,$EJ$10:$EJ$19,$EK$10:$EK$19))))</f>
        <v>0.68880674245246232</v>
      </c>
      <c r="EP73" s="190">
        <f t="shared" si="42"/>
        <v>12.25</v>
      </c>
      <c r="EQ73" s="182">
        <f t="shared" si="46"/>
        <v>0</v>
      </c>
      <c r="ER73" s="186">
        <f t="shared" si="43"/>
        <v>256.53058559047838</v>
      </c>
      <c r="ES73" s="184">
        <f t="shared" si="48"/>
        <v>0.76370665412546224</v>
      </c>
      <c r="ET73" s="184">
        <f t="shared" si="49"/>
        <v>0.77277918444147442</v>
      </c>
      <c r="EU73" s="184">
        <f t="shared" si="47"/>
        <v>3.1275086409022324</v>
      </c>
    </row>
    <row r="74" spans="5:151">
      <c r="F74" s="596" t="s">
        <v>14</v>
      </c>
      <c r="G74" s="623" t="s">
        <v>80</v>
      </c>
      <c r="I74" s="623" t="s">
        <v>75</v>
      </c>
      <c r="L74" s="596" t="s">
        <v>81</v>
      </c>
      <c r="M74" s="629" t="str">
        <f ca="1">_xll.RtUpdate("IDN",G74,I74,N74,,RTMODE_RATES)</f>
        <v>Updated at 17:02:40</v>
      </c>
      <c r="N74" s="624" t="s">
        <v>792</v>
      </c>
      <c r="O74" s="632" t="str">
        <v/>
      </c>
      <c r="P74" s="635">
        <f t="shared" si="44"/>
        <v>56</v>
      </c>
      <c r="Q74" s="635">
        <f t="shared" si="45"/>
        <v>52</v>
      </c>
      <c r="BD74" s="1"/>
      <c r="BE74" s="2"/>
      <c r="BJ74" s="27"/>
      <c r="BK74" s="617"/>
      <c r="BL74" s="617"/>
      <c r="BM74" s="617"/>
      <c r="BN74" s="617"/>
      <c r="BO74" s="617"/>
      <c r="BP74" s="8"/>
      <c r="BQ74" s="640"/>
      <c r="BT74" s="3"/>
      <c r="CK74" s="206" t="s">
        <v>9</v>
      </c>
      <c r="CL74" s="206" t="s">
        <v>27</v>
      </c>
      <c r="CM74" s="202" t="str">
        <v>AUBP2YX5Y=ICAA</v>
      </c>
      <c r="CP74" s="212">
        <v>5.6</v>
      </c>
      <c r="EN74" s="213">
        <f t="shared" si="27"/>
        <v>45199</v>
      </c>
      <c r="EO74" s="224">
        <f>IF(EN74=CPI0_DATE,1,IF(EN74&lt;CPI0_DATE,EO75/EQ74*EQ75,EXP(_xll.qInterp(EP74,$EJ$10:$EJ$19,$EK$10:$EK$19))))</f>
        <v>0.68358614954173191</v>
      </c>
      <c r="EP74" s="190">
        <f t="shared" si="42"/>
        <v>12.5</v>
      </c>
      <c r="EQ74" s="182">
        <f t="shared" si="46"/>
        <v>0</v>
      </c>
      <c r="ER74" s="186">
        <f t="shared" si="43"/>
        <v>258.48972674249995</v>
      </c>
      <c r="ES74" s="184">
        <f t="shared" si="48"/>
        <v>0.76370665412548444</v>
      </c>
      <c r="ET74" s="184">
        <f t="shared" si="49"/>
        <v>0.76662289339325396</v>
      </c>
      <c r="EU74" s="184">
        <f t="shared" si="47"/>
        <v>3.1150042444821668</v>
      </c>
    </row>
    <row r="75" spans="5:151">
      <c r="F75" s="596" t="s">
        <v>15</v>
      </c>
      <c r="G75" s="623" t="s">
        <v>80</v>
      </c>
      <c r="I75" s="623" t="s">
        <v>76</v>
      </c>
      <c r="L75" s="596" t="s">
        <v>81</v>
      </c>
      <c r="M75" s="629" t="str">
        <f ca="1">_xll.RtUpdate("IDN",G75,I75,N75,,RTMODE_RATES)</f>
        <v>Updated at 17:02:40</v>
      </c>
      <c r="N75" s="624" t="s">
        <v>791</v>
      </c>
      <c r="O75" s="632" t="str">
        <v/>
      </c>
      <c r="P75" s="635">
        <f t="shared" si="44"/>
        <v>61.25</v>
      </c>
      <c r="Q75" s="635">
        <f t="shared" si="45"/>
        <v>57.25</v>
      </c>
      <c r="CK75" s="206" t="s">
        <v>9</v>
      </c>
      <c r="CL75" s="206" t="s">
        <v>7</v>
      </c>
      <c r="CM75" s="202" t="str">
        <v>AUBP3YX5Y=ICAA</v>
      </c>
      <c r="CP75" s="212">
        <v>5.4</v>
      </c>
      <c r="EN75" s="213">
        <f t="shared" si="27"/>
        <v>45291</v>
      </c>
      <c r="EO75" s="224">
        <f>IF(EN75=CPI0_DATE,1,IF(EN75&lt;CPI0_DATE,EO76/EQ75*EQ76,EXP(_xll.qInterp(EP75,$EJ$10:$EJ$19,$EK$10:$EK$19))))</f>
        <v>0.67840512446427015</v>
      </c>
      <c r="EP75" s="190">
        <f t="shared" si="42"/>
        <v>12.75</v>
      </c>
      <c r="EQ75" s="182">
        <f t="shared" si="46"/>
        <v>0</v>
      </c>
      <c r="ER75" s="186">
        <f t="shared" si="43"/>
        <v>260.46382998586319</v>
      </c>
      <c r="ES75" s="184">
        <f t="shared" si="48"/>
        <v>0.76370665412548444</v>
      </c>
      <c r="ET75" s="184">
        <f t="shared" si="49"/>
        <v>0.76662289339326506</v>
      </c>
      <c r="EU75" s="184">
        <f t="shared" si="47"/>
        <v>3.1025013642427046</v>
      </c>
    </row>
    <row r="76" spans="5:151">
      <c r="F76" s="596" t="s">
        <v>16</v>
      </c>
      <c r="G76" s="623" t="s">
        <v>80</v>
      </c>
      <c r="I76" s="623" t="s">
        <v>77</v>
      </c>
      <c r="L76" s="596" t="s">
        <v>81</v>
      </c>
      <c r="M76" s="629" t="str">
        <f ca="1">_xll.RtUpdate("IDN",G76,I76,N76,,RTMODE_RATES)</f>
        <v>Updated at 17:02:40</v>
      </c>
      <c r="N76" s="624" t="s">
        <v>799</v>
      </c>
      <c r="O76" s="632" t="str">
        <v/>
      </c>
      <c r="P76" s="635">
        <f t="shared" si="44"/>
        <v>64.25</v>
      </c>
      <c r="Q76" s="635">
        <f t="shared" si="45"/>
        <v>60.25</v>
      </c>
      <c r="CK76" s="206" t="s">
        <v>9</v>
      </c>
      <c r="CL76" s="206" t="s">
        <v>8</v>
      </c>
      <c r="CM76" s="202" t="str">
        <v>AUBP4YX5Y=ICAA</v>
      </c>
      <c r="CP76" s="212">
        <v>5.25</v>
      </c>
      <c r="EN76" s="213">
        <f t="shared" si="27"/>
        <v>45382</v>
      </c>
      <c r="EO76" s="224">
        <f>IF(EN76=CPI0_DATE,1,IF(EN76&lt;CPI0_DATE,EO77/EQ76*EQ77,EXP(_xll.qInterp(EP76,$EJ$10:$EJ$19,$EK$10:$EK$19))))</f>
        <v>0.67326336732819547</v>
      </c>
      <c r="EP76" s="190">
        <f t="shared" si="42"/>
        <v>13</v>
      </c>
      <c r="EQ76" s="182">
        <f t="shared" si="46"/>
        <v>0</v>
      </c>
      <c r="ER76" s="186">
        <f t="shared" si="43"/>
        <v>262.45300958705531</v>
      </c>
      <c r="ES76" s="184">
        <f t="shared" si="48"/>
        <v>0.76370665412548444</v>
      </c>
      <c r="ET76" s="184">
        <f t="shared" si="49"/>
        <v>0.76662289339325396</v>
      </c>
      <c r="EU76" s="184">
        <f t="shared" si="47"/>
        <v>3.090000000000015</v>
      </c>
    </row>
    <row r="77" spans="5:151">
      <c r="F77" s="596" t="s">
        <v>17</v>
      </c>
      <c r="G77" s="623" t="s">
        <v>80</v>
      </c>
      <c r="I77" s="623" t="s">
        <v>78</v>
      </c>
      <c r="L77" s="596" t="s">
        <v>81</v>
      </c>
      <c r="M77" s="629" t="str">
        <f ca="1">_xll.RtUpdate("IDN",G77,I77,N77,,RTMODE_RATES)</f>
        <v>Updated at 17:02:40</v>
      </c>
      <c r="N77" s="624" t="s">
        <v>800</v>
      </c>
      <c r="O77" s="632" t="str">
        <v/>
      </c>
      <c r="P77" s="635">
        <f t="shared" si="44"/>
        <v>54.75</v>
      </c>
      <c r="Q77" s="635">
        <f t="shared" si="45"/>
        <v>50.75</v>
      </c>
      <c r="CK77" s="206" t="s">
        <v>9</v>
      </c>
      <c r="CL77" s="206" t="s">
        <v>9</v>
      </c>
      <c r="CM77" s="202" t="str">
        <v>AUBP5YX5Y=ICAA</v>
      </c>
      <c r="CP77" s="212">
        <v>5.0999999999999996</v>
      </c>
      <c r="EN77" s="213">
        <f t="shared" si="27"/>
        <v>45473</v>
      </c>
      <c r="EO77" s="224">
        <f>IF(EN77=CPI0_DATE,1,IF(EN77&lt;CPI0_DATE,EO78/EQ77*EQ78,EXP(_xll.qInterp(EP77,$EJ$10:$EJ$19,$EK$10:$EK$19))))</f>
        <v>0.66816058051456229</v>
      </c>
      <c r="EP77" s="190">
        <f t="shared" si="42"/>
        <v>13.25</v>
      </c>
      <c r="EQ77" s="182">
        <f t="shared" si="46"/>
        <v>0</v>
      </c>
      <c r="ER77" s="186">
        <f t="shared" si="43"/>
        <v>264.45738068522422</v>
      </c>
      <c r="ES77" s="184">
        <f t="shared" si="48"/>
        <v>0.76370665412548444</v>
      </c>
      <c r="ET77" s="184">
        <f t="shared" si="49"/>
        <v>0.76662289339325396</v>
      </c>
      <c r="EU77" s="184">
        <f t="shared" si="47"/>
        <v>3.090000000000015</v>
      </c>
    </row>
    <row r="78" spans="5:151">
      <c r="F78" s="596" t="s">
        <v>18</v>
      </c>
      <c r="G78" s="596" t="s">
        <v>80</v>
      </c>
      <c r="L78" s="596" t="s">
        <v>81</v>
      </c>
      <c r="M78" s="629"/>
      <c r="N78" s="624"/>
      <c r="O78" s="632" t="str">
        <v/>
      </c>
      <c r="P78" s="635" t="str">
        <f t="array" ref="P78:Q78">""</f>
        <v/>
      </c>
      <c r="Q78" s="635" t="str">
        <v/>
      </c>
      <c r="CK78" s="206" t="s">
        <v>9</v>
      </c>
      <c r="CL78" s="206" t="s">
        <v>11</v>
      </c>
      <c r="CM78" s="202" t="str">
        <v>AUBP7YX5Y=ICAA</v>
      </c>
      <c r="CP78" s="212">
        <v>5.0999999999999996</v>
      </c>
      <c r="EN78" s="213">
        <f t="shared" si="27"/>
        <v>45565</v>
      </c>
      <c r="EO78" s="224">
        <f>IF(EN78=CPI0_DATE,1,IF(EN78&lt;CPI0_DATE,EO79/EQ78*EQ79,EXP(_xll.qInterp(EP78,$EJ$10:$EJ$19,$EK$10:$EK$19))))</f>
        <v>0.66309646866013383</v>
      </c>
      <c r="EP78" s="190">
        <f t="shared" si="42"/>
        <v>13.5</v>
      </c>
      <c r="EQ78" s="182">
        <f t="shared" si="46"/>
        <v>0</v>
      </c>
      <c r="ER78" s="186">
        <f t="shared" si="43"/>
        <v>266.47705929884319</v>
      </c>
      <c r="ES78" s="184">
        <f t="shared" si="48"/>
        <v>0.76370665412546224</v>
      </c>
      <c r="ET78" s="184">
        <f t="shared" si="49"/>
        <v>0.76662289339324285</v>
      </c>
      <c r="EU78" s="184">
        <f t="shared" si="47"/>
        <v>3.0899999999999928</v>
      </c>
    </row>
    <row r="79" spans="5:151">
      <c r="F79" s="596" t="s">
        <v>19</v>
      </c>
      <c r="G79" s="623" t="s">
        <v>80</v>
      </c>
      <c r="I79" s="623" t="s">
        <v>79</v>
      </c>
      <c r="L79" s="596" t="s">
        <v>81</v>
      </c>
      <c r="M79" s="629" t="str">
        <f ca="1">_xll.RtUpdate("IDN",G79,I79,N79,,RTMODE_RATES)</f>
        <v>Updated at 17:02:40</v>
      </c>
      <c r="N79" s="624" t="s">
        <v>797</v>
      </c>
      <c r="O79" s="632" t="str">
        <v/>
      </c>
      <c r="P79" s="635">
        <f t="shared" si="44"/>
        <v>27</v>
      </c>
      <c r="Q79" s="635">
        <f t="shared" si="45"/>
        <v>23</v>
      </c>
      <c r="CK79" s="206" t="s">
        <v>9</v>
      </c>
      <c r="CL79" s="206" t="s">
        <v>14</v>
      </c>
      <c r="CM79" s="202" t="str">
        <v>AUBP10YX5Y=ICAA</v>
      </c>
      <c r="CP79" s="212">
        <v>5.05</v>
      </c>
      <c r="EN79" s="213">
        <f t="shared" si="27"/>
        <v>45657</v>
      </c>
      <c r="EO79" s="224">
        <f>IF(EN79=CPI0_DATE,1,IF(EN79&lt;CPI0_DATE,EO80/EQ79*EQ80,EXP(_xll.qInterp(EP79,$EJ$10:$EJ$19,$EK$10:$EK$19))))</f>
        <v>0.65807073864028531</v>
      </c>
      <c r="EP79" s="190">
        <f t="shared" si="42"/>
        <v>13.75</v>
      </c>
      <c r="EQ79" s="182">
        <f t="shared" si="46"/>
        <v>0</v>
      </c>
      <c r="ER79" s="186">
        <f t="shared" si="43"/>
        <v>268.51216233242633</v>
      </c>
      <c r="ES79" s="184">
        <f t="shared" si="48"/>
        <v>0.76370665412546224</v>
      </c>
      <c r="ET79" s="184">
        <f t="shared" si="49"/>
        <v>0.76662289339324285</v>
      </c>
      <c r="EU79" s="184">
        <f t="shared" si="47"/>
        <v>3.0899999999999928</v>
      </c>
    </row>
    <row r="80" spans="5:151">
      <c r="F80" s="596" t="s">
        <v>28</v>
      </c>
      <c r="P80" s="632" t="str">
        <f t="array" ref="P80:Q80">""</f>
        <v/>
      </c>
      <c r="Q80" s="633" t="str">
        <v/>
      </c>
      <c r="EN80" s="213">
        <f t="shared" si="27"/>
        <v>45747</v>
      </c>
      <c r="EO80" s="224">
        <f>IF(EN80=CPI0_DATE,1,IF(EN80&lt;CPI0_DATE,EO81/EQ80*EQ81,EXP(_xll.qInterp(EP80,$EJ$10:$EJ$19,$EK$10:$EK$19))))</f>
        <v>0.65308309955203747</v>
      </c>
      <c r="EP80" s="190">
        <f t="shared" si="42"/>
        <v>14</v>
      </c>
      <c r="EQ80" s="182">
        <f t="shared" si="46"/>
        <v>0</v>
      </c>
      <c r="ER80" s="186">
        <f t="shared" si="43"/>
        <v>270.5628075832953</v>
      </c>
      <c r="ES80" s="184">
        <f t="shared" si="48"/>
        <v>0.76370665412548444</v>
      </c>
      <c r="ET80" s="184">
        <f t="shared" si="49"/>
        <v>0.76662289339325396</v>
      </c>
      <c r="EU80" s="184">
        <f t="shared" si="47"/>
        <v>3.0899999999999928</v>
      </c>
    </row>
    <row r="81" spans="5:151">
      <c r="CJ81" s="202" t="s">
        <v>284</v>
      </c>
      <c r="CK81" s="206" t="s">
        <v>110</v>
      </c>
      <c r="CL81" s="206" t="s">
        <v>278</v>
      </c>
      <c r="CM81" s="202" t="s">
        <v>276</v>
      </c>
      <c r="CN81" s="202" t="s">
        <v>277</v>
      </c>
      <c r="EN81" s="213">
        <f t="shared" si="27"/>
        <v>45838</v>
      </c>
      <c r="EO81" s="224">
        <f>IF(EN81=CPI0_DATE,1,IF(EN81&lt;CPI0_DATE,EO82/EQ81*EQ82,EXP(_xll.qInterp(EP81,$EJ$10:$EJ$19,$EK$10:$EK$19))))</f>
        <v>0.64813326269721827</v>
      </c>
      <c r="EP81" s="190">
        <f t="shared" si="42"/>
        <v>14.25</v>
      </c>
      <c r="EQ81" s="182">
        <f t="shared" si="46"/>
        <v>0</v>
      </c>
      <c r="ER81" s="186">
        <f t="shared" si="43"/>
        <v>272.62911374839763</v>
      </c>
      <c r="ES81" s="184">
        <f t="shared" si="48"/>
        <v>0.76370665412548444</v>
      </c>
      <c r="ET81" s="184">
        <f t="shared" si="49"/>
        <v>0.76662289339325396</v>
      </c>
      <c r="EU81" s="184">
        <f t="shared" si="47"/>
        <v>3.0899999999999928</v>
      </c>
    </row>
    <row r="82" spans="5:151">
      <c r="E82" s="596" t="s">
        <v>647</v>
      </c>
      <c r="F82" s="596" t="s">
        <v>26</v>
      </c>
      <c r="G82" s="623" t="s">
        <v>86</v>
      </c>
      <c r="I82" s="623" t="s">
        <v>87</v>
      </c>
      <c r="L82" s="596" t="s">
        <v>81</v>
      </c>
      <c r="M82" s="629" t="str">
        <f ca="1">_xll.RtUpdate("IDN",G82,I82,N82,,RTMODE_RATES)</f>
        <v>Updated at 17:02:55</v>
      </c>
      <c r="N82" s="624" t="s">
        <v>773</v>
      </c>
      <c r="O82" s="632" t="str">
        <f t="array" ref="O82:O97">""</f>
        <v/>
      </c>
      <c r="P82" s="635">
        <f>MID(N82,6,6)+0</f>
        <v>5.1559999999999997</v>
      </c>
      <c r="Q82" s="635">
        <f>MID(N82,13,6)+0</f>
        <v>5.1360000000000001</v>
      </c>
      <c r="R82" s="596" t="s">
        <v>81</v>
      </c>
      <c r="CK82" s="206" t="s">
        <v>11</v>
      </c>
      <c r="CL82" s="206" t="s">
        <v>0</v>
      </c>
      <c r="CM82" s="202" t="str">
        <f t="array" ref="CM82:CM92">"AUBP"&amp;CL82:CL92&amp;"X"&amp;CK82:CK92&amp;"=ICAA"</f>
        <v>AUBP1MX7Y=ICAA</v>
      </c>
      <c r="CN82" s="202" t="s">
        <v>223</v>
      </c>
      <c r="CO82" s="202" t="str">
        <f ca="1">_xll.RtUpdate("IDN",CM82:CM92,CN82,CP82,,RTMODE_VOLS)</f>
        <v>Updated at 16:52:06</v>
      </c>
      <c r="CP82" s="212">
        <v>4.4000000000000004</v>
      </c>
      <c r="EN82" s="213">
        <f t="shared" si="27"/>
        <v>45930</v>
      </c>
      <c r="EO82" s="224">
        <f>IF(EN82=CPI0_DATE,1,IF(EN82&lt;CPI0_DATE,EO83/EQ82*EQ83,EXP(_xll.qInterp(EP82,$EJ$10:$EJ$19,$EK$10:$EK$19))))</f>
        <v>0.64322094156575216</v>
      </c>
      <c r="EP82" s="190">
        <f t="shared" si="42"/>
        <v>14.5</v>
      </c>
      <c r="EQ82" s="182">
        <f t="shared" si="46"/>
        <v>0</v>
      </c>
      <c r="ER82" s="186">
        <f t="shared" si="43"/>
        <v>274.71120043117742</v>
      </c>
      <c r="ES82" s="184">
        <f t="shared" si="48"/>
        <v>0.76370665412546224</v>
      </c>
      <c r="ET82" s="184">
        <f t="shared" si="49"/>
        <v>0.76662289339324285</v>
      </c>
      <c r="EU82" s="184">
        <f t="shared" si="47"/>
        <v>3.0899999999999928</v>
      </c>
    </row>
    <row r="83" spans="5:151">
      <c r="F83" s="596" t="s">
        <v>27</v>
      </c>
      <c r="G83" s="623" t="s">
        <v>86</v>
      </c>
      <c r="I83" s="623" t="s">
        <v>88</v>
      </c>
      <c r="L83" s="596" t="s">
        <v>81</v>
      </c>
      <c r="M83" s="629" t="str">
        <f ca="1">_xll.RtUpdate("IDN",G83,I83,N83,,RTMODE_RATES)</f>
        <v>Updated at 17:01:45</v>
      </c>
      <c r="N83" s="624" t="s">
        <v>775</v>
      </c>
      <c r="O83" s="632" t="str">
        <v/>
      </c>
      <c r="P83" s="635">
        <f t="array" ref="P83:P97">MID(N83:N97,20,7)+0</f>
        <v>19.5</v>
      </c>
      <c r="Q83" s="635">
        <f t="array" ref="Q83:Q97">MID(N83:N97,29,6)+0</f>
        <v>15.5</v>
      </c>
      <c r="R83" s="596" t="s">
        <v>81</v>
      </c>
      <c r="CK83" s="206" t="s">
        <v>11</v>
      </c>
      <c r="CL83" s="206" t="s">
        <v>1</v>
      </c>
      <c r="CM83" s="202" t="str">
        <v>AUBP2MX7Y=ICAA</v>
      </c>
      <c r="CN83" s="205"/>
      <c r="CP83" s="212">
        <v>4.5</v>
      </c>
      <c r="EN83" s="213">
        <f t="shared" si="27"/>
        <v>46022</v>
      </c>
      <c r="EO83" s="224">
        <f>IF(EN83=CPI0_DATE,1,IF(EN83&lt;CPI0_DATE,EO84/EQ83*EQ84,EXP(_xll.qInterp(EP83,$EJ$10:$EJ$19,$EK$10:$EK$19))))</f>
        <v>0.63834585181907588</v>
      </c>
      <c r="EP83" s="190">
        <f t="shared" si="42"/>
        <v>14.75</v>
      </c>
      <c r="EQ83" s="182">
        <f t="shared" si="46"/>
        <v>0</v>
      </c>
      <c r="ER83" s="186">
        <f t="shared" si="43"/>
        <v>276.80918814849832</v>
      </c>
      <c r="ES83" s="184">
        <f t="shared" si="48"/>
        <v>0.76370665412548444</v>
      </c>
      <c r="ET83" s="184">
        <f t="shared" si="49"/>
        <v>0.76662289339325396</v>
      </c>
      <c r="EU83" s="184">
        <f t="shared" si="47"/>
        <v>3.090000000000015</v>
      </c>
    </row>
    <row r="84" spans="5:151">
      <c r="F84" s="596" t="s">
        <v>7</v>
      </c>
      <c r="G84" s="623" t="s">
        <v>86</v>
      </c>
      <c r="I84" s="623" t="s">
        <v>89</v>
      </c>
      <c r="L84" s="596" t="s">
        <v>81</v>
      </c>
      <c r="M84" s="629" t="str">
        <f ca="1">_xll.RtUpdate("IDN",G84,I84,N84,,RTMODE_RATES)</f>
        <v>Updated at 17:01:45</v>
      </c>
      <c r="N84" s="624" t="s">
        <v>778</v>
      </c>
      <c r="O84" s="632" t="str">
        <v/>
      </c>
      <c r="P84" s="635">
        <v>29.5</v>
      </c>
      <c r="Q84" s="635">
        <v>25.5</v>
      </c>
      <c r="R84" s="596" t="s">
        <v>81</v>
      </c>
      <c r="CK84" s="206" t="s">
        <v>11</v>
      </c>
      <c r="CL84" s="206" t="s">
        <v>2</v>
      </c>
      <c r="CM84" s="202" t="str">
        <v>AUBP3MX7Y=ICAA</v>
      </c>
      <c r="CP84" s="212">
        <v>4.8</v>
      </c>
      <c r="EN84" s="213">
        <f t="shared" si="27"/>
        <v>46112</v>
      </c>
      <c r="EO84" s="224">
        <f>IF(EN84=CPI0_DATE,1,IF(EN84&lt;CPI0_DATE,EO85/EQ84*EQ85,EXP(_xll.qInterp(EP84,$EJ$10:$EJ$19,$EK$10:$EK$19))))</f>
        <v>0.63350771127368077</v>
      </c>
      <c r="EP84" s="190">
        <f t="shared" si="42"/>
        <v>15</v>
      </c>
      <c r="EQ84" s="182">
        <f t="shared" si="46"/>
        <v>0</v>
      </c>
      <c r="ER84" s="186">
        <f t="shared" si="43"/>
        <v>278.92319833761911</v>
      </c>
      <c r="ES84" s="184">
        <f t="shared" si="48"/>
        <v>0.76370665412548444</v>
      </c>
      <c r="ET84" s="184">
        <f t="shared" si="49"/>
        <v>0.76662289339325396</v>
      </c>
      <c r="EU84" s="184">
        <f t="shared" si="47"/>
        <v>3.0899999999999928</v>
      </c>
    </row>
    <row r="85" spans="5:151">
      <c r="F85" s="596" t="s">
        <v>8</v>
      </c>
      <c r="G85" s="623" t="s">
        <v>86</v>
      </c>
      <c r="I85" s="623" t="s">
        <v>90</v>
      </c>
      <c r="L85" s="596" t="s">
        <v>81</v>
      </c>
      <c r="M85" s="629" t="str">
        <f ca="1">_xll.RtUpdate("IDN",G85,I85,N85,,RTMODE_RATES)</f>
        <v>Updated at 17:01:45</v>
      </c>
      <c r="N85" s="624" t="s">
        <v>776</v>
      </c>
      <c r="O85" s="632" t="str">
        <v/>
      </c>
      <c r="P85" s="635">
        <v>50.5</v>
      </c>
      <c r="Q85" s="635">
        <v>46.5</v>
      </c>
      <c r="R85" s="596" t="s">
        <v>81</v>
      </c>
      <c r="CK85" s="206" t="s">
        <v>11</v>
      </c>
      <c r="CL85" s="206" t="s">
        <v>5</v>
      </c>
      <c r="CM85" s="202" t="str">
        <v>AUBP6MX7Y=ICAA</v>
      </c>
      <c r="CP85" s="212">
        <v>5.05</v>
      </c>
      <c r="EN85" s="213">
        <f t="shared" si="27"/>
        <v>46203</v>
      </c>
      <c r="EO85" s="224">
        <f>IF(EN85=CPI0_DATE,1,IF(EN85&lt;CPI0_DATE,EO86/EQ85*EQ86,EXP(_xll.qInterp(EP85,$EJ$10:$EJ$19,$EK$10:$EK$19))))</f>
        <v>0.62864525964812645</v>
      </c>
      <c r="EP85" s="190">
        <f t="shared" si="42"/>
        <v>15.25</v>
      </c>
      <c r="EQ85" s="182">
        <f t="shared" si="46"/>
        <v>0</v>
      </c>
      <c r="ER85" s="186">
        <f t="shared" si="43"/>
        <v>281.0806162745979</v>
      </c>
      <c r="ES85" s="184">
        <f t="shared" si="48"/>
        <v>0.77348099757819089</v>
      </c>
      <c r="ET85" s="184">
        <f t="shared" si="49"/>
        <v>0.77154738877528439</v>
      </c>
      <c r="EU85" s="184">
        <f t="shared" si="47"/>
        <v>3.0999999999999694</v>
      </c>
    </row>
    <row r="86" spans="5:151">
      <c r="F86" s="596" t="s">
        <v>9</v>
      </c>
      <c r="G86" s="623" t="s">
        <v>86</v>
      </c>
      <c r="I86" s="623" t="s">
        <v>91</v>
      </c>
      <c r="L86" s="596" t="s">
        <v>81</v>
      </c>
      <c r="M86" s="629" t="str">
        <f ca="1">_xll.RtUpdate("IDN",G86,I86,N86,,RTMODE_RATES)</f>
        <v>Updated at 17:01:45</v>
      </c>
      <c r="N86" s="624" t="s">
        <v>777</v>
      </c>
      <c r="O86" s="632" t="str">
        <v/>
      </c>
      <c r="P86" s="635">
        <v>61</v>
      </c>
      <c r="Q86" s="635">
        <v>57</v>
      </c>
      <c r="R86" s="596" t="s">
        <v>81</v>
      </c>
      <c r="CK86" s="206" t="s">
        <v>11</v>
      </c>
      <c r="CL86" s="206" t="s">
        <v>26</v>
      </c>
      <c r="CM86" s="202" t="str">
        <v>AUBP1YX7Y=ICAA</v>
      </c>
      <c r="CP86" s="212">
        <v>5.35</v>
      </c>
      <c r="EN86" s="213">
        <f t="shared" si="27"/>
        <v>46295</v>
      </c>
      <c r="EO86" s="224">
        <f>IF(EN86=CPI0_DATE,1,IF(EN86&lt;CPI0_DATE,EO87/EQ86*EQ87,EXP(_xll.qInterp(EP86,$EJ$10:$EJ$19,$EK$10:$EK$19))))</f>
        <v>0.62382012948747312</v>
      </c>
      <c r="EP86" s="190">
        <f t="shared" si="42"/>
        <v>15.5</v>
      </c>
      <c r="EQ86" s="182">
        <f t="shared" si="46"/>
        <v>0</v>
      </c>
      <c r="ER86" s="186">
        <f t="shared" si="43"/>
        <v>283.25472142935763</v>
      </c>
      <c r="ES86" s="184">
        <f t="shared" si="48"/>
        <v>0.77348099757821309</v>
      </c>
      <c r="ET86" s="184">
        <f t="shared" si="49"/>
        <v>0.77647236184626989</v>
      </c>
      <c r="EU86" s="184">
        <f t="shared" si="47"/>
        <v>3.1100009700261833</v>
      </c>
    </row>
    <row r="87" spans="5:151">
      <c r="F87" s="596" t="s">
        <v>10</v>
      </c>
      <c r="G87" s="623" t="s">
        <v>86</v>
      </c>
      <c r="I87" s="623" t="s">
        <v>92</v>
      </c>
      <c r="L87" s="596" t="s">
        <v>81</v>
      </c>
      <c r="M87" s="629" t="str">
        <f ca="1">_xll.RtUpdate("IDN",G87,I87,N87,,RTMODE_RATES)</f>
        <v>Updated at 17:02:04</v>
      </c>
      <c r="N87" s="624" t="s">
        <v>785</v>
      </c>
      <c r="O87" s="632" t="str">
        <v/>
      </c>
      <c r="P87" s="635">
        <v>37</v>
      </c>
      <c r="Q87" s="635">
        <v>33</v>
      </c>
      <c r="R87" s="596" t="s">
        <v>81</v>
      </c>
      <c r="CK87" s="206" t="s">
        <v>11</v>
      </c>
      <c r="CL87" s="206" t="s">
        <v>27</v>
      </c>
      <c r="CM87" s="202" t="str">
        <v>AUBP2YX7Y=ICAA</v>
      </c>
      <c r="CP87" s="212">
        <v>5.45</v>
      </c>
      <c r="EN87" s="213">
        <f t="shared" si="27"/>
        <v>46387</v>
      </c>
      <c r="EO87" s="224">
        <f>IF(EN87=CPI0_DATE,1,IF(EN87&lt;CPI0_DATE,EO88/EQ87*EQ88,EXP(_xll.qInterp(EP87,$EJ$10:$EJ$19,$EK$10:$EK$19))))</f>
        <v>0.6190320343329857</v>
      </c>
      <c r="EP87" s="190">
        <f t="shared" si="42"/>
        <v>15.75</v>
      </c>
      <c r="EQ87" s="182">
        <f t="shared" si="46"/>
        <v>0</v>
      </c>
      <c r="ER87" s="186">
        <f t="shared" si="43"/>
        <v>285.44564287435679</v>
      </c>
      <c r="ES87" s="184">
        <f t="shared" si="48"/>
        <v>0.77348099757821309</v>
      </c>
      <c r="ET87" s="184">
        <f t="shared" si="49"/>
        <v>0.77647236184628099</v>
      </c>
      <c r="EU87" s="184">
        <f t="shared" si="47"/>
        <v>3.1200029101726701</v>
      </c>
    </row>
    <row r="88" spans="5:151">
      <c r="F88" s="596" t="s">
        <v>11</v>
      </c>
      <c r="G88" s="623" t="s">
        <v>86</v>
      </c>
      <c r="I88" s="623" t="s">
        <v>93</v>
      </c>
      <c r="L88" s="596" t="s">
        <v>81</v>
      </c>
      <c r="M88" s="629" t="str">
        <f ca="1">_xll.RtUpdate("IDN",G88,I88,N88,,RTMODE_RATES)</f>
        <v>Updated at 17:02:04</v>
      </c>
      <c r="N88" s="624" t="s">
        <v>786</v>
      </c>
      <c r="O88" s="632" t="str">
        <v/>
      </c>
      <c r="P88" s="635">
        <v>45.5</v>
      </c>
      <c r="Q88" s="635">
        <v>41.5</v>
      </c>
      <c r="R88" s="596" t="s">
        <v>81</v>
      </c>
      <c r="CK88" s="206" t="s">
        <v>11</v>
      </c>
      <c r="CL88" s="206" t="s">
        <v>7</v>
      </c>
      <c r="CM88" s="202" t="str">
        <v>AUBP3YX7Y=ICAA</v>
      </c>
      <c r="CP88" s="212">
        <v>5.3</v>
      </c>
      <c r="EN88" s="213">
        <f t="shared" si="27"/>
        <v>46477</v>
      </c>
      <c r="EO88" s="224">
        <f>IF(EN88=CPI0_DATE,1,IF(EN88&lt;CPI0_DATE,EO89/EQ88*EQ89,EXP(_xll.qInterp(EP88,$EJ$10:$EJ$19,$EK$10:$EK$19))))</f>
        <v>0.61428068992462648</v>
      </c>
      <c r="EP88" s="190">
        <f t="shared" si="42"/>
        <v>16</v>
      </c>
      <c r="EQ88" s="182">
        <f t="shared" si="46"/>
        <v>0</v>
      </c>
      <c r="ER88" s="186">
        <f t="shared" si="43"/>
        <v>287.65351068040485</v>
      </c>
      <c r="ES88" s="184">
        <f t="shared" si="48"/>
        <v>0.77348099757819089</v>
      </c>
      <c r="ET88" s="184">
        <f t="shared" si="49"/>
        <v>0.77647236184626989</v>
      </c>
      <c r="EU88" s="184">
        <f t="shared" si="47"/>
        <v>3.1300058205335324</v>
      </c>
    </row>
    <row r="89" spans="5:151">
      <c r="F89" s="596" t="s">
        <v>12</v>
      </c>
      <c r="G89" s="623" t="s">
        <v>86</v>
      </c>
      <c r="I89" s="623" t="s">
        <v>94</v>
      </c>
      <c r="L89" s="596" t="s">
        <v>81</v>
      </c>
      <c r="M89" s="629" t="str">
        <f ca="1">_xll.RtUpdate("IDN",G89,I89,N89,,RTMODE_RATES)</f>
        <v>Updated at 17:02:04</v>
      </c>
      <c r="N89" s="624" t="s">
        <v>784</v>
      </c>
      <c r="O89" s="632" t="str">
        <v/>
      </c>
      <c r="P89" s="635">
        <v>49.75</v>
      </c>
      <c r="Q89" s="635">
        <v>45.75</v>
      </c>
      <c r="R89" s="596" t="s">
        <v>81</v>
      </c>
      <c r="CK89" s="206" t="s">
        <v>11</v>
      </c>
      <c r="CL89" s="206" t="s">
        <v>8</v>
      </c>
      <c r="CM89" s="202" t="str">
        <v>AUBP4YX7Y=ICAA</v>
      </c>
      <c r="CP89" s="212">
        <v>5.18</v>
      </c>
      <c r="EN89" s="213">
        <f t="shared" si="27"/>
        <v>46568</v>
      </c>
      <c r="EO89" s="224">
        <f>IF(EN89=CPI0_DATE,1,IF(EN89&lt;CPI0_DATE,EO90/EQ89*EQ90,EXP(_xll.qInterp(EP89,$EJ$10:$EJ$19,$EK$10:$EK$19))))</f>
        <v>0.6095658141841791</v>
      </c>
      <c r="EP89" s="190">
        <f t="shared" ref="EP89:EP120" si="50">ROUND((EN89-CPI0_DATE)/365/0.25,0)*0.25</f>
        <v>16.25</v>
      </c>
      <c r="EQ89" s="182">
        <f t="shared" si="46"/>
        <v>0</v>
      </c>
      <c r="ER89" s="186">
        <f t="shared" si="43"/>
        <v>289.8784559243843</v>
      </c>
      <c r="ES89" s="184">
        <f t="shared" si="48"/>
        <v>0.77348099757816868</v>
      </c>
      <c r="ET89" s="184">
        <f t="shared" si="49"/>
        <v>0.77647236184625879</v>
      </c>
      <c r="EU89" s="184">
        <f t="shared" si="47"/>
        <v>3.1300058205335102</v>
      </c>
    </row>
    <row r="90" spans="5:151">
      <c r="F90" s="596" t="s">
        <v>13</v>
      </c>
      <c r="G90" s="623" t="s">
        <v>86</v>
      </c>
      <c r="I90" s="623" t="s">
        <v>67</v>
      </c>
      <c r="L90" s="596" t="s">
        <v>81</v>
      </c>
      <c r="M90" s="629" t="str">
        <f ca="1">_xll.RtUpdate("IDN",G90,I90,N90,,RTMODE_RATES)</f>
        <v>Updated at 17:02:04</v>
      </c>
      <c r="N90" s="624" t="s">
        <v>771</v>
      </c>
      <c r="O90" s="632" t="str">
        <v/>
      </c>
      <c r="P90" s="635">
        <v>53</v>
      </c>
      <c r="Q90" s="635">
        <v>49</v>
      </c>
      <c r="R90" s="596" t="s">
        <v>81</v>
      </c>
      <c r="CK90" s="206" t="s">
        <v>11</v>
      </c>
      <c r="CL90" s="206" t="s">
        <v>9</v>
      </c>
      <c r="CM90" s="202" t="str">
        <v>AUBP5YX7Y=ICAA</v>
      </c>
      <c r="CP90" s="212">
        <v>5.09</v>
      </c>
      <c r="EN90" s="213">
        <f t="shared" ref="EN90:EN153" si="51">DATE(YEAR(EN89),MONTH(EN89)+4,1)-1</f>
        <v>46660</v>
      </c>
      <c r="EO90" s="224">
        <f>IF(EN90=CPI0_DATE,1,IF(EN90&lt;CPI0_DATE,EO91/EQ90*EQ91,EXP(_xll.qInterp(EP90,$EJ$10:$EJ$19,$EK$10:$EK$19))))</f>
        <v>0.60488712719850202</v>
      </c>
      <c r="EP90" s="190">
        <f t="shared" si="50"/>
        <v>16.5</v>
      </c>
      <c r="EQ90" s="182">
        <f t="shared" si="46"/>
        <v>0</v>
      </c>
      <c r="ER90" s="186">
        <f t="shared" si="43"/>
        <v>292.12061069703253</v>
      </c>
      <c r="ES90" s="184">
        <f t="shared" si="48"/>
        <v>0.77348099757821309</v>
      </c>
      <c r="ET90" s="184">
        <f t="shared" si="49"/>
        <v>0.77647236184626989</v>
      </c>
      <c r="EU90" s="184">
        <f t="shared" si="47"/>
        <v>3.1300058205335102</v>
      </c>
    </row>
    <row r="91" spans="5:151">
      <c r="F91" s="596" t="s">
        <v>14</v>
      </c>
      <c r="G91" s="623" t="s">
        <v>86</v>
      </c>
      <c r="I91" s="623" t="s">
        <v>68</v>
      </c>
      <c r="L91" s="596" t="s">
        <v>81</v>
      </c>
      <c r="M91" s="629" t="str">
        <f ca="1">_xll.RtUpdate("IDN",G91,I91,N91,,RTMODE_RATES)</f>
        <v>Updated at 17:02:04</v>
      </c>
      <c r="N91" s="624" t="s">
        <v>780</v>
      </c>
      <c r="O91" s="632" t="str">
        <v/>
      </c>
      <c r="P91" s="635">
        <v>56.38</v>
      </c>
      <c r="Q91" s="635">
        <v>52.38</v>
      </c>
      <c r="R91" s="596" t="s">
        <v>81</v>
      </c>
      <c r="CK91" s="206" t="s">
        <v>11</v>
      </c>
      <c r="CL91" s="206" t="s">
        <v>11</v>
      </c>
      <c r="CM91" s="202" t="str">
        <v>AUBP7YX7Y=ICAA</v>
      </c>
      <c r="CP91" s="212">
        <v>5.08</v>
      </c>
      <c r="EN91" s="213">
        <f t="shared" si="51"/>
        <v>46752</v>
      </c>
      <c r="EO91" s="224">
        <f>IF(EN91=CPI0_DATE,1,IF(EN91&lt;CPI0_DATE,EO92/EQ91*EQ92,EXP(_xll.qInterp(EP91,$EJ$10:$EJ$19,$EK$10:$EK$19))))</f>
        <v>0.60024435120291098</v>
      </c>
      <c r="EP91" s="190">
        <f t="shared" si="50"/>
        <v>16.75</v>
      </c>
      <c r="EQ91" s="182">
        <f t="shared" si="46"/>
        <v>0</v>
      </c>
      <c r="ER91" s="186">
        <f t="shared" si="43"/>
        <v>294.38010811078345</v>
      </c>
      <c r="ES91" s="184">
        <f t="shared" si="48"/>
        <v>0.77348099757819089</v>
      </c>
      <c r="ET91" s="184">
        <f t="shared" si="49"/>
        <v>0.77647236184626989</v>
      </c>
      <c r="EU91" s="184">
        <f t="shared" si="47"/>
        <v>3.1300058205335102</v>
      </c>
    </row>
    <row r="92" spans="5:151">
      <c r="F92" s="596" t="s">
        <v>15</v>
      </c>
      <c r="G92" s="623" t="s">
        <v>86</v>
      </c>
      <c r="I92" s="623" t="s">
        <v>69</v>
      </c>
      <c r="L92" s="596" t="s">
        <v>81</v>
      </c>
      <c r="M92" s="629" t="str">
        <f ca="1">_xll.RtUpdate("IDN",G92,I92,N92,,RTMODE_RATES)</f>
        <v>Updated at 17:02:04</v>
      </c>
      <c r="N92" s="624" t="s">
        <v>781</v>
      </c>
      <c r="O92" s="632" t="str">
        <v/>
      </c>
      <c r="P92" s="635">
        <v>61.38</v>
      </c>
      <c r="Q92" s="635">
        <v>57.38</v>
      </c>
      <c r="R92" s="596" t="s">
        <v>81</v>
      </c>
      <c r="CK92" s="206" t="s">
        <v>11</v>
      </c>
      <c r="CL92" s="206" t="s">
        <v>14</v>
      </c>
      <c r="CM92" s="202" t="str">
        <v>AUBP10YX7Y=ICAA</v>
      </c>
      <c r="CP92" s="212">
        <v>5.05</v>
      </c>
      <c r="EN92" s="213">
        <f t="shared" si="51"/>
        <v>46843</v>
      </c>
      <c r="EO92" s="224">
        <f>IF(EN92=CPI0_DATE,1,IF(EN92&lt;CPI0_DATE,EO93/EQ92*EQ93,EXP(_xll.qInterp(EP92,$EJ$10:$EJ$19,$EK$10:$EK$19))))</f>
        <v>0.59563721056468821</v>
      </c>
      <c r="EP92" s="190">
        <f t="shared" si="50"/>
        <v>17</v>
      </c>
      <c r="EQ92" s="182">
        <f t="shared" si="46"/>
        <v>0</v>
      </c>
      <c r="ER92" s="186">
        <f t="shared" si="43"/>
        <v>296.65708230767052</v>
      </c>
      <c r="ES92" s="184">
        <f t="shared" si="48"/>
        <v>0.77348099757819089</v>
      </c>
      <c r="ET92" s="184">
        <f t="shared" si="49"/>
        <v>0.77647236184626989</v>
      </c>
      <c r="EU92" s="184">
        <f t="shared" si="47"/>
        <v>3.1300058205335102</v>
      </c>
    </row>
    <row r="93" spans="5:151">
      <c r="F93" s="596" t="s">
        <v>16</v>
      </c>
      <c r="G93" s="623" t="s">
        <v>86</v>
      </c>
      <c r="I93" s="623" t="s">
        <v>70</v>
      </c>
      <c r="L93" s="596" t="s">
        <v>81</v>
      </c>
      <c r="M93" s="629" t="str">
        <f ca="1">_xll.RtUpdate("IDN",G93,I93,N93,,RTMODE_RATES)</f>
        <v>Updated at 17:02:04</v>
      </c>
      <c r="N93" s="624" t="s">
        <v>779</v>
      </c>
      <c r="O93" s="632" t="str">
        <v/>
      </c>
      <c r="P93" s="635">
        <v>64.13</v>
      </c>
      <c r="Q93" s="635">
        <v>60.13</v>
      </c>
      <c r="R93" s="596" t="s">
        <v>81</v>
      </c>
      <c r="EN93" s="213">
        <f t="shared" si="51"/>
        <v>46934</v>
      </c>
      <c r="EO93" s="224">
        <f>IF(EN93=CPI0_DATE,1,IF(EN93&lt;CPI0_DATE,EO94/EQ93*EQ94,EXP(_xll.qInterp(EP93,$EJ$10:$EJ$19,$EK$10:$EK$19))))</f>
        <v>0.59106543176671922</v>
      </c>
      <c r="EP93" s="190">
        <f t="shared" si="50"/>
        <v>17.25</v>
      </c>
      <c r="EQ93" s="182">
        <f t="shared" si="46"/>
        <v>0</v>
      </c>
      <c r="ER93" s="186">
        <f t="shared" si="43"/>
        <v>298.95166846729023</v>
      </c>
      <c r="ES93" s="184">
        <f t="shared" si="48"/>
        <v>0.77348099757819089</v>
      </c>
      <c r="ET93" s="184">
        <f t="shared" si="49"/>
        <v>0.77647236184626989</v>
      </c>
      <c r="EU93" s="184">
        <f t="shared" si="47"/>
        <v>3.1300058205335324</v>
      </c>
    </row>
    <row r="94" spans="5:151">
      <c r="F94" s="596" t="s">
        <v>17</v>
      </c>
      <c r="G94" s="623" t="s">
        <v>86</v>
      </c>
      <c r="I94" s="623" t="s">
        <v>71</v>
      </c>
      <c r="L94" s="596" t="s">
        <v>81</v>
      </c>
      <c r="M94" s="629" t="str">
        <f ca="1">_xll.RtUpdate("IDN",G94,I94,N94,,RTMODE_RATES)</f>
        <v>Updated at 17:02:04</v>
      </c>
      <c r="N94" s="624" t="s">
        <v>782</v>
      </c>
      <c r="O94" s="632" t="str">
        <v/>
      </c>
      <c r="P94" s="635">
        <v>55.13</v>
      </c>
      <c r="Q94" s="635">
        <v>51.13</v>
      </c>
      <c r="R94" s="596" t="s">
        <v>81</v>
      </c>
      <c r="CJ94" s="202" t="s">
        <v>285</v>
      </c>
      <c r="CK94" s="206" t="s">
        <v>110</v>
      </c>
      <c r="CL94" s="206" t="s">
        <v>278</v>
      </c>
      <c r="CM94" s="202" t="s">
        <v>276</v>
      </c>
      <c r="CN94" s="202" t="s">
        <v>277</v>
      </c>
      <c r="EN94" s="213">
        <f t="shared" si="51"/>
        <v>47026</v>
      </c>
      <c r="EO94" s="224">
        <f>IF(EN94=CPI0_DATE,1,IF(EN94&lt;CPI0_DATE,EO95/EQ94*EQ95,EXP(_xll.qInterp(EP94,$EJ$10:$EJ$19,$EK$10:$EK$19))))</f>
        <v>0.58652874339125372</v>
      </c>
      <c r="EP94" s="190">
        <f t="shared" si="50"/>
        <v>17.5</v>
      </c>
      <c r="EQ94" s="182">
        <f t="shared" si="46"/>
        <v>0</v>
      </c>
      <c r="ER94" s="186">
        <f t="shared" ref="ER94:ER125" si="52">IF(EQ94&gt;0,EQ94,ER93*EO93/EO94)</f>
        <v>301.26400281482768</v>
      </c>
      <c r="ES94" s="184">
        <f t="shared" si="48"/>
        <v>0.77348099757819089</v>
      </c>
      <c r="ET94" s="184">
        <f t="shared" si="49"/>
        <v>0.77647236184625879</v>
      </c>
      <c r="EU94" s="184">
        <f t="shared" si="47"/>
        <v>3.1300058205335102</v>
      </c>
    </row>
    <row r="95" spans="5:151">
      <c r="F95" s="596" t="s">
        <v>18</v>
      </c>
      <c r="G95" s="623" t="s">
        <v>86</v>
      </c>
      <c r="I95" s="623" t="s">
        <v>72</v>
      </c>
      <c r="L95" s="596" t="s">
        <v>81</v>
      </c>
      <c r="M95" s="629" t="str">
        <f ca="1">_xll.RtUpdate("IDN",G95,I95,N95,,RTMODE_RATES)</f>
        <v>Updated at 17:02:04</v>
      </c>
      <c r="N95" s="624" t="s">
        <v>787</v>
      </c>
      <c r="O95" s="632" t="str">
        <v/>
      </c>
      <c r="P95" s="635">
        <v>41.13</v>
      </c>
      <c r="Q95" s="635">
        <v>37.130000000000003</v>
      </c>
      <c r="R95" s="596" t="s">
        <v>81</v>
      </c>
      <c r="CK95" s="206" t="s">
        <v>14</v>
      </c>
      <c r="CL95" s="206" t="s">
        <v>0</v>
      </c>
      <c r="CM95" s="202" t="str">
        <f t="array" ref="CM95:CM105">"AUBP"&amp;CL95:CL105&amp;"X"&amp;CK95:CK105&amp;"=ICAA"</f>
        <v>AUBP1MX10Y=ICAA</v>
      </c>
      <c r="CN95" s="202" t="s">
        <v>223</v>
      </c>
      <c r="CO95" s="202" t="str">
        <f ca="1">_xll.RtUpdate("IDN",CM95:CM105,CN95,CP95,,RTMODE_VOLS)</f>
        <v>Updated at 16:52:06</v>
      </c>
      <c r="CP95" s="212">
        <v>4.3499999999999996</v>
      </c>
      <c r="EN95" s="213">
        <f t="shared" si="51"/>
        <v>47118</v>
      </c>
      <c r="EO95" s="224">
        <f>IF(EN95=CPI0_DATE,1,IF(EN95&lt;CPI0_DATE,EO96/EQ95*EQ96,EXP(_xll.qInterp(EP95,$EJ$10:$EJ$19,$EK$10:$EK$19))))</f>
        <v>0.58202687610379289</v>
      </c>
      <c r="EP95" s="190">
        <f t="shared" si="50"/>
        <v>17.75</v>
      </c>
      <c r="EQ95" s="182">
        <f t="shared" si="46"/>
        <v>0</v>
      </c>
      <c r="ER95" s="186">
        <f t="shared" si="52"/>
        <v>303.59422262914381</v>
      </c>
      <c r="ES95" s="184">
        <f t="shared" si="48"/>
        <v>0.77348099757819089</v>
      </c>
      <c r="ET95" s="184">
        <f t="shared" si="49"/>
        <v>0.77647236184626989</v>
      </c>
      <c r="EU95" s="184">
        <f t="shared" si="47"/>
        <v>3.1300058205335102</v>
      </c>
    </row>
    <row r="96" spans="5:151">
      <c r="F96" s="596" t="s">
        <v>19</v>
      </c>
      <c r="G96" s="623" t="s">
        <v>86</v>
      </c>
      <c r="I96" s="623" t="s">
        <v>73</v>
      </c>
      <c r="L96" s="596" t="s">
        <v>81</v>
      </c>
      <c r="M96" s="629" t="str">
        <f ca="1">_xll.RtUpdate("IDN",G96,I96,N96,,RTMODE_RATES)</f>
        <v>Updated at 17:02:04</v>
      </c>
      <c r="N96" s="624" t="s">
        <v>788</v>
      </c>
      <c r="O96" s="632" t="str">
        <v/>
      </c>
      <c r="P96" s="635">
        <v>27.38</v>
      </c>
      <c r="Q96" s="635">
        <v>23.38</v>
      </c>
      <c r="R96" s="596" t="s">
        <v>81</v>
      </c>
      <c r="CK96" s="206" t="s">
        <v>14</v>
      </c>
      <c r="CL96" s="206" t="s">
        <v>1</v>
      </c>
      <c r="CM96" s="202" t="str">
        <v>AUBP2MX10Y=ICAA</v>
      </c>
      <c r="CN96" s="205"/>
      <c r="CP96" s="212">
        <v>4.45</v>
      </c>
      <c r="EN96" s="213">
        <f t="shared" si="51"/>
        <v>47208</v>
      </c>
      <c r="EO96" s="224">
        <f>IF(EN96=CPI0_DATE,1,IF(EN96&lt;CPI0_DATE,EO97/EQ96*EQ97,EXP(_xll.qInterp(EP96,$EJ$10:$EJ$19,$EK$10:$EK$19))))</f>
        <v>0.57755956263709918</v>
      </c>
      <c r="EP96" s="190">
        <f t="shared" si="50"/>
        <v>18</v>
      </c>
      <c r="EQ96" s="182">
        <f t="shared" si="46"/>
        <v>0</v>
      </c>
      <c r="ER96" s="186">
        <f t="shared" si="52"/>
        <v>305.94246625092546</v>
      </c>
      <c r="ES96" s="184">
        <f t="shared" si="48"/>
        <v>0.77348099757819089</v>
      </c>
      <c r="ET96" s="184">
        <f t="shared" si="49"/>
        <v>0.77647236184626989</v>
      </c>
      <c r="EU96" s="184">
        <f t="shared" si="47"/>
        <v>3.1300058205335102</v>
      </c>
    </row>
    <row r="97" spans="5:151">
      <c r="F97" s="596" t="s">
        <v>28</v>
      </c>
      <c r="G97" s="623" t="s">
        <v>86</v>
      </c>
      <c r="I97" s="623" t="s">
        <v>74</v>
      </c>
      <c r="L97" s="596" t="s">
        <v>81</v>
      </c>
      <c r="M97" s="629" t="str">
        <f ca="1">_xll.RtUpdate("IDN",G97,I97,N97,,RTMODE_RATES)</f>
        <v>Updated at 17:02:04</v>
      </c>
      <c r="N97" s="624" t="s">
        <v>783</v>
      </c>
      <c r="O97" s="632" t="str">
        <v/>
      </c>
      <c r="P97" s="635">
        <v>-11.13</v>
      </c>
      <c r="Q97" s="635">
        <v>-15.13</v>
      </c>
      <c r="R97" s="596" t="s">
        <v>81</v>
      </c>
      <c r="CK97" s="206" t="s">
        <v>14</v>
      </c>
      <c r="CL97" s="206" t="s">
        <v>2</v>
      </c>
      <c r="CM97" s="202" t="str">
        <v>AUBP3MX10Y=ICAA</v>
      </c>
      <c r="CP97" s="212">
        <v>4.5999999999999996</v>
      </c>
      <c r="EN97" s="213">
        <f t="shared" si="51"/>
        <v>47299</v>
      </c>
      <c r="EO97" s="224">
        <f>IF(EN97=CPI0_DATE,1,IF(EN97&lt;CPI0_DATE,EO98/EQ97*EQ98,EXP(_xll.qInterp(EP97,$EJ$10:$EJ$19,$EK$10:$EK$19))))</f>
        <v>0.57312653777532918</v>
      </c>
      <c r="EP97" s="190">
        <f t="shared" si="50"/>
        <v>18.25</v>
      </c>
      <c r="EQ97" s="182">
        <f t="shared" si="46"/>
        <v>0</v>
      </c>
      <c r="ER97" s="186">
        <f t="shared" si="52"/>
        <v>308.30887309089849</v>
      </c>
      <c r="ES97" s="184">
        <f t="shared" si="48"/>
        <v>0.77348099757821309</v>
      </c>
      <c r="ET97" s="184">
        <f t="shared" si="49"/>
        <v>0.77647236184626989</v>
      </c>
      <c r="EU97" s="184">
        <f t="shared" si="47"/>
        <v>3.1300058205335102</v>
      </c>
    </row>
    <row r="98" spans="5:151">
      <c r="R98" s="596" t="s">
        <v>81</v>
      </c>
      <c r="CK98" s="206" t="s">
        <v>14</v>
      </c>
      <c r="CL98" s="206" t="s">
        <v>5</v>
      </c>
      <c r="CM98" s="202" t="str">
        <v>AUBP6MX10Y=ICAA</v>
      </c>
      <c r="CP98" s="212">
        <v>4.9000000000000004</v>
      </c>
      <c r="EN98" s="213">
        <f t="shared" si="51"/>
        <v>47391</v>
      </c>
      <c r="EO98" s="224">
        <f>IF(EN98=CPI0_DATE,1,IF(EN98&lt;CPI0_DATE,EO99/EQ98*EQ99,EXP(_xll.qInterp(EP98,$EJ$10:$EJ$19,$EK$10:$EK$19))))</f>
        <v>0.56872753833828826</v>
      </c>
      <c r="EP98" s="190">
        <f t="shared" si="50"/>
        <v>18.5</v>
      </c>
      <c r="EQ98" s="182">
        <f t="shared" si="46"/>
        <v>0</v>
      </c>
      <c r="ER98" s="186">
        <f t="shared" si="52"/>
        <v>310.69358363810403</v>
      </c>
      <c r="ES98" s="184">
        <f t="shared" si="48"/>
        <v>0.77348099757819089</v>
      </c>
      <c r="ET98" s="184">
        <f t="shared" si="49"/>
        <v>0.77647236184626989</v>
      </c>
      <c r="EU98" s="184">
        <f t="shared" si="47"/>
        <v>3.1300058205335102</v>
      </c>
    </row>
    <row r="99" spans="5:151">
      <c r="E99" s="622"/>
      <c r="CK99" s="206" t="s">
        <v>14</v>
      </c>
      <c r="CL99" s="206" t="s">
        <v>26</v>
      </c>
      <c r="CM99" s="202" t="str">
        <v>AUBP1YX10Y=ICAA</v>
      </c>
      <c r="CP99" s="212">
        <v>5.2</v>
      </c>
      <c r="EN99" s="213">
        <f t="shared" si="51"/>
        <v>47483</v>
      </c>
      <c r="EO99" s="224">
        <f>IF(EN99=CPI0_DATE,1,IF(EN99&lt;CPI0_DATE,EO100/EQ99*EQ100,EXP(_xll.qInterp(EP99,$EJ$10:$EJ$19,$EK$10:$EK$19))))</f>
        <v>0.56436230316580616</v>
      </c>
      <c r="EP99" s="190">
        <f t="shared" si="50"/>
        <v>18.75</v>
      </c>
      <c r="EQ99" s="182">
        <f t="shared" si="46"/>
        <v>0</v>
      </c>
      <c r="ER99" s="186">
        <f t="shared" si="52"/>
        <v>313.09673946823943</v>
      </c>
      <c r="ES99" s="184">
        <f t="shared" si="48"/>
        <v>0.77348099757819089</v>
      </c>
      <c r="ET99" s="184">
        <f t="shared" si="49"/>
        <v>0.77647236184625879</v>
      </c>
      <c r="EU99" s="184">
        <f t="shared" si="47"/>
        <v>3.130005820533488</v>
      </c>
    </row>
    <row r="100" spans="5:151">
      <c r="E100" s="622" t="s">
        <v>654</v>
      </c>
      <c r="CK100" s="206" t="s">
        <v>14</v>
      </c>
      <c r="CL100" s="206" t="s">
        <v>27</v>
      </c>
      <c r="CM100" s="202" t="str">
        <v>AUBP2YX10Y=ICAA</v>
      </c>
      <c r="CP100" s="212">
        <v>5.2</v>
      </c>
      <c r="EN100" s="213">
        <f t="shared" si="51"/>
        <v>47573</v>
      </c>
      <c r="EO100" s="224">
        <f>IF(EN100=CPI0_DATE,1,IF(EN100&lt;CPI0_DATE,EO101/EQ100*EQ101,EXP(_xll.qInterp(EP100,$EJ$10:$EJ$19,$EK$10:$EK$19))))</f>
        <v>0.56003057310223203</v>
      </c>
      <c r="EP100" s="190">
        <f t="shared" si="50"/>
        <v>19</v>
      </c>
      <c r="EQ100" s="182">
        <f t="shared" si="46"/>
        <v>0</v>
      </c>
      <c r="ER100" s="186">
        <f t="shared" si="52"/>
        <v>315.51848325206322</v>
      </c>
      <c r="ES100" s="184">
        <f t="shared" si="48"/>
        <v>0.77348099757821309</v>
      </c>
      <c r="ET100" s="184">
        <f t="shared" si="49"/>
        <v>0.77647236184626989</v>
      </c>
      <c r="EU100" s="184">
        <f t="shared" si="47"/>
        <v>3.1300058205335102</v>
      </c>
    </row>
    <row r="101" spans="5:151">
      <c r="CK101" s="206" t="s">
        <v>14</v>
      </c>
      <c r="CL101" s="206" t="s">
        <v>7</v>
      </c>
      <c r="CM101" s="202" t="str">
        <v>AUBP3YX10Y=ICAA</v>
      </c>
      <c r="CP101" s="212">
        <v>5.1499999999999995</v>
      </c>
      <c r="EN101" s="213">
        <f t="shared" si="51"/>
        <v>47664</v>
      </c>
      <c r="EO101" s="224">
        <f>IF(EN101=CPI0_DATE,1,IF(EN101&lt;CPI0_DATE,EO102/EQ101*EQ102,EXP(_xll.qInterp(EP101,$EJ$10:$EJ$19,$EK$10:$EK$19))))</f>
        <v>0.5557320909810497</v>
      </c>
      <c r="EP101" s="190">
        <f t="shared" si="50"/>
        <v>19.25</v>
      </c>
      <c r="EQ101" s="182">
        <f t="shared" si="46"/>
        <v>0</v>
      </c>
      <c r="ER101" s="186">
        <f t="shared" si="52"/>
        <v>317.95895876386487</v>
      </c>
      <c r="ES101" s="184">
        <f t="shared" si="48"/>
        <v>0.77348099757819089</v>
      </c>
      <c r="ET101" s="184">
        <f t="shared" si="49"/>
        <v>0.77647236184626989</v>
      </c>
      <c r="EU101" s="184">
        <f t="shared" si="47"/>
        <v>3.1300058205335102</v>
      </c>
    </row>
    <row r="102" spans="5:151">
      <c r="E102" s="596" t="s">
        <v>655</v>
      </c>
      <c r="F102" s="596" t="s">
        <v>128</v>
      </c>
      <c r="G102" s="623" t="str">
        <f t="shared" ref="G102:G107" si="53">"AU"&amp;F102&amp;"EBB=ICAA"</f>
        <v>AU0MEBB=ICAA</v>
      </c>
      <c r="I102" s="623" t="s">
        <v>129</v>
      </c>
      <c r="L102" s="596" t="s">
        <v>128</v>
      </c>
      <c r="M102" s="629" t="str">
        <f ca="1">_xll.RtUpdate("IDN",G102:G107,I102:I104,N102,,RTMODE_RATES)</f>
        <v>Updated at 16:52:06</v>
      </c>
      <c r="N102" s="624" t="s">
        <v>130</v>
      </c>
      <c r="O102" s="630">
        <v>4.8</v>
      </c>
      <c r="P102" s="630">
        <v>4.78</v>
      </c>
      <c r="CK102" s="206" t="s">
        <v>14</v>
      </c>
      <c r="CL102" s="206" t="s">
        <v>8</v>
      </c>
      <c r="CM102" s="202" t="str">
        <v>AUBP4YX10Y=ICAA</v>
      </c>
      <c r="CP102" s="212">
        <v>5.1099999999999994</v>
      </c>
      <c r="EN102" s="213">
        <f t="shared" si="51"/>
        <v>47756</v>
      </c>
      <c r="EO102" s="224">
        <f>IF(EN102=CPI0_DATE,1,IF(EN102&lt;CPI0_DATE,EO103/EQ102*EQ103,EXP(_xll.qInterp(EP102,$EJ$10:$EJ$19,$EK$10:$EK$19))))</f>
        <v>0.55146660160960914</v>
      </c>
      <c r="EP102" s="190">
        <f t="shared" si="50"/>
        <v>19.5</v>
      </c>
      <c r="EQ102" s="182">
        <f t="shared" si="46"/>
        <v>0</v>
      </c>
      <c r="ER102" s="186">
        <f t="shared" si="52"/>
        <v>320.41831089000084</v>
      </c>
      <c r="ES102" s="184">
        <f t="shared" si="48"/>
        <v>0.77348099757819089</v>
      </c>
      <c r="ET102" s="184">
        <f t="shared" si="49"/>
        <v>0.77647236184626989</v>
      </c>
      <c r="EU102" s="184">
        <f t="shared" si="47"/>
        <v>3.1300058205335102</v>
      </c>
    </row>
    <row r="103" spans="5:151">
      <c r="F103" s="596" t="s">
        <v>0</v>
      </c>
      <c r="G103" s="623" t="str">
        <f t="shared" si="53"/>
        <v>AU1MEBB=ICAA</v>
      </c>
      <c r="I103" s="623" t="s">
        <v>45</v>
      </c>
      <c r="L103" s="596" t="s">
        <v>0</v>
      </c>
      <c r="N103" s="624" t="s">
        <v>131</v>
      </c>
      <c r="O103" s="630">
        <v>4.8199999999999994</v>
      </c>
      <c r="P103" s="630">
        <v>4.8</v>
      </c>
      <c r="CK103" s="206" t="s">
        <v>14</v>
      </c>
      <c r="CL103" s="206" t="s">
        <v>9</v>
      </c>
      <c r="CM103" s="202" t="str">
        <v>AUBP5YX10Y=ICAA</v>
      </c>
      <c r="CP103" s="212">
        <v>5.07</v>
      </c>
      <c r="EN103" s="213">
        <f t="shared" si="51"/>
        <v>47848</v>
      </c>
      <c r="EO103" s="224">
        <f>IF(EN103=CPI0_DATE,1,IF(EN103&lt;CPI0_DATE,EO104/EQ103*EQ104,EXP(_xll.qInterp(EP103,$EJ$10:$EJ$19,$EK$10:$EK$19))))</f>
        <v>0.54723385175397687</v>
      </c>
      <c r="EP103" s="190">
        <f t="shared" si="50"/>
        <v>19.75</v>
      </c>
      <c r="EQ103" s="182">
        <f t="shared" si="46"/>
        <v>0</v>
      </c>
      <c r="ER103" s="186">
        <f t="shared" si="52"/>
        <v>322.89668563749603</v>
      </c>
      <c r="ES103" s="184">
        <f t="shared" si="48"/>
        <v>0.77348099757819089</v>
      </c>
      <c r="ET103" s="184">
        <f t="shared" si="49"/>
        <v>0.77647236184626989</v>
      </c>
      <c r="EU103" s="184">
        <f t="shared" si="47"/>
        <v>3.1300058205335324</v>
      </c>
    </row>
    <row r="104" spans="5:151">
      <c r="F104" s="596" t="s">
        <v>1</v>
      </c>
      <c r="G104" s="623" t="str">
        <f t="shared" si="53"/>
        <v>AU2MEBB=ICAA</v>
      </c>
      <c r="I104" s="623" t="s">
        <v>46</v>
      </c>
      <c r="L104" s="596" t="s">
        <v>1</v>
      </c>
      <c r="N104" s="624" t="s">
        <v>132</v>
      </c>
      <c r="O104" s="630">
        <v>4.8899999999999997</v>
      </c>
      <c r="P104" s="630">
        <v>4.87</v>
      </c>
      <c r="CK104" s="206" t="s">
        <v>14</v>
      </c>
      <c r="CL104" s="206" t="s">
        <v>11</v>
      </c>
      <c r="CM104" s="202" t="str">
        <v>AUBP7YX10Y=ICAA</v>
      </c>
      <c r="CP104" s="212">
        <v>5.05</v>
      </c>
      <c r="EN104" s="213">
        <f t="shared" si="51"/>
        <v>47938</v>
      </c>
      <c r="EO104" s="224">
        <f>IF(EN104=CPI0_DATE,1,IF(EN104&lt;CPI0_DATE,EO105/EQ104*EQ105,EXP(_xll.qInterp(EP104,$EJ$10:$EJ$19,$EK$10:$EK$19))))</f>
        <v>0.54303359012390184</v>
      </c>
      <c r="EP104" s="190">
        <f t="shared" si="50"/>
        <v>20</v>
      </c>
      <c r="EQ104" s="182">
        <f t="shared" si="46"/>
        <v>0</v>
      </c>
      <c r="ER104" s="186">
        <f t="shared" si="52"/>
        <v>325.39423014271182</v>
      </c>
      <c r="ES104" s="184">
        <f t="shared" si="48"/>
        <v>0.77348099757819089</v>
      </c>
      <c r="ET104" s="184">
        <f t="shared" si="49"/>
        <v>0.77647236184625879</v>
      </c>
      <c r="EU104" s="184">
        <f t="shared" si="47"/>
        <v>3.1300058205335102</v>
      </c>
    </row>
    <row r="105" spans="5:151">
      <c r="F105" s="596" t="s">
        <v>2</v>
      </c>
      <c r="G105" s="623" t="str">
        <f t="shared" si="53"/>
        <v>AU3MEBB=ICAA</v>
      </c>
      <c r="L105" s="596" t="s">
        <v>2</v>
      </c>
      <c r="N105" s="624" t="s">
        <v>133</v>
      </c>
      <c r="O105" s="630">
        <v>5.03</v>
      </c>
      <c r="P105" s="630">
        <v>5.01</v>
      </c>
      <c r="CK105" s="206" t="s">
        <v>14</v>
      </c>
      <c r="CL105" s="206" t="s">
        <v>14</v>
      </c>
      <c r="CM105" s="202" t="str">
        <v>AUBP10YX10Y=ICAA</v>
      </c>
      <c r="CP105" s="212">
        <v>5.05</v>
      </c>
      <c r="EN105" s="213">
        <f t="shared" si="51"/>
        <v>48029</v>
      </c>
      <c r="EO105" s="224">
        <f>IF(EN105=CPI0_DATE,1,IF(EN105&lt;CPI0_DATE,EO106/EQ105*EQ106,EXP(_xll.qInterp(EP105,$EJ$10:$EJ$19,$EK$10:$EK$19))))</f>
        <v>0.53890477041108076</v>
      </c>
      <c r="EP105" s="190">
        <f t="shared" si="50"/>
        <v>20.25</v>
      </c>
      <c r="EQ105" s="182">
        <f t="shared" si="46"/>
        <v>0</v>
      </c>
      <c r="ER105" s="186">
        <f t="shared" si="52"/>
        <v>327.8872385286399</v>
      </c>
      <c r="ES105" s="184">
        <f t="shared" si="48"/>
        <v>0.76615015110583773</v>
      </c>
      <c r="ET105" s="184">
        <f t="shared" si="49"/>
        <v>0.77277858725787185</v>
      </c>
      <c r="EU105" s="184">
        <f t="shared" si="47"/>
        <v>3.1225035468015694</v>
      </c>
    </row>
    <row r="106" spans="5:151">
      <c r="F106" s="596" t="s">
        <v>3</v>
      </c>
      <c r="G106" s="623" t="str">
        <f t="shared" si="53"/>
        <v>AU4MEBB=ICAA</v>
      </c>
      <c r="L106" s="596" t="s">
        <v>3</v>
      </c>
      <c r="N106" s="624" t="s">
        <v>134</v>
      </c>
      <c r="O106" s="630">
        <v>5.0599999999999996</v>
      </c>
      <c r="P106" s="630">
        <v>5.04</v>
      </c>
      <c r="EN106" s="213">
        <f t="shared" si="51"/>
        <v>48121</v>
      </c>
      <c r="EO106" s="224">
        <f>IF(EN106=CPI0_DATE,1,IF(EN106&lt;CPI0_DATE,EO107/EQ106*EQ107,EXP(_xll.qInterp(EP106,$EJ$10:$EJ$19,$EK$10:$EK$19))))</f>
        <v>0.5348073431434619</v>
      </c>
      <c r="EP106" s="190">
        <f t="shared" si="50"/>
        <v>20.5</v>
      </c>
      <c r="EQ106" s="182">
        <f t="shared" si="46"/>
        <v>0</v>
      </c>
      <c r="ER106" s="186">
        <f t="shared" si="52"/>
        <v>330.39934710208394</v>
      </c>
      <c r="ES106" s="184">
        <f t="shared" si="48"/>
        <v>0.76615015110585993</v>
      </c>
      <c r="ET106" s="184">
        <f t="shared" si="49"/>
        <v>0.76908508137605303</v>
      </c>
      <c r="EU106" s="184">
        <f t="shared" si="47"/>
        <v>3.1150018188285111</v>
      </c>
    </row>
    <row r="107" spans="5:151">
      <c r="F107" s="596" t="s">
        <v>4</v>
      </c>
      <c r="G107" s="623" t="str">
        <f t="shared" si="53"/>
        <v>AU5MEBB=ICAA</v>
      </c>
      <c r="L107" s="596" t="s">
        <v>4</v>
      </c>
      <c r="N107" s="624" t="s">
        <v>389</v>
      </c>
      <c r="O107" s="630">
        <v>5.1199999999999992</v>
      </c>
      <c r="P107" s="630">
        <v>5.0999999999999996</v>
      </c>
      <c r="EN107" s="213">
        <f t="shared" si="51"/>
        <v>48213</v>
      </c>
      <c r="EO107" s="224">
        <f>IF(EN107=CPI0_DATE,1,IF(EN107&lt;CPI0_DATE,EO108/EQ107*EQ108,EXP(_xll.qInterp(EP107,$EJ$10:$EJ$19,$EK$10:$EK$19))))</f>
        <v>0.53074106963646139</v>
      </c>
      <c r="EP107" s="190">
        <f t="shared" si="50"/>
        <v>20.75</v>
      </c>
      <c r="EQ107" s="182">
        <f t="shared" si="46"/>
        <v>0</v>
      </c>
      <c r="ER107" s="186">
        <f t="shared" si="52"/>
        <v>332.93070219915927</v>
      </c>
      <c r="ES107" s="184">
        <f t="shared" si="48"/>
        <v>0.76615015110583773</v>
      </c>
      <c r="ET107" s="184">
        <f t="shared" si="49"/>
        <v>0.76908508137605303</v>
      </c>
      <c r="EU107" s="184">
        <f t="shared" si="47"/>
        <v>3.1075006365745228</v>
      </c>
    </row>
    <row r="108" spans="5:151">
      <c r="EN108" s="213">
        <f t="shared" si="51"/>
        <v>48304</v>
      </c>
      <c r="EO108" s="224">
        <f>IF(EN108=CPI0_DATE,1,IF(EN108&lt;CPI0_DATE,EO109/EQ108*EQ109,EXP(_xll.qInterp(EP108,$EJ$10:$EJ$19,$EK$10:$EK$19))))</f>
        <v>0.52670571302027336</v>
      </c>
      <c r="EP108" s="190">
        <f t="shared" si="50"/>
        <v>21</v>
      </c>
      <c r="EQ108" s="182">
        <f t="shared" si="46"/>
        <v>0</v>
      </c>
      <c r="ER108" s="186">
        <f t="shared" si="52"/>
        <v>335.48145127713593</v>
      </c>
      <c r="ES108" s="184">
        <f t="shared" si="48"/>
        <v>0.76615015110585993</v>
      </c>
      <c r="ET108" s="184">
        <f t="shared" si="49"/>
        <v>0.76908508137605303</v>
      </c>
      <c r="EU108" s="184">
        <f t="shared" si="47"/>
        <v>3.1000000000000139</v>
      </c>
    </row>
    <row r="109" spans="5:151">
      <c r="E109" s="596" t="s">
        <v>656</v>
      </c>
      <c r="F109" s="596" t="s">
        <v>128</v>
      </c>
      <c r="G109" s="623" t="s">
        <v>648</v>
      </c>
      <c r="I109" s="623" t="s">
        <v>129</v>
      </c>
      <c r="L109" s="596" t="s">
        <v>128</v>
      </c>
      <c r="M109" s="629" t="str">
        <f ca="1">_xll.RtUpdate("IDN",G109:G114,I109:I111,N109,,RTMODE_RATES)</f>
        <v>Updated at 16:52:06</v>
      </c>
      <c r="N109" s="624" t="s">
        <v>130</v>
      </c>
      <c r="O109" s="630">
        <v>4.8</v>
      </c>
      <c r="P109" s="630">
        <v>4.78</v>
      </c>
      <c r="EN109" s="213">
        <f t="shared" si="51"/>
        <v>48395</v>
      </c>
      <c r="EO109" s="224">
        <f>IF(EN109=CPI0_DATE,1,IF(EN109&lt;CPI0_DATE,EO110/EQ109*EQ110,EXP(_xll.qInterp(EP109,$EJ$10:$EJ$19,$EK$10:$EK$19))))</f>
        <v>0.5227010382260725</v>
      </c>
      <c r="EP109" s="190">
        <f t="shared" si="50"/>
        <v>21.25</v>
      </c>
      <c r="EQ109" s="182">
        <f t="shared" si="46"/>
        <v>0</v>
      </c>
      <c r="ER109" s="186">
        <f t="shared" si="52"/>
        <v>338.05174292302775</v>
      </c>
      <c r="ES109" s="184">
        <f t="shared" si="48"/>
        <v>0.76615015110583773</v>
      </c>
      <c r="ET109" s="184">
        <f t="shared" si="49"/>
        <v>0.76908508137604192</v>
      </c>
      <c r="EU109" s="184">
        <f t="shared" si="47"/>
        <v>3.1000000000000139</v>
      </c>
    </row>
    <row r="110" spans="5:151">
      <c r="F110" s="596" t="s">
        <v>0</v>
      </c>
      <c r="G110" s="623" t="s">
        <v>649</v>
      </c>
      <c r="I110" s="623" t="s">
        <v>45</v>
      </c>
      <c r="L110" s="596" t="s">
        <v>0</v>
      </c>
      <c r="N110" s="624" t="s">
        <v>131</v>
      </c>
      <c r="O110" s="630">
        <v>4.83</v>
      </c>
      <c r="P110" s="630">
        <v>4.8099999999999996</v>
      </c>
      <c r="EN110" s="213">
        <f t="shared" si="51"/>
        <v>48487</v>
      </c>
      <c r="EO110" s="224">
        <f>IF(EN110=CPI0_DATE,1,IF(EN110&lt;CPI0_DATE,EO111/EQ110*EQ111,EXP(_xll.qInterp(EP110,$EJ$10:$EJ$19,$EK$10:$EK$19))))</f>
        <v>0.51872681197231996</v>
      </c>
      <c r="EP110" s="190">
        <f t="shared" si="50"/>
        <v>21.5</v>
      </c>
      <c r="EQ110" s="182">
        <f t="shared" si="46"/>
        <v>0</v>
      </c>
      <c r="ER110" s="186">
        <f t="shared" si="52"/>
        <v>340.64172686224856</v>
      </c>
      <c r="ES110" s="184">
        <f t="shared" si="48"/>
        <v>0.76615015110588214</v>
      </c>
      <c r="ET110" s="184">
        <f t="shared" si="49"/>
        <v>0.76908508137605303</v>
      </c>
      <c r="EU110" s="184">
        <f t="shared" si="47"/>
        <v>3.1000000000000139</v>
      </c>
    </row>
    <row r="111" spans="5:151">
      <c r="F111" s="596" t="s">
        <v>1</v>
      </c>
      <c r="G111" s="623" t="s">
        <v>650</v>
      </c>
      <c r="I111" s="623" t="s">
        <v>46</v>
      </c>
      <c r="L111" s="596" t="s">
        <v>1</v>
      </c>
      <c r="N111" s="624" t="s">
        <v>132</v>
      </c>
      <c r="O111" s="630">
        <v>4.9300000000000006</v>
      </c>
      <c r="P111" s="630">
        <v>4.92</v>
      </c>
      <c r="EN111" s="213">
        <f t="shared" si="51"/>
        <v>48579</v>
      </c>
      <c r="EO111" s="224">
        <f>IF(EN111=CPI0_DATE,1,IF(EN111&lt;CPI0_DATE,EO112/EQ111*EQ112,EXP(_xll.qInterp(EP111,$EJ$10:$EJ$19,$EK$10:$EK$19))))</f>
        <v>0.51478280275117494</v>
      </c>
      <c r="EP111" s="190">
        <f t="shared" si="50"/>
        <v>21.75</v>
      </c>
      <c r="EQ111" s="182">
        <f t="shared" si="46"/>
        <v>0</v>
      </c>
      <c r="ER111" s="186">
        <f t="shared" si="52"/>
        <v>343.25155396733322</v>
      </c>
      <c r="ES111" s="184">
        <f t="shared" si="48"/>
        <v>0.76615015110583773</v>
      </c>
      <c r="ET111" s="184">
        <f t="shared" si="49"/>
        <v>0.76908508137605303</v>
      </c>
      <c r="EU111" s="184">
        <f t="shared" si="47"/>
        <v>3.1000000000000139</v>
      </c>
    </row>
    <row r="112" spans="5:151">
      <c r="F112" s="596" t="s">
        <v>2</v>
      </c>
      <c r="G112" s="623" t="s">
        <v>651</v>
      </c>
      <c r="L112" s="596" t="s">
        <v>2</v>
      </c>
      <c r="N112" s="624" t="s">
        <v>133</v>
      </c>
      <c r="O112" s="630">
        <v>5.01</v>
      </c>
      <c r="P112" s="630">
        <v>5</v>
      </c>
      <c r="EN112" s="213">
        <f t="shared" si="51"/>
        <v>48669</v>
      </c>
      <c r="EO112" s="224">
        <f>IF(EN112=CPI0_DATE,1,IF(EN112&lt;CPI0_DATE,EO113/EQ112*EQ113,EXP(_xll.qInterp(EP112,$EJ$10:$EJ$19,$EK$10:$EK$19))))</f>
        <v>0.51086878081500819</v>
      </c>
      <c r="EP112" s="190">
        <f t="shared" si="50"/>
        <v>22</v>
      </c>
      <c r="EQ112" s="182">
        <f t="shared" si="46"/>
        <v>0</v>
      </c>
      <c r="ER112" s="186">
        <f t="shared" si="52"/>
        <v>345.88137626672705</v>
      </c>
      <c r="ES112" s="184">
        <f t="shared" si="48"/>
        <v>0.76615015110583773</v>
      </c>
      <c r="ET112" s="184">
        <f t="shared" si="49"/>
        <v>0.76908508137603082</v>
      </c>
      <c r="EU112" s="184">
        <f t="shared" si="47"/>
        <v>3.0999999999999694</v>
      </c>
    </row>
    <row r="113" spans="5:151">
      <c r="F113" s="596" t="s">
        <v>3</v>
      </c>
      <c r="G113" s="623" t="s">
        <v>652</v>
      </c>
      <c r="L113" s="596" t="s">
        <v>3</v>
      </c>
      <c r="N113" s="624" t="s">
        <v>134</v>
      </c>
      <c r="O113" s="630">
        <v>5.08</v>
      </c>
      <c r="P113" s="630">
        <v>5.0599999999999996</v>
      </c>
      <c r="EN113" s="213">
        <f t="shared" si="51"/>
        <v>48760</v>
      </c>
      <c r="EO113" s="224">
        <f>IF(EN113=CPI0_DATE,1,IF(EN113&lt;CPI0_DATE,EO114/EQ113*EQ114,EXP(_xll.qInterp(EP113,$EJ$10:$EJ$19,$EK$10:$EK$19))))</f>
        <v>0.50698451816301893</v>
      </c>
      <c r="EP113" s="190">
        <f t="shared" si="50"/>
        <v>22.25</v>
      </c>
      <c r="EQ113" s="182">
        <f t="shared" si="46"/>
        <v>0</v>
      </c>
      <c r="ER113" s="186">
        <f t="shared" si="52"/>
        <v>348.53134695364162</v>
      </c>
      <c r="ES113" s="184">
        <f t="shared" si="48"/>
        <v>0.76615015110585993</v>
      </c>
      <c r="ET113" s="184">
        <f t="shared" si="49"/>
        <v>0.76908508137604192</v>
      </c>
      <c r="EU113" s="184">
        <f t="shared" si="47"/>
        <v>3.1000000000000139</v>
      </c>
    </row>
    <row r="114" spans="5:151">
      <c r="F114" s="596" t="s">
        <v>4</v>
      </c>
      <c r="G114" s="623" t="s">
        <v>653</v>
      </c>
      <c r="L114" s="596" t="s">
        <v>4</v>
      </c>
      <c r="N114" s="624" t="s">
        <v>389</v>
      </c>
      <c r="O114" s="630">
        <v>5.14</v>
      </c>
      <c r="P114" s="630">
        <v>5.1199999999999992</v>
      </c>
      <c r="R114" s="596" t="s">
        <v>81</v>
      </c>
      <c r="EN114" s="213">
        <f t="shared" si="51"/>
        <v>48852</v>
      </c>
      <c r="EO114" s="224">
        <f>IF(EN114=CPI0_DATE,1,IF(EN114&lt;CPI0_DATE,EO115/EQ114*EQ115,EXP(_xll.qInterp(EP114,$EJ$10:$EJ$19,$EK$10:$EK$19))))</f>
        <v>0.50312978852795343</v>
      </c>
      <c r="EP114" s="190">
        <f t="shared" si="50"/>
        <v>22.5</v>
      </c>
      <c r="EQ114" s="182">
        <f t="shared" si="46"/>
        <v>0</v>
      </c>
      <c r="ER114" s="186">
        <f t="shared" si="52"/>
        <v>351.20162039497825</v>
      </c>
      <c r="ES114" s="184">
        <f t="shared" si="48"/>
        <v>0.76615015110585993</v>
      </c>
      <c r="ET114" s="184">
        <f t="shared" si="49"/>
        <v>0.76908508137606413</v>
      </c>
      <c r="EU114" s="184">
        <f t="shared" si="47"/>
        <v>3.0999999999999917</v>
      </c>
    </row>
    <row r="115" spans="5:151">
      <c r="EN115" s="213">
        <f t="shared" si="51"/>
        <v>48944</v>
      </c>
      <c r="EO115" s="224">
        <f>IF(EN115=CPI0_DATE,1,IF(EN115&lt;CPI0_DATE,EO116/EQ115*EQ116,EXP(_xll.qInterp(EP115,$EJ$10:$EJ$19,$EK$10:$EK$19))))</f>
        <v>0.49930436736292438</v>
      </c>
      <c r="EP115" s="190">
        <f t="shared" si="50"/>
        <v>22.75</v>
      </c>
      <c r="EQ115" s="182">
        <f t="shared" si="46"/>
        <v>0</v>
      </c>
      <c r="ER115" s="186">
        <f t="shared" si="52"/>
        <v>353.89235214032044</v>
      </c>
      <c r="ES115" s="184">
        <f t="shared" si="48"/>
        <v>0.76615015110581552</v>
      </c>
      <c r="ET115" s="184">
        <f t="shared" si="49"/>
        <v>0.76908508137604192</v>
      </c>
      <c r="EU115" s="184">
        <f t="shared" si="47"/>
        <v>3.0999999999999694</v>
      </c>
    </row>
    <row r="116" spans="5:151">
      <c r="R116" s="596" t="s">
        <v>81</v>
      </c>
      <c r="EN116" s="213">
        <f t="shared" si="51"/>
        <v>49034</v>
      </c>
      <c r="EO116" s="224">
        <f>IF(EN116=CPI0_DATE,1,IF(EN116&lt;CPI0_DATE,EO117/EQ116*EQ117,EXP(_xll.qInterp(EP116,$EJ$10:$EJ$19,$EK$10:$EK$19))))</f>
        <v>0.49550803182832998</v>
      </c>
      <c r="EP116" s="190">
        <f t="shared" si="50"/>
        <v>23</v>
      </c>
      <c r="EQ116" s="182">
        <f t="shared" si="46"/>
        <v>0</v>
      </c>
      <c r="ER116" s="186">
        <f t="shared" si="52"/>
        <v>356.60369893099562</v>
      </c>
      <c r="ES116" s="184">
        <f t="shared" si="48"/>
        <v>0.76615015110585993</v>
      </c>
      <c r="ET116" s="184">
        <f t="shared" si="49"/>
        <v>0.76908508137604192</v>
      </c>
      <c r="EU116" s="184">
        <f t="shared" si="47"/>
        <v>3.1000000000000139</v>
      </c>
    </row>
    <row r="117" spans="5:151">
      <c r="R117" s="596" t="s">
        <v>81</v>
      </c>
      <c r="EN117" s="213">
        <f t="shared" si="51"/>
        <v>49125</v>
      </c>
      <c r="EO117" s="224">
        <f>IF(EN117=CPI0_DATE,1,IF(EN117&lt;CPI0_DATE,EO118/EQ117*EQ118,EXP(_xll.qInterp(EP117,$EJ$10:$EJ$19,$EK$10:$EK$19))))</f>
        <v>0.49174056077887385</v>
      </c>
      <c r="EP117" s="190">
        <f t="shared" si="50"/>
        <v>23.25</v>
      </c>
      <c r="EQ117" s="182">
        <f t="shared" si="46"/>
        <v>0</v>
      </c>
      <c r="ER117" s="186">
        <f t="shared" si="52"/>
        <v>359.33581870920449</v>
      </c>
      <c r="ES117" s="184">
        <f t="shared" si="48"/>
        <v>0.76615015110583773</v>
      </c>
      <c r="ET117" s="184">
        <f t="shared" si="49"/>
        <v>0.76908508137605303</v>
      </c>
      <c r="EU117" s="184">
        <f t="shared" si="47"/>
        <v>3.0999999999999917</v>
      </c>
    </row>
    <row r="118" spans="5:151">
      <c r="E118" s="622" t="s">
        <v>424</v>
      </c>
      <c r="G118" s="295">
        <v>1</v>
      </c>
      <c r="R118" s="596" t="s">
        <v>81</v>
      </c>
      <c r="EN118" s="213">
        <f t="shared" si="51"/>
        <v>49217</v>
      </c>
      <c r="EO118" s="224">
        <f>IF(EN118=CPI0_DATE,1,IF(EN118&lt;CPI0_DATE,EO119/EQ118*EQ119,EXP(_xll.qInterp(EP118,$EJ$10:$EJ$19,$EK$10:$EK$19))))</f>
        <v>0.48800173475068237</v>
      </c>
      <c r="EP118" s="190">
        <f t="shared" si="50"/>
        <v>23.5</v>
      </c>
      <c r="EQ118" s="182">
        <f t="shared" si="46"/>
        <v>0</v>
      </c>
      <c r="ER118" s="186">
        <f t="shared" si="52"/>
        <v>362.08887062722249</v>
      </c>
      <c r="ES118" s="184">
        <f t="shared" si="48"/>
        <v>0.76615015110583773</v>
      </c>
      <c r="ET118" s="184">
        <f t="shared" si="49"/>
        <v>0.76908508137604192</v>
      </c>
      <c r="EU118" s="184">
        <f t="shared" si="47"/>
        <v>3.0999999999999694</v>
      </c>
    </row>
    <row r="119" spans="5:151">
      <c r="EN119" s="213">
        <f t="shared" si="51"/>
        <v>49309</v>
      </c>
      <c r="EO119" s="224">
        <f>IF(EN119=CPI0_DATE,1,IF(EN119&lt;CPI0_DATE,EO120/EQ119*EQ120,EXP(_xll.qInterp(EP119,$EJ$10:$EJ$19,$EK$10:$EK$19))))</f>
        <v>0.4842913359485202</v>
      </c>
      <c r="EP119" s="190">
        <f t="shared" si="50"/>
        <v>23.75</v>
      </c>
      <c r="EQ119" s="182">
        <f t="shared" si="46"/>
        <v>0</v>
      </c>
      <c r="ER119" s="186">
        <f t="shared" si="52"/>
        <v>364.86301505667046</v>
      </c>
      <c r="ES119" s="184">
        <f t="shared" si="48"/>
        <v>0.76615015110585993</v>
      </c>
      <c r="ET119" s="184">
        <f t="shared" si="49"/>
        <v>0.76908508137605303</v>
      </c>
      <c r="EU119" s="184">
        <f t="shared" si="47"/>
        <v>3.1000000000000361</v>
      </c>
    </row>
    <row r="120" spans="5:151">
      <c r="EN120" s="213">
        <f t="shared" si="51"/>
        <v>49399</v>
      </c>
      <c r="EO120" s="224">
        <f>IF(EN120=CPI0_DATE,1,IF(EN120&lt;CPI0_DATE,EO121/EQ120*EQ121,EXP(_xll.qInterp(EP120,$EJ$10:$EJ$19,$EK$10:$EK$19))))</f>
        <v>0.4806091482331038</v>
      </c>
      <c r="EP120" s="190">
        <f t="shared" si="50"/>
        <v>24</v>
      </c>
      <c r="EQ120" s="182">
        <f t="shared" si="46"/>
        <v>0</v>
      </c>
      <c r="ER120" s="186">
        <f t="shared" si="52"/>
        <v>367.65841359785645</v>
      </c>
      <c r="ES120" s="184">
        <f t="shared" si="48"/>
        <v>0.76615015110583773</v>
      </c>
      <c r="ET120" s="184">
        <f t="shared" si="49"/>
        <v>0.76908508137604192</v>
      </c>
      <c r="EU120" s="184">
        <f t="shared" si="47"/>
        <v>3.0999999999999917</v>
      </c>
    </row>
    <row r="121" spans="5:151">
      <c r="EN121" s="213">
        <f t="shared" si="51"/>
        <v>49490</v>
      </c>
      <c r="EO121" s="224">
        <f>IF(EN121=CPI0_DATE,1,IF(EN121&lt;CPI0_DATE,EO122/EQ121*EQ122,EXP(_xll.qInterp(EP121,$EJ$10:$EJ$19,$EK$10:$EK$19))))</f>
        <v>0.4769549571085101</v>
      </c>
      <c r="EP121" s="190">
        <f t="shared" ref="EP121:EP152" si="54">ROUND((EN121-CPI0_DATE)/365/0.25,0)*0.25</f>
        <v>24.25</v>
      </c>
      <c r="EQ121" s="182">
        <f t="shared" si="46"/>
        <v>0</v>
      </c>
      <c r="ER121" s="186">
        <f t="shared" si="52"/>
        <v>370.47522908918978</v>
      </c>
      <c r="ES121" s="184">
        <f t="shared" si="48"/>
        <v>0.76615015110583773</v>
      </c>
      <c r="ET121" s="184">
        <f t="shared" si="49"/>
        <v>0.76908508137604192</v>
      </c>
      <c r="EU121" s="184">
        <f t="shared" si="47"/>
        <v>3.0999999999999917</v>
      </c>
    </row>
    <row r="122" spans="5:151">
      <c r="EN122" s="213">
        <f t="shared" si="51"/>
        <v>49582</v>
      </c>
      <c r="EO122" s="224">
        <f>IF(EN122=CPI0_DATE,1,IF(EN122&lt;CPI0_DATE,EO123/EQ122*EQ123,EXP(_xll.qInterp(EP122,$EJ$10:$EJ$19,$EK$10:$EK$19))))</f>
        <v>0.47332854970968224</v>
      </c>
      <c r="EP122" s="190">
        <f t="shared" si="54"/>
        <v>24.5</v>
      </c>
      <c r="EQ122" s="182">
        <f t="shared" si="46"/>
        <v>0</v>
      </c>
      <c r="ER122" s="186">
        <f t="shared" si="52"/>
        <v>373.31362561666634</v>
      </c>
      <c r="ES122" s="184">
        <f t="shared" si="48"/>
        <v>0.76615015110583773</v>
      </c>
      <c r="ET122" s="184">
        <f t="shared" si="49"/>
        <v>0.76908508137604192</v>
      </c>
      <c r="EU122" s="184">
        <f t="shared" si="47"/>
        <v>3.0999999999999917</v>
      </c>
    </row>
    <row r="123" spans="5:151">
      <c r="EN123" s="213">
        <f t="shared" si="51"/>
        <v>49674</v>
      </c>
      <c r="EO123" s="224">
        <f>IF(EN123=CPI0_DATE,1,IF(EN123&lt;CPI0_DATE,EO124/EQ123*EQ124,EXP(_xll.qInterp(EP123,$EJ$10:$EJ$19,$EK$10:$EK$19))))</f>
        <v>0.46972971479002934</v>
      </c>
      <c r="EP123" s="190">
        <f t="shared" si="54"/>
        <v>24.75</v>
      </c>
      <c r="EQ123" s="182">
        <f t="shared" si="46"/>
        <v>0</v>
      </c>
      <c r="ER123" s="186">
        <f t="shared" si="52"/>
        <v>376.17376852342716</v>
      </c>
      <c r="ES123" s="184">
        <f t="shared" si="48"/>
        <v>0.76615015110585993</v>
      </c>
      <c r="ET123" s="184">
        <f t="shared" si="49"/>
        <v>0.76908508137604192</v>
      </c>
      <c r="EU123" s="184">
        <f t="shared" si="47"/>
        <v>3.0999999999999694</v>
      </c>
    </row>
    <row r="124" spans="5:151">
      <c r="EN124" s="213">
        <f t="shared" si="51"/>
        <v>49765</v>
      </c>
      <c r="EO124" s="224">
        <f>IF(EN124=CPI0_DATE,1,IF(EN124&lt;CPI0_DATE,EO125/EQ124*EQ125,EXP(_xll.qInterp(EP124,$EJ$10:$EJ$19,$EK$10:$EK$19))))</f>
        <v>0.46615824270912104</v>
      </c>
      <c r="EP124" s="190">
        <f t="shared" si="54"/>
        <v>25</v>
      </c>
      <c r="EQ124" s="182">
        <f t="shared" si="46"/>
        <v>0</v>
      </c>
      <c r="ER124" s="186">
        <f t="shared" si="52"/>
        <v>379.05582441938998</v>
      </c>
      <c r="ES124" s="184">
        <f t="shared" si="48"/>
        <v>0.76615015110585993</v>
      </c>
      <c r="ET124" s="184">
        <f t="shared" si="49"/>
        <v>0.76908508137605303</v>
      </c>
      <c r="EU124" s="184">
        <f t="shared" si="47"/>
        <v>3.0999999999999917</v>
      </c>
    </row>
    <row r="125" spans="5:151">
      <c r="EN125" s="213">
        <f t="shared" si="51"/>
        <v>49856</v>
      </c>
      <c r="EO125" s="224">
        <f>IF(EN125=CPI0_DATE,1,IF(EN125&lt;CPI0_DATE,EO126/EQ125*EQ126,EXP(_xll.qInterp(EP125,$EJ$10:$EJ$19,$EK$10:$EK$19))))</f>
        <v>0.46261392542047536</v>
      </c>
      <c r="EP125" s="190">
        <f t="shared" si="54"/>
        <v>25.25</v>
      </c>
      <c r="EQ125" s="182">
        <f t="shared" si="46"/>
        <v>0</v>
      </c>
      <c r="ER125" s="186">
        <f t="shared" si="52"/>
        <v>381.95996119095469</v>
      </c>
      <c r="ES125" s="184">
        <f t="shared" si="48"/>
        <v>0.76615015110585993</v>
      </c>
      <c r="ET125" s="184">
        <f t="shared" si="49"/>
        <v>0.76908508137605303</v>
      </c>
      <c r="EU125" s="184">
        <f t="shared" si="47"/>
        <v>3.1000000000000139</v>
      </c>
    </row>
    <row r="126" spans="5:151">
      <c r="EN126" s="213">
        <f t="shared" si="51"/>
        <v>49948</v>
      </c>
      <c r="EO126" s="224">
        <f>IF(EN126=CPI0_DATE,1,IF(EN126&lt;CPI0_DATE,EO127/EQ126*EQ127,EXP(_xll.qInterp(EP126,$EJ$10:$EJ$19,$EK$10:$EK$19))))</f>
        <v>0.45909655645943964</v>
      </c>
      <c r="EP126" s="190">
        <f t="shared" si="54"/>
        <v>25.5</v>
      </c>
      <c r="EQ126" s="182">
        <f t="shared" si="46"/>
        <v>0</v>
      </c>
      <c r="ER126" s="186">
        <f t="shared" ref="ER126:ER157" si="55">IF(EQ126&gt;0,EQ126,ER125*EO125/EO126)</f>
        <v>384.88634801078297</v>
      </c>
      <c r="ES126" s="184">
        <f t="shared" si="48"/>
        <v>0.76615015110583773</v>
      </c>
      <c r="ET126" s="184">
        <f t="shared" si="49"/>
        <v>0.76908508137604192</v>
      </c>
      <c r="EU126" s="184">
        <f t="shared" si="47"/>
        <v>3.0999999999999917</v>
      </c>
    </row>
    <row r="127" spans="5:151">
      <c r="EN127" s="213">
        <f t="shared" si="51"/>
        <v>50040</v>
      </c>
      <c r="EO127" s="224">
        <f>IF(EN127=CPI0_DATE,1,IF(EN127&lt;CPI0_DATE,EO128/EQ127*EQ128,EXP(_xll.qInterp(EP127,$EJ$10:$EJ$19,$EK$10:$EK$19))))</f>
        <v>0.45560593093116331</v>
      </c>
      <c r="EP127" s="190">
        <f t="shared" si="54"/>
        <v>25.75</v>
      </c>
      <c r="EQ127" s="182">
        <f t="shared" si="46"/>
        <v>0</v>
      </c>
      <c r="ER127" s="186">
        <f t="shared" si="55"/>
        <v>387.83515534765343</v>
      </c>
      <c r="ES127" s="184">
        <f t="shared" si="48"/>
        <v>0.76615015110585993</v>
      </c>
      <c r="ET127" s="184">
        <f t="shared" si="49"/>
        <v>0.76908508137604192</v>
      </c>
      <c r="EU127" s="184">
        <f t="shared" si="47"/>
        <v>3.1000000000000139</v>
      </c>
    </row>
    <row r="128" spans="5:151">
      <c r="EN128" s="213">
        <f t="shared" si="51"/>
        <v>50130</v>
      </c>
      <c r="EO128" s="224">
        <f>IF(EN128=CPI0_DATE,1,IF(EN128&lt;CPI0_DATE,EO129/EQ128*EQ129,EXP(_xll.qInterp(EP128,$EJ$10:$EJ$19,$EK$10:$EK$19))))</f>
        <v>0.45214184549866254</v>
      </c>
      <c r="EP128" s="190">
        <f t="shared" si="54"/>
        <v>26</v>
      </c>
      <c r="EQ128" s="182">
        <f t="shared" si="46"/>
        <v>0</v>
      </c>
      <c r="ER128" s="186">
        <f t="shared" si="55"/>
        <v>390.80655497639106</v>
      </c>
      <c r="ES128" s="184">
        <f t="shared" si="48"/>
        <v>0.76615015110583773</v>
      </c>
      <c r="ET128" s="184">
        <f t="shared" si="49"/>
        <v>0.76908508137605303</v>
      </c>
      <c r="EU128" s="184">
        <f t="shared" si="47"/>
        <v>3.0999999999999917</v>
      </c>
    </row>
    <row r="129" spans="144:151">
      <c r="EN129" s="213">
        <f t="shared" si="51"/>
        <v>50221</v>
      </c>
      <c r="EO129" s="224">
        <f>IF(EN129=CPI0_DATE,1,IF(EN129&lt;CPI0_DATE,EO130/EQ129*EQ130,EXP(_xll.qInterp(EP129,$EJ$10:$EJ$19,$EK$10:$EK$19))))</f>
        <v>0.44870409837097514</v>
      </c>
      <c r="EP129" s="190">
        <f t="shared" si="54"/>
        <v>26.25</v>
      </c>
      <c r="EQ129" s="182">
        <f t="shared" si="46"/>
        <v>0</v>
      </c>
      <c r="ER129" s="186">
        <f t="shared" si="55"/>
        <v>393.80071998787429</v>
      </c>
      <c r="ES129" s="184">
        <f t="shared" si="48"/>
        <v>0.76615015110585993</v>
      </c>
      <c r="ET129" s="184">
        <f t="shared" si="49"/>
        <v>0.76908508137605303</v>
      </c>
      <c r="EU129" s="184">
        <f t="shared" si="47"/>
        <v>3.0999999999999917</v>
      </c>
    </row>
    <row r="130" spans="144:151">
      <c r="EN130" s="213">
        <f t="shared" si="51"/>
        <v>50313</v>
      </c>
      <c r="EO130" s="224">
        <f>IF(EN130=CPI0_DATE,1,IF(EN130&lt;CPI0_DATE,EO131/EQ130*EQ131,EXP(_xll.qInterp(EP130,$EJ$10:$EJ$19,$EK$10:$EK$19))))</f>
        <v>0.44529248929140608</v>
      </c>
      <c r="EP130" s="190">
        <f t="shared" si="54"/>
        <v>26.5</v>
      </c>
      <c r="EQ130" s="182">
        <f t="shared" si="46"/>
        <v>0</v>
      </c>
      <c r="ER130" s="186">
        <f t="shared" si="55"/>
        <v>396.81782479911726</v>
      </c>
      <c r="ES130" s="184">
        <f t="shared" si="48"/>
        <v>0.76615015110583773</v>
      </c>
      <c r="ET130" s="184">
        <f t="shared" si="49"/>
        <v>0.76908508137604192</v>
      </c>
      <c r="EU130" s="184">
        <f t="shared" si="47"/>
        <v>3.1000000000000139</v>
      </c>
    </row>
    <row r="131" spans="144:151">
      <c r="EN131" s="213">
        <f t="shared" si="51"/>
        <v>50405</v>
      </c>
      <c r="EO131" s="224">
        <f>IF(EN131=CPI0_DATE,1,IF(EN131&lt;CPI0_DATE,EO132/EQ131*EQ132,EXP(_xll.qInterp(EP131,$EJ$10:$EJ$19,$EK$10:$EK$19))))</f>
        <v>0.44190681952586158</v>
      </c>
      <c r="EP131" s="190">
        <f t="shared" si="54"/>
        <v>26.75</v>
      </c>
      <c r="EQ131" s="182">
        <f t="shared" si="46"/>
        <v>0</v>
      </c>
      <c r="ER131" s="186">
        <f t="shared" si="55"/>
        <v>399.85804516343069</v>
      </c>
      <c r="ES131" s="184">
        <f t="shared" si="48"/>
        <v>0.76615015110585993</v>
      </c>
      <c r="ET131" s="184">
        <f t="shared" si="49"/>
        <v>0.76908508137604192</v>
      </c>
      <c r="EU131" s="184">
        <f t="shared" si="47"/>
        <v>3.0999999999999917</v>
      </c>
    </row>
    <row r="132" spans="144:151">
      <c r="EN132" s="213">
        <f t="shared" si="51"/>
        <v>50495</v>
      </c>
      <c r="EO132" s="224">
        <f>IF(EN132=CPI0_DATE,1,IF(EN132&lt;CPI0_DATE,EO133/EQ132*EQ133,EXP(_xll.qInterp(EP132,$EJ$10:$EJ$19,$EK$10:$EK$19))))</f>
        <v>0.43854689185127305</v>
      </c>
      <c r="EP132" s="190">
        <f t="shared" si="54"/>
        <v>27</v>
      </c>
      <c r="EQ132" s="182">
        <f t="shared" si="46"/>
        <v>0</v>
      </c>
      <c r="ER132" s="186">
        <f t="shared" si="55"/>
        <v>402.92155818065919</v>
      </c>
      <c r="ES132" s="184">
        <f t="shared" si="48"/>
        <v>0.76615015110583773</v>
      </c>
      <c r="ET132" s="184">
        <f t="shared" si="49"/>
        <v>0.76908508137605303</v>
      </c>
      <c r="EU132" s="184">
        <f t="shared" si="47"/>
        <v>3.1000000000000139</v>
      </c>
    </row>
    <row r="133" spans="144:151">
      <c r="EN133" s="213">
        <f t="shared" si="51"/>
        <v>50586</v>
      </c>
      <c r="EO133" s="224">
        <f>IF(EN133=CPI0_DATE,1,IF(EN133&lt;CPI0_DATE,EO134/EQ133*EQ134,EXP(_xll.qInterp(EP133,$EJ$10:$EJ$19,$EK$10:$EK$19))))</f>
        <v>0.43521251054410787</v>
      </c>
      <c r="EP133" s="190">
        <f t="shared" si="54"/>
        <v>27.25</v>
      </c>
      <c r="EQ133" s="182">
        <f t="shared" ref="EQ133:EQ196" si="56">IF(EN133&lt;CPI0_DATE,INDEX($EB$6:$EB$25,MATCH(EN133,$EA$6:$EA$25)),IF(EN133=CPI0_DATE,CPI0_VALUE,0))</f>
        <v>0</v>
      </c>
      <c r="ER133" s="186">
        <f t="shared" si="55"/>
        <v>406.00854230749832</v>
      </c>
      <c r="ES133" s="184">
        <f t="shared" si="48"/>
        <v>0.76615015110583773</v>
      </c>
      <c r="ET133" s="184">
        <f t="shared" si="49"/>
        <v>0.76908508137604192</v>
      </c>
      <c r="EU133" s="184">
        <f t="shared" ref="EU133:EU196" si="57">100*(ER133/ER129-1)</f>
        <v>3.0999999999999917</v>
      </c>
    </row>
    <row r="134" spans="144:151">
      <c r="EN134" s="213">
        <f t="shared" si="51"/>
        <v>50678</v>
      </c>
      <c r="EO134" s="224">
        <f>IF(EN134=CPI0_DATE,1,IF(EN134&lt;CPI0_DATE,EO135/EQ134*EQ135,EXP(_xll.qInterp(EP134,$EJ$10:$EJ$19,$EK$10:$EK$19))))</f>
        <v>0.43190348136896806</v>
      </c>
      <c r="EP134" s="190">
        <f t="shared" si="54"/>
        <v>27.5</v>
      </c>
      <c r="EQ134" s="182">
        <f t="shared" si="56"/>
        <v>0</v>
      </c>
      <c r="ER134" s="186">
        <f t="shared" si="55"/>
        <v>409.1191773678899</v>
      </c>
      <c r="ES134" s="184">
        <f t="shared" si="48"/>
        <v>0.76615015110585993</v>
      </c>
      <c r="ET134" s="184">
        <f t="shared" si="49"/>
        <v>0.76908508137604192</v>
      </c>
      <c r="EU134" s="184">
        <f t="shared" si="57"/>
        <v>3.0999999999999917</v>
      </c>
    </row>
    <row r="135" spans="144:151">
      <c r="EN135" s="213">
        <f t="shared" si="51"/>
        <v>50770</v>
      </c>
      <c r="EO135" s="224">
        <f>IF(EN135=CPI0_DATE,1,IF(EN135&lt;CPI0_DATE,EO136/EQ135*EQ136,EXP(_xll.qInterp(EP135,$EJ$10:$EJ$19,$EK$10:$EK$19))))</f>
        <v>0.42861961156727607</v>
      </c>
      <c r="EP135" s="190">
        <f t="shared" si="54"/>
        <v>27.75</v>
      </c>
      <c r="EQ135" s="182">
        <f t="shared" si="56"/>
        <v>0</v>
      </c>
      <c r="ER135" s="186">
        <f t="shared" si="55"/>
        <v>412.25364456349701</v>
      </c>
      <c r="ES135" s="184">
        <f t="shared" ref="ES135:ES198" si="58">100*(ER135/ER134-1)</f>
        <v>0.76615015110585993</v>
      </c>
      <c r="ET135" s="184">
        <f t="shared" ref="ET135:ET198" si="59">50*(ER135/ER133-1)</f>
        <v>0.76908508137605303</v>
      </c>
      <c r="EU135" s="184">
        <f t="shared" si="57"/>
        <v>3.0999999999999917</v>
      </c>
    </row>
    <row r="136" spans="144:151">
      <c r="EN136" s="213">
        <f t="shared" si="51"/>
        <v>50860</v>
      </c>
      <c r="EO136" s="224">
        <f>IF(EN136=CPI0_DATE,1,IF(EN136&lt;CPI0_DATE,EO137/EQ136*EQ137,EXP(_xll.qInterp(EP136,$EJ$10:$EJ$19,$EK$10:$EK$19))))</f>
        <v>0.42536070984604568</v>
      </c>
      <c r="EP136" s="190">
        <f t="shared" si="54"/>
        <v>28</v>
      </c>
      <c r="EQ136" s="182">
        <f t="shared" si="56"/>
        <v>0</v>
      </c>
      <c r="ER136" s="186">
        <f t="shared" si="55"/>
        <v>415.4121264842596</v>
      </c>
      <c r="ES136" s="184">
        <f t="shared" si="58"/>
        <v>0.76615015110583773</v>
      </c>
      <c r="ET136" s="184">
        <f t="shared" si="59"/>
        <v>0.76908508137604192</v>
      </c>
      <c r="EU136" s="184">
        <f t="shared" si="57"/>
        <v>3.0999999999999917</v>
      </c>
    </row>
    <row r="137" spans="144:151">
      <c r="EN137" s="213">
        <f t="shared" si="51"/>
        <v>50951</v>
      </c>
      <c r="EO137" s="224">
        <f>IF(EN137=CPI0_DATE,1,IF(EN137&lt;CPI0_DATE,EO138/EQ137*EQ138,EXP(_xll.qInterp(EP137,$EJ$10:$EJ$19,$EK$10:$EK$19))))</f>
        <v>0.42212658636673894</v>
      </c>
      <c r="EP137" s="190">
        <f t="shared" si="54"/>
        <v>28.25</v>
      </c>
      <c r="EQ137" s="182">
        <f t="shared" si="56"/>
        <v>0</v>
      </c>
      <c r="ER137" s="186">
        <f t="shared" si="55"/>
        <v>418.59480711903075</v>
      </c>
      <c r="ES137" s="184">
        <f t="shared" si="58"/>
        <v>0.76615015110583773</v>
      </c>
      <c r="ET137" s="184">
        <f t="shared" si="59"/>
        <v>0.76908508137604192</v>
      </c>
      <c r="EU137" s="184">
        <f t="shared" si="57"/>
        <v>3.0999999999999917</v>
      </c>
    </row>
    <row r="138" spans="144:151">
      <c r="EN138" s="213">
        <f t="shared" si="51"/>
        <v>51043</v>
      </c>
      <c r="EO138" s="224">
        <f>IF(EN138=CPI0_DATE,1,IF(EN138&lt;CPI0_DATE,EO139/EQ138*EQ139,EXP(_xll.qInterp(EP138,$EJ$10:$EJ$19,$EK$10:$EK$19))))</f>
        <v>0.41891705273420765</v>
      </c>
      <c r="EP138" s="190">
        <f t="shared" si="54"/>
        <v>28.5</v>
      </c>
      <c r="EQ138" s="182">
        <f t="shared" si="56"/>
        <v>0</v>
      </c>
      <c r="ER138" s="186">
        <f t="shared" si="55"/>
        <v>421.80187186629445</v>
      </c>
      <c r="ES138" s="184">
        <f t="shared" si="58"/>
        <v>0.76615015110585993</v>
      </c>
      <c r="ET138" s="184">
        <f t="shared" si="59"/>
        <v>0.76908508137604192</v>
      </c>
      <c r="EU138" s="184">
        <f t="shared" si="57"/>
        <v>3.0999999999999917</v>
      </c>
    </row>
    <row r="139" spans="144:151">
      <c r="EN139" s="213">
        <f t="shared" si="51"/>
        <v>51135</v>
      </c>
      <c r="EO139" s="224">
        <f>IF(EN139=CPI0_DATE,1,IF(EN139&lt;CPI0_DATE,EO140/EQ139*EQ140,EXP(_xll.qInterp(EP139,$EJ$10:$EJ$19,$EK$10:$EK$19))))</f>
        <v>0.41573192198571884</v>
      </c>
      <c r="EP139" s="190">
        <f t="shared" si="54"/>
        <v>28.75</v>
      </c>
      <c r="EQ139" s="182">
        <f t="shared" si="56"/>
        <v>0</v>
      </c>
      <c r="ER139" s="186">
        <f t="shared" si="55"/>
        <v>425.03350754496535</v>
      </c>
      <c r="ES139" s="184">
        <f t="shared" si="58"/>
        <v>0.76615015110583773</v>
      </c>
      <c r="ET139" s="184">
        <f t="shared" si="59"/>
        <v>0.76908508137604192</v>
      </c>
      <c r="EU139" s="184">
        <f t="shared" si="57"/>
        <v>3.0999999999999917</v>
      </c>
    </row>
    <row r="140" spans="144:151">
      <c r="EN140" s="213">
        <f t="shared" si="51"/>
        <v>51226</v>
      </c>
      <c r="EO140" s="224">
        <f>IF(EN140=CPI0_DATE,1,IF(EN140&lt;CPI0_DATE,EO141/EQ140*EQ141,EXP(_xll.qInterp(EP140,$EJ$10:$EJ$19,$EK$10:$EK$19))))</f>
        <v>0.41257100858006374</v>
      </c>
      <c r="EP140" s="190">
        <f t="shared" si="54"/>
        <v>29</v>
      </c>
      <c r="EQ140" s="182">
        <f t="shared" si="56"/>
        <v>0</v>
      </c>
      <c r="ER140" s="186">
        <f t="shared" si="55"/>
        <v>428.28990240527162</v>
      </c>
      <c r="ES140" s="184">
        <f t="shared" si="58"/>
        <v>0.76615015110585993</v>
      </c>
      <c r="ET140" s="184">
        <f t="shared" si="59"/>
        <v>0.76908508137605303</v>
      </c>
      <c r="EU140" s="184">
        <f t="shared" si="57"/>
        <v>3.0999999999999917</v>
      </c>
    </row>
    <row r="141" spans="144:151">
      <c r="EN141" s="213">
        <f t="shared" si="51"/>
        <v>51317</v>
      </c>
      <c r="EO141" s="224">
        <f>IF(EN141=CPI0_DATE,1,IF(EN141&lt;CPI0_DATE,EO142/EQ141*EQ142,EXP(_xll.qInterp(EP141,$EJ$10:$EJ$19,$EK$10:$EK$19))))</f>
        <v>0.4094341283867497</v>
      </c>
      <c r="EP141" s="190">
        <f t="shared" si="54"/>
        <v>29.25</v>
      </c>
      <c r="EQ141" s="182">
        <f t="shared" si="56"/>
        <v>0</v>
      </c>
      <c r="ER141" s="186">
        <f t="shared" si="55"/>
        <v>431.5712461397207</v>
      </c>
      <c r="ES141" s="184">
        <f t="shared" si="58"/>
        <v>0.76615015110583773</v>
      </c>
      <c r="ET141" s="184">
        <f t="shared" si="59"/>
        <v>0.76908508137605303</v>
      </c>
      <c r="EU141" s="184">
        <f t="shared" si="57"/>
        <v>3.0999999999999917</v>
      </c>
    </row>
    <row r="142" spans="144:151">
      <c r="EN142" s="213">
        <f t="shared" si="51"/>
        <v>51409</v>
      </c>
      <c r="EO142" s="224">
        <f>IF(EN142=CPI0_DATE,1,IF(EN142&lt;CPI0_DATE,EO143/EQ142*EQ143,EXP(_xll.qInterp(EP142,$EJ$10:$EJ$19,$EK$10:$EK$19))))</f>
        <v>0.40632109867527416</v>
      </c>
      <c r="EP142" s="190">
        <f t="shared" si="54"/>
        <v>29.5</v>
      </c>
      <c r="EQ142" s="182">
        <f t="shared" si="56"/>
        <v>0</v>
      </c>
      <c r="ER142" s="186">
        <f t="shared" si="55"/>
        <v>434.87772989414958</v>
      </c>
      <c r="ES142" s="184">
        <f t="shared" si="58"/>
        <v>0.76615015110585993</v>
      </c>
      <c r="ET142" s="184">
        <f t="shared" si="59"/>
        <v>0.76908508137605303</v>
      </c>
      <c r="EU142" s="184">
        <f t="shared" si="57"/>
        <v>3.0999999999999917</v>
      </c>
    </row>
    <row r="143" spans="144:151">
      <c r="EN143" s="213">
        <f t="shared" si="51"/>
        <v>51501</v>
      </c>
      <c r="EO143" s="224">
        <f>IF(EN143=CPI0_DATE,1,IF(EN143&lt;CPI0_DATE,EO144/EQ143*EQ144,EXP(_xll.qInterp(EP143,$EJ$10:$EJ$19,$EK$10:$EK$19))))</f>
        <v>0.40323173810447999</v>
      </c>
      <c r="EP143" s="190">
        <f t="shared" si="54"/>
        <v>29.75</v>
      </c>
      <c r="EQ143" s="182">
        <f t="shared" si="56"/>
        <v>0</v>
      </c>
      <c r="ER143" s="186">
        <f t="shared" si="55"/>
        <v>438.20954627885925</v>
      </c>
      <c r="ES143" s="184">
        <f t="shared" si="58"/>
        <v>0.76615015110583773</v>
      </c>
      <c r="ET143" s="184">
        <f t="shared" si="59"/>
        <v>0.76908508137604192</v>
      </c>
      <c r="EU143" s="184">
        <f t="shared" si="57"/>
        <v>3.0999999999999917</v>
      </c>
    </row>
    <row r="144" spans="144:151">
      <c r="EN144" s="213">
        <f t="shared" si="51"/>
        <v>51591</v>
      </c>
      <c r="EO144" s="224">
        <f>IF(EN144=CPI0_DATE,1,IF(EN144&lt;CPI0_DATE,EO145/EQ144*EQ145,EXP(_xll.qInterp(EP144,$EJ$10:$EJ$19,$EK$10:$EK$19))))</f>
        <v>0.400165866711992</v>
      </c>
      <c r="EP144" s="190">
        <f t="shared" si="54"/>
        <v>30</v>
      </c>
      <c r="EQ144" s="182">
        <f t="shared" si="56"/>
        <v>0</v>
      </c>
      <c r="ER144" s="186">
        <f t="shared" si="55"/>
        <v>441.566889379835</v>
      </c>
      <c r="ES144" s="184">
        <f t="shared" si="58"/>
        <v>0.76615015110585993</v>
      </c>
      <c r="ET144" s="184">
        <f t="shared" si="59"/>
        <v>0.76908508137604192</v>
      </c>
      <c r="EU144" s="184">
        <f t="shared" si="57"/>
        <v>3.0999999999999917</v>
      </c>
    </row>
    <row r="145" spans="144:151">
      <c r="EN145" s="213">
        <f t="shared" si="51"/>
        <v>51682</v>
      </c>
      <c r="EO145" s="224">
        <f>IF(EN145=CPI0_DATE,1,IF(EN145&lt;CPI0_DATE,EO146/EQ145*EQ146,EXP(_xll.qInterp(EP145,$EJ$10:$EJ$19,$EK$10:$EK$19))))</f>
        <v>0.400165866711992</v>
      </c>
      <c r="EP145" s="190">
        <f t="shared" si="54"/>
        <v>30.25</v>
      </c>
      <c r="EQ145" s="182">
        <f t="shared" si="56"/>
        <v>0</v>
      </c>
      <c r="ER145" s="186">
        <f t="shared" si="55"/>
        <v>441.566889379835</v>
      </c>
      <c r="ES145" s="184">
        <f t="shared" si="58"/>
        <v>0</v>
      </c>
      <c r="ET145" s="184">
        <f t="shared" si="59"/>
        <v>0.38307507555292997</v>
      </c>
      <c r="EU145" s="184">
        <f t="shared" si="57"/>
        <v>2.3161050068841282</v>
      </c>
    </row>
    <row r="146" spans="144:151">
      <c r="EN146" s="213">
        <f t="shared" si="51"/>
        <v>51774</v>
      </c>
      <c r="EO146" s="224">
        <f>IF(EN146=CPI0_DATE,1,IF(EN146&lt;CPI0_DATE,EO147/EQ146*EQ147,EXP(_xll.qInterp(EP146,$EJ$10:$EJ$19,$EK$10:$EK$19))))</f>
        <v>0.400165866711992</v>
      </c>
      <c r="EP146" s="190">
        <f t="shared" si="54"/>
        <v>30.5</v>
      </c>
      <c r="EQ146" s="182">
        <f t="shared" si="56"/>
        <v>0</v>
      </c>
      <c r="ER146" s="186">
        <f t="shared" si="55"/>
        <v>441.566889379835</v>
      </c>
      <c r="ES146" s="184">
        <f t="shared" si="58"/>
        <v>0</v>
      </c>
      <c r="ET146" s="184">
        <f t="shared" si="59"/>
        <v>0</v>
      </c>
      <c r="EU146" s="184">
        <f t="shared" si="57"/>
        <v>1.5381701627520838</v>
      </c>
    </row>
    <row r="147" spans="144:151">
      <c r="EN147" s="213">
        <f t="shared" si="51"/>
        <v>51866</v>
      </c>
      <c r="EO147" s="224">
        <f>IF(EN147=CPI0_DATE,1,IF(EN147&lt;CPI0_DATE,EO148/EQ147*EQ148,EXP(_xll.qInterp(EP147,$EJ$10:$EJ$19,$EK$10:$EK$19))))</f>
        <v>0.400165866711992</v>
      </c>
      <c r="EP147" s="190">
        <f t="shared" si="54"/>
        <v>30.75</v>
      </c>
      <c r="EQ147" s="182">
        <f t="shared" si="56"/>
        <v>0</v>
      </c>
      <c r="ER147" s="186">
        <f t="shared" si="55"/>
        <v>441.566889379835</v>
      </c>
      <c r="ES147" s="184">
        <f t="shared" si="58"/>
        <v>0</v>
      </c>
      <c r="ET147" s="184">
        <f t="shared" si="59"/>
        <v>0</v>
      </c>
      <c r="EU147" s="184">
        <f t="shared" si="57"/>
        <v>0.76615015110585993</v>
      </c>
    </row>
    <row r="148" spans="144:151">
      <c r="EN148" s="213">
        <f t="shared" si="51"/>
        <v>51956</v>
      </c>
      <c r="EO148" s="224">
        <f>IF(EN148=CPI0_DATE,1,IF(EN148&lt;CPI0_DATE,EO149/EQ148*EQ149,EXP(_xll.qInterp(EP148,$EJ$10:$EJ$19,$EK$10:$EK$19))))</f>
        <v>0.400165866711992</v>
      </c>
      <c r="EP148" s="190">
        <f t="shared" si="54"/>
        <v>31</v>
      </c>
      <c r="EQ148" s="182">
        <f t="shared" si="56"/>
        <v>0</v>
      </c>
      <c r="ER148" s="186">
        <f t="shared" si="55"/>
        <v>441.566889379835</v>
      </c>
      <c r="ES148" s="184">
        <f t="shared" si="58"/>
        <v>0</v>
      </c>
      <c r="ET148" s="184">
        <f t="shared" si="59"/>
        <v>0</v>
      </c>
      <c r="EU148" s="184">
        <f t="shared" si="57"/>
        <v>0</v>
      </c>
    </row>
    <row r="149" spans="144:151">
      <c r="EN149" s="213">
        <f t="shared" si="51"/>
        <v>52047</v>
      </c>
      <c r="EO149" s="224">
        <f>IF(EN149=CPI0_DATE,1,IF(EN149&lt;CPI0_DATE,EO150/EQ149*EQ150,EXP(_xll.qInterp(EP149,$EJ$10:$EJ$19,$EK$10:$EK$19))))</f>
        <v>0.400165866711992</v>
      </c>
      <c r="EP149" s="190">
        <f t="shared" si="54"/>
        <v>31.25</v>
      </c>
      <c r="EQ149" s="182">
        <f t="shared" si="56"/>
        <v>0</v>
      </c>
      <c r="ER149" s="186">
        <f t="shared" si="55"/>
        <v>441.566889379835</v>
      </c>
      <c r="ES149" s="184">
        <f t="shared" si="58"/>
        <v>0</v>
      </c>
      <c r="ET149" s="184">
        <f t="shared" si="59"/>
        <v>0</v>
      </c>
      <c r="EU149" s="184">
        <f t="shared" si="57"/>
        <v>0</v>
      </c>
    </row>
    <row r="150" spans="144:151">
      <c r="EN150" s="213">
        <f t="shared" si="51"/>
        <v>52139</v>
      </c>
      <c r="EO150" s="224">
        <f>IF(EN150=CPI0_DATE,1,IF(EN150&lt;CPI0_DATE,EO151/EQ150*EQ151,EXP(_xll.qInterp(EP150,$EJ$10:$EJ$19,$EK$10:$EK$19))))</f>
        <v>0.400165866711992</v>
      </c>
      <c r="EP150" s="190">
        <f t="shared" si="54"/>
        <v>31.5</v>
      </c>
      <c r="EQ150" s="182">
        <f t="shared" si="56"/>
        <v>0</v>
      </c>
      <c r="ER150" s="186">
        <f t="shared" si="55"/>
        <v>441.566889379835</v>
      </c>
      <c r="ES150" s="184">
        <f t="shared" si="58"/>
        <v>0</v>
      </c>
      <c r="ET150" s="184">
        <f t="shared" si="59"/>
        <v>0</v>
      </c>
      <c r="EU150" s="184">
        <f t="shared" si="57"/>
        <v>0</v>
      </c>
    </row>
    <row r="151" spans="144:151">
      <c r="EN151" s="213">
        <f t="shared" si="51"/>
        <v>52231</v>
      </c>
      <c r="EO151" s="224">
        <f>IF(EN151=CPI0_DATE,1,IF(EN151&lt;CPI0_DATE,EO152/EQ151*EQ152,EXP(_xll.qInterp(EP151,$EJ$10:$EJ$19,$EK$10:$EK$19))))</f>
        <v>0.400165866711992</v>
      </c>
      <c r="EP151" s="190">
        <f t="shared" si="54"/>
        <v>31.75</v>
      </c>
      <c r="EQ151" s="182">
        <f t="shared" si="56"/>
        <v>0</v>
      </c>
      <c r="ER151" s="186">
        <f t="shared" si="55"/>
        <v>441.566889379835</v>
      </c>
      <c r="ES151" s="184">
        <f t="shared" si="58"/>
        <v>0</v>
      </c>
      <c r="ET151" s="184">
        <f t="shared" si="59"/>
        <v>0</v>
      </c>
      <c r="EU151" s="184">
        <f t="shared" si="57"/>
        <v>0</v>
      </c>
    </row>
    <row r="152" spans="144:151">
      <c r="EN152" s="213">
        <f t="shared" si="51"/>
        <v>52321</v>
      </c>
      <c r="EO152" s="224">
        <f>IF(EN152=CPI0_DATE,1,IF(EN152&lt;CPI0_DATE,EO153/EQ152*EQ153,EXP(_xll.qInterp(EP152,$EJ$10:$EJ$19,$EK$10:$EK$19))))</f>
        <v>0.400165866711992</v>
      </c>
      <c r="EP152" s="190">
        <f t="shared" si="54"/>
        <v>32</v>
      </c>
      <c r="EQ152" s="182">
        <f t="shared" si="56"/>
        <v>0</v>
      </c>
      <c r="ER152" s="186">
        <f t="shared" si="55"/>
        <v>441.566889379835</v>
      </c>
      <c r="ES152" s="184">
        <f t="shared" si="58"/>
        <v>0</v>
      </c>
      <c r="ET152" s="184">
        <f t="shared" si="59"/>
        <v>0</v>
      </c>
      <c r="EU152" s="184">
        <f t="shared" si="57"/>
        <v>0</v>
      </c>
    </row>
    <row r="153" spans="144:151">
      <c r="EN153" s="213">
        <f t="shared" si="51"/>
        <v>52412</v>
      </c>
      <c r="EO153" s="224">
        <f>IF(EN153=CPI0_DATE,1,IF(EN153&lt;CPI0_DATE,EO154/EQ153*EQ154,EXP(_xll.qInterp(EP153,$EJ$10:$EJ$19,$EK$10:$EK$19))))</f>
        <v>0.400165866711992</v>
      </c>
      <c r="EP153" s="190">
        <f t="shared" ref="EP153:EP184" si="60">ROUND((EN153-CPI0_DATE)/365/0.25,0)*0.25</f>
        <v>32.25</v>
      </c>
      <c r="EQ153" s="182">
        <f t="shared" si="56"/>
        <v>0</v>
      </c>
      <c r="ER153" s="186">
        <f t="shared" si="55"/>
        <v>441.566889379835</v>
      </c>
      <c r="ES153" s="184">
        <f t="shared" si="58"/>
        <v>0</v>
      </c>
      <c r="ET153" s="184">
        <f t="shared" si="59"/>
        <v>0</v>
      </c>
      <c r="EU153" s="184">
        <f t="shared" si="57"/>
        <v>0</v>
      </c>
    </row>
    <row r="154" spans="144:151">
      <c r="EN154" s="213">
        <f t="shared" ref="EN154:EN217" si="61">DATE(YEAR(EN153),MONTH(EN153)+4,1)-1</f>
        <v>52504</v>
      </c>
      <c r="EO154" s="224">
        <f>IF(EN154=CPI0_DATE,1,IF(EN154&lt;CPI0_DATE,EO155/EQ154*EQ155,EXP(_xll.qInterp(EP154,$EJ$10:$EJ$19,$EK$10:$EK$19))))</f>
        <v>0.400165866711992</v>
      </c>
      <c r="EP154" s="190">
        <f t="shared" si="60"/>
        <v>32.5</v>
      </c>
      <c r="EQ154" s="182">
        <f t="shared" si="56"/>
        <v>0</v>
      </c>
      <c r="ER154" s="186">
        <f t="shared" si="55"/>
        <v>441.566889379835</v>
      </c>
      <c r="ES154" s="184">
        <f t="shared" si="58"/>
        <v>0</v>
      </c>
      <c r="ET154" s="184">
        <f t="shared" si="59"/>
        <v>0</v>
      </c>
      <c r="EU154" s="184">
        <f t="shared" si="57"/>
        <v>0</v>
      </c>
    </row>
    <row r="155" spans="144:151">
      <c r="EN155" s="213">
        <f t="shared" si="61"/>
        <v>52596</v>
      </c>
      <c r="EO155" s="224">
        <f>IF(EN155=CPI0_DATE,1,IF(EN155&lt;CPI0_DATE,EO156/EQ155*EQ156,EXP(_xll.qInterp(EP155,$EJ$10:$EJ$19,$EK$10:$EK$19))))</f>
        <v>0.400165866711992</v>
      </c>
      <c r="EP155" s="190">
        <f t="shared" si="60"/>
        <v>32.75</v>
      </c>
      <c r="EQ155" s="182">
        <f t="shared" si="56"/>
        <v>0</v>
      </c>
      <c r="ER155" s="186">
        <f t="shared" si="55"/>
        <v>441.566889379835</v>
      </c>
      <c r="ES155" s="184">
        <f t="shared" si="58"/>
        <v>0</v>
      </c>
      <c r="ET155" s="184">
        <f t="shared" si="59"/>
        <v>0</v>
      </c>
      <c r="EU155" s="184">
        <f t="shared" si="57"/>
        <v>0</v>
      </c>
    </row>
    <row r="156" spans="144:151">
      <c r="EN156" s="213">
        <f t="shared" si="61"/>
        <v>52687</v>
      </c>
      <c r="EO156" s="224">
        <f>IF(EN156=CPI0_DATE,1,IF(EN156&lt;CPI0_DATE,EO157/EQ156*EQ157,EXP(_xll.qInterp(EP156,$EJ$10:$EJ$19,$EK$10:$EK$19))))</f>
        <v>0.400165866711992</v>
      </c>
      <c r="EP156" s="190">
        <f t="shared" si="60"/>
        <v>33</v>
      </c>
      <c r="EQ156" s="182">
        <f t="shared" si="56"/>
        <v>0</v>
      </c>
      <c r="ER156" s="186">
        <f t="shared" si="55"/>
        <v>441.566889379835</v>
      </c>
      <c r="ES156" s="184">
        <f t="shared" si="58"/>
        <v>0</v>
      </c>
      <c r="ET156" s="184">
        <f t="shared" si="59"/>
        <v>0</v>
      </c>
      <c r="EU156" s="184">
        <f t="shared" si="57"/>
        <v>0</v>
      </c>
    </row>
    <row r="157" spans="144:151">
      <c r="EN157" s="213">
        <f t="shared" si="61"/>
        <v>52778</v>
      </c>
      <c r="EO157" s="224">
        <f>IF(EN157=CPI0_DATE,1,IF(EN157&lt;CPI0_DATE,EO158/EQ157*EQ158,EXP(_xll.qInterp(EP157,$EJ$10:$EJ$19,$EK$10:$EK$19))))</f>
        <v>0.400165866711992</v>
      </c>
      <c r="EP157" s="190">
        <f t="shared" si="60"/>
        <v>33.25</v>
      </c>
      <c r="EQ157" s="182">
        <f t="shared" si="56"/>
        <v>0</v>
      </c>
      <c r="ER157" s="186">
        <f t="shared" si="55"/>
        <v>441.566889379835</v>
      </c>
      <c r="ES157" s="184">
        <f t="shared" si="58"/>
        <v>0</v>
      </c>
      <c r="ET157" s="184">
        <f t="shared" si="59"/>
        <v>0</v>
      </c>
      <c r="EU157" s="184">
        <f t="shared" si="57"/>
        <v>0</v>
      </c>
    </row>
    <row r="158" spans="144:151">
      <c r="EN158" s="213">
        <f t="shared" si="61"/>
        <v>52870</v>
      </c>
      <c r="EO158" s="224">
        <f>IF(EN158=CPI0_DATE,1,IF(EN158&lt;CPI0_DATE,EO159/EQ158*EQ159,EXP(_xll.qInterp(EP158,$EJ$10:$EJ$19,$EK$10:$EK$19))))</f>
        <v>0.400165866711992</v>
      </c>
      <c r="EP158" s="190">
        <f t="shared" si="60"/>
        <v>33.5</v>
      </c>
      <c r="EQ158" s="182">
        <f t="shared" si="56"/>
        <v>0</v>
      </c>
      <c r="ER158" s="186">
        <f t="shared" ref="ER158:ER189" si="62">IF(EQ158&gt;0,EQ158,ER157*EO157/EO158)</f>
        <v>441.566889379835</v>
      </c>
      <c r="ES158" s="184">
        <f t="shared" si="58"/>
        <v>0</v>
      </c>
      <c r="ET158" s="184">
        <f t="shared" si="59"/>
        <v>0</v>
      </c>
      <c r="EU158" s="184">
        <f t="shared" si="57"/>
        <v>0</v>
      </c>
    </row>
    <row r="159" spans="144:151">
      <c r="EN159" s="213">
        <f t="shared" si="61"/>
        <v>52962</v>
      </c>
      <c r="EO159" s="224">
        <f>IF(EN159=CPI0_DATE,1,IF(EN159&lt;CPI0_DATE,EO160/EQ159*EQ160,EXP(_xll.qInterp(EP159,$EJ$10:$EJ$19,$EK$10:$EK$19))))</f>
        <v>0.400165866711992</v>
      </c>
      <c r="EP159" s="190">
        <f t="shared" si="60"/>
        <v>33.75</v>
      </c>
      <c r="EQ159" s="182">
        <f t="shared" si="56"/>
        <v>0</v>
      </c>
      <c r="ER159" s="186">
        <f t="shared" si="62"/>
        <v>441.566889379835</v>
      </c>
      <c r="ES159" s="184">
        <f t="shared" si="58"/>
        <v>0</v>
      </c>
      <c r="ET159" s="184">
        <f t="shared" si="59"/>
        <v>0</v>
      </c>
      <c r="EU159" s="184">
        <f t="shared" si="57"/>
        <v>0</v>
      </c>
    </row>
    <row r="160" spans="144:151">
      <c r="EN160" s="213">
        <f t="shared" si="61"/>
        <v>53052</v>
      </c>
      <c r="EO160" s="224">
        <f>IF(EN160=CPI0_DATE,1,IF(EN160&lt;CPI0_DATE,EO161/EQ160*EQ161,EXP(_xll.qInterp(EP160,$EJ$10:$EJ$19,$EK$10:$EK$19))))</f>
        <v>0.400165866711992</v>
      </c>
      <c r="EP160" s="190">
        <f t="shared" si="60"/>
        <v>34</v>
      </c>
      <c r="EQ160" s="182">
        <f t="shared" si="56"/>
        <v>0</v>
      </c>
      <c r="ER160" s="186">
        <f t="shared" si="62"/>
        <v>441.566889379835</v>
      </c>
      <c r="ES160" s="184">
        <f t="shared" si="58"/>
        <v>0</v>
      </c>
      <c r="ET160" s="184">
        <f t="shared" si="59"/>
        <v>0</v>
      </c>
      <c r="EU160" s="184">
        <f t="shared" si="57"/>
        <v>0</v>
      </c>
    </row>
    <row r="161" spans="144:151">
      <c r="EN161" s="213">
        <f t="shared" si="61"/>
        <v>53143</v>
      </c>
      <c r="EO161" s="224">
        <f>IF(EN161=CPI0_DATE,1,IF(EN161&lt;CPI0_DATE,EO162/EQ161*EQ162,EXP(_xll.qInterp(EP161,$EJ$10:$EJ$19,$EK$10:$EK$19))))</f>
        <v>0.400165866711992</v>
      </c>
      <c r="EP161" s="190">
        <f t="shared" si="60"/>
        <v>34.25</v>
      </c>
      <c r="EQ161" s="182">
        <f t="shared" si="56"/>
        <v>0</v>
      </c>
      <c r="ER161" s="186">
        <f t="shared" si="62"/>
        <v>441.566889379835</v>
      </c>
      <c r="ES161" s="184">
        <f t="shared" si="58"/>
        <v>0</v>
      </c>
      <c r="ET161" s="184">
        <f t="shared" si="59"/>
        <v>0</v>
      </c>
      <c r="EU161" s="184">
        <f t="shared" si="57"/>
        <v>0</v>
      </c>
    </row>
    <row r="162" spans="144:151">
      <c r="EN162" s="213">
        <f t="shared" si="61"/>
        <v>53235</v>
      </c>
      <c r="EO162" s="224">
        <f>IF(EN162=CPI0_DATE,1,IF(EN162&lt;CPI0_DATE,EO163/EQ162*EQ163,EXP(_xll.qInterp(EP162,$EJ$10:$EJ$19,$EK$10:$EK$19))))</f>
        <v>0.400165866711992</v>
      </c>
      <c r="EP162" s="190">
        <f t="shared" si="60"/>
        <v>34.5</v>
      </c>
      <c r="EQ162" s="182">
        <f t="shared" si="56"/>
        <v>0</v>
      </c>
      <c r="ER162" s="186">
        <f t="shared" si="62"/>
        <v>441.566889379835</v>
      </c>
      <c r="ES162" s="184">
        <f t="shared" si="58"/>
        <v>0</v>
      </c>
      <c r="ET162" s="184">
        <f t="shared" si="59"/>
        <v>0</v>
      </c>
      <c r="EU162" s="184">
        <f t="shared" si="57"/>
        <v>0</v>
      </c>
    </row>
    <row r="163" spans="144:151">
      <c r="EN163" s="213">
        <f t="shared" si="61"/>
        <v>53327</v>
      </c>
      <c r="EO163" s="224">
        <f>IF(EN163=CPI0_DATE,1,IF(EN163&lt;CPI0_DATE,EO164/EQ163*EQ164,EXP(_xll.qInterp(EP163,$EJ$10:$EJ$19,$EK$10:$EK$19))))</f>
        <v>0.400165866711992</v>
      </c>
      <c r="EP163" s="190">
        <f t="shared" si="60"/>
        <v>34.75</v>
      </c>
      <c r="EQ163" s="182">
        <f t="shared" si="56"/>
        <v>0</v>
      </c>
      <c r="ER163" s="186">
        <f t="shared" si="62"/>
        <v>441.566889379835</v>
      </c>
      <c r="ES163" s="184">
        <f t="shared" si="58"/>
        <v>0</v>
      </c>
      <c r="ET163" s="184">
        <f t="shared" si="59"/>
        <v>0</v>
      </c>
      <c r="EU163" s="184">
        <f t="shared" si="57"/>
        <v>0</v>
      </c>
    </row>
    <row r="164" spans="144:151">
      <c r="EN164" s="213">
        <f t="shared" si="61"/>
        <v>53417</v>
      </c>
      <c r="EO164" s="224">
        <f>IF(EN164=CPI0_DATE,1,IF(EN164&lt;CPI0_DATE,EO165/EQ164*EQ165,EXP(_xll.qInterp(EP164,$EJ$10:$EJ$19,$EK$10:$EK$19))))</f>
        <v>0.400165866711992</v>
      </c>
      <c r="EP164" s="190">
        <f t="shared" si="60"/>
        <v>35</v>
      </c>
      <c r="EQ164" s="182">
        <f t="shared" si="56"/>
        <v>0</v>
      </c>
      <c r="ER164" s="186">
        <f t="shared" si="62"/>
        <v>441.566889379835</v>
      </c>
      <c r="ES164" s="184">
        <f t="shared" si="58"/>
        <v>0</v>
      </c>
      <c r="ET164" s="184">
        <f t="shared" si="59"/>
        <v>0</v>
      </c>
      <c r="EU164" s="184">
        <f t="shared" si="57"/>
        <v>0</v>
      </c>
    </row>
    <row r="165" spans="144:151">
      <c r="EN165" s="213">
        <f t="shared" si="61"/>
        <v>53508</v>
      </c>
      <c r="EO165" s="224">
        <f>IF(EN165=CPI0_DATE,1,IF(EN165&lt;CPI0_DATE,EO166/EQ165*EQ166,EXP(_xll.qInterp(EP165,$EJ$10:$EJ$19,$EK$10:$EK$19))))</f>
        <v>0.400165866711992</v>
      </c>
      <c r="EP165" s="190">
        <f t="shared" si="60"/>
        <v>35.25</v>
      </c>
      <c r="EQ165" s="182">
        <f t="shared" si="56"/>
        <v>0</v>
      </c>
      <c r="ER165" s="186">
        <f t="shared" si="62"/>
        <v>441.566889379835</v>
      </c>
      <c r="ES165" s="184">
        <f t="shared" si="58"/>
        <v>0</v>
      </c>
      <c r="ET165" s="184">
        <f t="shared" si="59"/>
        <v>0</v>
      </c>
      <c r="EU165" s="184">
        <f t="shared" si="57"/>
        <v>0</v>
      </c>
    </row>
    <row r="166" spans="144:151">
      <c r="EN166" s="213">
        <f t="shared" si="61"/>
        <v>53600</v>
      </c>
      <c r="EO166" s="224">
        <f>IF(EN166=CPI0_DATE,1,IF(EN166&lt;CPI0_DATE,EO167/EQ166*EQ167,EXP(_xll.qInterp(EP166,$EJ$10:$EJ$19,$EK$10:$EK$19))))</f>
        <v>0.400165866711992</v>
      </c>
      <c r="EP166" s="190">
        <f t="shared" si="60"/>
        <v>35.5</v>
      </c>
      <c r="EQ166" s="182">
        <f t="shared" si="56"/>
        <v>0</v>
      </c>
      <c r="ER166" s="186">
        <f t="shared" si="62"/>
        <v>441.566889379835</v>
      </c>
      <c r="ES166" s="184">
        <f t="shared" si="58"/>
        <v>0</v>
      </c>
      <c r="ET166" s="184">
        <f t="shared" si="59"/>
        <v>0</v>
      </c>
      <c r="EU166" s="184">
        <f t="shared" si="57"/>
        <v>0</v>
      </c>
    </row>
    <row r="167" spans="144:151">
      <c r="EN167" s="213">
        <f t="shared" si="61"/>
        <v>53692</v>
      </c>
      <c r="EO167" s="224">
        <f>IF(EN167=CPI0_DATE,1,IF(EN167&lt;CPI0_DATE,EO168/EQ167*EQ168,EXP(_xll.qInterp(EP167,$EJ$10:$EJ$19,$EK$10:$EK$19))))</f>
        <v>0.400165866711992</v>
      </c>
      <c r="EP167" s="190">
        <f t="shared" si="60"/>
        <v>35.75</v>
      </c>
      <c r="EQ167" s="182">
        <f t="shared" si="56"/>
        <v>0</v>
      </c>
      <c r="ER167" s="186">
        <f t="shared" si="62"/>
        <v>441.566889379835</v>
      </c>
      <c r="ES167" s="184">
        <f t="shared" si="58"/>
        <v>0</v>
      </c>
      <c r="ET167" s="184">
        <f t="shared" si="59"/>
        <v>0</v>
      </c>
      <c r="EU167" s="184">
        <f t="shared" si="57"/>
        <v>0</v>
      </c>
    </row>
    <row r="168" spans="144:151">
      <c r="EN168" s="213">
        <f t="shared" si="61"/>
        <v>53782</v>
      </c>
      <c r="EO168" s="224">
        <f>IF(EN168=CPI0_DATE,1,IF(EN168&lt;CPI0_DATE,EO169/EQ168*EQ169,EXP(_xll.qInterp(EP168,$EJ$10:$EJ$19,$EK$10:$EK$19))))</f>
        <v>0.400165866711992</v>
      </c>
      <c r="EP168" s="190">
        <f t="shared" si="60"/>
        <v>36</v>
      </c>
      <c r="EQ168" s="182">
        <f t="shared" si="56"/>
        <v>0</v>
      </c>
      <c r="ER168" s="186">
        <f t="shared" si="62"/>
        <v>441.566889379835</v>
      </c>
      <c r="ES168" s="184">
        <f t="shared" si="58"/>
        <v>0</v>
      </c>
      <c r="ET168" s="184">
        <f t="shared" si="59"/>
        <v>0</v>
      </c>
      <c r="EU168" s="184">
        <f t="shared" si="57"/>
        <v>0</v>
      </c>
    </row>
    <row r="169" spans="144:151">
      <c r="EN169" s="213">
        <f t="shared" si="61"/>
        <v>53873</v>
      </c>
      <c r="EO169" s="224">
        <f>IF(EN169=CPI0_DATE,1,IF(EN169&lt;CPI0_DATE,EO170/EQ169*EQ170,EXP(_xll.qInterp(EP169,$EJ$10:$EJ$19,$EK$10:$EK$19))))</f>
        <v>0.400165866711992</v>
      </c>
      <c r="EP169" s="190">
        <f t="shared" si="60"/>
        <v>36.25</v>
      </c>
      <c r="EQ169" s="182">
        <f t="shared" si="56"/>
        <v>0</v>
      </c>
      <c r="ER169" s="186">
        <f t="shared" si="62"/>
        <v>441.566889379835</v>
      </c>
      <c r="ES169" s="184">
        <f t="shared" si="58"/>
        <v>0</v>
      </c>
      <c r="ET169" s="184">
        <f t="shared" si="59"/>
        <v>0</v>
      </c>
      <c r="EU169" s="184">
        <f t="shared" si="57"/>
        <v>0</v>
      </c>
    </row>
    <row r="170" spans="144:151">
      <c r="EN170" s="213">
        <f t="shared" si="61"/>
        <v>53965</v>
      </c>
      <c r="EO170" s="224">
        <f>IF(EN170=CPI0_DATE,1,IF(EN170&lt;CPI0_DATE,EO171/EQ170*EQ171,EXP(_xll.qInterp(EP170,$EJ$10:$EJ$19,$EK$10:$EK$19))))</f>
        <v>0.400165866711992</v>
      </c>
      <c r="EP170" s="190">
        <f t="shared" si="60"/>
        <v>36.5</v>
      </c>
      <c r="EQ170" s="182">
        <f t="shared" si="56"/>
        <v>0</v>
      </c>
      <c r="ER170" s="186">
        <f t="shared" si="62"/>
        <v>441.566889379835</v>
      </c>
      <c r="ES170" s="184">
        <f t="shared" si="58"/>
        <v>0</v>
      </c>
      <c r="ET170" s="184">
        <f t="shared" si="59"/>
        <v>0</v>
      </c>
      <c r="EU170" s="184">
        <f t="shared" si="57"/>
        <v>0</v>
      </c>
    </row>
    <row r="171" spans="144:151">
      <c r="EN171" s="213">
        <f t="shared" si="61"/>
        <v>54057</v>
      </c>
      <c r="EO171" s="224">
        <f>IF(EN171=CPI0_DATE,1,IF(EN171&lt;CPI0_DATE,EO172/EQ171*EQ172,EXP(_xll.qInterp(EP171,$EJ$10:$EJ$19,$EK$10:$EK$19))))</f>
        <v>0.400165866711992</v>
      </c>
      <c r="EP171" s="190">
        <f t="shared" si="60"/>
        <v>36.75</v>
      </c>
      <c r="EQ171" s="182">
        <f t="shared" si="56"/>
        <v>0</v>
      </c>
      <c r="ER171" s="186">
        <f t="shared" si="62"/>
        <v>441.566889379835</v>
      </c>
      <c r="ES171" s="184">
        <f t="shared" si="58"/>
        <v>0</v>
      </c>
      <c r="ET171" s="184">
        <f t="shared" si="59"/>
        <v>0</v>
      </c>
      <c r="EU171" s="184">
        <f t="shared" si="57"/>
        <v>0</v>
      </c>
    </row>
    <row r="172" spans="144:151">
      <c r="EN172" s="213">
        <f t="shared" si="61"/>
        <v>54148</v>
      </c>
      <c r="EO172" s="224">
        <f>IF(EN172=CPI0_DATE,1,IF(EN172&lt;CPI0_DATE,EO173/EQ172*EQ173,EXP(_xll.qInterp(EP172,$EJ$10:$EJ$19,$EK$10:$EK$19))))</f>
        <v>0.400165866711992</v>
      </c>
      <c r="EP172" s="190">
        <f t="shared" si="60"/>
        <v>37</v>
      </c>
      <c r="EQ172" s="182">
        <f t="shared" si="56"/>
        <v>0</v>
      </c>
      <c r="ER172" s="186">
        <f t="shared" si="62"/>
        <v>441.566889379835</v>
      </c>
      <c r="ES172" s="184">
        <f t="shared" si="58"/>
        <v>0</v>
      </c>
      <c r="ET172" s="184">
        <f t="shared" si="59"/>
        <v>0</v>
      </c>
      <c r="EU172" s="184">
        <f t="shared" si="57"/>
        <v>0</v>
      </c>
    </row>
    <row r="173" spans="144:151">
      <c r="EN173" s="213">
        <f t="shared" si="61"/>
        <v>54239</v>
      </c>
      <c r="EO173" s="224">
        <f>IF(EN173=CPI0_DATE,1,IF(EN173&lt;CPI0_DATE,EO174/EQ173*EQ174,EXP(_xll.qInterp(EP173,$EJ$10:$EJ$19,$EK$10:$EK$19))))</f>
        <v>0.400165866711992</v>
      </c>
      <c r="EP173" s="190">
        <f t="shared" si="60"/>
        <v>37.25</v>
      </c>
      <c r="EQ173" s="182">
        <f t="shared" si="56"/>
        <v>0</v>
      </c>
      <c r="ER173" s="186">
        <f t="shared" si="62"/>
        <v>441.566889379835</v>
      </c>
      <c r="ES173" s="184">
        <f t="shared" si="58"/>
        <v>0</v>
      </c>
      <c r="ET173" s="184">
        <f t="shared" si="59"/>
        <v>0</v>
      </c>
      <c r="EU173" s="184">
        <f t="shared" si="57"/>
        <v>0</v>
      </c>
    </row>
    <row r="174" spans="144:151">
      <c r="EN174" s="213">
        <f t="shared" si="61"/>
        <v>54331</v>
      </c>
      <c r="EO174" s="224">
        <f>IF(EN174=CPI0_DATE,1,IF(EN174&lt;CPI0_DATE,EO175/EQ174*EQ175,EXP(_xll.qInterp(EP174,$EJ$10:$EJ$19,$EK$10:$EK$19))))</f>
        <v>0.400165866711992</v>
      </c>
      <c r="EP174" s="190">
        <f t="shared" si="60"/>
        <v>37.5</v>
      </c>
      <c r="EQ174" s="182">
        <f t="shared" si="56"/>
        <v>0</v>
      </c>
      <c r="ER174" s="186">
        <f t="shared" si="62"/>
        <v>441.566889379835</v>
      </c>
      <c r="ES174" s="184">
        <f t="shared" si="58"/>
        <v>0</v>
      </c>
      <c r="ET174" s="184">
        <f t="shared" si="59"/>
        <v>0</v>
      </c>
      <c r="EU174" s="184">
        <f t="shared" si="57"/>
        <v>0</v>
      </c>
    </row>
    <row r="175" spans="144:151">
      <c r="EN175" s="213">
        <f t="shared" si="61"/>
        <v>54423</v>
      </c>
      <c r="EO175" s="224">
        <f>IF(EN175=CPI0_DATE,1,IF(EN175&lt;CPI0_DATE,EO176/EQ175*EQ176,EXP(_xll.qInterp(EP175,$EJ$10:$EJ$19,$EK$10:$EK$19))))</f>
        <v>0.400165866711992</v>
      </c>
      <c r="EP175" s="190">
        <f t="shared" si="60"/>
        <v>37.75</v>
      </c>
      <c r="EQ175" s="182">
        <f t="shared" si="56"/>
        <v>0</v>
      </c>
      <c r="ER175" s="186">
        <f t="shared" si="62"/>
        <v>441.566889379835</v>
      </c>
      <c r="ES175" s="184">
        <f t="shared" si="58"/>
        <v>0</v>
      </c>
      <c r="ET175" s="184">
        <f t="shared" si="59"/>
        <v>0</v>
      </c>
      <c r="EU175" s="184">
        <f t="shared" si="57"/>
        <v>0</v>
      </c>
    </row>
    <row r="176" spans="144:151">
      <c r="EN176" s="213">
        <f t="shared" si="61"/>
        <v>54513</v>
      </c>
      <c r="EO176" s="224">
        <f>IF(EN176=CPI0_DATE,1,IF(EN176&lt;CPI0_DATE,EO177/EQ176*EQ177,EXP(_xll.qInterp(EP176,$EJ$10:$EJ$19,$EK$10:$EK$19))))</f>
        <v>0.400165866711992</v>
      </c>
      <c r="EP176" s="190">
        <f t="shared" si="60"/>
        <v>38</v>
      </c>
      <c r="EQ176" s="182">
        <f t="shared" si="56"/>
        <v>0</v>
      </c>
      <c r="ER176" s="186">
        <f t="shared" si="62"/>
        <v>441.566889379835</v>
      </c>
      <c r="ES176" s="184">
        <f t="shared" si="58"/>
        <v>0</v>
      </c>
      <c r="ET176" s="184">
        <f t="shared" si="59"/>
        <v>0</v>
      </c>
      <c r="EU176" s="184">
        <f t="shared" si="57"/>
        <v>0</v>
      </c>
    </row>
    <row r="177" spans="144:151">
      <c r="EN177" s="213">
        <f t="shared" si="61"/>
        <v>54604</v>
      </c>
      <c r="EO177" s="224">
        <f>IF(EN177=CPI0_DATE,1,IF(EN177&lt;CPI0_DATE,EO178/EQ177*EQ178,EXP(_xll.qInterp(EP177,$EJ$10:$EJ$19,$EK$10:$EK$19))))</f>
        <v>0.400165866711992</v>
      </c>
      <c r="EP177" s="190">
        <f t="shared" si="60"/>
        <v>38.25</v>
      </c>
      <c r="EQ177" s="182">
        <f t="shared" si="56"/>
        <v>0</v>
      </c>
      <c r="ER177" s="186">
        <f t="shared" si="62"/>
        <v>441.566889379835</v>
      </c>
      <c r="ES177" s="184">
        <f t="shared" si="58"/>
        <v>0</v>
      </c>
      <c r="ET177" s="184">
        <f t="shared" si="59"/>
        <v>0</v>
      </c>
      <c r="EU177" s="184">
        <f t="shared" si="57"/>
        <v>0</v>
      </c>
    </row>
    <row r="178" spans="144:151">
      <c r="EN178" s="213">
        <f t="shared" si="61"/>
        <v>54696</v>
      </c>
      <c r="EO178" s="224">
        <f>IF(EN178=CPI0_DATE,1,IF(EN178&lt;CPI0_DATE,EO179/EQ178*EQ179,EXP(_xll.qInterp(EP178,$EJ$10:$EJ$19,$EK$10:$EK$19))))</f>
        <v>0.400165866711992</v>
      </c>
      <c r="EP178" s="190">
        <f t="shared" si="60"/>
        <v>38.5</v>
      </c>
      <c r="EQ178" s="182">
        <f t="shared" si="56"/>
        <v>0</v>
      </c>
      <c r="ER178" s="186">
        <f t="shared" si="62"/>
        <v>441.566889379835</v>
      </c>
      <c r="ES178" s="184">
        <f t="shared" si="58"/>
        <v>0</v>
      </c>
      <c r="ET178" s="184">
        <f t="shared" si="59"/>
        <v>0</v>
      </c>
      <c r="EU178" s="184">
        <f t="shared" si="57"/>
        <v>0</v>
      </c>
    </row>
    <row r="179" spans="144:151">
      <c r="EN179" s="213">
        <f t="shared" si="61"/>
        <v>54788</v>
      </c>
      <c r="EO179" s="224">
        <f>IF(EN179=CPI0_DATE,1,IF(EN179&lt;CPI0_DATE,EO180/EQ179*EQ180,EXP(_xll.qInterp(EP179,$EJ$10:$EJ$19,$EK$10:$EK$19))))</f>
        <v>0.400165866711992</v>
      </c>
      <c r="EP179" s="190">
        <f t="shared" si="60"/>
        <v>38.75</v>
      </c>
      <c r="EQ179" s="182">
        <f t="shared" si="56"/>
        <v>0</v>
      </c>
      <c r="ER179" s="186">
        <f t="shared" si="62"/>
        <v>441.566889379835</v>
      </c>
      <c r="ES179" s="184">
        <f t="shared" si="58"/>
        <v>0</v>
      </c>
      <c r="ET179" s="184">
        <f t="shared" si="59"/>
        <v>0</v>
      </c>
      <c r="EU179" s="184">
        <f t="shared" si="57"/>
        <v>0</v>
      </c>
    </row>
    <row r="180" spans="144:151">
      <c r="EN180" s="213">
        <f t="shared" si="61"/>
        <v>54878</v>
      </c>
      <c r="EO180" s="224">
        <f>IF(EN180=CPI0_DATE,1,IF(EN180&lt;CPI0_DATE,EO181/EQ180*EQ181,EXP(_xll.qInterp(EP180,$EJ$10:$EJ$19,$EK$10:$EK$19))))</f>
        <v>0.400165866711992</v>
      </c>
      <c r="EP180" s="190">
        <f t="shared" si="60"/>
        <v>39</v>
      </c>
      <c r="EQ180" s="182">
        <f t="shared" si="56"/>
        <v>0</v>
      </c>
      <c r="ER180" s="186">
        <f t="shared" si="62"/>
        <v>441.566889379835</v>
      </c>
      <c r="ES180" s="184">
        <f t="shared" si="58"/>
        <v>0</v>
      </c>
      <c r="ET180" s="184">
        <f t="shared" si="59"/>
        <v>0</v>
      </c>
      <c r="EU180" s="184">
        <f t="shared" si="57"/>
        <v>0</v>
      </c>
    </row>
    <row r="181" spans="144:151">
      <c r="EN181" s="213">
        <f t="shared" si="61"/>
        <v>54969</v>
      </c>
      <c r="EO181" s="224">
        <f>IF(EN181=CPI0_DATE,1,IF(EN181&lt;CPI0_DATE,EO182/EQ181*EQ182,EXP(_xll.qInterp(EP181,$EJ$10:$EJ$19,$EK$10:$EK$19))))</f>
        <v>0.400165866711992</v>
      </c>
      <c r="EP181" s="190">
        <f t="shared" si="60"/>
        <v>39.25</v>
      </c>
      <c r="EQ181" s="182">
        <f t="shared" si="56"/>
        <v>0</v>
      </c>
      <c r="ER181" s="186">
        <f t="shared" si="62"/>
        <v>441.566889379835</v>
      </c>
      <c r="ES181" s="184">
        <f t="shared" si="58"/>
        <v>0</v>
      </c>
      <c r="ET181" s="184">
        <f t="shared" si="59"/>
        <v>0</v>
      </c>
      <c r="EU181" s="184">
        <f t="shared" si="57"/>
        <v>0</v>
      </c>
    </row>
    <row r="182" spans="144:151">
      <c r="EN182" s="213">
        <f t="shared" si="61"/>
        <v>55061</v>
      </c>
      <c r="EO182" s="224">
        <f>IF(EN182=CPI0_DATE,1,IF(EN182&lt;CPI0_DATE,EO183/EQ182*EQ183,EXP(_xll.qInterp(EP182,$EJ$10:$EJ$19,$EK$10:$EK$19))))</f>
        <v>0.400165866711992</v>
      </c>
      <c r="EP182" s="190">
        <f t="shared" si="60"/>
        <v>39.5</v>
      </c>
      <c r="EQ182" s="182">
        <f t="shared" si="56"/>
        <v>0</v>
      </c>
      <c r="ER182" s="186">
        <f t="shared" si="62"/>
        <v>441.566889379835</v>
      </c>
      <c r="ES182" s="184">
        <f t="shared" si="58"/>
        <v>0</v>
      </c>
      <c r="ET182" s="184">
        <f t="shared" si="59"/>
        <v>0</v>
      </c>
      <c r="EU182" s="184">
        <f t="shared" si="57"/>
        <v>0</v>
      </c>
    </row>
    <row r="183" spans="144:151">
      <c r="EN183" s="213">
        <f t="shared" si="61"/>
        <v>55153</v>
      </c>
      <c r="EO183" s="224">
        <f>IF(EN183=CPI0_DATE,1,IF(EN183&lt;CPI0_DATE,EO184/EQ183*EQ184,EXP(_xll.qInterp(EP183,$EJ$10:$EJ$19,$EK$10:$EK$19))))</f>
        <v>0.400165866711992</v>
      </c>
      <c r="EP183" s="190">
        <f t="shared" si="60"/>
        <v>39.75</v>
      </c>
      <c r="EQ183" s="182">
        <f t="shared" si="56"/>
        <v>0</v>
      </c>
      <c r="ER183" s="186">
        <f t="shared" si="62"/>
        <v>441.566889379835</v>
      </c>
      <c r="ES183" s="184">
        <f t="shared" si="58"/>
        <v>0</v>
      </c>
      <c r="ET183" s="184">
        <f t="shared" si="59"/>
        <v>0</v>
      </c>
      <c r="EU183" s="184">
        <f t="shared" si="57"/>
        <v>0</v>
      </c>
    </row>
    <row r="184" spans="144:151">
      <c r="EN184" s="213">
        <f t="shared" si="61"/>
        <v>55243</v>
      </c>
      <c r="EO184" s="224">
        <f>IF(EN184=CPI0_DATE,1,IF(EN184&lt;CPI0_DATE,EO185/EQ184*EQ185,EXP(_xll.qInterp(EP184,$EJ$10:$EJ$19,$EK$10:$EK$19))))</f>
        <v>0.400165866711992</v>
      </c>
      <c r="EP184" s="190">
        <f t="shared" si="60"/>
        <v>40</v>
      </c>
      <c r="EQ184" s="182">
        <f t="shared" si="56"/>
        <v>0</v>
      </c>
      <c r="ER184" s="186">
        <f t="shared" si="62"/>
        <v>441.566889379835</v>
      </c>
      <c r="ES184" s="184">
        <f t="shared" si="58"/>
        <v>0</v>
      </c>
      <c r="ET184" s="184">
        <f t="shared" si="59"/>
        <v>0</v>
      </c>
      <c r="EU184" s="184">
        <f t="shared" si="57"/>
        <v>0</v>
      </c>
    </row>
    <row r="185" spans="144:151">
      <c r="EN185" s="213">
        <f t="shared" si="61"/>
        <v>55334</v>
      </c>
      <c r="EO185" s="224">
        <f>IF(EN185=CPI0_DATE,1,IF(EN185&lt;CPI0_DATE,EO186/EQ185*EQ186,EXP(_xll.qInterp(EP185,$EJ$10:$EJ$19,$EK$10:$EK$19))))</f>
        <v>0.400165866711992</v>
      </c>
      <c r="EP185" s="190">
        <f t="shared" ref="EP185:EP216" si="63">ROUND((EN185-CPI0_DATE)/365/0.25,0)*0.25</f>
        <v>40.25</v>
      </c>
      <c r="EQ185" s="182">
        <f t="shared" si="56"/>
        <v>0</v>
      </c>
      <c r="ER185" s="186">
        <f t="shared" si="62"/>
        <v>441.566889379835</v>
      </c>
      <c r="ES185" s="184">
        <f t="shared" si="58"/>
        <v>0</v>
      </c>
      <c r="ET185" s="184">
        <f t="shared" si="59"/>
        <v>0</v>
      </c>
      <c r="EU185" s="184">
        <f t="shared" si="57"/>
        <v>0</v>
      </c>
    </row>
    <row r="186" spans="144:151">
      <c r="EN186" s="213">
        <f t="shared" si="61"/>
        <v>55426</v>
      </c>
      <c r="EO186" s="224">
        <f>IF(EN186=CPI0_DATE,1,IF(EN186&lt;CPI0_DATE,EO187/EQ186*EQ187,EXP(_xll.qInterp(EP186,$EJ$10:$EJ$19,$EK$10:$EK$19))))</f>
        <v>0.400165866711992</v>
      </c>
      <c r="EP186" s="190">
        <f t="shared" si="63"/>
        <v>40.5</v>
      </c>
      <c r="EQ186" s="182">
        <f t="shared" si="56"/>
        <v>0</v>
      </c>
      <c r="ER186" s="186">
        <f t="shared" si="62"/>
        <v>441.566889379835</v>
      </c>
      <c r="ES186" s="184">
        <f t="shared" si="58"/>
        <v>0</v>
      </c>
      <c r="ET186" s="184">
        <f t="shared" si="59"/>
        <v>0</v>
      </c>
      <c r="EU186" s="184">
        <f t="shared" si="57"/>
        <v>0</v>
      </c>
    </row>
    <row r="187" spans="144:151">
      <c r="EN187" s="213">
        <f t="shared" si="61"/>
        <v>55518</v>
      </c>
      <c r="EO187" s="224">
        <f>IF(EN187=CPI0_DATE,1,IF(EN187&lt;CPI0_DATE,EO188/EQ187*EQ188,EXP(_xll.qInterp(EP187,$EJ$10:$EJ$19,$EK$10:$EK$19))))</f>
        <v>0.400165866711992</v>
      </c>
      <c r="EP187" s="190">
        <f t="shared" si="63"/>
        <v>40.75</v>
      </c>
      <c r="EQ187" s="182">
        <f t="shared" si="56"/>
        <v>0</v>
      </c>
      <c r="ER187" s="186">
        <f t="shared" si="62"/>
        <v>441.566889379835</v>
      </c>
      <c r="ES187" s="184">
        <f t="shared" si="58"/>
        <v>0</v>
      </c>
      <c r="ET187" s="184">
        <f t="shared" si="59"/>
        <v>0</v>
      </c>
      <c r="EU187" s="184">
        <f t="shared" si="57"/>
        <v>0</v>
      </c>
    </row>
    <row r="188" spans="144:151">
      <c r="EN188" s="213">
        <f t="shared" si="61"/>
        <v>55609</v>
      </c>
      <c r="EO188" s="224">
        <f>IF(EN188=CPI0_DATE,1,IF(EN188&lt;CPI0_DATE,EO189/EQ188*EQ189,EXP(_xll.qInterp(EP188,$EJ$10:$EJ$19,$EK$10:$EK$19))))</f>
        <v>0.400165866711992</v>
      </c>
      <c r="EP188" s="190">
        <f t="shared" si="63"/>
        <v>41</v>
      </c>
      <c r="EQ188" s="182">
        <f t="shared" si="56"/>
        <v>0</v>
      </c>
      <c r="ER188" s="186">
        <f t="shared" si="62"/>
        <v>441.566889379835</v>
      </c>
      <c r="ES188" s="184">
        <f t="shared" si="58"/>
        <v>0</v>
      </c>
      <c r="ET188" s="184">
        <f t="shared" si="59"/>
        <v>0</v>
      </c>
      <c r="EU188" s="184">
        <f t="shared" si="57"/>
        <v>0</v>
      </c>
    </row>
    <row r="189" spans="144:151">
      <c r="EN189" s="213">
        <f t="shared" si="61"/>
        <v>55700</v>
      </c>
      <c r="EO189" s="224">
        <f>IF(EN189=CPI0_DATE,1,IF(EN189&lt;CPI0_DATE,EO190/EQ189*EQ190,EXP(_xll.qInterp(EP189,$EJ$10:$EJ$19,$EK$10:$EK$19))))</f>
        <v>0.400165866711992</v>
      </c>
      <c r="EP189" s="190">
        <f t="shared" si="63"/>
        <v>41.25</v>
      </c>
      <c r="EQ189" s="182">
        <f t="shared" si="56"/>
        <v>0</v>
      </c>
      <c r="ER189" s="186">
        <f t="shared" si="62"/>
        <v>441.566889379835</v>
      </c>
      <c r="ES189" s="184">
        <f t="shared" si="58"/>
        <v>0</v>
      </c>
      <c r="ET189" s="184">
        <f t="shared" si="59"/>
        <v>0</v>
      </c>
      <c r="EU189" s="184">
        <f t="shared" si="57"/>
        <v>0</v>
      </c>
    </row>
    <row r="190" spans="144:151">
      <c r="EN190" s="213">
        <f t="shared" si="61"/>
        <v>55792</v>
      </c>
      <c r="EO190" s="224">
        <f>IF(EN190=CPI0_DATE,1,IF(EN190&lt;CPI0_DATE,EO191/EQ190*EQ191,EXP(_xll.qInterp(EP190,$EJ$10:$EJ$19,$EK$10:$EK$19))))</f>
        <v>0.400165866711992</v>
      </c>
      <c r="EP190" s="190">
        <f t="shared" si="63"/>
        <v>41.5</v>
      </c>
      <c r="EQ190" s="182">
        <f t="shared" si="56"/>
        <v>0</v>
      </c>
      <c r="ER190" s="186">
        <f t="shared" ref="ER190:ER221" si="64">IF(EQ190&gt;0,EQ190,ER189*EO189/EO190)</f>
        <v>441.566889379835</v>
      </c>
      <c r="ES190" s="184">
        <f t="shared" si="58"/>
        <v>0</v>
      </c>
      <c r="ET190" s="184">
        <f t="shared" si="59"/>
        <v>0</v>
      </c>
      <c r="EU190" s="184">
        <f t="shared" si="57"/>
        <v>0</v>
      </c>
    </row>
    <row r="191" spans="144:151">
      <c r="EN191" s="213">
        <f t="shared" si="61"/>
        <v>55884</v>
      </c>
      <c r="EO191" s="224">
        <f>IF(EN191=CPI0_DATE,1,IF(EN191&lt;CPI0_DATE,EO192/EQ191*EQ192,EXP(_xll.qInterp(EP191,$EJ$10:$EJ$19,$EK$10:$EK$19))))</f>
        <v>0.400165866711992</v>
      </c>
      <c r="EP191" s="190">
        <f t="shared" si="63"/>
        <v>41.75</v>
      </c>
      <c r="EQ191" s="182">
        <f t="shared" si="56"/>
        <v>0</v>
      </c>
      <c r="ER191" s="186">
        <f t="shared" si="64"/>
        <v>441.566889379835</v>
      </c>
      <c r="ES191" s="184">
        <f t="shared" si="58"/>
        <v>0</v>
      </c>
      <c r="ET191" s="184">
        <f t="shared" si="59"/>
        <v>0</v>
      </c>
      <c r="EU191" s="184">
        <f t="shared" si="57"/>
        <v>0</v>
      </c>
    </row>
    <row r="192" spans="144:151">
      <c r="EN192" s="213">
        <f t="shared" si="61"/>
        <v>55974</v>
      </c>
      <c r="EO192" s="224">
        <f>IF(EN192=CPI0_DATE,1,IF(EN192&lt;CPI0_DATE,EO193/EQ192*EQ193,EXP(_xll.qInterp(EP192,$EJ$10:$EJ$19,$EK$10:$EK$19))))</f>
        <v>0.400165866711992</v>
      </c>
      <c r="EP192" s="190">
        <f t="shared" si="63"/>
        <v>42</v>
      </c>
      <c r="EQ192" s="182">
        <f t="shared" si="56"/>
        <v>0</v>
      </c>
      <c r="ER192" s="186">
        <f t="shared" si="64"/>
        <v>441.566889379835</v>
      </c>
      <c r="ES192" s="184">
        <f t="shared" si="58"/>
        <v>0</v>
      </c>
      <c r="ET192" s="184">
        <f t="shared" si="59"/>
        <v>0</v>
      </c>
      <c r="EU192" s="184">
        <f t="shared" si="57"/>
        <v>0</v>
      </c>
    </row>
    <row r="193" spans="144:151">
      <c r="EN193" s="213">
        <f t="shared" si="61"/>
        <v>56065</v>
      </c>
      <c r="EO193" s="224">
        <f>IF(EN193=CPI0_DATE,1,IF(EN193&lt;CPI0_DATE,EO194/EQ193*EQ194,EXP(_xll.qInterp(EP193,$EJ$10:$EJ$19,$EK$10:$EK$19))))</f>
        <v>0.400165866711992</v>
      </c>
      <c r="EP193" s="190">
        <f t="shared" si="63"/>
        <v>42.25</v>
      </c>
      <c r="EQ193" s="182">
        <f t="shared" si="56"/>
        <v>0</v>
      </c>
      <c r="ER193" s="186">
        <f t="shared" si="64"/>
        <v>441.566889379835</v>
      </c>
      <c r="ES193" s="184">
        <f t="shared" si="58"/>
        <v>0</v>
      </c>
      <c r="ET193" s="184">
        <f t="shared" si="59"/>
        <v>0</v>
      </c>
      <c r="EU193" s="184">
        <f t="shared" si="57"/>
        <v>0</v>
      </c>
    </row>
    <row r="194" spans="144:151">
      <c r="EN194" s="213">
        <f t="shared" si="61"/>
        <v>56157</v>
      </c>
      <c r="EO194" s="224">
        <f>IF(EN194=CPI0_DATE,1,IF(EN194&lt;CPI0_DATE,EO195/EQ194*EQ195,EXP(_xll.qInterp(EP194,$EJ$10:$EJ$19,$EK$10:$EK$19))))</f>
        <v>0.400165866711992</v>
      </c>
      <c r="EP194" s="190">
        <f t="shared" si="63"/>
        <v>42.5</v>
      </c>
      <c r="EQ194" s="182">
        <f t="shared" si="56"/>
        <v>0</v>
      </c>
      <c r="ER194" s="186">
        <f t="shared" si="64"/>
        <v>441.566889379835</v>
      </c>
      <c r="ES194" s="184">
        <f t="shared" si="58"/>
        <v>0</v>
      </c>
      <c r="ET194" s="184">
        <f t="shared" si="59"/>
        <v>0</v>
      </c>
      <c r="EU194" s="184">
        <f t="shared" si="57"/>
        <v>0</v>
      </c>
    </row>
    <row r="195" spans="144:151">
      <c r="EN195" s="213">
        <f t="shared" si="61"/>
        <v>56249</v>
      </c>
      <c r="EO195" s="224">
        <f>IF(EN195=CPI0_DATE,1,IF(EN195&lt;CPI0_DATE,EO196/EQ195*EQ196,EXP(_xll.qInterp(EP195,$EJ$10:$EJ$19,$EK$10:$EK$19))))</f>
        <v>0.400165866711992</v>
      </c>
      <c r="EP195" s="190">
        <f t="shared" si="63"/>
        <v>42.75</v>
      </c>
      <c r="EQ195" s="182">
        <f t="shared" si="56"/>
        <v>0</v>
      </c>
      <c r="ER195" s="186">
        <f t="shared" si="64"/>
        <v>441.566889379835</v>
      </c>
      <c r="ES195" s="184">
        <f t="shared" si="58"/>
        <v>0</v>
      </c>
      <c r="ET195" s="184">
        <f t="shared" si="59"/>
        <v>0</v>
      </c>
      <c r="EU195" s="184">
        <f t="shared" si="57"/>
        <v>0</v>
      </c>
    </row>
    <row r="196" spans="144:151">
      <c r="EN196" s="213">
        <f t="shared" si="61"/>
        <v>56339</v>
      </c>
      <c r="EO196" s="224">
        <f>IF(EN196=CPI0_DATE,1,IF(EN196&lt;CPI0_DATE,EO197/EQ196*EQ197,EXP(_xll.qInterp(EP196,$EJ$10:$EJ$19,$EK$10:$EK$19))))</f>
        <v>0.400165866711992</v>
      </c>
      <c r="EP196" s="190">
        <f t="shared" si="63"/>
        <v>43</v>
      </c>
      <c r="EQ196" s="182">
        <f t="shared" si="56"/>
        <v>0</v>
      </c>
      <c r="ER196" s="186">
        <f t="shared" si="64"/>
        <v>441.566889379835</v>
      </c>
      <c r="ES196" s="184">
        <f t="shared" si="58"/>
        <v>0</v>
      </c>
      <c r="ET196" s="184">
        <f t="shared" si="59"/>
        <v>0</v>
      </c>
      <c r="EU196" s="184">
        <f t="shared" si="57"/>
        <v>0</v>
      </c>
    </row>
    <row r="197" spans="144:151">
      <c r="EN197" s="213">
        <f t="shared" si="61"/>
        <v>56430</v>
      </c>
      <c r="EO197" s="224">
        <f>IF(EN197=CPI0_DATE,1,IF(EN197&lt;CPI0_DATE,EO198/EQ197*EQ198,EXP(_xll.qInterp(EP197,$EJ$10:$EJ$19,$EK$10:$EK$19))))</f>
        <v>0.400165866711992</v>
      </c>
      <c r="EP197" s="190">
        <f t="shared" si="63"/>
        <v>43.25</v>
      </c>
      <c r="EQ197" s="182">
        <f t="shared" ref="EQ197:EQ224" si="65">IF(EN197&lt;CPI0_DATE,INDEX($EB$6:$EB$25,MATCH(EN197,$EA$6:$EA$25)),IF(EN197=CPI0_DATE,CPI0_VALUE,0))</f>
        <v>0</v>
      </c>
      <c r="ER197" s="186">
        <f t="shared" si="64"/>
        <v>441.566889379835</v>
      </c>
      <c r="ES197" s="184">
        <f t="shared" si="58"/>
        <v>0</v>
      </c>
      <c r="ET197" s="184">
        <f t="shared" si="59"/>
        <v>0</v>
      </c>
      <c r="EU197" s="184">
        <f t="shared" ref="EU197:EU224" si="66">100*(ER197/ER193-1)</f>
        <v>0</v>
      </c>
    </row>
    <row r="198" spans="144:151">
      <c r="EN198" s="213">
        <f t="shared" si="61"/>
        <v>56522</v>
      </c>
      <c r="EO198" s="224">
        <f>IF(EN198=CPI0_DATE,1,IF(EN198&lt;CPI0_DATE,EO199/EQ198*EQ199,EXP(_xll.qInterp(EP198,$EJ$10:$EJ$19,$EK$10:$EK$19))))</f>
        <v>0.400165866711992</v>
      </c>
      <c r="EP198" s="190">
        <f t="shared" si="63"/>
        <v>43.5</v>
      </c>
      <c r="EQ198" s="182">
        <f t="shared" si="65"/>
        <v>0</v>
      </c>
      <c r="ER198" s="186">
        <f t="shared" si="64"/>
        <v>441.566889379835</v>
      </c>
      <c r="ES198" s="184">
        <f t="shared" si="58"/>
        <v>0</v>
      </c>
      <c r="ET198" s="184">
        <f t="shared" si="59"/>
        <v>0</v>
      </c>
      <c r="EU198" s="184">
        <f t="shared" si="66"/>
        <v>0</v>
      </c>
    </row>
    <row r="199" spans="144:151">
      <c r="EN199" s="213">
        <f t="shared" si="61"/>
        <v>56614</v>
      </c>
      <c r="EO199" s="224">
        <f>IF(EN199=CPI0_DATE,1,IF(EN199&lt;CPI0_DATE,EO200/EQ199*EQ200,EXP(_xll.qInterp(EP199,$EJ$10:$EJ$19,$EK$10:$EK$19))))</f>
        <v>0.400165866711992</v>
      </c>
      <c r="EP199" s="190">
        <f t="shared" si="63"/>
        <v>43.75</v>
      </c>
      <c r="EQ199" s="182">
        <f t="shared" si="65"/>
        <v>0</v>
      </c>
      <c r="ER199" s="186">
        <f t="shared" si="64"/>
        <v>441.566889379835</v>
      </c>
      <c r="ES199" s="184">
        <f t="shared" ref="ES199:ES224" si="67">100*(ER199/ER198-1)</f>
        <v>0</v>
      </c>
      <c r="ET199" s="184">
        <f t="shared" ref="ET199:ET224" si="68">50*(ER199/ER197-1)</f>
        <v>0</v>
      </c>
      <c r="EU199" s="184">
        <f t="shared" si="66"/>
        <v>0</v>
      </c>
    </row>
    <row r="200" spans="144:151">
      <c r="EN200" s="213">
        <f t="shared" si="61"/>
        <v>56704</v>
      </c>
      <c r="EO200" s="224">
        <f>IF(EN200=CPI0_DATE,1,IF(EN200&lt;CPI0_DATE,EO201/EQ200*EQ201,EXP(_xll.qInterp(EP200,$EJ$10:$EJ$19,$EK$10:$EK$19))))</f>
        <v>0.400165866711992</v>
      </c>
      <c r="EP200" s="190">
        <f t="shared" si="63"/>
        <v>44</v>
      </c>
      <c r="EQ200" s="182">
        <f t="shared" si="65"/>
        <v>0</v>
      </c>
      <c r="ER200" s="186">
        <f t="shared" si="64"/>
        <v>441.566889379835</v>
      </c>
      <c r="ES200" s="184">
        <f t="shared" si="67"/>
        <v>0</v>
      </c>
      <c r="ET200" s="184">
        <f t="shared" si="68"/>
        <v>0</v>
      </c>
      <c r="EU200" s="184">
        <f t="shared" si="66"/>
        <v>0</v>
      </c>
    </row>
    <row r="201" spans="144:151">
      <c r="EN201" s="213">
        <f t="shared" si="61"/>
        <v>56795</v>
      </c>
      <c r="EO201" s="224">
        <f>IF(EN201=CPI0_DATE,1,IF(EN201&lt;CPI0_DATE,EO202/EQ201*EQ202,EXP(_xll.qInterp(EP201,$EJ$10:$EJ$19,$EK$10:$EK$19))))</f>
        <v>0.400165866711992</v>
      </c>
      <c r="EP201" s="190">
        <f t="shared" si="63"/>
        <v>44.25</v>
      </c>
      <c r="EQ201" s="182">
        <f t="shared" si="65"/>
        <v>0</v>
      </c>
      <c r="ER201" s="186">
        <f t="shared" si="64"/>
        <v>441.566889379835</v>
      </c>
      <c r="ES201" s="184">
        <f t="shared" si="67"/>
        <v>0</v>
      </c>
      <c r="ET201" s="184">
        <f t="shared" si="68"/>
        <v>0</v>
      </c>
      <c r="EU201" s="184">
        <f t="shared" si="66"/>
        <v>0</v>
      </c>
    </row>
    <row r="202" spans="144:151">
      <c r="EN202" s="213">
        <f t="shared" si="61"/>
        <v>56887</v>
      </c>
      <c r="EO202" s="224">
        <f>IF(EN202=CPI0_DATE,1,IF(EN202&lt;CPI0_DATE,EO203/EQ202*EQ203,EXP(_xll.qInterp(EP202,$EJ$10:$EJ$19,$EK$10:$EK$19))))</f>
        <v>0.400165866711992</v>
      </c>
      <c r="EP202" s="190">
        <f t="shared" si="63"/>
        <v>44.5</v>
      </c>
      <c r="EQ202" s="182">
        <f t="shared" si="65"/>
        <v>0</v>
      </c>
      <c r="ER202" s="186">
        <f t="shared" si="64"/>
        <v>441.566889379835</v>
      </c>
      <c r="ES202" s="184">
        <f t="shared" si="67"/>
        <v>0</v>
      </c>
      <c r="ET202" s="184">
        <f t="shared" si="68"/>
        <v>0</v>
      </c>
      <c r="EU202" s="184">
        <f t="shared" si="66"/>
        <v>0</v>
      </c>
    </row>
    <row r="203" spans="144:151">
      <c r="EN203" s="213">
        <f t="shared" si="61"/>
        <v>56979</v>
      </c>
      <c r="EO203" s="224">
        <f>IF(EN203=CPI0_DATE,1,IF(EN203&lt;CPI0_DATE,EO204/EQ203*EQ204,EXP(_xll.qInterp(EP203,$EJ$10:$EJ$19,$EK$10:$EK$19))))</f>
        <v>0.400165866711992</v>
      </c>
      <c r="EP203" s="190">
        <f t="shared" si="63"/>
        <v>44.75</v>
      </c>
      <c r="EQ203" s="182">
        <f t="shared" si="65"/>
        <v>0</v>
      </c>
      <c r="ER203" s="186">
        <f t="shared" si="64"/>
        <v>441.566889379835</v>
      </c>
      <c r="ES203" s="184">
        <f t="shared" si="67"/>
        <v>0</v>
      </c>
      <c r="ET203" s="184">
        <f t="shared" si="68"/>
        <v>0</v>
      </c>
      <c r="EU203" s="184">
        <f t="shared" si="66"/>
        <v>0</v>
      </c>
    </row>
    <row r="204" spans="144:151">
      <c r="EN204" s="213">
        <f t="shared" si="61"/>
        <v>57070</v>
      </c>
      <c r="EO204" s="224">
        <f>IF(EN204=CPI0_DATE,1,IF(EN204&lt;CPI0_DATE,EO205/EQ204*EQ205,EXP(_xll.qInterp(EP204,$EJ$10:$EJ$19,$EK$10:$EK$19))))</f>
        <v>0.400165866711992</v>
      </c>
      <c r="EP204" s="190">
        <f t="shared" si="63"/>
        <v>45</v>
      </c>
      <c r="EQ204" s="182">
        <f t="shared" si="65"/>
        <v>0</v>
      </c>
      <c r="ER204" s="186">
        <f t="shared" si="64"/>
        <v>441.566889379835</v>
      </c>
      <c r="ES204" s="184">
        <f t="shared" si="67"/>
        <v>0</v>
      </c>
      <c r="ET204" s="184">
        <f t="shared" si="68"/>
        <v>0</v>
      </c>
      <c r="EU204" s="184">
        <f t="shared" si="66"/>
        <v>0</v>
      </c>
    </row>
    <row r="205" spans="144:151">
      <c r="EN205" s="213">
        <f t="shared" si="61"/>
        <v>57161</v>
      </c>
      <c r="EO205" s="224">
        <f>IF(EN205=CPI0_DATE,1,IF(EN205&lt;CPI0_DATE,EO206/EQ205*EQ206,EXP(_xll.qInterp(EP205,$EJ$10:$EJ$19,$EK$10:$EK$19))))</f>
        <v>0.400165866711992</v>
      </c>
      <c r="EP205" s="190">
        <f t="shared" si="63"/>
        <v>45.25</v>
      </c>
      <c r="EQ205" s="182">
        <f t="shared" si="65"/>
        <v>0</v>
      </c>
      <c r="ER205" s="186">
        <f t="shared" si="64"/>
        <v>441.566889379835</v>
      </c>
      <c r="ES205" s="184">
        <f t="shared" si="67"/>
        <v>0</v>
      </c>
      <c r="ET205" s="184">
        <f t="shared" si="68"/>
        <v>0</v>
      </c>
      <c r="EU205" s="184">
        <f t="shared" si="66"/>
        <v>0</v>
      </c>
    </row>
    <row r="206" spans="144:151">
      <c r="EN206" s="213">
        <f t="shared" si="61"/>
        <v>57253</v>
      </c>
      <c r="EO206" s="224">
        <f>IF(EN206=CPI0_DATE,1,IF(EN206&lt;CPI0_DATE,EO207/EQ206*EQ207,EXP(_xll.qInterp(EP206,$EJ$10:$EJ$19,$EK$10:$EK$19))))</f>
        <v>0.400165866711992</v>
      </c>
      <c r="EP206" s="190">
        <f t="shared" si="63"/>
        <v>45.5</v>
      </c>
      <c r="EQ206" s="182">
        <f t="shared" si="65"/>
        <v>0</v>
      </c>
      <c r="ER206" s="186">
        <f t="shared" si="64"/>
        <v>441.566889379835</v>
      </c>
      <c r="ES206" s="184">
        <f t="shared" si="67"/>
        <v>0</v>
      </c>
      <c r="ET206" s="184">
        <f t="shared" si="68"/>
        <v>0</v>
      </c>
      <c r="EU206" s="184">
        <f t="shared" si="66"/>
        <v>0</v>
      </c>
    </row>
    <row r="207" spans="144:151">
      <c r="EN207" s="213">
        <f t="shared" si="61"/>
        <v>57345</v>
      </c>
      <c r="EO207" s="224">
        <f>IF(EN207=CPI0_DATE,1,IF(EN207&lt;CPI0_DATE,EO208/EQ207*EQ208,EXP(_xll.qInterp(EP207,$EJ$10:$EJ$19,$EK$10:$EK$19))))</f>
        <v>0.400165866711992</v>
      </c>
      <c r="EP207" s="190">
        <f t="shared" si="63"/>
        <v>45.75</v>
      </c>
      <c r="EQ207" s="182">
        <f t="shared" si="65"/>
        <v>0</v>
      </c>
      <c r="ER207" s="186">
        <f t="shared" si="64"/>
        <v>441.566889379835</v>
      </c>
      <c r="ES207" s="184">
        <f t="shared" si="67"/>
        <v>0</v>
      </c>
      <c r="ET207" s="184">
        <f t="shared" si="68"/>
        <v>0</v>
      </c>
      <c r="EU207" s="184">
        <f t="shared" si="66"/>
        <v>0</v>
      </c>
    </row>
    <row r="208" spans="144:151">
      <c r="EN208" s="213">
        <f t="shared" si="61"/>
        <v>57435</v>
      </c>
      <c r="EO208" s="224">
        <f>IF(EN208=CPI0_DATE,1,IF(EN208&lt;CPI0_DATE,EO209/EQ208*EQ209,EXP(_xll.qInterp(EP208,$EJ$10:$EJ$19,$EK$10:$EK$19))))</f>
        <v>0.400165866711992</v>
      </c>
      <c r="EP208" s="190">
        <f t="shared" si="63"/>
        <v>46</v>
      </c>
      <c r="EQ208" s="182">
        <f t="shared" si="65"/>
        <v>0</v>
      </c>
      <c r="ER208" s="186">
        <f t="shared" si="64"/>
        <v>441.566889379835</v>
      </c>
      <c r="ES208" s="184">
        <f t="shared" si="67"/>
        <v>0</v>
      </c>
      <c r="ET208" s="184">
        <f t="shared" si="68"/>
        <v>0</v>
      </c>
      <c r="EU208" s="184">
        <f t="shared" si="66"/>
        <v>0</v>
      </c>
    </row>
    <row r="209" spans="144:151">
      <c r="EN209" s="213">
        <f t="shared" si="61"/>
        <v>57526</v>
      </c>
      <c r="EO209" s="224">
        <f>IF(EN209=CPI0_DATE,1,IF(EN209&lt;CPI0_DATE,EO210/EQ209*EQ210,EXP(_xll.qInterp(EP209,$EJ$10:$EJ$19,$EK$10:$EK$19))))</f>
        <v>0.400165866711992</v>
      </c>
      <c r="EP209" s="190">
        <f t="shared" si="63"/>
        <v>46.25</v>
      </c>
      <c r="EQ209" s="182">
        <f t="shared" si="65"/>
        <v>0</v>
      </c>
      <c r="ER209" s="186">
        <f t="shared" si="64"/>
        <v>441.566889379835</v>
      </c>
      <c r="ES209" s="184">
        <f t="shared" si="67"/>
        <v>0</v>
      </c>
      <c r="ET209" s="184">
        <f t="shared" si="68"/>
        <v>0</v>
      </c>
      <c r="EU209" s="184">
        <f t="shared" si="66"/>
        <v>0</v>
      </c>
    </row>
    <row r="210" spans="144:151">
      <c r="EN210" s="213">
        <f t="shared" si="61"/>
        <v>57618</v>
      </c>
      <c r="EO210" s="224">
        <f>IF(EN210=CPI0_DATE,1,IF(EN210&lt;CPI0_DATE,EO211/EQ210*EQ211,EXP(_xll.qInterp(EP210,$EJ$10:$EJ$19,$EK$10:$EK$19))))</f>
        <v>0.400165866711992</v>
      </c>
      <c r="EP210" s="190">
        <f t="shared" si="63"/>
        <v>46.5</v>
      </c>
      <c r="EQ210" s="182">
        <f t="shared" si="65"/>
        <v>0</v>
      </c>
      <c r="ER210" s="186">
        <f t="shared" si="64"/>
        <v>441.566889379835</v>
      </c>
      <c r="ES210" s="184">
        <f t="shared" si="67"/>
        <v>0</v>
      </c>
      <c r="ET210" s="184">
        <f t="shared" si="68"/>
        <v>0</v>
      </c>
      <c r="EU210" s="184">
        <f t="shared" si="66"/>
        <v>0</v>
      </c>
    </row>
    <row r="211" spans="144:151">
      <c r="EN211" s="213">
        <f t="shared" si="61"/>
        <v>57710</v>
      </c>
      <c r="EO211" s="224">
        <f>IF(EN211=CPI0_DATE,1,IF(EN211&lt;CPI0_DATE,EO212/EQ211*EQ212,EXP(_xll.qInterp(EP211,$EJ$10:$EJ$19,$EK$10:$EK$19))))</f>
        <v>0.400165866711992</v>
      </c>
      <c r="EP211" s="190">
        <f t="shared" si="63"/>
        <v>46.75</v>
      </c>
      <c r="EQ211" s="182">
        <f t="shared" si="65"/>
        <v>0</v>
      </c>
      <c r="ER211" s="186">
        <f t="shared" si="64"/>
        <v>441.566889379835</v>
      </c>
      <c r="ES211" s="184">
        <f t="shared" si="67"/>
        <v>0</v>
      </c>
      <c r="ET211" s="184">
        <f t="shared" si="68"/>
        <v>0</v>
      </c>
      <c r="EU211" s="184">
        <f t="shared" si="66"/>
        <v>0</v>
      </c>
    </row>
    <row r="212" spans="144:151">
      <c r="EN212" s="213">
        <f t="shared" si="61"/>
        <v>57800</v>
      </c>
      <c r="EO212" s="224">
        <f>IF(EN212=CPI0_DATE,1,IF(EN212&lt;CPI0_DATE,EO213/EQ212*EQ213,EXP(_xll.qInterp(EP212,$EJ$10:$EJ$19,$EK$10:$EK$19))))</f>
        <v>0.400165866711992</v>
      </c>
      <c r="EP212" s="190">
        <f t="shared" si="63"/>
        <v>47</v>
      </c>
      <c r="EQ212" s="182">
        <f t="shared" si="65"/>
        <v>0</v>
      </c>
      <c r="ER212" s="186">
        <f t="shared" si="64"/>
        <v>441.566889379835</v>
      </c>
      <c r="ES212" s="184">
        <f t="shared" si="67"/>
        <v>0</v>
      </c>
      <c r="ET212" s="184">
        <f t="shared" si="68"/>
        <v>0</v>
      </c>
      <c r="EU212" s="184">
        <f t="shared" si="66"/>
        <v>0</v>
      </c>
    </row>
    <row r="213" spans="144:151">
      <c r="EN213" s="213">
        <f t="shared" si="61"/>
        <v>57891</v>
      </c>
      <c r="EO213" s="224">
        <f>IF(EN213=CPI0_DATE,1,IF(EN213&lt;CPI0_DATE,EO214/EQ213*EQ214,EXP(_xll.qInterp(EP213,$EJ$10:$EJ$19,$EK$10:$EK$19))))</f>
        <v>0.400165866711992</v>
      </c>
      <c r="EP213" s="190">
        <f t="shared" si="63"/>
        <v>47.25</v>
      </c>
      <c r="EQ213" s="182">
        <f t="shared" si="65"/>
        <v>0</v>
      </c>
      <c r="ER213" s="186">
        <f t="shared" si="64"/>
        <v>441.566889379835</v>
      </c>
      <c r="ES213" s="184">
        <f t="shared" si="67"/>
        <v>0</v>
      </c>
      <c r="ET213" s="184">
        <f t="shared" si="68"/>
        <v>0</v>
      </c>
      <c r="EU213" s="184">
        <f t="shared" si="66"/>
        <v>0</v>
      </c>
    </row>
    <row r="214" spans="144:151">
      <c r="EN214" s="213">
        <f t="shared" si="61"/>
        <v>57983</v>
      </c>
      <c r="EO214" s="224">
        <f>IF(EN214=CPI0_DATE,1,IF(EN214&lt;CPI0_DATE,EO215/EQ214*EQ215,EXP(_xll.qInterp(EP214,$EJ$10:$EJ$19,$EK$10:$EK$19))))</f>
        <v>0.400165866711992</v>
      </c>
      <c r="EP214" s="190">
        <f t="shared" si="63"/>
        <v>47.5</v>
      </c>
      <c r="EQ214" s="182">
        <f t="shared" si="65"/>
        <v>0</v>
      </c>
      <c r="ER214" s="186">
        <f t="shared" si="64"/>
        <v>441.566889379835</v>
      </c>
      <c r="ES214" s="184">
        <f t="shared" si="67"/>
        <v>0</v>
      </c>
      <c r="ET214" s="184">
        <f t="shared" si="68"/>
        <v>0</v>
      </c>
      <c r="EU214" s="184">
        <f t="shared" si="66"/>
        <v>0</v>
      </c>
    </row>
    <row r="215" spans="144:151">
      <c r="EN215" s="213">
        <f t="shared" si="61"/>
        <v>58075</v>
      </c>
      <c r="EO215" s="224">
        <f>IF(EN215=CPI0_DATE,1,IF(EN215&lt;CPI0_DATE,EO216/EQ215*EQ216,EXP(_xll.qInterp(EP215,$EJ$10:$EJ$19,$EK$10:$EK$19))))</f>
        <v>0.400165866711992</v>
      </c>
      <c r="EP215" s="190">
        <f t="shared" si="63"/>
        <v>47.75</v>
      </c>
      <c r="EQ215" s="182">
        <f t="shared" si="65"/>
        <v>0</v>
      </c>
      <c r="ER215" s="186">
        <f t="shared" si="64"/>
        <v>441.566889379835</v>
      </c>
      <c r="ES215" s="184">
        <f t="shared" si="67"/>
        <v>0</v>
      </c>
      <c r="ET215" s="184">
        <f t="shared" si="68"/>
        <v>0</v>
      </c>
      <c r="EU215" s="184">
        <f t="shared" si="66"/>
        <v>0</v>
      </c>
    </row>
    <row r="216" spans="144:151">
      <c r="EN216" s="213">
        <f t="shared" si="61"/>
        <v>58165</v>
      </c>
      <c r="EO216" s="224">
        <f>IF(EN216=CPI0_DATE,1,IF(EN216&lt;CPI0_DATE,EO217/EQ216*EQ217,EXP(_xll.qInterp(EP216,$EJ$10:$EJ$19,$EK$10:$EK$19))))</f>
        <v>0.400165866711992</v>
      </c>
      <c r="EP216" s="190">
        <f t="shared" si="63"/>
        <v>48</v>
      </c>
      <c r="EQ216" s="182">
        <f t="shared" si="65"/>
        <v>0</v>
      </c>
      <c r="ER216" s="186">
        <f t="shared" si="64"/>
        <v>441.566889379835</v>
      </c>
      <c r="ES216" s="184">
        <f t="shared" si="67"/>
        <v>0</v>
      </c>
      <c r="ET216" s="184">
        <f t="shared" si="68"/>
        <v>0</v>
      </c>
      <c r="EU216" s="184">
        <f t="shared" si="66"/>
        <v>0</v>
      </c>
    </row>
    <row r="217" spans="144:151">
      <c r="EN217" s="213">
        <f t="shared" si="61"/>
        <v>58256</v>
      </c>
      <c r="EO217" s="224">
        <f>IF(EN217=CPI0_DATE,1,IF(EN217&lt;CPI0_DATE,EO218/EQ217*EQ218,EXP(_xll.qInterp(EP217,$EJ$10:$EJ$19,$EK$10:$EK$19))))</f>
        <v>0.400165866711992</v>
      </c>
      <c r="EP217" s="190">
        <f t="shared" ref="EP217:EP224" si="69">ROUND((EN217-CPI0_DATE)/365/0.25,0)*0.25</f>
        <v>48.25</v>
      </c>
      <c r="EQ217" s="182">
        <f t="shared" si="65"/>
        <v>0</v>
      </c>
      <c r="ER217" s="186">
        <f t="shared" si="64"/>
        <v>441.566889379835</v>
      </c>
      <c r="ES217" s="184">
        <f t="shared" si="67"/>
        <v>0</v>
      </c>
      <c r="ET217" s="184">
        <f t="shared" si="68"/>
        <v>0</v>
      </c>
      <c r="EU217" s="184">
        <f t="shared" si="66"/>
        <v>0</v>
      </c>
    </row>
    <row r="218" spans="144:151">
      <c r="EN218" s="213">
        <f t="shared" ref="EN218:EN224" si="70">DATE(YEAR(EN217),MONTH(EN217)+4,1)-1</f>
        <v>58348</v>
      </c>
      <c r="EO218" s="224">
        <f>IF(EN218=CPI0_DATE,1,IF(EN218&lt;CPI0_DATE,EO219/EQ218*EQ219,EXP(_xll.qInterp(EP218,$EJ$10:$EJ$19,$EK$10:$EK$19))))</f>
        <v>0.400165866711992</v>
      </c>
      <c r="EP218" s="190">
        <f t="shared" si="69"/>
        <v>48.5</v>
      </c>
      <c r="EQ218" s="182">
        <f t="shared" si="65"/>
        <v>0</v>
      </c>
      <c r="ER218" s="186">
        <f t="shared" si="64"/>
        <v>441.566889379835</v>
      </c>
      <c r="ES218" s="184">
        <f t="shared" si="67"/>
        <v>0</v>
      </c>
      <c r="ET218" s="184">
        <f t="shared" si="68"/>
        <v>0</v>
      </c>
      <c r="EU218" s="184">
        <f t="shared" si="66"/>
        <v>0</v>
      </c>
    </row>
    <row r="219" spans="144:151">
      <c r="EN219" s="213">
        <f t="shared" si="70"/>
        <v>58440</v>
      </c>
      <c r="EO219" s="224">
        <f>IF(EN219=CPI0_DATE,1,IF(EN219&lt;CPI0_DATE,EO220/EQ219*EQ220,EXP(_xll.qInterp(EP219,$EJ$10:$EJ$19,$EK$10:$EK$19))))</f>
        <v>0.400165866711992</v>
      </c>
      <c r="EP219" s="190">
        <f t="shared" si="69"/>
        <v>48.75</v>
      </c>
      <c r="EQ219" s="182">
        <f t="shared" si="65"/>
        <v>0</v>
      </c>
      <c r="ER219" s="186">
        <f t="shared" si="64"/>
        <v>441.566889379835</v>
      </c>
      <c r="ES219" s="184">
        <f t="shared" si="67"/>
        <v>0</v>
      </c>
      <c r="ET219" s="184">
        <f t="shared" si="68"/>
        <v>0</v>
      </c>
      <c r="EU219" s="184">
        <f t="shared" si="66"/>
        <v>0</v>
      </c>
    </row>
    <row r="220" spans="144:151">
      <c r="EN220" s="213">
        <f t="shared" si="70"/>
        <v>58531</v>
      </c>
      <c r="EO220" s="224">
        <f>IF(EN220=CPI0_DATE,1,IF(EN220&lt;CPI0_DATE,EO221/EQ220*EQ221,EXP(_xll.qInterp(EP220,$EJ$10:$EJ$19,$EK$10:$EK$19))))</f>
        <v>0.400165866711992</v>
      </c>
      <c r="EP220" s="190">
        <f t="shared" si="69"/>
        <v>49</v>
      </c>
      <c r="EQ220" s="182">
        <f t="shared" si="65"/>
        <v>0</v>
      </c>
      <c r="ER220" s="186">
        <f t="shared" si="64"/>
        <v>441.566889379835</v>
      </c>
      <c r="ES220" s="184">
        <f t="shared" si="67"/>
        <v>0</v>
      </c>
      <c r="ET220" s="184">
        <f t="shared" si="68"/>
        <v>0</v>
      </c>
      <c r="EU220" s="184">
        <f t="shared" si="66"/>
        <v>0</v>
      </c>
    </row>
    <row r="221" spans="144:151">
      <c r="EN221" s="213">
        <f t="shared" si="70"/>
        <v>58622</v>
      </c>
      <c r="EO221" s="224">
        <f>IF(EN221=CPI0_DATE,1,IF(EN221&lt;CPI0_DATE,EO222/EQ221*EQ222,EXP(_xll.qInterp(EP221,$EJ$10:$EJ$19,$EK$10:$EK$19))))</f>
        <v>0.400165866711992</v>
      </c>
      <c r="EP221" s="190">
        <f t="shared" si="69"/>
        <v>49.25</v>
      </c>
      <c r="EQ221" s="182">
        <f t="shared" si="65"/>
        <v>0</v>
      </c>
      <c r="ER221" s="186">
        <f t="shared" si="64"/>
        <v>441.566889379835</v>
      </c>
      <c r="ES221" s="184">
        <f t="shared" si="67"/>
        <v>0</v>
      </c>
      <c r="ET221" s="184">
        <f t="shared" si="68"/>
        <v>0</v>
      </c>
      <c r="EU221" s="184">
        <f t="shared" si="66"/>
        <v>0</v>
      </c>
    </row>
    <row r="222" spans="144:151">
      <c r="EN222" s="213">
        <f t="shared" si="70"/>
        <v>58714</v>
      </c>
      <c r="EO222" s="224">
        <f>IF(EN222=CPI0_DATE,1,IF(EN222&lt;CPI0_DATE,EO223/EQ222*EQ223,EXP(_xll.qInterp(EP222,$EJ$10:$EJ$19,$EK$10:$EK$19))))</f>
        <v>0.400165866711992</v>
      </c>
      <c r="EP222" s="190">
        <f t="shared" si="69"/>
        <v>49.5</v>
      </c>
      <c r="EQ222" s="182">
        <f t="shared" si="65"/>
        <v>0</v>
      </c>
      <c r="ER222" s="186">
        <f t="shared" ref="ER222:ER224" si="71">IF(EQ222&gt;0,EQ222,ER221*EO221/EO222)</f>
        <v>441.566889379835</v>
      </c>
      <c r="ES222" s="184">
        <f t="shared" si="67"/>
        <v>0</v>
      </c>
      <c r="ET222" s="184">
        <f t="shared" si="68"/>
        <v>0</v>
      </c>
      <c r="EU222" s="184">
        <f t="shared" si="66"/>
        <v>0</v>
      </c>
    </row>
    <row r="223" spans="144:151">
      <c r="EN223" s="213">
        <f t="shared" si="70"/>
        <v>58806</v>
      </c>
      <c r="EO223" s="224">
        <f>IF(EN223=CPI0_DATE,1,IF(EN223&lt;CPI0_DATE,EO224/EQ223*EQ224,EXP(_xll.qInterp(EP223,$EJ$10:$EJ$19,$EK$10:$EK$19))))</f>
        <v>0.400165866711992</v>
      </c>
      <c r="EP223" s="190">
        <f t="shared" si="69"/>
        <v>49.75</v>
      </c>
      <c r="EQ223" s="182">
        <f t="shared" si="65"/>
        <v>0</v>
      </c>
      <c r="ER223" s="186">
        <f t="shared" si="71"/>
        <v>441.566889379835</v>
      </c>
      <c r="ES223" s="184">
        <f t="shared" si="67"/>
        <v>0</v>
      </c>
      <c r="ET223" s="184">
        <f t="shared" si="68"/>
        <v>0</v>
      </c>
      <c r="EU223" s="184">
        <f t="shared" si="66"/>
        <v>0</v>
      </c>
    </row>
    <row r="224" spans="144:151">
      <c r="EN224" s="213">
        <f t="shared" si="70"/>
        <v>58896</v>
      </c>
      <c r="EO224" s="224">
        <f>IF(EN224=CPI0_DATE,1,IF(EN224&lt;CPI0_DATE,EO225/EQ224*EQ225,EXP(_xll.qInterp(EP224,$EJ$10:$EJ$19,$EK$10:$EK$19))))</f>
        <v>0.400165866711992</v>
      </c>
      <c r="EP224" s="190">
        <f t="shared" si="69"/>
        <v>50</v>
      </c>
      <c r="EQ224" s="182">
        <f t="shared" si="65"/>
        <v>0</v>
      </c>
      <c r="ER224" s="186">
        <f t="shared" si="71"/>
        <v>441.566889379835</v>
      </c>
      <c r="ES224" s="184">
        <f t="shared" si="67"/>
        <v>0</v>
      </c>
      <c r="ET224" s="184">
        <f t="shared" si="68"/>
        <v>0</v>
      </c>
      <c r="EU224" s="184">
        <f t="shared" si="66"/>
        <v>0</v>
      </c>
    </row>
  </sheetData>
  <sheetProtection sheet="1" scenarios="1" autoFilter="0" pivotTables="0"/>
  <mergeCells count="22">
    <mergeCell ref="AT48:BT50"/>
    <mergeCell ref="AJ52:AK52"/>
    <mergeCell ref="AJ53:AK53"/>
    <mergeCell ref="AJ54:AK54"/>
    <mergeCell ref="AJ55:AK55"/>
    <mergeCell ref="AJ51:AK51"/>
    <mergeCell ref="AT4:AU4"/>
    <mergeCell ref="AJ66:AK66"/>
    <mergeCell ref="AJ50:AK50"/>
    <mergeCell ref="AE48:AF49"/>
    <mergeCell ref="AG48:AH49"/>
    <mergeCell ref="AI48:AK49"/>
    <mergeCell ref="AJ61:AK61"/>
    <mergeCell ref="AJ62:AK62"/>
    <mergeCell ref="AJ63:AK63"/>
    <mergeCell ref="AJ64:AK64"/>
    <mergeCell ref="AJ65:AK65"/>
    <mergeCell ref="AJ56:AK56"/>
    <mergeCell ref="AJ57:AK57"/>
    <mergeCell ref="AJ58:AK58"/>
    <mergeCell ref="AJ59:AK59"/>
    <mergeCell ref="AJ60:AK60"/>
  </mergeCells>
  <conditionalFormatting sqref="CW4 EH4 AT6">
    <cfRule type="cellIs" dxfId="37" priority="23" stopIfTrue="1" operator="equal">
      <formula>"SNAP"</formula>
    </cfRule>
    <cfRule type="cellIs" dxfId="36" priority="24" stopIfTrue="1" operator="equal">
      <formula>"STOP"</formula>
    </cfRule>
  </conditionalFormatting>
  <conditionalFormatting sqref="DB9:DI19">
    <cfRule type="expression" dxfId="35" priority="44">
      <formula>ISNUMBER(DB23)</formula>
    </cfRule>
  </conditionalFormatting>
  <conditionalFormatting sqref="EN5:EU48">
    <cfRule type="expression" dxfId="34" priority="11">
      <formula>$EN5&lt;=CPI0_DATE</formula>
    </cfRule>
  </conditionalFormatting>
  <conditionalFormatting sqref="CW9:CW16 DB23:DI33 EH6:EH7 EH11:EH19 AG5:AG6 AG9:AG15 AG18:AG25 AG28:AG43 AT18:AT25 AT28:AT38 BF28:BF34 BF18:BF23 BF10:BF15 BR28:BR37 BR18:BR25 BR10:BR15">
    <cfRule type="cellIs" dxfId="33" priority="2" operator="notEqual">
      <formula>""</formula>
    </cfRule>
  </conditionalFormatting>
  <conditionalFormatting sqref="AT6 CW4 EH4">
    <cfRule type="expression" dxfId="32" priority="1" stopIfTrue="1">
      <formula>PPP_Global&lt;&gt;"LOCAL"</formula>
    </cfRule>
  </conditionalFormatting>
  <dataValidations disablePrompts="1" count="2">
    <dataValidation type="list" allowBlank="1" showInputMessage="1" showErrorMessage="1" promptTitle="Reuters Update Frequency" prompt="Throttles the frequency of Reuters updates.  To SNAP more than once, switch to STOP and then back to SNAP again" sqref="CW4 EH4 AT6">
      <formula1>"5s,15s,30s,1m,30m,1h,STOP,SNAP"</formula1>
    </dataValidation>
    <dataValidation type="textLength" operator="equal" showInputMessage="1" showErrorMessage="1" promptTitle="Expiry Code" prompt="Warning: Case sensitive" sqref="BF4:BF6">
      <formula1>2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US">
    <outlinePr showOutlineSymbols="0"/>
  </sheetPr>
  <dimension ref="A1:DX56"/>
  <sheetViews>
    <sheetView showGridLines="0" showRowColHeaders="0" showZeros="0" tabSelected="1" showOutlineSymbols="0" zoomScaleNormal="100" workbookViewId="0">
      <pane xSplit="3" topLeftCell="D1" activePane="topRight" state="frozen"/>
      <selection pane="topRight" activeCell="AO9" sqref="AO9"/>
    </sheetView>
  </sheetViews>
  <sheetFormatPr defaultRowHeight="12.75" outlineLevelCol="2"/>
  <cols>
    <col min="1" max="1" width="1.7109375" style="214" customWidth="1"/>
    <col min="2" max="2" width="7.7109375" style="214" customWidth="1"/>
    <col min="3" max="3" width="1.7109375" style="214" customWidth="1"/>
    <col min="4" max="4" width="2.7109375" style="215" hidden="1" customWidth="1" outlineLevel="2"/>
    <col min="5" max="5" width="5.7109375" style="215" hidden="1" customWidth="1" outlineLevel="2"/>
    <col min="6" max="6" width="3.85546875" style="215" hidden="1" customWidth="1" outlineLevel="2"/>
    <col min="7" max="7" width="9.5703125" style="215" hidden="1" customWidth="1" outlineLevel="2"/>
    <col min="8" max="8" width="1.7109375" style="151" hidden="1" customWidth="1" outlineLevel="2"/>
    <col min="9" max="9" width="10.5703125" style="215" hidden="1" customWidth="1" outlineLevel="2"/>
    <col min="10" max="10" width="1.7109375" style="215" hidden="1" customWidth="1" outlineLevel="2"/>
    <col min="11" max="11" width="16.28515625" style="596" hidden="1" customWidth="1" outlineLevel="2"/>
    <col min="12" max="12" width="7.7109375" style="275" hidden="1" customWidth="1" outlineLevel="2"/>
    <col min="13" max="15" width="7.7109375" style="271" hidden="1" customWidth="1" outlineLevel="2"/>
    <col min="16" max="16" width="1.7109375" style="151" hidden="1" customWidth="1" outlineLevel="2"/>
    <col min="17" max="17" width="8" style="275" hidden="1" customWidth="1" outlineLevel="2"/>
    <col min="18" max="20" width="8" style="151" hidden="1" customWidth="1" outlineLevel="2"/>
    <col min="21" max="21" width="2.7109375" style="215" hidden="1" customWidth="1" outlineLevel="2"/>
    <col min="22" max="22" width="3.7109375" customWidth="1" collapsed="1"/>
    <col min="23" max="23" width="3.7109375" customWidth="1"/>
    <col min="24" max="24" width="1.7109375" style="596" hidden="1" customWidth="1" outlineLevel="2"/>
    <col min="25" max="25" width="11.7109375" style="596" hidden="1" customWidth="1" outlineLevel="1"/>
    <col min="26" max="26" width="1.7109375" style="596" hidden="1" customWidth="1" outlineLevel="2"/>
    <col min="27" max="27" width="9.42578125" style="596" hidden="1" customWidth="1" outlineLevel="2"/>
    <col min="28" max="28" width="1.7109375" style="596" hidden="1" customWidth="1" outlineLevel="2"/>
    <col min="29" max="29" width="6.7109375" style="129" customWidth="1" collapsed="1"/>
    <col min="30" max="30" width="6.7109375" style="129" customWidth="1"/>
    <col min="31" max="31" width="6.7109375" style="128" customWidth="1"/>
    <col min="32" max="32" width="6.7109375" style="258" customWidth="1"/>
    <col min="33" max="34" width="2.7109375" customWidth="1"/>
    <col min="35" max="35" width="3.7109375" customWidth="1"/>
    <col min="36" max="36" width="1.7109375" style="596" hidden="1" customWidth="1" outlineLevel="2"/>
    <col min="37" max="37" width="14.28515625" style="596" hidden="1" customWidth="1" outlineLevel="1"/>
    <col min="38" max="38" width="1.7109375" style="596" hidden="1" customWidth="1" outlineLevel="2"/>
    <col min="39" max="39" width="9" style="596" hidden="1" customWidth="1" outlineLevel="2"/>
    <col min="40" max="40" width="1.7109375" style="596" hidden="1" customWidth="1" outlineLevel="2"/>
    <col min="41" max="41" width="6.7109375" style="195" customWidth="1" collapsed="1"/>
    <col min="42" max="42" width="6.7109375" style="195" customWidth="1"/>
    <col min="43" max="43" width="6.7109375" customWidth="1"/>
    <col min="44" max="44" width="6.7109375" style="267" customWidth="1"/>
    <col min="45" max="46" width="2.7109375" customWidth="1"/>
    <col min="47" max="47" width="3.7109375" customWidth="1"/>
    <col min="48" max="48" width="1.7109375" style="596" hidden="1" customWidth="1" outlineLevel="2"/>
    <col min="49" max="49" width="13.42578125" style="596" hidden="1" customWidth="1" outlineLevel="1"/>
    <col min="50" max="50" width="1.7109375" style="596" hidden="1" customWidth="1" outlineLevel="2"/>
    <col min="51" max="51" width="7.140625" style="596" hidden="1" customWidth="1" outlineLevel="2"/>
    <col min="52" max="52" width="1.7109375" style="596" hidden="1" customWidth="1" outlineLevel="2"/>
    <col min="53" max="53" width="6.7109375" style="195" customWidth="1" collapsed="1"/>
    <col min="54" max="55" width="6.7109375" style="195" customWidth="1"/>
    <col min="56" max="56" width="6.7109375" style="257" customWidth="1"/>
    <col min="57" max="58" width="2.7109375" customWidth="1"/>
    <col min="59" max="59" width="1.7109375" style="596" hidden="1" customWidth="1" outlineLevel="2"/>
    <col min="60" max="60" width="13.28515625" style="596" hidden="1" customWidth="1" outlineLevel="1"/>
    <col min="61" max="61" width="1.7109375" style="596" hidden="1" customWidth="1" outlineLevel="2"/>
    <col min="62" max="62" width="5" style="596" hidden="1" customWidth="1" outlineLevel="2"/>
    <col min="63" max="63" width="1.7109375" style="596" hidden="1" customWidth="1" outlineLevel="2"/>
    <col min="64" max="64" width="3.7109375" customWidth="1" collapsed="1"/>
    <col min="65" max="67" width="6.7109375" style="195" customWidth="1"/>
    <col min="68" max="68" width="6.7109375" style="267" customWidth="1"/>
    <col min="69" max="69" width="2.7109375" customWidth="1"/>
    <col min="70" max="70" width="5.7109375" customWidth="1"/>
    <col min="71" max="71" width="26.5703125" customWidth="1"/>
    <col min="72" max="72" width="7.7109375" style="301" customWidth="1"/>
    <col min="73" max="76" width="7.7109375" style="195" customWidth="1"/>
    <col min="77" max="80" width="5.140625" customWidth="1"/>
    <col min="84" max="84" width="11.7109375" bestFit="1" customWidth="1"/>
    <col min="87" max="87" width="3.7109375" customWidth="1"/>
    <col min="88" max="88" width="2.7109375" style="256" hidden="1" customWidth="1" outlineLevel="2"/>
    <col min="89" max="90" width="14.85546875" style="256" hidden="1" customWidth="1" outlineLevel="2"/>
    <col min="91" max="91" width="9.85546875" style="256" hidden="1" customWidth="1" outlineLevel="2"/>
    <col min="92" max="92" width="3" style="256" hidden="1" customWidth="1" outlineLevel="2"/>
    <col min="93" max="93" width="2.7109375" style="256" hidden="1" customWidth="1" outlineLevel="2"/>
    <col min="94" max="94" width="3.7109375" customWidth="1" collapsed="1"/>
    <col min="95" max="97" width="7.140625" style="195" customWidth="1"/>
    <col min="98" max="98" width="7.140625" style="267" customWidth="1"/>
    <col min="118" max="118" width="3.7109375" customWidth="1"/>
  </cols>
  <sheetData>
    <row r="1" spans="5:128" ht="0.95" customHeight="1"/>
    <row r="2" spans="5:128" ht="24.95" customHeight="1">
      <c r="E2" s="201" t="s">
        <v>606</v>
      </c>
      <c r="F2" s="201"/>
      <c r="G2" s="201"/>
      <c r="H2" s="207"/>
      <c r="I2" s="201"/>
      <c r="J2" s="201"/>
      <c r="K2" s="597"/>
      <c r="L2" s="255"/>
      <c r="M2" s="276"/>
      <c r="N2" s="276"/>
      <c r="O2" s="276"/>
      <c r="P2" s="207"/>
      <c r="Q2" s="255"/>
      <c r="R2" s="207"/>
      <c r="S2" s="207"/>
      <c r="T2" s="207"/>
      <c r="W2" s="46" t="s">
        <v>137</v>
      </c>
      <c r="X2" s="597"/>
      <c r="Y2" s="597" t="s">
        <v>290</v>
      </c>
      <c r="Z2" s="597"/>
      <c r="AA2" s="597"/>
      <c r="AB2" s="597"/>
      <c r="AC2" s="48"/>
      <c r="AD2" s="48"/>
      <c r="AE2" s="47"/>
      <c r="AF2" s="254"/>
      <c r="AG2" s="46"/>
      <c r="AH2" s="46"/>
      <c r="AI2" s="46"/>
      <c r="AJ2" s="597"/>
      <c r="AK2" s="597"/>
      <c r="AL2" s="597"/>
      <c r="AM2" s="597"/>
      <c r="AN2" s="597"/>
      <c r="AO2" s="50"/>
      <c r="AP2" s="50"/>
      <c r="AQ2" s="46"/>
      <c r="AR2" s="51"/>
      <c r="AS2" s="46"/>
      <c r="AT2" s="46"/>
      <c r="AU2" s="46"/>
      <c r="AV2" s="597"/>
      <c r="AW2" s="597"/>
      <c r="AX2" s="597"/>
      <c r="AY2" s="597"/>
      <c r="AZ2" s="597"/>
      <c r="BA2" s="50"/>
      <c r="BB2" s="50"/>
      <c r="BC2" s="50"/>
      <c r="BD2" s="259"/>
      <c r="BE2" s="46"/>
      <c r="BF2" s="46"/>
      <c r="BG2" s="597"/>
      <c r="BH2" s="597"/>
      <c r="BI2" s="597"/>
      <c r="BJ2" s="597"/>
      <c r="BK2" s="597"/>
      <c r="BL2" s="46"/>
      <c r="BM2" s="50"/>
      <c r="BN2" s="50"/>
      <c r="BO2" s="50"/>
      <c r="BP2" s="51"/>
      <c r="BQ2" s="46"/>
      <c r="CP2" s="46" t="s">
        <v>227</v>
      </c>
      <c r="CQ2" s="50"/>
      <c r="CR2" s="50"/>
      <c r="CS2" s="50"/>
      <c r="CT2" s="51"/>
      <c r="CU2" s="46"/>
      <c r="CV2" s="46"/>
      <c r="CW2" s="46"/>
      <c r="CX2" s="46"/>
      <c r="CY2" s="46"/>
      <c r="CZ2" s="46"/>
      <c r="DA2" s="46"/>
      <c r="DB2" s="46"/>
      <c r="DC2" s="46"/>
      <c r="DO2" s="46" t="s">
        <v>338</v>
      </c>
      <c r="DP2" s="46"/>
      <c r="DQ2" s="46"/>
      <c r="DR2" s="46"/>
      <c r="DS2" s="46"/>
      <c r="DT2" s="46"/>
      <c r="DU2" s="46"/>
      <c r="DV2" s="46"/>
      <c r="DW2" s="46"/>
      <c r="DX2" s="46"/>
    </row>
    <row r="3" spans="5:128">
      <c r="AH3" s="260"/>
      <c r="AJ3" s="598"/>
      <c r="AT3" s="159"/>
      <c r="AU3" s="153"/>
      <c r="AV3" s="598"/>
      <c r="AW3" s="598"/>
      <c r="AX3" s="598"/>
      <c r="AY3" s="598"/>
      <c r="AZ3" s="598"/>
      <c r="BA3" s="284"/>
      <c r="BB3" s="284"/>
      <c r="BC3" s="284"/>
      <c r="BD3" s="285"/>
      <c r="BE3" s="153"/>
      <c r="BF3" s="159"/>
      <c r="BG3" s="598"/>
      <c r="BH3" s="598"/>
      <c r="BI3" s="598"/>
      <c r="BJ3" s="598"/>
      <c r="BK3" s="598"/>
      <c r="BL3" s="153"/>
      <c r="BM3" s="284"/>
      <c r="BN3" s="284"/>
      <c r="BO3" s="284"/>
      <c r="BP3" s="286"/>
      <c r="BQ3" s="318"/>
    </row>
    <row r="4" spans="5:128">
      <c r="E4" s="585" t="s">
        <v>594</v>
      </c>
      <c r="W4" s="194" t="s">
        <v>138</v>
      </c>
      <c r="AA4" s="595" t="str">
        <f ca="1">_xll.RtUpdate("IDN",Y5:Y12,AA5,AC5,,RTMODE_RATES)</f>
        <v>Updated at 16:52:07</v>
      </c>
      <c r="AH4" s="138"/>
      <c r="AJ4" s="598"/>
      <c r="AT4" s="156"/>
      <c r="AU4" s="287" t="s">
        <v>33</v>
      </c>
      <c r="AV4" s="598"/>
      <c r="AW4" s="598"/>
      <c r="AX4" s="598"/>
      <c r="AY4" s="598"/>
      <c r="AZ4" s="598"/>
      <c r="BA4" s="284"/>
      <c r="BB4" s="284"/>
      <c r="BC4" s="826">
        <f>Today</f>
        <v>40680</v>
      </c>
      <c r="BD4" s="826"/>
      <c r="BE4" s="153"/>
      <c r="BF4" s="156"/>
      <c r="BG4" s="598"/>
      <c r="BH4" s="598"/>
      <c r="BI4" s="598"/>
      <c r="BJ4" s="598"/>
      <c r="BK4" s="598"/>
      <c r="BL4" s="287" t="s">
        <v>82</v>
      </c>
      <c r="BM4" s="284"/>
      <c r="BN4" s="284"/>
      <c r="BO4" s="284"/>
      <c r="BP4" s="286"/>
      <c r="BQ4" s="319"/>
      <c r="CK4" s="256" t="s">
        <v>309</v>
      </c>
      <c r="CL4" s="266" t="str">
        <f>PPP_string(PPP_Global,CS4)</f>
        <v>FRQ:30m</v>
      </c>
      <c r="CP4" t="s">
        <v>310</v>
      </c>
      <c r="CS4" s="263" t="s">
        <v>408</v>
      </c>
      <c r="DO4" s="139" t="s">
        <v>312</v>
      </c>
    </row>
    <row r="5" spans="5:128">
      <c r="W5" s="261" t="s">
        <v>6</v>
      </c>
      <c r="Y5" s="623" t="s">
        <v>182</v>
      </c>
      <c r="AA5" s="623" t="s">
        <v>223</v>
      </c>
      <c r="AC5" s="268">
        <v>0.13150000000000001</v>
      </c>
      <c r="AE5" s="137"/>
      <c r="AF5" s="258">
        <f t="shared" ref="AF5:AF12" si="0">IF(ISNUMBER(AE5),AE5,AVERAGE(AC5:AD5))</f>
        <v>0.13150000000000001</v>
      </c>
      <c r="AH5" s="138"/>
      <c r="AJ5" s="598"/>
      <c r="AT5" s="156"/>
      <c r="AU5" s="153"/>
      <c r="AV5" s="598"/>
      <c r="AW5" s="598"/>
      <c r="AX5" s="598"/>
      <c r="AY5" s="204" t="s">
        <v>309</v>
      </c>
      <c r="AZ5" s="598"/>
      <c r="BA5" s="284"/>
      <c r="BB5" s="284"/>
      <c r="BC5" s="284"/>
      <c r="BD5" s="285"/>
      <c r="BE5" s="153"/>
      <c r="BF5" s="156"/>
      <c r="BG5" s="598"/>
      <c r="BH5" s="598"/>
      <c r="BI5" s="598"/>
      <c r="BJ5" s="598"/>
      <c r="BK5" s="598"/>
      <c r="BL5" s="287" t="s">
        <v>123</v>
      </c>
      <c r="BM5" s="284"/>
      <c r="BN5" s="288" t="s">
        <v>139</v>
      </c>
      <c r="BO5" s="270" t="s">
        <v>181</v>
      </c>
      <c r="BP5" s="286"/>
      <c r="BQ5" s="319"/>
      <c r="BT5" s="302" t="s">
        <v>324</v>
      </c>
      <c r="BV5" s="300"/>
    </row>
    <row r="6" spans="5:128">
      <c r="E6" s="215" t="s">
        <v>604</v>
      </c>
      <c r="G6" s="152" t="str">
        <f>"ED"&amp;$BO$5</f>
        <v>EDcm1</v>
      </c>
      <c r="I6" s="152" t="s">
        <v>47</v>
      </c>
      <c r="K6" s="596" t="str">
        <f ca="1">_xll.RtUpdate("IDN",G6:G7,"EXPIRE DATE",L6,,RTMODE_RATES)</f>
        <v>Updated at 16:52:07</v>
      </c>
      <c r="L6" s="586">
        <v>40707</v>
      </c>
      <c r="O6" s="271" t="s">
        <v>593</v>
      </c>
      <c r="Q6" s="587" t="str">
        <f>IF(ISNUMBER(L6),"LIVE","DELAYED")</f>
        <v>LIVE</v>
      </c>
      <c r="W6" s="261" t="s">
        <v>31</v>
      </c>
      <c r="Y6" s="623" t="s">
        <v>182</v>
      </c>
      <c r="AC6" s="268">
        <v>0.13150000000000001</v>
      </c>
      <c r="AE6" s="137"/>
      <c r="AF6" s="258">
        <f t="shared" si="0"/>
        <v>0.13150000000000001</v>
      </c>
      <c r="AH6" s="138"/>
      <c r="AI6" s="194" t="s">
        <v>111</v>
      </c>
      <c r="AJ6" s="598"/>
      <c r="AM6" s="595" t="str">
        <f ca="1">_xll.RtUpdate("IDN",AK7:AK12,AM7,AO7,,RTMODE_RATES)</f>
        <v>Updated at 16:52:07</v>
      </c>
      <c r="AQ6" s="194" t="s">
        <v>189</v>
      </c>
      <c r="AT6" s="156"/>
      <c r="AU6" s="287" t="s">
        <v>121</v>
      </c>
      <c r="AV6" s="598"/>
      <c r="AW6" s="598"/>
      <c r="AX6" s="598"/>
      <c r="AY6" s="623" t="str">
        <f>PPP_string(PPP_Global,BC6)</f>
        <v>FRQ:1m</v>
      </c>
      <c r="AZ6" s="598"/>
      <c r="BA6" s="284"/>
      <c r="BB6" s="284"/>
      <c r="BC6" s="270" t="s">
        <v>302</v>
      </c>
      <c r="BD6" s="285"/>
      <c r="BE6" s="153"/>
      <c r="BF6" s="156"/>
      <c r="BG6" s="598"/>
      <c r="BH6" s="598"/>
      <c r="BI6" s="598"/>
      <c r="BJ6" s="598"/>
      <c r="BK6" s="598"/>
      <c r="BL6" s="287" t="s">
        <v>630</v>
      </c>
      <c r="BM6" s="284"/>
      <c r="BN6" s="288" t="s">
        <v>219</v>
      </c>
      <c r="BO6" s="270" t="s">
        <v>117</v>
      </c>
      <c r="BP6" s="286"/>
      <c r="BQ6" s="319"/>
      <c r="BT6" s="301" t="s">
        <v>110</v>
      </c>
      <c r="BU6" s="195" t="s">
        <v>322</v>
      </c>
      <c r="BV6" s="195" t="s">
        <v>36</v>
      </c>
      <c r="BW6" s="195" t="s">
        <v>35</v>
      </c>
      <c r="BX6" s="195" t="s">
        <v>321</v>
      </c>
    </row>
    <row r="7" spans="5:128">
      <c r="G7" s="152" t="str">
        <f>"/ED"&amp;$BO$5</f>
        <v>/EDcm1</v>
      </c>
      <c r="L7" s="586">
        <v>40707</v>
      </c>
      <c r="W7" s="261" t="s">
        <v>0</v>
      </c>
      <c r="Y7" s="623" t="s">
        <v>183</v>
      </c>
      <c r="AC7" s="268">
        <v>0.19700000000000001</v>
      </c>
      <c r="AE7" s="137"/>
      <c r="AF7" s="258">
        <f t="shared" si="0"/>
        <v>0.19700000000000001</v>
      </c>
      <c r="AH7" s="138"/>
      <c r="AI7" s="261" t="s">
        <v>0</v>
      </c>
      <c r="AJ7" s="598"/>
      <c r="AK7" s="623" t="str">
        <f t="array" ref="AK7:AK12">"USD"&amp;AI7:AI12&amp;"FSR="</f>
        <v>USD1MFSR=</v>
      </c>
      <c r="AM7" s="623" t="s">
        <v>223</v>
      </c>
      <c r="AO7" s="264">
        <v>0.19700000000000001</v>
      </c>
      <c r="AQ7" s="261" t="s">
        <v>27</v>
      </c>
      <c r="AR7" s="296">
        <f t="shared" ref="AR7:AR12" si="1">AVERAGE(L41:M41)</f>
        <v>0.53239999999999998</v>
      </c>
      <c r="AT7" s="160"/>
      <c r="AU7" s="161"/>
      <c r="AV7" s="647"/>
      <c r="AW7" s="647"/>
      <c r="AX7" s="647"/>
      <c r="AY7" s="647"/>
      <c r="AZ7" s="647"/>
      <c r="BA7" s="290"/>
      <c r="BB7" s="290"/>
      <c r="BC7" s="290"/>
      <c r="BD7" s="291"/>
      <c r="BE7" s="161"/>
      <c r="BF7" s="160"/>
      <c r="BG7" s="647"/>
      <c r="BH7" s="647"/>
      <c r="BI7" s="647"/>
      <c r="BJ7" s="647"/>
      <c r="BK7" s="647"/>
      <c r="BL7" s="161"/>
      <c r="BM7" s="290"/>
      <c r="BN7" s="290"/>
      <c r="BO7" s="290"/>
      <c r="BP7" s="292"/>
      <c r="BQ7" s="293"/>
      <c r="BT7" s="301" t="s">
        <v>115</v>
      </c>
      <c r="BU7" s="195">
        <f t="array" ref="BU7:BU32">_xll.qIRsynthSCBasisReval(USD.ZB.DISC,"1V3",_xll.qVectorMake(BP10,BP11,BP29:BP30,BP32:BP38,BP40:BP43))</f>
        <v>9.9999999999891713</v>
      </c>
      <c r="BV7" s="195">
        <f t="array" ref="BV7:BV32">_xll.qIRsynthSCBasisReval(USD.ZB.DISC,"1V3",_xll.qVectorMake(AF7,BD19,BD29:BD41))</f>
        <v>-1.0829011298785218E-11</v>
      </c>
      <c r="BW7" s="195">
        <f t="array" ref="BW7:BW32">_xll.qIRsynthSCBasisReval(USD.ZB.DISC,"3V6",AR29:AR41)</f>
        <v>13.125</v>
      </c>
      <c r="BX7" s="195">
        <f t="array" ref="BX7:BX32">_xll.qIRsynthSCBasisReval(USD.ZB.DISC,"3V12",AR45:AR56)</f>
        <v>37.875</v>
      </c>
      <c r="CP7" t="s">
        <v>221</v>
      </c>
    </row>
    <row r="8" spans="5:128">
      <c r="L8" s="277"/>
      <c r="W8" s="261" t="s">
        <v>1</v>
      </c>
      <c r="Y8" s="623" t="s">
        <v>184</v>
      </c>
      <c r="AC8" s="268">
        <v>0.23050000000000001</v>
      </c>
      <c r="AE8" s="137"/>
      <c r="AF8" s="258">
        <f t="shared" si="0"/>
        <v>0.23050000000000001</v>
      </c>
      <c r="AH8" s="138"/>
      <c r="AI8" s="261" t="s">
        <v>1</v>
      </c>
      <c r="AJ8" s="598"/>
      <c r="AK8" s="623" t="str">
        <v>USD2MFSR=</v>
      </c>
      <c r="AO8" s="264">
        <v>0.23050000000000001</v>
      </c>
      <c r="AQ8" s="261" t="s">
        <v>7</v>
      </c>
      <c r="AR8" s="296">
        <f t="shared" si="1"/>
        <v>0.94035000000000002</v>
      </c>
      <c r="AT8" s="138"/>
      <c r="AV8" s="598"/>
      <c r="AW8" s="598"/>
      <c r="AX8" s="598"/>
      <c r="AY8" s="598"/>
      <c r="AZ8" s="598"/>
      <c r="BF8" s="138"/>
      <c r="BG8" s="598"/>
      <c r="BH8" s="598"/>
      <c r="BI8" s="598"/>
      <c r="BJ8" s="598"/>
      <c r="BK8" s="598"/>
      <c r="BT8" s="301" t="s">
        <v>0</v>
      </c>
      <c r="BU8" s="195">
        <v>9.9999999999891713</v>
      </c>
      <c r="BV8" s="195">
        <v>-1.0829011298785218E-11</v>
      </c>
      <c r="BW8" s="195">
        <v>13.125</v>
      </c>
      <c r="BX8" s="195">
        <v>37.875</v>
      </c>
      <c r="CK8" s="256" t="str">
        <f ca="1">_xll.RtUpdate("IDN",CK9:CK18,CM9,CQ9,,RTMODE_VOLS)</f>
        <v>Updated at 16:52:07</v>
      </c>
      <c r="CL8" s="256" t="str">
        <f ca="1">_xll.RtUpdate("IDN",CL9:CL18,CM9,CR9,,RTMODE_VOLS)</f>
        <v>Updated at 16:52:07</v>
      </c>
      <c r="CQ8" s="195" t="s">
        <v>222</v>
      </c>
      <c r="CR8" s="195" t="s">
        <v>220</v>
      </c>
      <c r="CS8" s="195" t="s">
        <v>224</v>
      </c>
      <c r="CT8" s="267" t="s">
        <v>20</v>
      </c>
    </row>
    <row r="9" spans="5:128">
      <c r="E9" s="215" t="s">
        <v>597</v>
      </c>
      <c r="G9" s="152" t="str">
        <f>"FF"&amp;$BO$6</f>
        <v>FFc1</v>
      </c>
      <c r="I9" s="152" t="s">
        <v>47</v>
      </c>
      <c r="K9" s="596" t="str">
        <f ca="1">_xll.RtUpdate("IDN",G9:G10,"EXPIRE DATE",L9,,RTMODE_RATES)</f>
        <v>Updated at 16:52:07</v>
      </c>
      <c r="L9" s="586">
        <v>40694</v>
      </c>
      <c r="O9" s="271" t="s">
        <v>593</v>
      </c>
      <c r="Q9" s="587" t="str">
        <f>IF(ISNUMBER(L9),"LIVE","DELAYED")</f>
        <v>LIVE</v>
      </c>
      <c r="W9" s="261" t="s">
        <v>2</v>
      </c>
      <c r="Y9" s="623" t="s">
        <v>185</v>
      </c>
      <c r="AC9" s="268">
        <v>0.26050000000000001</v>
      </c>
      <c r="AE9" s="137"/>
      <c r="AF9" s="258">
        <f t="shared" si="0"/>
        <v>0.26050000000000001</v>
      </c>
      <c r="AH9" s="138"/>
      <c r="AI9" s="261" t="s">
        <v>2</v>
      </c>
      <c r="AJ9" s="598"/>
      <c r="AK9" s="623" t="str">
        <v>USD3MFSR=</v>
      </c>
      <c r="AO9" s="264">
        <v>0.26050000000000001</v>
      </c>
      <c r="AQ9" s="261" t="s">
        <v>9</v>
      </c>
      <c r="AR9" s="296">
        <f t="shared" si="1"/>
        <v>1.8201999999999998</v>
      </c>
      <c r="AT9" s="138"/>
      <c r="AU9" s="194" t="s">
        <v>34</v>
      </c>
      <c r="AV9" s="598"/>
      <c r="AX9" s="598"/>
      <c r="AY9" s="593" t="str">
        <f ca="1">_xll.RtUpdate("IDN",AW10:AW15,AY10:AY11,BA10,,RTMODE_RATES)</f>
        <v>Updated at 16:52:07</v>
      </c>
      <c r="AZ9" s="598"/>
      <c r="BF9" s="138"/>
      <c r="BG9" s="598"/>
      <c r="BI9" s="598"/>
      <c r="BJ9" s="593" t="str">
        <f ca="1">_xll.RtUpdate("IDN",BH10:BH15,BJ10:BJ11,BM10,,RTMODE_RATES)</f>
        <v>Updated at 16:52:07</v>
      </c>
      <c r="BK9" s="598"/>
      <c r="BL9" s="194" t="s">
        <v>37</v>
      </c>
      <c r="BT9" s="301" t="s">
        <v>1</v>
      </c>
      <c r="BU9" s="195">
        <v>13.249999999996048</v>
      </c>
      <c r="BV9" s="195">
        <v>3.4499999999960473</v>
      </c>
      <c r="BW9" s="195">
        <v>13.125</v>
      </c>
      <c r="BX9" s="195">
        <v>37.875</v>
      </c>
      <c r="CK9" s="256" t="str">
        <f t="array" ref="CK9:CK18">"US"&amp;CP9:CP18&amp;"3LSTK=ICAP"</f>
        <v>US1Y3LSTK=ICAP</v>
      </c>
      <c r="CL9" s="256" t="str">
        <f t="array" ref="CL9:CL18">"US"&amp;CP9:CP18&amp;"3LATM=ICAP"</f>
        <v>US1Y3LATM=ICAP</v>
      </c>
      <c r="CM9" s="256" t="s">
        <v>223</v>
      </c>
      <c r="CN9" s="266">
        <v>1</v>
      </c>
      <c r="CP9" s="261" t="s">
        <v>26</v>
      </c>
      <c r="CQ9" s="264">
        <v>0.39</v>
      </c>
      <c r="CR9" s="264">
        <v>93.38</v>
      </c>
      <c r="CS9" s="270"/>
      <c r="CT9" s="267">
        <f t="shared" ref="CT9:CT18" si="2">IF(ISNUMBER(CS9),CS9,CR9)</f>
        <v>93.38</v>
      </c>
    </row>
    <row r="10" spans="5:128">
      <c r="G10" s="152" t="str">
        <f>"/FF"&amp;$BO$6</f>
        <v>/FFc1</v>
      </c>
      <c r="L10" s="586">
        <v>40694</v>
      </c>
      <c r="W10" s="261" t="s">
        <v>3</v>
      </c>
      <c r="Y10" s="623" t="s">
        <v>186</v>
      </c>
      <c r="AC10" s="268">
        <v>0.30199999999999999</v>
      </c>
      <c r="AE10" s="137"/>
      <c r="AF10" s="258">
        <f t="shared" si="0"/>
        <v>0.30199999999999999</v>
      </c>
      <c r="AH10" s="138"/>
      <c r="AI10" s="261" t="s">
        <v>3</v>
      </c>
      <c r="AJ10" s="598"/>
      <c r="AK10" s="623" t="str">
        <v>USD4MFSR=</v>
      </c>
      <c r="AO10" s="264">
        <v>0.30199999999999999</v>
      </c>
      <c r="AQ10" s="261" t="s">
        <v>11</v>
      </c>
      <c r="AR10" s="296">
        <f t="shared" si="1"/>
        <v>2.4968499999999998</v>
      </c>
      <c r="AT10" s="138"/>
      <c r="AU10" s="261" t="s">
        <v>199</v>
      </c>
      <c r="AV10" s="598"/>
      <c r="AW10" s="645" t="str">
        <f t="array" ref="AW10:AW15">"USD"&amp;AU10:AU15&amp;"F=PYNY"</f>
        <v>USD1X4F=PYNY</v>
      </c>
      <c r="AX10" s="598"/>
      <c r="AY10" s="645" t="s">
        <v>45</v>
      </c>
      <c r="AZ10" s="598"/>
      <c r="BA10" s="264">
        <v>0.25600000000000001</v>
      </c>
      <c r="BB10" s="264">
        <v>0.27600000000000002</v>
      </c>
      <c r="BC10" s="270"/>
      <c r="BD10" s="257">
        <f t="shared" ref="BD10:BD15" si="3">IF(ISNUMBER(BC10),BC10,AVERAGE(BA10:BB10))</f>
        <v>0.26600000000000001</v>
      </c>
      <c r="BF10" s="138"/>
      <c r="BG10" s="598"/>
      <c r="BH10" s="645" t="str">
        <f t="array" ref="BH10:BH15">"USDOIS"&amp;BL10:BL15&amp;"=PYNY"</f>
        <v>USDOIS1M=PYNY</v>
      </c>
      <c r="BI10" s="598"/>
      <c r="BJ10" s="645" t="s">
        <v>46</v>
      </c>
      <c r="BK10" s="598"/>
      <c r="BL10" s="261" t="s">
        <v>0</v>
      </c>
      <c r="BM10" s="264">
        <v>0.112</v>
      </c>
      <c r="BN10" s="264">
        <v>8.2000000000000003E-2</v>
      </c>
      <c r="BO10" s="270"/>
      <c r="BP10" s="267">
        <f t="shared" ref="BP10:BP15" si="4">IF(ISNUMBER(BO10),BO10,AVERAGE(BM10:BN10))</f>
        <v>9.7000000000000003E-2</v>
      </c>
      <c r="BT10" s="301" t="s">
        <v>2</v>
      </c>
      <c r="BU10" s="195">
        <v>16</v>
      </c>
      <c r="BV10" s="195">
        <v>6.3750000000000009</v>
      </c>
      <c r="BW10" s="195">
        <v>13.125</v>
      </c>
      <c r="BX10" s="195">
        <v>37.875</v>
      </c>
      <c r="CK10" s="256" t="str">
        <v>US2Y3LSTK=ICAP</v>
      </c>
      <c r="CL10" s="256" t="str">
        <v>US2Y3LATM=ICAP</v>
      </c>
      <c r="CN10" s="266">
        <v>2</v>
      </c>
      <c r="CP10" s="261" t="s">
        <v>27</v>
      </c>
      <c r="CQ10" s="264">
        <v>0.77999999999999992</v>
      </c>
      <c r="CR10" s="264">
        <v>84.7</v>
      </c>
      <c r="CS10" s="270"/>
      <c r="CT10" s="267">
        <f t="shared" si="2"/>
        <v>84.7</v>
      </c>
    </row>
    <row r="11" spans="5:128">
      <c r="W11" s="261" t="s">
        <v>4</v>
      </c>
      <c r="Y11" s="623" t="s">
        <v>187</v>
      </c>
      <c r="AC11" s="268">
        <v>0.35899999999999999</v>
      </c>
      <c r="AE11" s="137"/>
      <c r="AF11" s="258">
        <f t="shared" si="0"/>
        <v>0.35899999999999999</v>
      </c>
      <c r="AH11" s="138"/>
      <c r="AI11" s="261" t="s">
        <v>4</v>
      </c>
      <c r="AJ11" s="598"/>
      <c r="AK11" s="623" t="str">
        <v>USD5MFSR=</v>
      </c>
      <c r="AO11" s="264">
        <v>0.35899999999999999</v>
      </c>
      <c r="AQ11" s="261" t="s">
        <v>14</v>
      </c>
      <c r="AR11" s="296">
        <f t="shared" si="1"/>
        <v>3.1589499999999999</v>
      </c>
      <c r="AT11" s="138"/>
      <c r="AU11" s="261" t="s">
        <v>200</v>
      </c>
      <c r="AV11" s="598"/>
      <c r="AW11" s="645" t="str">
        <v>USD2X5F=PYNY</v>
      </c>
      <c r="AX11" s="598"/>
      <c r="AY11" s="645" t="s">
        <v>46</v>
      </c>
      <c r="AZ11" s="598"/>
      <c r="BA11" s="264">
        <v>0.27100000000000002</v>
      </c>
      <c r="BB11" s="264">
        <v>0.29100000000000004</v>
      </c>
      <c r="BC11" s="270"/>
      <c r="BD11" s="257">
        <f t="shared" si="3"/>
        <v>0.28100000000000003</v>
      </c>
      <c r="BF11" s="138"/>
      <c r="BG11" s="598"/>
      <c r="BH11" s="645" t="str">
        <v>USDOIS2M=PYNY</v>
      </c>
      <c r="BI11" s="598"/>
      <c r="BJ11" s="645" t="s">
        <v>45</v>
      </c>
      <c r="BK11" s="598"/>
      <c r="BL11" s="261" t="s">
        <v>1</v>
      </c>
      <c r="BM11" s="264">
        <v>0.113</v>
      </c>
      <c r="BN11" s="264">
        <v>8.3000000000000004E-2</v>
      </c>
      <c r="BO11" s="270"/>
      <c r="BP11" s="267">
        <f t="shared" si="4"/>
        <v>9.8000000000000004E-2</v>
      </c>
      <c r="BT11" s="301" t="s">
        <v>5</v>
      </c>
      <c r="BU11" s="195">
        <v>16.38</v>
      </c>
      <c r="BV11" s="195">
        <v>5.9999999999999991</v>
      </c>
      <c r="BW11" s="195">
        <v>13.125</v>
      </c>
      <c r="BX11" s="195">
        <v>37.875</v>
      </c>
      <c r="CK11" s="256" t="str">
        <v>US3Y3LSTK=ICAP</v>
      </c>
      <c r="CL11" s="256" t="str">
        <v>US3Y3LATM=ICAP</v>
      </c>
      <c r="CN11" s="266">
        <v>3</v>
      </c>
      <c r="CP11" s="261" t="s">
        <v>7</v>
      </c>
      <c r="CQ11" s="264">
        <v>1.25</v>
      </c>
      <c r="CR11" s="264">
        <v>69.2</v>
      </c>
      <c r="CS11" s="270"/>
      <c r="CT11" s="267">
        <f t="shared" si="2"/>
        <v>69.2</v>
      </c>
    </row>
    <row r="12" spans="5:128">
      <c r="W12" s="261" t="s">
        <v>5</v>
      </c>
      <c r="Y12" s="623" t="s">
        <v>188</v>
      </c>
      <c r="AC12" s="268">
        <v>0.41250000000000003</v>
      </c>
      <c r="AE12" s="137"/>
      <c r="AF12" s="258">
        <f t="shared" si="0"/>
        <v>0.41250000000000003</v>
      </c>
      <c r="AH12" s="138"/>
      <c r="AI12" s="261" t="s">
        <v>5</v>
      </c>
      <c r="AJ12" s="598"/>
      <c r="AK12" s="623" t="str">
        <v>USD6MFSR=</v>
      </c>
      <c r="AO12" s="264">
        <v>0.41250000000000003</v>
      </c>
      <c r="AQ12" s="261" t="s">
        <v>19</v>
      </c>
      <c r="AR12" s="296">
        <f t="shared" si="1"/>
        <v>4.2814999999999994</v>
      </c>
      <c r="AT12" s="138"/>
      <c r="AU12" s="261" t="s">
        <v>201</v>
      </c>
      <c r="AV12" s="598"/>
      <c r="AW12" s="645" t="str">
        <v>USD3X6F=PYNY</v>
      </c>
      <c r="AX12" s="598"/>
      <c r="AY12" s="598"/>
      <c r="AZ12" s="598"/>
      <c r="BA12" s="264">
        <v>0.29100000000000004</v>
      </c>
      <c r="BB12" s="264">
        <v>0.311</v>
      </c>
      <c r="BC12" s="270"/>
      <c r="BD12" s="257">
        <f t="shared" si="3"/>
        <v>0.30100000000000005</v>
      </c>
      <c r="BF12" s="138"/>
      <c r="BG12" s="598"/>
      <c r="BH12" s="645" t="str">
        <v>USDOIS3M=PYNY</v>
      </c>
      <c r="BI12" s="598"/>
      <c r="BJ12" s="598"/>
      <c r="BK12" s="598"/>
      <c r="BL12" s="261" t="s">
        <v>2</v>
      </c>
      <c r="BM12" s="264">
        <v>0.11600000000000001</v>
      </c>
      <c r="BN12" s="264">
        <v>8.6000000000000007E-2</v>
      </c>
      <c r="BO12" s="270"/>
      <c r="BP12" s="267">
        <f t="shared" si="4"/>
        <v>0.10100000000000001</v>
      </c>
      <c r="BT12" s="301" t="s">
        <v>26</v>
      </c>
      <c r="BU12" s="195">
        <v>17.25</v>
      </c>
      <c r="BV12" s="195">
        <v>5.75</v>
      </c>
      <c r="BW12" s="195">
        <v>11.25</v>
      </c>
      <c r="BX12" s="195">
        <v>37.875</v>
      </c>
      <c r="CK12" s="256" t="str">
        <v>US4Y3LSTK=ICAP</v>
      </c>
      <c r="CL12" s="256" t="str">
        <v>US4Y3LATM=ICAP</v>
      </c>
      <c r="CN12" s="266">
        <v>4</v>
      </c>
      <c r="CP12" s="261" t="s">
        <v>8</v>
      </c>
      <c r="CQ12" s="264">
        <v>1.7</v>
      </c>
      <c r="CR12" s="264">
        <v>56.71</v>
      </c>
      <c r="CS12" s="270"/>
      <c r="CT12" s="267">
        <f t="shared" si="2"/>
        <v>56.71</v>
      </c>
    </row>
    <row r="13" spans="5:128">
      <c r="AH13" s="138"/>
      <c r="AJ13" s="598"/>
      <c r="AT13" s="138"/>
      <c r="AU13" s="261" t="s">
        <v>202</v>
      </c>
      <c r="AV13" s="598"/>
      <c r="AW13" s="645" t="str">
        <v>USD4X7F=PYNY</v>
      </c>
      <c r="AX13" s="598"/>
      <c r="AY13" s="598"/>
      <c r="AZ13" s="598"/>
      <c r="BA13" s="264">
        <v>0.30599999999999999</v>
      </c>
      <c r="BB13" s="264">
        <v>0.32600000000000001</v>
      </c>
      <c r="BC13" s="270"/>
      <c r="BD13" s="257">
        <f t="shared" si="3"/>
        <v>0.316</v>
      </c>
      <c r="BF13" s="138"/>
      <c r="BG13" s="598"/>
      <c r="BH13" s="645" t="str">
        <v>USDOIS4M=PYNY</v>
      </c>
      <c r="BI13" s="598"/>
      <c r="BJ13" s="598"/>
      <c r="BK13" s="598"/>
      <c r="BL13" s="261" t="s">
        <v>3</v>
      </c>
      <c r="BM13" s="264">
        <v>0.12100000000000001</v>
      </c>
      <c r="BN13" s="264">
        <v>9.0999999999999998E-2</v>
      </c>
      <c r="BO13" s="270"/>
      <c r="BP13" s="267">
        <f t="shared" si="4"/>
        <v>0.10600000000000001</v>
      </c>
      <c r="BT13" s="301" t="s">
        <v>27</v>
      </c>
      <c r="BU13" s="195">
        <v>20.130000000000006</v>
      </c>
      <c r="BV13" s="195">
        <v>5.75</v>
      </c>
      <c r="BW13" s="195">
        <v>9.625</v>
      </c>
      <c r="BX13" s="195">
        <v>34.875</v>
      </c>
      <c r="CK13" s="256" t="str">
        <v>US5Y3LSTK=ICAP</v>
      </c>
      <c r="CL13" s="256" t="str">
        <v>US5Y3LATM=ICAP</v>
      </c>
      <c r="CN13" s="266">
        <v>5</v>
      </c>
      <c r="CP13" s="261" t="s">
        <v>9</v>
      </c>
      <c r="CQ13" s="264">
        <v>2.1</v>
      </c>
      <c r="CR13" s="264">
        <v>47.92</v>
      </c>
      <c r="CS13" s="270"/>
      <c r="CT13" s="267">
        <f t="shared" si="2"/>
        <v>47.92</v>
      </c>
    </row>
    <row r="14" spans="5:128">
      <c r="E14" s="585" t="s">
        <v>605</v>
      </c>
      <c r="W14" s="194" t="s">
        <v>180</v>
      </c>
      <c r="AD14" s="269" t="str">
        <f>IF(Q6="DELAYED","DELAYED","")</f>
        <v/>
      </c>
      <c r="AF14" s="262" t="s">
        <v>20</v>
      </c>
      <c r="AH14" s="138"/>
      <c r="AI14" s="194" t="s">
        <v>136</v>
      </c>
      <c r="AJ14" s="598"/>
      <c r="AQ14" s="297" t="s">
        <v>313</v>
      </c>
      <c r="AR14" s="298" t="s">
        <v>314</v>
      </c>
      <c r="AT14" s="138"/>
      <c r="AU14" s="261" t="s">
        <v>203</v>
      </c>
      <c r="AV14" s="598"/>
      <c r="AW14" s="645" t="str">
        <v>USD5X8F=PYNY</v>
      </c>
      <c r="AX14" s="598"/>
      <c r="AY14" s="598"/>
      <c r="AZ14" s="598"/>
      <c r="BA14" s="264">
        <v>0.33799999999999997</v>
      </c>
      <c r="BB14" s="264">
        <v>0.35799999999999998</v>
      </c>
      <c r="BC14" s="270"/>
      <c r="BD14" s="257">
        <f t="shared" si="3"/>
        <v>0.34799999999999998</v>
      </c>
      <c r="BF14" s="138"/>
      <c r="BG14" s="598"/>
      <c r="BH14" s="645" t="str">
        <v>USDOIS5M=PYNY</v>
      </c>
      <c r="BI14" s="598"/>
      <c r="BJ14" s="598"/>
      <c r="BK14" s="598"/>
      <c r="BL14" s="261" t="s">
        <v>4</v>
      </c>
      <c r="BM14" s="264">
        <v>0.127</v>
      </c>
      <c r="BN14" s="264">
        <v>9.7000000000000003E-2</v>
      </c>
      <c r="BO14" s="270"/>
      <c r="BP14" s="267">
        <f t="shared" si="4"/>
        <v>0.112</v>
      </c>
      <c r="BT14" s="301" t="s">
        <v>7</v>
      </c>
      <c r="BU14" s="195">
        <v>21</v>
      </c>
      <c r="BV14" s="195">
        <v>5.25</v>
      </c>
      <c r="BW14" s="195">
        <v>7.8750000000000009</v>
      </c>
      <c r="BX14" s="195">
        <v>32.125</v>
      </c>
      <c r="CK14" s="256" t="str">
        <v>US6Y3LSTK=ICAP</v>
      </c>
      <c r="CL14" s="256" t="str">
        <v>US6Y3LATM=ICAP</v>
      </c>
      <c r="CN14" s="266">
        <v>6</v>
      </c>
      <c r="CP14" s="261" t="s">
        <v>10</v>
      </c>
      <c r="CQ14" s="264">
        <v>2.44</v>
      </c>
      <c r="CR14" s="264">
        <v>42.13</v>
      </c>
      <c r="CS14" s="270"/>
      <c r="CT14" s="267">
        <f t="shared" si="2"/>
        <v>42.13</v>
      </c>
    </row>
    <row r="15" spans="5:128">
      <c r="L15" s="275" t="s">
        <v>311</v>
      </c>
      <c r="Q15" s="275" t="s">
        <v>636</v>
      </c>
      <c r="W15" s="261" t="str">
        <f t="array" ref="W15:W26">F16:F27</f>
        <v>M1</v>
      </c>
      <c r="AC15" s="282">
        <f t="array" ref="AC15:AD15">IF(AND(R16&lt;&gt;0,S16&lt;&gt;0),R16:S16,AF14)</f>
        <v>99.732500000000002</v>
      </c>
      <c r="AD15" s="282">
        <v>99.734999999999999</v>
      </c>
      <c r="AE15" s="137"/>
      <c r="AF15" s="258">
        <f t="shared" ref="AF15:AF22" si="5">IF(ISNUMBER(AE15),AE15,AVERAGE(AC15:AD15))</f>
        <v>99.733750000000001</v>
      </c>
      <c r="AH15" s="138"/>
      <c r="AI15" s="261" t="str">
        <f t="shared" ref="AI15:AI22" si="6">W15</f>
        <v>M1</v>
      </c>
      <c r="AJ15" s="598"/>
      <c r="AO15" s="270"/>
      <c r="AP15" s="294">
        <f>IF(ISNUMBER(AO15),AO15,_xll.qFuturesConvexityAdjustment(AF15,Today,L16,_xll.qInterp((L16-Today)/365,$CN$9:$CN$18,$CT$9:$CT$18)%,_xll.qInterp((L16-Today)/365,$CN$9:$CN$18,$CQ$9:$CQ$18)%,"SFE"))</f>
        <v>3.6094959064425503E-4</v>
      </c>
      <c r="AQ15" s="258">
        <f t="shared" ref="AQ15:AQ26" si="7">100-AF15</f>
        <v>0.26624999999999943</v>
      </c>
      <c r="AR15" s="258">
        <f t="shared" ref="AR15:AR26" si="8">AQ15-AP15%</f>
        <v>0.26624639050409299</v>
      </c>
      <c r="AT15" s="138"/>
      <c r="AU15" s="261" t="s">
        <v>204</v>
      </c>
      <c r="AV15" s="598"/>
      <c r="AW15" s="645" t="str">
        <v>USD6X9F=PYNY</v>
      </c>
      <c r="AX15" s="598"/>
      <c r="AZ15" s="598"/>
      <c r="BA15" s="264">
        <v>0.36599999999999999</v>
      </c>
      <c r="BB15" s="264">
        <v>0.38600000000000001</v>
      </c>
      <c r="BC15" s="270"/>
      <c r="BD15" s="257">
        <f t="shared" si="3"/>
        <v>0.376</v>
      </c>
      <c r="BF15" s="138"/>
      <c r="BG15" s="598"/>
      <c r="BH15" s="645" t="str">
        <v>USDOIS6M=PYNY</v>
      </c>
      <c r="BI15" s="598"/>
      <c r="BK15" s="598"/>
      <c r="BL15" s="261" t="s">
        <v>5</v>
      </c>
      <c r="BM15" s="264">
        <v>0.13300000000000001</v>
      </c>
      <c r="BN15" s="264">
        <v>0.10300000000000001</v>
      </c>
      <c r="BO15" s="270"/>
      <c r="BP15" s="267">
        <f t="shared" si="4"/>
        <v>0.11800000000000001</v>
      </c>
      <c r="BT15" s="301" t="s">
        <v>8</v>
      </c>
      <c r="BU15" s="195">
        <v>21.5</v>
      </c>
      <c r="BV15" s="195">
        <v>4.75</v>
      </c>
      <c r="BW15" s="195">
        <v>6.75</v>
      </c>
      <c r="BX15" s="195">
        <v>29.625000000000004</v>
      </c>
      <c r="CK15" s="256" t="str">
        <v>US7Y3LSTK=ICAP</v>
      </c>
      <c r="CL15" s="256" t="str">
        <v>US7Y3LATM=ICAP</v>
      </c>
      <c r="CN15" s="266">
        <v>7</v>
      </c>
      <c r="CP15" s="261" t="s">
        <v>11</v>
      </c>
      <c r="CQ15" s="264">
        <v>2.72</v>
      </c>
      <c r="CR15" s="264">
        <v>38.160000000000004</v>
      </c>
      <c r="CS15" s="270"/>
      <c r="CT15" s="267">
        <f t="shared" si="2"/>
        <v>38.160000000000004</v>
      </c>
    </row>
    <row r="16" spans="5:128">
      <c r="E16" s="215" t="s">
        <v>604</v>
      </c>
      <c r="F16" s="215" t="str">
        <f>_xll.qFuturesDateToCode(IF(Q6="LIVE",L6,L7))</f>
        <v>M1</v>
      </c>
      <c r="G16" s="152" t="str">
        <f t="array" ref="G16:G27">IF($Q$6="DELAYED","/","")  &amp;  "ED" &amp; F16:F27</f>
        <v>EDM1</v>
      </c>
      <c r="I16" s="152" t="s">
        <v>47</v>
      </c>
      <c r="K16" s="596" t="str">
        <f ca="1">_xll.RtUpdate("IDN",G16:G27,I16:I19,L16,,RTMODE_RATES)</f>
        <v>Updated at 17:03:10</v>
      </c>
      <c r="L16" s="586">
        <v>40707</v>
      </c>
      <c r="M16" s="278">
        <v>99.732500000000002</v>
      </c>
      <c r="N16" s="278">
        <v>99.734999999999999</v>
      </c>
      <c r="O16" s="278">
        <v>99.734999999999999</v>
      </c>
      <c r="Q16" s="586">
        <v>40707</v>
      </c>
      <c r="R16" s="280">
        <v>99.732500000000002</v>
      </c>
      <c r="S16" s="280">
        <v>99.734999999999999</v>
      </c>
      <c r="T16" s="280">
        <v>99.734999999999999</v>
      </c>
      <c r="W16" s="261" t="str">
        <v>U1</v>
      </c>
      <c r="AC16" s="282">
        <f t="array" ref="AC16:AD16">IF(AND(R17&lt;&gt;0,S17&lt;&gt;0),R17:S17,AF15+T17-T16)</f>
        <v>99.679999999999993</v>
      </c>
      <c r="AD16" s="282">
        <v>99.684999999999988</v>
      </c>
      <c r="AE16" s="137"/>
      <c r="AF16" s="258">
        <f t="shared" si="5"/>
        <v>99.68249999999999</v>
      </c>
      <c r="AH16" s="138"/>
      <c r="AI16" s="261" t="str">
        <f t="shared" si="6"/>
        <v>U1</v>
      </c>
      <c r="AJ16" s="598"/>
      <c r="AO16" s="270"/>
      <c r="AP16" s="294">
        <f>IF(ISNUMBER(AO16),AO16,_xll.qFuturesConvexityAdjustment(AF16,Today,L17,_xll.qInterp((L17-Today)/365,$CN$9:$CN$18,$CT$9:$CT$18)%,_xll.qInterp((L17-Today)/365,$CN$9:$CN$18,$CQ$9:$CQ$18)%,"SFE"))</f>
        <v>7.6753838086363047E-3</v>
      </c>
      <c r="AQ16" s="258">
        <f t="shared" si="7"/>
        <v>0.31750000000000966</v>
      </c>
      <c r="AR16" s="258">
        <f t="shared" si="8"/>
        <v>0.3174232461619233</v>
      </c>
      <c r="AT16" s="138"/>
      <c r="AV16" s="598"/>
      <c r="AW16" s="598"/>
      <c r="AX16" s="598"/>
      <c r="AY16" s="598"/>
      <c r="AZ16" s="598"/>
      <c r="BF16" s="138"/>
      <c r="BG16" s="598"/>
      <c r="BH16" s="598"/>
      <c r="BI16" s="598" t="s">
        <v>81</v>
      </c>
      <c r="BJ16" s="598"/>
      <c r="BK16" s="598"/>
      <c r="BT16" s="301" t="s">
        <v>9</v>
      </c>
      <c r="BU16" s="195">
        <v>21.630000000000003</v>
      </c>
      <c r="BV16" s="195">
        <v>4.25</v>
      </c>
      <c r="BW16" s="195">
        <v>5.9999999999999991</v>
      </c>
      <c r="BX16" s="195">
        <v>27.375</v>
      </c>
      <c r="CK16" s="256" t="str">
        <v>US8Y3LSTK=ICAP</v>
      </c>
      <c r="CL16" s="256" t="str">
        <v>US8Y3LATM=ICAP</v>
      </c>
      <c r="CN16" s="266">
        <v>8</v>
      </c>
      <c r="CP16" s="261" t="s">
        <v>12</v>
      </c>
      <c r="CQ16" s="264">
        <v>2.9299999999999997</v>
      </c>
      <c r="CR16" s="264">
        <v>35.409999999999997</v>
      </c>
      <c r="CS16" s="270"/>
      <c r="CT16" s="267">
        <f t="shared" si="2"/>
        <v>35.409999999999997</v>
      </c>
    </row>
    <row r="17" spans="5:98">
      <c r="F17" s="215" t="str">
        <f>_xll.qFuturesDateToCode(_xll.qFuturesCodeToDate(F16,Today)+92)</f>
        <v>U1</v>
      </c>
      <c r="G17" s="152" t="str">
        <v>EDU1</v>
      </c>
      <c r="I17" s="152" t="s">
        <v>45</v>
      </c>
      <c r="L17" s="586">
        <v>40805</v>
      </c>
      <c r="M17" s="278">
        <v>99.679999999999993</v>
      </c>
      <c r="N17" s="278">
        <v>99.684999999999988</v>
      </c>
      <c r="O17" s="278">
        <v>99.684999999999988</v>
      </c>
      <c r="Q17" s="586">
        <v>40805</v>
      </c>
      <c r="R17" s="280">
        <v>99.679999999999993</v>
      </c>
      <c r="S17" s="280">
        <v>99.684999999999988</v>
      </c>
      <c r="T17" s="280">
        <v>99.684999999999988</v>
      </c>
      <c r="W17" s="261" t="str">
        <v>Z1</v>
      </c>
      <c r="AC17" s="282">
        <f t="array" ref="AC17:AD17">IF(AND(R18&lt;&gt;0,S18&lt;&gt;0),R18:S18,AF16+T18-T17)</f>
        <v>99.59</v>
      </c>
      <c r="AD17" s="282">
        <v>99.594999999999999</v>
      </c>
      <c r="AE17" s="137"/>
      <c r="AF17" s="258">
        <f t="shared" si="5"/>
        <v>99.592500000000001</v>
      </c>
      <c r="AH17" s="138"/>
      <c r="AI17" s="261" t="str">
        <f t="shared" si="6"/>
        <v>Z1</v>
      </c>
      <c r="AJ17" s="598"/>
      <c r="AO17" s="270"/>
      <c r="AP17" s="294">
        <f>IF(ISNUMBER(AO17),AO17,_xll.qFuturesConvexityAdjustment(AF17,Today,L18,_xll.qInterp((L18-Today)/365,$CN$9:$CN$18,$CT$9:$CT$18)%,_xll.qInterp((L18-Today)/365,$CN$9:$CN$18,$CQ$9:$CQ$18)%,"SFE"))</f>
        <v>2.275330172817891E-2</v>
      </c>
      <c r="AQ17" s="258">
        <f t="shared" si="7"/>
        <v>0.40749999999999886</v>
      </c>
      <c r="AR17" s="258">
        <f t="shared" si="8"/>
        <v>0.40727246698271707</v>
      </c>
      <c r="AT17" s="138"/>
      <c r="AV17" s="598"/>
      <c r="AW17" s="598"/>
      <c r="AX17" s="598"/>
      <c r="AY17" s="598"/>
      <c r="AZ17" s="598"/>
      <c r="BF17" s="138"/>
      <c r="BG17" s="598"/>
      <c r="BH17" s="598"/>
      <c r="BI17" s="598"/>
      <c r="BJ17" s="598"/>
      <c r="BK17" s="598"/>
      <c r="BT17" s="301" t="s">
        <v>10</v>
      </c>
      <c r="BU17" s="195">
        <v>21.44</v>
      </c>
      <c r="BV17" s="195">
        <v>3.9999999999999996</v>
      </c>
      <c r="BW17" s="195">
        <v>5.5624999999999991</v>
      </c>
      <c r="BX17" s="195">
        <v>25.125</v>
      </c>
      <c r="CK17" s="256" t="str">
        <v>US9Y3LSTK=ICAP</v>
      </c>
      <c r="CL17" s="256" t="str">
        <v>US9Y3LATM=ICAP</v>
      </c>
      <c r="CN17" s="266">
        <v>9</v>
      </c>
      <c r="CP17" s="261" t="s">
        <v>13</v>
      </c>
      <c r="CQ17" s="264">
        <v>3.11</v>
      </c>
      <c r="CR17" s="264">
        <v>33.42</v>
      </c>
      <c r="CS17" s="270"/>
      <c r="CT17" s="267">
        <f t="shared" si="2"/>
        <v>33.42</v>
      </c>
    </row>
    <row r="18" spans="5:98">
      <c r="F18" s="215" t="str">
        <f>_xll.qFuturesDateToCode(_xll.qFuturesCodeToDate(F17,Today)+92)</f>
        <v>Z1</v>
      </c>
      <c r="G18" s="152" t="str">
        <v>EDZ1</v>
      </c>
      <c r="I18" s="152" t="s">
        <v>46</v>
      </c>
      <c r="L18" s="586">
        <v>40896</v>
      </c>
      <c r="M18" s="278">
        <v>99.59</v>
      </c>
      <c r="N18" s="278">
        <v>99.594999999999999</v>
      </c>
      <c r="O18" s="278">
        <v>99.6</v>
      </c>
      <c r="Q18" s="586">
        <v>40896</v>
      </c>
      <c r="R18" s="280">
        <v>99.59</v>
      </c>
      <c r="S18" s="280">
        <v>99.594999999999999</v>
      </c>
      <c r="T18" s="280">
        <v>99.6</v>
      </c>
      <c r="W18" s="261" t="str">
        <v>H2</v>
      </c>
      <c r="AC18" s="282">
        <f t="array" ref="AC18:AD18">IF(AND(R19&lt;&gt;0,S19&lt;&gt;0),R19:S19,AF17+T19-T18)</f>
        <v>99.460000000000008</v>
      </c>
      <c r="AD18" s="282">
        <v>99.465000000000003</v>
      </c>
      <c r="AE18" s="137"/>
      <c r="AF18" s="258">
        <f t="shared" si="5"/>
        <v>99.462500000000006</v>
      </c>
      <c r="AH18" s="138"/>
      <c r="AI18" s="261" t="str">
        <f t="shared" si="6"/>
        <v>H2</v>
      </c>
      <c r="AJ18" s="598"/>
      <c r="AO18" s="270"/>
      <c r="AP18" s="294">
        <f>IF(ISNUMBER(AO18),AO18,_xll.qFuturesConvexityAdjustment(AF18,Today,L19,_xll.qInterp((L19-Today)/365,$CN$9:$CN$18,$CT$9:$CT$18)%,_xll.qInterp((L19-Today)/365,$CN$9:$CN$18,$CQ$9:$CQ$18)%,"SFE"))</f>
        <v>4.5637083335192674E-2</v>
      </c>
      <c r="AQ18" s="258">
        <f t="shared" si="7"/>
        <v>0.53749999999999432</v>
      </c>
      <c r="AR18" s="258">
        <f t="shared" si="8"/>
        <v>0.53704362916664239</v>
      </c>
      <c r="AT18" s="138"/>
      <c r="AU18" s="194" t="s">
        <v>39</v>
      </c>
      <c r="AV18" s="598"/>
      <c r="AX18" s="598"/>
      <c r="AY18" s="593" t="str">
        <f ca="1">_xll.RtUpdate("IDN",AW19:AW26,AY19:AY20,BA19,,RTMODE_RATES)</f>
        <v>Updated at 16:52:07</v>
      </c>
      <c r="AZ18" s="598"/>
      <c r="BF18" s="138"/>
      <c r="BG18" s="598"/>
      <c r="BH18" s="598"/>
      <c r="BI18" s="598"/>
      <c r="BJ18" s="598"/>
      <c r="BK18" s="598"/>
      <c r="BL18" s="194" t="s">
        <v>755</v>
      </c>
      <c r="BP18" s="272" t="str">
        <f>IF(Q9="DELAYED","DELAYED","")</f>
        <v/>
      </c>
      <c r="BT18" s="301" t="s">
        <v>11</v>
      </c>
      <c r="BU18" s="195">
        <v>21.25</v>
      </c>
      <c r="BV18" s="195">
        <v>3.75</v>
      </c>
      <c r="BW18" s="195">
        <v>5.1249999999999991</v>
      </c>
      <c r="BX18" s="195">
        <v>22.875</v>
      </c>
      <c r="CK18" s="256" t="str">
        <v>US10Y3LSTK=ICAP</v>
      </c>
      <c r="CL18" s="256" t="str">
        <v>US10Y3LATM=ICAP</v>
      </c>
      <c r="CN18" s="266">
        <v>10</v>
      </c>
      <c r="CP18" s="261" t="s">
        <v>14</v>
      </c>
      <c r="CQ18" s="264">
        <v>3.2600000000000002</v>
      </c>
      <c r="CR18" s="264">
        <v>31.85</v>
      </c>
      <c r="CS18" s="270"/>
      <c r="CT18" s="267">
        <f t="shared" si="2"/>
        <v>31.85</v>
      </c>
    </row>
    <row r="19" spans="5:98">
      <c r="F19" s="215" t="str">
        <f>_xll.qFuturesDateToCode(_xll.qFuturesCodeToDate(F18,Today)+92)</f>
        <v>H2</v>
      </c>
      <c r="G19" s="152" t="str">
        <v>EDH2</v>
      </c>
      <c r="I19" s="152" t="s">
        <v>598</v>
      </c>
      <c r="L19" s="586">
        <v>40987</v>
      </c>
      <c r="M19" s="278">
        <v>99.460000000000008</v>
      </c>
      <c r="N19" s="278">
        <v>99.465000000000003</v>
      </c>
      <c r="O19" s="278">
        <v>99.47</v>
      </c>
      <c r="Q19" s="586">
        <v>40987</v>
      </c>
      <c r="R19" s="280">
        <v>99.460000000000008</v>
      </c>
      <c r="S19" s="280">
        <v>99.465000000000003</v>
      </c>
      <c r="T19" s="280">
        <v>99.47</v>
      </c>
      <c r="W19" s="261" t="str">
        <v>M2</v>
      </c>
      <c r="AC19" s="282">
        <f t="array" ref="AC19:AD19">IF(AND(R20&lt;&gt;0,S20&lt;&gt;0),R20:S20,AF18+T20-T19)</f>
        <v>99.240000000000009</v>
      </c>
      <c r="AD19" s="282">
        <v>99.245000000000005</v>
      </c>
      <c r="AE19" s="137"/>
      <c r="AF19" s="258">
        <f t="shared" si="5"/>
        <v>99.242500000000007</v>
      </c>
      <c r="AH19" s="138"/>
      <c r="AI19" s="261" t="str">
        <f t="shared" si="6"/>
        <v>M2</v>
      </c>
      <c r="AJ19" s="598"/>
      <c r="AO19" s="270"/>
      <c r="AP19" s="294">
        <f>IF(ISNUMBER(AO19),AO19,_xll.qFuturesConvexityAdjustment(AF19,Today,L20,_xll.qInterp((L20-Today)/365,$CN$9:$CN$18,$CT$9:$CT$18)%,_xll.qInterp((L20-Today)/365,$CN$9:$CN$18,$CQ$9:$CQ$18)%,"SFE"))</f>
        <v>8.9055930906323244E-2</v>
      </c>
      <c r="AQ19" s="258">
        <f t="shared" si="7"/>
        <v>0.75749999999999318</v>
      </c>
      <c r="AR19" s="258">
        <f t="shared" si="8"/>
        <v>0.75660944069092995</v>
      </c>
      <c r="AT19" s="138"/>
      <c r="AU19" s="261" t="s">
        <v>205</v>
      </c>
      <c r="AV19" s="598"/>
      <c r="AW19" s="645" t="str">
        <f t="array" ref="AW19:AW26">"USD"&amp;AU19:AU26&amp;"S=ICAP"</f>
        <v>USD2X1S=ICAP</v>
      </c>
      <c r="AX19" s="598"/>
      <c r="AY19" s="645" t="s">
        <v>45</v>
      </c>
      <c r="AZ19" s="598"/>
      <c r="BA19" s="264">
        <v>0.17100000000000001</v>
      </c>
      <c r="BB19" s="264">
        <v>0.221</v>
      </c>
      <c r="BC19" s="270"/>
      <c r="BD19" s="257">
        <f t="shared" ref="BD19:BD24" si="9">IF(ISNUMBER(BC19),BC19,AVERAGE(BA19:BB19))</f>
        <v>0.19600000000000001</v>
      </c>
      <c r="BF19" s="138"/>
      <c r="BG19" s="598"/>
      <c r="BH19" s="598"/>
      <c r="BI19" s="598"/>
      <c r="BJ19" s="598"/>
      <c r="BK19" s="598"/>
      <c r="BL19" s="261" t="str">
        <f t="array" ref="BL19:BL26">TEXT(L29:L36,"mmm")</f>
        <v>May</v>
      </c>
      <c r="BM19" s="265">
        <f t="array" ref="BM19:BN19">IF(AND(R29&lt;&gt;0,S29&lt;&gt;0),R29:S29,T29)</f>
        <v>99.905000000000001</v>
      </c>
      <c r="BN19" s="265">
        <v>99.907500000000013</v>
      </c>
      <c r="BO19" s="270"/>
      <c r="BP19" s="267">
        <f t="shared" ref="BP19:BP26" si="10">IF(ISNUMBER(BO19),BO19,AVERAGEIF(BM19:BN19,"&lt;&gt;0"))</f>
        <v>99.90625</v>
      </c>
      <c r="BT19" s="301" t="s">
        <v>12</v>
      </c>
      <c r="BU19" s="195">
        <v>21.000000000000004</v>
      </c>
      <c r="BV19" s="195">
        <v>3.5</v>
      </c>
      <c r="BW19" s="195">
        <v>4.9599999999999991</v>
      </c>
      <c r="BX19" s="195">
        <v>21.583333333333332</v>
      </c>
    </row>
    <row r="20" spans="5:98">
      <c r="F20" s="215" t="str">
        <f>_xll.qFuturesDateToCode(_xll.qFuturesCodeToDate(F19,Today)+92)</f>
        <v>M2</v>
      </c>
      <c r="G20" s="152" t="str">
        <v>EDM2</v>
      </c>
      <c r="L20" s="586">
        <v>41078</v>
      </c>
      <c r="M20" s="278">
        <v>99.240000000000009</v>
      </c>
      <c r="N20" s="278">
        <v>99.245000000000005</v>
      </c>
      <c r="O20" s="278">
        <v>99.254999999999995</v>
      </c>
      <c r="Q20" s="586">
        <v>41078</v>
      </c>
      <c r="R20" s="280">
        <v>99.240000000000009</v>
      </c>
      <c r="S20" s="280">
        <v>99.245000000000005</v>
      </c>
      <c r="T20" s="280">
        <v>99.254999999999995</v>
      </c>
      <c r="W20" s="261" t="str">
        <v>U2</v>
      </c>
      <c r="AC20" s="282">
        <f t="array" ref="AC20:AD20">IF(AND(R21&lt;&gt;0,S21&lt;&gt;0),R21:S21,AF19+T21-T20)</f>
        <v>98.965000000000003</v>
      </c>
      <c r="AD20" s="282">
        <v>98.97</v>
      </c>
      <c r="AE20" s="137"/>
      <c r="AF20" s="258">
        <f t="shared" si="5"/>
        <v>98.967500000000001</v>
      </c>
      <c r="AH20" s="138"/>
      <c r="AI20" s="261" t="str">
        <f t="shared" si="6"/>
        <v>U2</v>
      </c>
      <c r="AJ20" s="598"/>
      <c r="AO20" s="270"/>
      <c r="AP20" s="294">
        <f>IF(ISNUMBER(AO20),AO20,_xll.qFuturesConvexityAdjustment(AF20,Today,L21,_xll.qInterp((L21-Today)/365,$CN$9:$CN$18,$CT$9:$CT$18)%,_xll.qInterp((L21-Today)/365,$CN$9:$CN$18,$CQ$9:$CQ$18)%,"SFE"))</f>
        <v>0.19226220473016475</v>
      </c>
      <c r="AQ20" s="258">
        <f t="shared" si="7"/>
        <v>1.0324999999999989</v>
      </c>
      <c r="AR20" s="258">
        <f t="shared" si="8"/>
        <v>1.0305773779526972</v>
      </c>
      <c r="AT20" s="138"/>
      <c r="AU20" s="261" t="s">
        <v>206</v>
      </c>
      <c r="AV20" s="598"/>
      <c r="AW20" s="645" t="str">
        <v>USD3X1S=ICAP</v>
      </c>
      <c r="AX20" s="598"/>
      <c r="AY20" s="645" t="s">
        <v>46</v>
      </c>
      <c r="AZ20" s="598"/>
      <c r="BA20" s="264">
        <v>0.17500000000000002</v>
      </c>
      <c r="BB20" s="264">
        <v>0.22500000000000001</v>
      </c>
      <c r="BC20" s="270"/>
      <c r="BD20" s="257">
        <f t="shared" si="9"/>
        <v>0.2</v>
      </c>
      <c r="BF20" s="138"/>
      <c r="BG20" s="598"/>
      <c r="BH20" s="598"/>
      <c r="BI20" s="598"/>
      <c r="BJ20" s="598"/>
      <c r="BK20" s="598"/>
      <c r="BL20" s="261" t="str">
        <v>Jun</v>
      </c>
      <c r="BM20" s="265">
        <f t="array" ref="BM20:BN20">IF(AND(R30&lt;&gt;0,S30&lt;&gt;0),R30:S30,T30-T29+BP19)</f>
        <v>99.9</v>
      </c>
      <c r="BN20" s="265">
        <v>99.905000000000001</v>
      </c>
      <c r="BO20" s="270"/>
      <c r="BP20" s="267">
        <f t="shared" si="10"/>
        <v>99.902500000000003</v>
      </c>
      <c r="BT20" s="301" t="s">
        <v>13</v>
      </c>
      <c r="BU20" s="195">
        <v>20.75</v>
      </c>
      <c r="BV20" s="195">
        <v>3.25</v>
      </c>
      <c r="BW20" s="195">
        <v>4.794999999999999</v>
      </c>
      <c r="BX20" s="195">
        <v>20.291666666666664</v>
      </c>
    </row>
    <row r="21" spans="5:98">
      <c r="F21" s="215" t="str">
        <f>_xll.qFuturesDateToCode(_xll.qFuturesCodeToDate(F20,Today)+92)</f>
        <v>U2</v>
      </c>
      <c r="G21" s="152" t="str">
        <v>EDU2</v>
      </c>
      <c r="L21" s="586">
        <v>41169</v>
      </c>
      <c r="M21" s="278">
        <v>98.965000000000003</v>
      </c>
      <c r="N21" s="278">
        <v>98.97</v>
      </c>
      <c r="O21" s="278">
        <v>98.984999999999999</v>
      </c>
      <c r="Q21" s="586">
        <v>41169</v>
      </c>
      <c r="R21" s="280">
        <v>98.965000000000003</v>
      </c>
      <c r="S21" s="280">
        <v>98.97</v>
      </c>
      <c r="T21" s="280">
        <v>98.984999999999999</v>
      </c>
      <c r="W21" s="261" t="str">
        <v>Z2</v>
      </c>
      <c r="AC21" s="282">
        <f t="array" ref="AC21:AD21">IF(AND(R22&lt;&gt;0,S22&lt;&gt;0),R22:S22,AF20+T22-T21)</f>
        <v>98.674999999999983</v>
      </c>
      <c r="AD21" s="282">
        <v>98.679999999999993</v>
      </c>
      <c r="AE21" s="137"/>
      <c r="AF21" s="258">
        <f t="shared" si="5"/>
        <v>98.677499999999981</v>
      </c>
      <c r="AH21" s="138"/>
      <c r="AI21" s="261" t="str">
        <f t="shared" si="6"/>
        <v>Z2</v>
      </c>
      <c r="AJ21" s="598"/>
      <c r="AO21" s="270"/>
      <c r="AP21" s="294">
        <f>IF(ISNUMBER(AO21),AO21,_xll.qFuturesConvexityAdjustment(AF21,Today,L22,_xll.qInterp((L22-Today)/365,$CN$9:$CN$18,$CT$9:$CT$18)%,_xll.qInterp((L22-Today)/365,$CN$9:$CN$18,$CQ$9:$CQ$18)%,"SFE"))</f>
        <v>0.36009787152413431</v>
      </c>
      <c r="AQ21" s="258">
        <f t="shared" si="7"/>
        <v>1.3225000000000193</v>
      </c>
      <c r="AR21" s="258">
        <f t="shared" si="8"/>
        <v>1.318899021284778</v>
      </c>
      <c r="AT21" s="138"/>
      <c r="AU21" s="261" t="s">
        <v>207</v>
      </c>
      <c r="AV21" s="598"/>
      <c r="AW21" s="645" t="str">
        <v>USD4X1S=ICAP</v>
      </c>
      <c r="AX21" s="598"/>
      <c r="AY21" s="598"/>
      <c r="AZ21" s="598"/>
      <c r="BA21" s="264">
        <v>0.18099999999999999</v>
      </c>
      <c r="BB21" s="264">
        <v>0.23100000000000001</v>
      </c>
      <c r="BC21" s="270"/>
      <c r="BD21" s="257">
        <f t="shared" si="9"/>
        <v>0.20600000000000002</v>
      </c>
      <c r="BF21" s="138"/>
      <c r="BG21" s="598"/>
      <c r="BH21" s="598"/>
      <c r="BI21" s="598"/>
      <c r="BJ21" s="598"/>
      <c r="BK21" s="598"/>
      <c r="BL21" s="261" t="str">
        <v>Jul</v>
      </c>
      <c r="BM21" s="265">
        <f t="array" ref="BM21:BN21">IF(AND(R31&lt;&gt;0,S31&lt;&gt;0),R31:S31,T31-T30+BP20)</f>
        <v>99.894999999999996</v>
      </c>
      <c r="BN21" s="265">
        <v>99.9</v>
      </c>
      <c r="BO21" s="270"/>
      <c r="BP21" s="267">
        <f t="shared" si="10"/>
        <v>99.897500000000008</v>
      </c>
      <c r="BT21" s="301" t="s">
        <v>14</v>
      </c>
      <c r="BU21" s="195">
        <v>20.5</v>
      </c>
      <c r="BV21" s="195">
        <v>2.9999999999999996</v>
      </c>
      <c r="BW21" s="195">
        <v>4.63</v>
      </c>
      <c r="BX21" s="195">
        <v>19</v>
      </c>
    </row>
    <row r="22" spans="5:98">
      <c r="F22" s="215" t="str">
        <f>_xll.qFuturesDateToCode(_xll.qFuturesCodeToDate(F21,Today)+92)</f>
        <v>Z2</v>
      </c>
      <c r="G22" s="152" t="str">
        <v>EDZ2</v>
      </c>
      <c r="L22" s="586">
        <v>41260</v>
      </c>
      <c r="M22" s="278">
        <v>98.674999999999983</v>
      </c>
      <c r="N22" s="278">
        <v>98.679999999999993</v>
      </c>
      <c r="O22" s="278">
        <v>98.694999999999993</v>
      </c>
      <c r="Q22" s="586">
        <v>41260</v>
      </c>
      <c r="R22" s="280">
        <v>98.674999999999983</v>
      </c>
      <c r="S22" s="280">
        <v>98.679999999999993</v>
      </c>
      <c r="T22" s="280">
        <v>98.694999999999993</v>
      </c>
      <c r="W22" s="261" t="str">
        <v>H3</v>
      </c>
      <c r="AC22" s="282">
        <f t="array" ref="AC22:AD22">IF(AND(R23&lt;&gt;0,S23&lt;&gt;0),R23:S23,AF21+T23-T22)</f>
        <v>98.415000000000006</v>
      </c>
      <c r="AD22" s="282">
        <v>98.42</v>
      </c>
      <c r="AE22" s="137"/>
      <c r="AF22" s="258">
        <f t="shared" si="5"/>
        <v>98.417500000000004</v>
      </c>
      <c r="AH22" s="138"/>
      <c r="AI22" s="261" t="str">
        <f t="shared" si="6"/>
        <v>H3</v>
      </c>
      <c r="AJ22" s="598"/>
      <c r="AO22" s="270"/>
      <c r="AP22" s="294">
        <f>IF(ISNUMBER(AO22),AO22,_xll.qFuturesConvexityAdjustment(AF22,Today,L23,_xll.qInterp((L23-Today)/365,$CN$9:$CN$18,$CT$9:$CT$18)%,_xll.qInterp((L23-Today)/365,$CN$9:$CN$18,$CQ$9:$CQ$18)%,"SFE"))</f>
        <v>0.60967367310065246</v>
      </c>
      <c r="AQ22" s="258">
        <f t="shared" si="7"/>
        <v>1.582499999999996</v>
      </c>
      <c r="AR22" s="258">
        <f t="shared" si="8"/>
        <v>1.5764032632689895</v>
      </c>
      <c r="AT22" s="138"/>
      <c r="AU22" s="261" t="s">
        <v>208</v>
      </c>
      <c r="AV22" s="598"/>
      <c r="AW22" s="645" t="str">
        <v>USD5X1S=ICAP</v>
      </c>
      <c r="AX22" s="598"/>
      <c r="AY22" s="598"/>
      <c r="AZ22" s="598"/>
      <c r="BA22" s="264">
        <v>0.187</v>
      </c>
      <c r="BB22" s="264">
        <v>0.23700000000000002</v>
      </c>
      <c r="BC22" s="270"/>
      <c r="BD22" s="257">
        <f t="shared" si="9"/>
        <v>0.21200000000000002</v>
      </c>
      <c r="BF22" s="138"/>
      <c r="BG22" s="598"/>
      <c r="BH22" s="598"/>
      <c r="BI22" s="598"/>
      <c r="BJ22" s="598"/>
      <c r="BK22" s="598"/>
      <c r="BL22" s="261" t="str">
        <v>Aug</v>
      </c>
      <c r="BM22" s="265">
        <f t="array" ref="BM22:BN22">IF(AND(R32&lt;&gt;0,S32&lt;&gt;0),R32:S32,T32-T31+BP21)</f>
        <v>99.88</v>
      </c>
      <c r="BN22" s="265">
        <v>99.884999999999991</v>
      </c>
      <c r="BO22" s="270"/>
      <c r="BP22" s="267">
        <f t="shared" si="10"/>
        <v>99.882499999999993</v>
      </c>
      <c r="BT22" s="301" t="s">
        <v>214</v>
      </c>
      <c r="BU22" s="195">
        <v>20.100000000000001</v>
      </c>
      <c r="BV22" s="195">
        <v>2.85</v>
      </c>
      <c r="BW22" s="195">
        <v>4.5649999999999995</v>
      </c>
      <c r="BX22" s="195">
        <v>18.125</v>
      </c>
    </row>
    <row r="23" spans="5:98">
      <c r="F23" s="215" t="str">
        <f>_xll.qFuturesDateToCode(_xll.qFuturesCodeToDate(F22,Today)+92)</f>
        <v>H3</v>
      </c>
      <c r="G23" s="152" t="str">
        <v>EDH3</v>
      </c>
      <c r="L23" s="586">
        <v>41351</v>
      </c>
      <c r="M23" s="278">
        <v>98.415000000000006</v>
      </c>
      <c r="N23" s="278">
        <v>98.42</v>
      </c>
      <c r="O23" s="278">
        <v>98.435000000000002</v>
      </c>
      <c r="Q23" s="586">
        <v>41351</v>
      </c>
      <c r="R23" s="280">
        <v>98.415000000000006</v>
      </c>
      <c r="S23" s="280">
        <v>98.42</v>
      </c>
      <c r="T23" s="280">
        <v>98.435000000000002</v>
      </c>
      <c r="W23" s="261" t="str">
        <v>M3</v>
      </c>
      <c r="AC23" s="282">
        <f t="array" ref="AC23:AD23">IF(AND(R24&lt;&gt;0,S24&lt;&gt;0),R24:S24,AF22+T24-T23)</f>
        <v>98.16</v>
      </c>
      <c r="AD23" s="282">
        <v>98.164999999999992</v>
      </c>
      <c r="AE23" s="137"/>
      <c r="AF23" s="258">
        <f t="shared" ref="AF23:AF26" si="11">IF(ISNUMBER(AE23),AE23,AVERAGE(AC23:AD23))</f>
        <v>98.162499999999994</v>
      </c>
      <c r="AH23" s="138"/>
      <c r="AI23" s="261" t="str">
        <f t="shared" ref="AI23:AI26" si="12">W23</f>
        <v>M3</v>
      </c>
      <c r="AJ23" s="598"/>
      <c r="AO23" s="270"/>
      <c r="AP23" s="294">
        <f>IF(ISNUMBER(AO23),AO23,_xll.qFuturesConvexityAdjustment(AF23,Today,L24,_xll.qInterp((L24-Today)/365,$CN$9:$CN$18,$CT$9:$CT$18)%,_xll.qInterp((L24-Today)/365,$CN$9:$CN$18,$CQ$9:$CQ$18)%,"SFE"))</f>
        <v>0.9598780067895829</v>
      </c>
      <c r="AQ23" s="258">
        <f t="shared" si="7"/>
        <v>1.8375000000000057</v>
      </c>
      <c r="AR23" s="258">
        <f t="shared" si="8"/>
        <v>1.8279012199321099</v>
      </c>
      <c r="AT23" s="138"/>
      <c r="AU23" s="261" t="s">
        <v>209</v>
      </c>
      <c r="AV23" s="598"/>
      <c r="AW23" s="645" t="str">
        <v>USD6X1S=ICAP</v>
      </c>
      <c r="AX23" s="598"/>
      <c r="AY23" s="598"/>
      <c r="AZ23" s="598"/>
      <c r="BA23" s="264">
        <v>0.19500000000000001</v>
      </c>
      <c r="BB23" s="264">
        <v>0.24500000000000002</v>
      </c>
      <c r="BC23" s="270"/>
      <c r="BD23" s="257">
        <f t="shared" si="9"/>
        <v>0.22000000000000003</v>
      </c>
      <c r="BF23" s="138"/>
      <c r="BG23" s="598"/>
      <c r="BH23" s="598"/>
      <c r="BI23" s="598"/>
      <c r="BJ23" s="598"/>
      <c r="BK23" s="598"/>
      <c r="BL23" s="261" t="str">
        <v>Sep</v>
      </c>
      <c r="BM23" s="265">
        <f t="array" ref="BM23:BN23">IF(AND(R33&lt;&gt;0,S33&lt;&gt;0),R33:S33,T33-T32+BP22)</f>
        <v>99.86999999999999</v>
      </c>
      <c r="BN23" s="265">
        <v>99.874999999999986</v>
      </c>
      <c r="BO23" s="270"/>
      <c r="BP23" s="267">
        <f t="shared" si="10"/>
        <v>99.872499999999988</v>
      </c>
      <c r="BT23" s="301" t="s">
        <v>15</v>
      </c>
      <c r="BU23" s="195">
        <v>19.7</v>
      </c>
      <c r="BV23" s="195">
        <v>2.7</v>
      </c>
      <c r="BW23" s="195">
        <v>4.5</v>
      </c>
      <c r="BX23" s="195">
        <v>17.25</v>
      </c>
    </row>
    <row r="24" spans="5:98">
      <c r="F24" s="215" t="str">
        <f>_xll.qFuturesDateToCode(_xll.qFuturesCodeToDate(F23,Today)+92)</f>
        <v>M3</v>
      </c>
      <c r="G24" s="152" t="str">
        <v>EDM3</v>
      </c>
      <c r="L24" s="586">
        <v>41442</v>
      </c>
      <c r="M24" s="278">
        <v>98.16</v>
      </c>
      <c r="N24" s="278">
        <v>98.164999999999992</v>
      </c>
      <c r="O24" s="278">
        <v>98.174999999999983</v>
      </c>
      <c r="Q24" s="586">
        <v>41442</v>
      </c>
      <c r="R24" s="280">
        <v>98.16</v>
      </c>
      <c r="S24" s="280">
        <v>98.164999999999992</v>
      </c>
      <c r="T24" s="280">
        <v>98.174999999999983</v>
      </c>
      <c r="W24" s="261" t="str">
        <v>U3</v>
      </c>
      <c r="AC24" s="282">
        <f t="array" ref="AC24:AD24">IF(AND(R25&lt;&gt;0,S25&lt;&gt;0),R25:S25,AF23+T25-T24)</f>
        <v>97.905000000000001</v>
      </c>
      <c r="AD24" s="282">
        <v>97.910000000000011</v>
      </c>
      <c r="AE24" s="137"/>
      <c r="AF24" s="258">
        <f t="shared" si="11"/>
        <v>97.907499999999999</v>
      </c>
      <c r="AH24" s="138"/>
      <c r="AI24" s="261" t="str">
        <f t="shared" si="12"/>
        <v>U3</v>
      </c>
      <c r="AJ24" s="598"/>
      <c r="AO24" s="270"/>
      <c r="AP24" s="294">
        <f>IF(ISNUMBER(AO24),AO24,_xll.qFuturesConvexityAdjustment(AF24,Today,L25,_xll.qInterp((L25-Today)/365,$CN$9:$CN$18,$CT$9:$CT$18)%,_xll.qInterp((L25-Today)/365,$CN$9:$CN$18,$CQ$9:$CQ$18)%,"SFE"))</f>
        <v>1.4186763157807203</v>
      </c>
      <c r="AQ24" s="258">
        <f t="shared" si="7"/>
        <v>2.0925000000000011</v>
      </c>
      <c r="AR24" s="258">
        <f t="shared" si="8"/>
        <v>2.0783132368421939</v>
      </c>
      <c r="AT24" s="138"/>
      <c r="AU24" s="261" t="s">
        <v>210</v>
      </c>
      <c r="AV24" s="598"/>
      <c r="AW24" s="645" t="str">
        <v>USD7X1S=ICAP</v>
      </c>
      <c r="AX24" s="598"/>
      <c r="AY24" s="598"/>
      <c r="AZ24" s="598"/>
      <c r="BA24" s="264">
        <v>0.20300000000000001</v>
      </c>
      <c r="BB24" s="264">
        <v>0.253</v>
      </c>
      <c r="BC24" s="270"/>
      <c r="BD24" s="257">
        <f t="shared" si="9"/>
        <v>0.22800000000000001</v>
      </c>
      <c r="BF24" s="138"/>
      <c r="BG24" s="598"/>
      <c r="BH24" s="598"/>
      <c r="BI24" s="598"/>
      <c r="BJ24" s="598"/>
      <c r="BK24" s="598"/>
      <c r="BL24" s="261" t="str">
        <v>Oct</v>
      </c>
      <c r="BM24" s="265">
        <f t="array" ref="BM24:BN24">IF(AND(R34&lt;&gt;0,S34&lt;&gt;0),R34:S34,T34-T33+BP23)</f>
        <v>99.86</v>
      </c>
      <c r="BN24" s="265">
        <v>99.864999999999995</v>
      </c>
      <c r="BO24" s="270"/>
      <c r="BP24" s="267">
        <f t="shared" si="10"/>
        <v>99.862499999999997</v>
      </c>
      <c r="BT24" s="301" t="s">
        <v>241</v>
      </c>
      <c r="BU24" s="195">
        <v>19.3</v>
      </c>
      <c r="BV24" s="195">
        <v>2.5499999999999998</v>
      </c>
      <c r="BW24" s="195">
        <v>4.4166666666666661</v>
      </c>
      <c r="BX24" s="195">
        <v>16.583333333333332</v>
      </c>
    </row>
    <row r="25" spans="5:98">
      <c r="F25" s="215" t="str">
        <f>_xll.qFuturesDateToCode(_xll.qFuturesCodeToDate(F24,Today)+92)</f>
        <v>U3</v>
      </c>
      <c r="G25" s="152" t="str">
        <v>EDU3</v>
      </c>
      <c r="L25" s="586">
        <v>41533</v>
      </c>
      <c r="M25" s="278">
        <v>97.905000000000001</v>
      </c>
      <c r="N25" s="278">
        <v>97.910000000000011</v>
      </c>
      <c r="O25" s="278">
        <v>97.92</v>
      </c>
      <c r="Q25" s="586">
        <v>41533</v>
      </c>
      <c r="R25" s="280">
        <v>97.905000000000001</v>
      </c>
      <c r="S25" s="280">
        <v>97.910000000000011</v>
      </c>
      <c r="T25" s="280">
        <v>97.92</v>
      </c>
      <c r="W25" s="261" t="str">
        <v>Z3</v>
      </c>
      <c r="AC25" s="282">
        <f t="array" ref="AC25:AD25">IF(AND(R26&lt;&gt;0,S26&lt;&gt;0),R26:S26,AF24+T26-T25)</f>
        <v>97.644999999999996</v>
      </c>
      <c r="AD25" s="282">
        <v>97.649999999999991</v>
      </c>
      <c r="AE25" s="137"/>
      <c r="AF25" s="258">
        <f t="shared" si="11"/>
        <v>97.647499999999994</v>
      </c>
      <c r="AH25" s="138"/>
      <c r="AI25" s="261" t="str">
        <f t="shared" si="12"/>
        <v>Z3</v>
      </c>
      <c r="AJ25" s="598"/>
      <c r="AO25" s="270"/>
      <c r="AP25" s="294">
        <f>IF(ISNUMBER(AO25),AO25,_xll.qFuturesConvexityAdjustment(AF25,Today,L26,_xll.qInterp((L26-Today)/365,$CN$9:$CN$18,$CT$9:$CT$18)%,_xll.qInterp((L26-Today)/365,$CN$9:$CN$18,$CQ$9:$CQ$18)%,"SFE"))</f>
        <v>1.9765623667812093</v>
      </c>
      <c r="AQ25" s="258">
        <f t="shared" si="7"/>
        <v>2.3525000000000063</v>
      </c>
      <c r="AR25" s="258">
        <f t="shared" si="8"/>
        <v>2.3327343763321942</v>
      </c>
      <c r="AT25" s="138"/>
      <c r="AU25" s="261" t="s">
        <v>211</v>
      </c>
      <c r="AV25" s="598"/>
      <c r="AW25" s="645" t="str">
        <v>USD8X1S=ICAP</v>
      </c>
      <c r="AX25" s="598"/>
      <c r="AY25" s="598"/>
      <c r="AZ25" s="598"/>
      <c r="BA25" s="264">
        <v>0.21400000000000002</v>
      </c>
      <c r="BB25" s="264">
        <v>0.26400000000000001</v>
      </c>
      <c r="BC25" s="270"/>
      <c r="BD25" s="257">
        <f t="shared" ref="BD25:BD26" si="13">IF(ISNUMBER(BC25),BC25,AVERAGE(BA25:BB25))</f>
        <v>0.23900000000000002</v>
      </c>
      <c r="BF25" s="138"/>
      <c r="BG25" s="598"/>
      <c r="BH25" s="598"/>
      <c r="BI25" s="598"/>
      <c r="BJ25" s="598"/>
      <c r="BK25" s="598"/>
      <c r="BL25" s="261" t="str">
        <v>Nov</v>
      </c>
      <c r="BM25" s="265">
        <f t="array" ref="BM25:BN25">IF(AND(R35&lt;&gt;0,S35&lt;&gt;0),R35:S35,T35-T34+BP24)</f>
        <v>99.84</v>
      </c>
      <c r="BN25" s="265">
        <v>99.844999999999999</v>
      </c>
      <c r="BO25" s="270"/>
      <c r="BP25" s="267">
        <f t="shared" si="10"/>
        <v>99.842500000000001</v>
      </c>
      <c r="BT25" s="301" t="s">
        <v>242</v>
      </c>
      <c r="BU25" s="195">
        <v>18.900000000000002</v>
      </c>
      <c r="BV25" s="195">
        <v>2.4</v>
      </c>
      <c r="BW25" s="195">
        <v>4.333333333333333</v>
      </c>
      <c r="BX25" s="195">
        <v>15.916666666666668</v>
      </c>
    </row>
    <row r="26" spans="5:98">
      <c r="F26" s="215" t="str">
        <f>_xll.qFuturesDateToCode(_xll.qFuturesCodeToDate(F25,Today)+92)</f>
        <v>Z3</v>
      </c>
      <c r="G26" s="152" t="str">
        <v>EDZ3</v>
      </c>
      <c r="L26" s="586">
        <v>41624</v>
      </c>
      <c r="M26" s="278">
        <v>97.644999999999996</v>
      </c>
      <c r="N26" s="278">
        <v>97.649999999999991</v>
      </c>
      <c r="O26" s="278">
        <v>97.654999999999987</v>
      </c>
      <c r="Q26" s="586">
        <v>41624</v>
      </c>
      <c r="R26" s="280">
        <v>97.644999999999996</v>
      </c>
      <c r="S26" s="280">
        <v>97.649999999999991</v>
      </c>
      <c r="T26" s="280">
        <v>97.654999999999987</v>
      </c>
      <c r="W26" s="261" t="str">
        <v>H4</v>
      </c>
      <c r="AC26" s="282">
        <f t="array" ref="AC26:AD26">IF(AND(R27&lt;&gt;0,S27&lt;&gt;0),R27:S27,AF25+T27-T26)</f>
        <v>97.415000000000006</v>
      </c>
      <c r="AD26" s="282">
        <v>97.42</v>
      </c>
      <c r="AE26" s="137"/>
      <c r="AF26" s="258">
        <f t="shared" si="11"/>
        <v>97.417500000000004</v>
      </c>
      <c r="AH26" s="138"/>
      <c r="AI26" s="261" t="str">
        <f t="shared" si="12"/>
        <v>H4</v>
      </c>
      <c r="AJ26" s="598"/>
      <c r="AO26" s="270"/>
      <c r="AP26" s="294">
        <f>IF(ISNUMBER(AO26),AO26,_xll.qFuturesConvexityAdjustment(AF26,Today,L27,_xll.qInterp((L27-Today)/365,$CN$9:$CN$18,$CT$9:$CT$18)%,_xll.qInterp((L27-Today)/365,$CN$9:$CN$18,$CQ$9:$CQ$18)%,"SFE"))</f>
        <v>2.6227534206268555</v>
      </c>
      <c r="AQ26" s="258">
        <f t="shared" si="7"/>
        <v>2.582499999999996</v>
      </c>
      <c r="AR26" s="258">
        <f t="shared" si="8"/>
        <v>2.5562724657937275</v>
      </c>
      <c r="AT26" s="138"/>
      <c r="AU26" s="261" t="s">
        <v>212</v>
      </c>
      <c r="AV26" s="598"/>
      <c r="AW26" s="645" t="str">
        <v>USD9X1S=ICAP</v>
      </c>
      <c r="AX26" s="598"/>
      <c r="AZ26" s="598"/>
      <c r="BA26" s="264">
        <v>0.22700000000000001</v>
      </c>
      <c r="BB26" s="264">
        <v>0.27700000000000002</v>
      </c>
      <c r="BC26" s="270"/>
      <c r="BD26" s="257">
        <f t="shared" si="13"/>
        <v>0.252</v>
      </c>
      <c r="BF26" s="138"/>
      <c r="BG26" s="598"/>
      <c r="BH26" s="598"/>
      <c r="BI26" s="598"/>
      <c r="BJ26" s="598"/>
      <c r="BK26" s="598"/>
      <c r="BL26" s="261" t="str">
        <v>Dec</v>
      </c>
      <c r="BM26" s="265">
        <f t="array" ref="BM26:BN26">IF(AND(R36&lt;&gt;0,S36&lt;&gt;0),R36:S36,T36-T35+BP25)</f>
        <v>99.82</v>
      </c>
      <c r="BN26" s="265">
        <v>99.824999999999989</v>
      </c>
      <c r="BO26" s="270"/>
      <c r="BP26" s="267">
        <f t="shared" si="10"/>
        <v>99.822499999999991</v>
      </c>
      <c r="BT26" s="301" t="s">
        <v>16</v>
      </c>
      <c r="BU26" s="195">
        <v>18.5</v>
      </c>
      <c r="BV26" s="195">
        <v>2.25</v>
      </c>
      <c r="BW26" s="195">
        <v>4.25</v>
      </c>
      <c r="BX26" s="195">
        <v>15.250000000000002</v>
      </c>
    </row>
    <row r="27" spans="5:98">
      <c r="F27" s="215" t="str">
        <f>_xll.qFuturesDateToCode(_xll.qFuturesCodeToDate(F26,Today)+92)</f>
        <v>H4</v>
      </c>
      <c r="G27" s="152" t="str">
        <v>EDH4</v>
      </c>
      <c r="L27" s="586">
        <v>41715</v>
      </c>
      <c r="M27" s="278">
        <v>97.415000000000006</v>
      </c>
      <c r="N27" s="278">
        <v>97.42</v>
      </c>
      <c r="O27" s="278">
        <v>97.424999999999997</v>
      </c>
      <c r="Q27" s="586">
        <v>41715</v>
      </c>
      <c r="R27" s="280">
        <v>97.415000000000006</v>
      </c>
      <c r="S27" s="280">
        <v>97.42</v>
      </c>
      <c r="T27" s="280">
        <v>97.424999999999997</v>
      </c>
      <c r="AH27" s="138"/>
      <c r="AJ27" s="598"/>
      <c r="AT27" s="138"/>
      <c r="AV27" s="598"/>
      <c r="AW27" s="598"/>
      <c r="AX27" s="598"/>
      <c r="AY27" s="598"/>
      <c r="AZ27" s="598"/>
      <c r="BF27" s="138"/>
      <c r="BG27" s="598"/>
      <c r="BH27" s="598"/>
      <c r="BI27" s="598"/>
      <c r="BJ27" s="598"/>
      <c r="BK27" s="598"/>
      <c r="BT27" s="301" t="s">
        <v>17</v>
      </c>
      <c r="BU27" s="195">
        <v>17.38</v>
      </c>
      <c r="BV27" s="195">
        <v>2</v>
      </c>
      <c r="BW27" s="195">
        <v>4.13</v>
      </c>
      <c r="BX27" s="195">
        <v>13</v>
      </c>
    </row>
    <row r="28" spans="5:98">
      <c r="L28" s="587"/>
      <c r="M28" s="279"/>
      <c r="N28" s="279"/>
      <c r="O28" s="279"/>
      <c r="Q28" s="586"/>
      <c r="R28" s="280"/>
      <c r="S28" s="280"/>
      <c r="T28" s="280"/>
      <c r="W28" s="194" t="s">
        <v>611</v>
      </c>
      <c r="AA28" s="595" t="str">
        <f ca="1">_xll.RtUpdate("IDN",Y29:Y48,AA29:AA30,AC29,,RTMODE_RATES)</f>
        <v>Updated at 17:03:10</v>
      </c>
      <c r="AH28" s="138"/>
      <c r="AI28" s="194" t="s">
        <v>35</v>
      </c>
      <c r="AJ28" s="598"/>
      <c r="AM28" s="595" t="str">
        <f ca="1">_xll.RtUpdate("IDN",AK29:AK41,AM29:AM30,AO29,,RTMODE_RATES)</f>
        <v>Updated at 16:52:07</v>
      </c>
      <c r="AT28" s="138"/>
      <c r="AU28" s="194" t="s">
        <v>36</v>
      </c>
      <c r="AV28" s="598"/>
      <c r="AX28" s="598"/>
      <c r="AY28" s="593" t="str">
        <f ca="1">_xll.RtUpdate("IDN",AW29:AW41,AY29:AY30,BA29,,RTMODE_RATES)</f>
        <v>Updated at 16:52:07</v>
      </c>
      <c r="AZ28" s="598"/>
      <c r="BF28" s="138"/>
      <c r="BG28" s="598"/>
      <c r="BI28" s="598"/>
      <c r="BJ28" s="593" t="str">
        <f ca="1">_xll.RtUpdate("IDN",BH29:BH43,BJ29:BJ30,BM29,,RTMODE_RATES)</f>
        <v>Updated at 16:52:07</v>
      </c>
      <c r="BK28" s="598"/>
      <c r="BL28" s="194" t="s">
        <v>198</v>
      </c>
      <c r="BT28" s="301" t="s">
        <v>18</v>
      </c>
      <c r="BU28" s="195">
        <v>16.38</v>
      </c>
      <c r="BV28" s="195">
        <v>1.75</v>
      </c>
      <c r="BW28" s="195">
        <v>4</v>
      </c>
      <c r="BX28" s="195">
        <v>11.5</v>
      </c>
    </row>
    <row r="29" spans="5:98">
      <c r="E29" s="215" t="s">
        <v>597</v>
      </c>
      <c r="F29" s="215" t="str">
        <f>_xll.qFuturesDateToCode(IF(Q9="LIVE",L9,L10))</f>
        <v>K1</v>
      </c>
      <c r="G29" s="152" t="str">
        <f t="array" ref="G29:G36">IF(Q9="DELAYED","/","")  &amp;  "FF"  &amp;  F29:F36</f>
        <v>FFK1</v>
      </c>
      <c r="I29" s="152" t="s">
        <v>47</v>
      </c>
      <c r="K29" s="596" t="str">
        <f ca="1">_xll.RtUpdate("IDN",G29:G36,I29:I32,L29,,RTMODE_RATES)</f>
        <v>Updated at 16:52:07</v>
      </c>
      <c r="L29" s="586">
        <v>40694</v>
      </c>
      <c r="M29" s="278">
        <v>99.905000000000001</v>
      </c>
      <c r="N29" s="278">
        <v>99.907500000000013</v>
      </c>
      <c r="O29" s="278">
        <v>99.907500000000013</v>
      </c>
      <c r="Q29" s="586">
        <v>40694</v>
      </c>
      <c r="R29" s="280">
        <v>99.905000000000001</v>
      </c>
      <c r="S29" s="280">
        <v>99.907500000000013</v>
      </c>
      <c r="T29" s="280">
        <v>99.907500000000013</v>
      </c>
      <c r="W29" s="261" t="s">
        <v>26</v>
      </c>
      <c r="Y29" s="623" t="str">
        <f t="shared" ref="Y29:Y38" si="14">"USDSB3L"&amp;W29&amp;"=RR"</f>
        <v>USDSB3L1Y=RR</v>
      </c>
      <c r="AA29" s="623" t="s">
        <v>46</v>
      </c>
      <c r="AC29" s="268">
        <v>0.36799999999999999</v>
      </c>
      <c r="AD29" s="268">
        <v>0.36</v>
      </c>
      <c r="AE29" s="137"/>
      <c r="AF29" s="258">
        <f t="shared" ref="AF29:AF37" si="15">IF(ISNUMBER(AE29),AE29,AVERAGE(AC29:AD29))</f>
        <v>0.36399999999999999</v>
      </c>
      <c r="AH29" s="138"/>
      <c r="AI29" s="261" t="s">
        <v>5</v>
      </c>
      <c r="AJ29" s="598"/>
      <c r="AK29" s="623" t="str">
        <f t="array" ref="AK29:AK41">"USD3L6L"&amp;AI29:AI41&amp;"=PYNY"</f>
        <v>USD3L6L6M=PYNY</v>
      </c>
      <c r="AM29" s="623" t="s">
        <v>46</v>
      </c>
      <c r="AO29" s="264">
        <v>14.125</v>
      </c>
      <c r="AP29" s="264">
        <v>12.125</v>
      </c>
      <c r="AQ29" s="137"/>
      <c r="AR29" s="267">
        <f t="shared" ref="AR29" si="16">IF(ISNUMBER(AQ29),AQ29,AVERAGE(AO29:AP29))</f>
        <v>13.125</v>
      </c>
      <c r="AT29" s="138"/>
      <c r="AU29" s="261" t="s">
        <v>2</v>
      </c>
      <c r="AV29" s="598"/>
      <c r="AW29" s="645" t="str">
        <f t="array" ref="AW29:AW41">"USD1L3L"&amp;AU29:AU41&amp;"=PYNY"</f>
        <v>USD1L3L3M=PYNY</v>
      </c>
      <c r="AX29" s="598"/>
      <c r="AY29" s="645" t="s">
        <v>45</v>
      </c>
      <c r="AZ29" s="598"/>
      <c r="BA29" s="264">
        <v>5.375</v>
      </c>
      <c r="BB29" s="264">
        <v>7.375</v>
      </c>
      <c r="BC29" s="270"/>
      <c r="BD29" s="257">
        <f t="shared" ref="BD29:BD30" si="17">IF(ISNUMBER(BC29),BC29,AVERAGE(BA29:BB29))</f>
        <v>6.375</v>
      </c>
      <c r="BF29" s="138"/>
      <c r="BG29" s="598"/>
      <c r="BH29" s="645" t="str">
        <f t="array" ref="BH29:BH43">"USDFF3L"&amp;BL29:BL43&amp;"=PYNY"</f>
        <v>USDFF3L3M=PYNY</v>
      </c>
      <c r="BI29" s="598"/>
      <c r="BJ29" s="645" t="s">
        <v>46</v>
      </c>
      <c r="BK29" s="598"/>
      <c r="BL29" s="261" t="s">
        <v>2</v>
      </c>
      <c r="BM29" s="264">
        <v>18</v>
      </c>
      <c r="BN29" s="264">
        <v>14</v>
      </c>
      <c r="BO29" s="270"/>
      <c r="BP29" s="267">
        <f t="shared" ref="BP29:BP43" si="18">IF(ISNUMBER(BO29),BO29,AVERAGE(BM29:BN29))</f>
        <v>16</v>
      </c>
      <c r="BT29" s="301" t="s">
        <v>19</v>
      </c>
      <c r="BU29" s="195">
        <v>15.63</v>
      </c>
      <c r="BV29" s="195">
        <v>1.625</v>
      </c>
      <c r="BW29" s="195">
        <v>3.875</v>
      </c>
      <c r="BX29" s="195">
        <v>10.375</v>
      </c>
    </row>
    <row r="30" spans="5:98">
      <c r="F30" s="215" t="str">
        <f>_xll.qFuturesDateToCode(_xll.qFuturesCodeToDate(F29,Today)+31)</f>
        <v>M1</v>
      </c>
      <c r="G30" s="152" t="str">
        <v>FFM1</v>
      </c>
      <c r="I30" s="152" t="s">
        <v>45</v>
      </c>
      <c r="L30" s="586">
        <v>40724</v>
      </c>
      <c r="M30" s="278">
        <v>99.9</v>
      </c>
      <c r="N30" s="278">
        <v>99.905000000000001</v>
      </c>
      <c r="O30" s="278">
        <v>99.9</v>
      </c>
      <c r="Q30" s="586">
        <v>40724</v>
      </c>
      <c r="R30" s="280">
        <v>99.9</v>
      </c>
      <c r="S30" s="280">
        <v>99.905000000000001</v>
      </c>
      <c r="T30" s="280">
        <v>99.9</v>
      </c>
      <c r="W30" s="261" t="s">
        <v>27</v>
      </c>
      <c r="Y30" s="623" t="str">
        <f t="shared" si="14"/>
        <v>USDSB3L2Y=RR</v>
      </c>
      <c r="AA30" s="623" t="s">
        <v>45</v>
      </c>
      <c r="AC30" s="268">
        <v>0.73</v>
      </c>
      <c r="AD30" s="268">
        <v>0.72</v>
      </c>
      <c r="AE30" s="137"/>
      <c r="AF30" s="258">
        <f t="shared" si="15"/>
        <v>0.72499999999999998</v>
      </c>
      <c r="AH30" s="138"/>
      <c r="AI30" s="261" t="s">
        <v>26</v>
      </c>
      <c r="AJ30" s="598"/>
      <c r="AK30" s="623" t="str">
        <v>USD3L6L1Y=PYNY</v>
      </c>
      <c r="AM30" s="623" t="s">
        <v>45</v>
      </c>
      <c r="AO30" s="264">
        <v>12.25</v>
      </c>
      <c r="AP30" s="264">
        <v>10.25</v>
      </c>
      <c r="AQ30" s="137"/>
      <c r="AR30" s="267">
        <f t="shared" ref="AR30:AR34" si="19">IF(ISNUMBER(AQ30),AQ30,AVERAGE(AO30:AP30))</f>
        <v>11.25</v>
      </c>
      <c r="AT30" s="138"/>
      <c r="AU30" s="261" t="s">
        <v>5</v>
      </c>
      <c r="AV30" s="598"/>
      <c r="AW30" s="645" t="str">
        <v>USD1L3L6M=PYNY</v>
      </c>
      <c r="AX30" s="598"/>
      <c r="AY30" s="645" t="s">
        <v>46</v>
      </c>
      <c r="AZ30" s="598"/>
      <c r="BA30" s="264">
        <v>5</v>
      </c>
      <c r="BB30" s="264">
        <v>7</v>
      </c>
      <c r="BC30" s="270"/>
      <c r="BD30" s="257">
        <f t="shared" si="17"/>
        <v>6</v>
      </c>
      <c r="BF30" s="138"/>
      <c r="BG30" s="598"/>
      <c r="BH30" s="645" t="str">
        <v>USDFF3L6M=PYNY</v>
      </c>
      <c r="BI30" s="598"/>
      <c r="BJ30" s="645" t="s">
        <v>45</v>
      </c>
      <c r="BK30" s="598"/>
      <c r="BL30" s="261" t="s">
        <v>5</v>
      </c>
      <c r="BM30" s="264">
        <v>18.38</v>
      </c>
      <c r="BN30" s="264">
        <v>14.38</v>
      </c>
      <c r="BO30" s="270"/>
      <c r="BP30" s="267">
        <f t="shared" si="18"/>
        <v>16.38</v>
      </c>
      <c r="BT30" s="301" t="s">
        <v>215</v>
      </c>
      <c r="BU30" s="195">
        <v>14.606685406729857</v>
      </c>
      <c r="BV30" s="195">
        <v>1.5186093273151642</v>
      </c>
      <c r="BW30" s="195">
        <v>3.6213079953972724</v>
      </c>
      <c r="BX30" s="195">
        <v>9.6957601167088274</v>
      </c>
    </row>
    <row r="31" spans="5:98">
      <c r="F31" s="215" t="str">
        <f>_xll.qFuturesDateToCode(_xll.qFuturesCodeToDate(F30,Today)+31)</f>
        <v>N1</v>
      </c>
      <c r="G31" s="152" t="str">
        <v>FFN1</v>
      </c>
      <c r="I31" s="152" t="s">
        <v>46</v>
      </c>
      <c r="L31" s="586">
        <v>40753</v>
      </c>
      <c r="M31" s="278">
        <v>99.894999999999996</v>
      </c>
      <c r="N31" s="278">
        <v>99.9</v>
      </c>
      <c r="O31" s="278">
        <v>99.894999999999996</v>
      </c>
      <c r="Q31" s="586">
        <v>40753</v>
      </c>
      <c r="R31" s="280">
        <v>99.894999999999996</v>
      </c>
      <c r="S31" s="280">
        <v>99.9</v>
      </c>
      <c r="T31" s="280">
        <v>99.894999999999996</v>
      </c>
      <c r="W31" s="261" t="s">
        <v>7</v>
      </c>
      <c r="Y31" s="623" t="str">
        <f t="shared" si="14"/>
        <v>USDSB3L3Y=RR</v>
      </c>
      <c r="AC31" s="268">
        <v>1.1900000000000002</v>
      </c>
      <c r="AD31" s="268">
        <v>1.1800000000000002</v>
      </c>
      <c r="AE31" s="137"/>
      <c r="AF31" s="258">
        <f t="shared" si="15"/>
        <v>1.1850000000000001</v>
      </c>
      <c r="AH31" s="138"/>
      <c r="AI31" s="261" t="s">
        <v>27</v>
      </c>
      <c r="AJ31" s="598"/>
      <c r="AK31" s="623" t="str">
        <v>USD3L6L2Y=PYNY</v>
      </c>
      <c r="AO31" s="264">
        <v>10.625</v>
      </c>
      <c r="AP31" s="264">
        <v>8.625</v>
      </c>
      <c r="AQ31" s="137"/>
      <c r="AR31" s="267">
        <f t="shared" si="19"/>
        <v>9.625</v>
      </c>
      <c r="AT31" s="138"/>
      <c r="AU31" s="261" t="s">
        <v>26</v>
      </c>
      <c r="AV31" s="598"/>
      <c r="AW31" s="645" t="str">
        <v>USD1L3L1Y=PYNY</v>
      </c>
      <c r="AX31" s="598"/>
      <c r="AY31" s="598"/>
      <c r="AZ31" s="598"/>
      <c r="BA31" s="264">
        <v>4.75</v>
      </c>
      <c r="BB31" s="264">
        <v>6.75</v>
      </c>
      <c r="BC31" s="270"/>
      <c r="BD31" s="257">
        <f t="shared" ref="BD31:BD37" si="20">IF(ISNUMBER(BC31),BC31,AVERAGE(BA31:BB31))</f>
        <v>5.75</v>
      </c>
      <c r="BF31" s="138"/>
      <c r="BG31" s="598"/>
      <c r="BH31" s="645" t="str">
        <v>USDFF3L9M=PYNY</v>
      </c>
      <c r="BI31" s="598"/>
      <c r="BJ31" s="598"/>
      <c r="BK31" s="598"/>
      <c r="BL31" s="261" t="s">
        <v>32</v>
      </c>
      <c r="BM31" s="264">
        <v>18.75</v>
      </c>
      <c r="BN31" s="264">
        <v>14.75</v>
      </c>
      <c r="BO31" s="270"/>
      <c r="BP31" s="267">
        <f t="shared" si="18"/>
        <v>16.75</v>
      </c>
      <c r="BT31" s="301" t="s">
        <v>28</v>
      </c>
      <c r="BU31" s="195">
        <v>13.86668071147049</v>
      </c>
      <c r="BV31" s="195">
        <v>1.4416734584862152</v>
      </c>
      <c r="BW31" s="195">
        <v>3.4378535986949976</v>
      </c>
      <c r="BX31" s="195">
        <v>9.2045757642478971</v>
      </c>
    </row>
    <row r="32" spans="5:98">
      <c r="F32" s="215" t="str">
        <f>_xll.qFuturesDateToCode(_xll.qFuturesCodeToDate(F31,Today)+31)</f>
        <v>Q1</v>
      </c>
      <c r="G32" s="152" t="str">
        <v>FFQ1</v>
      </c>
      <c r="I32" s="152" t="s">
        <v>598</v>
      </c>
      <c r="L32" s="586">
        <v>40786</v>
      </c>
      <c r="M32" s="278">
        <v>99.88</v>
      </c>
      <c r="N32" s="278">
        <v>99.884999999999991</v>
      </c>
      <c r="O32" s="278">
        <v>99.884999999999991</v>
      </c>
      <c r="Q32" s="586">
        <v>40786</v>
      </c>
      <c r="R32" s="280">
        <v>99.88</v>
      </c>
      <c r="S32" s="280">
        <v>99.884999999999991</v>
      </c>
      <c r="T32" s="280">
        <v>99.884999999999991</v>
      </c>
      <c r="W32" s="261" t="s">
        <v>8</v>
      </c>
      <c r="Y32" s="623" t="str">
        <f t="shared" si="14"/>
        <v>USDSB3L4Y=RR</v>
      </c>
      <c r="AC32" s="268">
        <v>1.6300000000000001</v>
      </c>
      <c r="AD32" s="268">
        <v>1.62</v>
      </c>
      <c r="AE32" s="137"/>
      <c r="AF32" s="258">
        <f t="shared" si="15"/>
        <v>1.625</v>
      </c>
      <c r="AH32" s="138"/>
      <c r="AI32" s="261" t="s">
        <v>7</v>
      </c>
      <c r="AJ32" s="598"/>
      <c r="AK32" s="623" t="str">
        <v>USD3L6L3Y=PYNY</v>
      </c>
      <c r="AO32" s="264">
        <v>8.8750000000000018</v>
      </c>
      <c r="AP32" s="264">
        <v>6.875</v>
      </c>
      <c r="AQ32" s="137"/>
      <c r="AR32" s="267">
        <f t="shared" si="19"/>
        <v>7.8750000000000009</v>
      </c>
      <c r="AT32" s="138"/>
      <c r="AU32" s="261" t="s">
        <v>27</v>
      </c>
      <c r="AV32" s="598"/>
      <c r="AW32" s="645" t="str">
        <v>USD1L3L2Y=PYNY</v>
      </c>
      <c r="AX32" s="598"/>
      <c r="AY32" s="598"/>
      <c r="AZ32" s="598"/>
      <c r="BA32" s="264">
        <v>4.75</v>
      </c>
      <c r="BB32" s="264">
        <v>6.75</v>
      </c>
      <c r="BC32" s="270"/>
      <c r="BD32" s="257">
        <f t="shared" si="20"/>
        <v>5.75</v>
      </c>
      <c r="BF32" s="138"/>
      <c r="BG32" s="598"/>
      <c r="BH32" s="645" t="str">
        <v>USDFF3L1Y=PYNY</v>
      </c>
      <c r="BI32" s="598"/>
      <c r="BJ32" s="598"/>
      <c r="BK32" s="598"/>
      <c r="BL32" s="261" t="s">
        <v>26</v>
      </c>
      <c r="BM32" s="264">
        <v>19.25</v>
      </c>
      <c r="BN32" s="264">
        <v>15.25</v>
      </c>
      <c r="BO32" s="270"/>
      <c r="BP32" s="267">
        <f t="shared" si="18"/>
        <v>17.25</v>
      </c>
      <c r="BT32" s="301" t="s">
        <v>213</v>
      </c>
      <c r="BU32" s="195">
        <v>12.867990482043547</v>
      </c>
      <c r="BV32" s="195">
        <v>1.3378429004043995</v>
      </c>
      <c r="BW32" s="195">
        <v>3.1901287347873111</v>
      </c>
      <c r="BX32" s="195">
        <v>8.5413124189466707</v>
      </c>
    </row>
    <row r="33" spans="5:68">
      <c r="F33" s="215" t="str">
        <f>_xll.qFuturesDateToCode(_xll.qFuturesCodeToDate(F32,Today)+31)</f>
        <v>U1</v>
      </c>
      <c r="G33" s="152" t="str">
        <v>FFU1</v>
      </c>
      <c r="L33" s="586">
        <v>40816</v>
      </c>
      <c r="M33" s="278">
        <v>99.86999999999999</v>
      </c>
      <c r="N33" s="278">
        <v>99.874999999999986</v>
      </c>
      <c r="O33" s="278">
        <v>99.86999999999999</v>
      </c>
      <c r="Q33" s="586">
        <v>40816</v>
      </c>
      <c r="R33" s="280">
        <v>99.86999999999999</v>
      </c>
      <c r="S33" s="280">
        <v>99.874999999999986</v>
      </c>
      <c r="T33" s="280">
        <v>99.86999999999999</v>
      </c>
      <c r="W33" s="261" t="s">
        <v>9</v>
      </c>
      <c r="Y33" s="623" t="str">
        <f t="shared" si="14"/>
        <v>USDSB3L5Y=RR</v>
      </c>
      <c r="AC33" s="268">
        <v>2.0379999999999998</v>
      </c>
      <c r="AD33" s="268">
        <v>2.0319999999999996</v>
      </c>
      <c r="AE33" s="137"/>
      <c r="AF33" s="258">
        <f t="shared" si="15"/>
        <v>2.0349999999999997</v>
      </c>
      <c r="AH33" s="138"/>
      <c r="AI33" s="261" t="s">
        <v>8</v>
      </c>
      <c r="AJ33" s="598"/>
      <c r="AK33" s="623" t="str">
        <v>USD3L6L4Y=PYNY</v>
      </c>
      <c r="AO33" s="264">
        <v>7.75</v>
      </c>
      <c r="AP33" s="264">
        <v>5.75</v>
      </c>
      <c r="AQ33" s="137"/>
      <c r="AR33" s="267">
        <f t="shared" si="19"/>
        <v>6.75</v>
      </c>
      <c r="AT33" s="138"/>
      <c r="AU33" s="261" t="s">
        <v>7</v>
      </c>
      <c r="AV33" s="598"/>
      <c r="AW33" s="645" t="str">
        <v>USD1L3L3Y=PYNY</v>
      </c>
      <c r="AX33" s="598"/>
      <c r="AY33" s="598"/>
      <c r="AZ33" s="598"/>
      <c r="BA33" s="264">
        <v>4.25</v>
      </c>
      <c r="BB33" s="264">
        <v>6.25</v>
      </c>
      <c r="BC33" s="270"/>
      <c r="BD33" s="257">
        <f t="shared" si="20"/>
        <v>5.25</v>
      </c>
      <c r="BF33" s="138"/>
      <c r="BG33" s="598"/>
      <c r="BH33" s="645" t="str">
        <v>USDFF3L2Y=PYNY</v>
      </c>
      <c r="BI33" s="598"/>
      <c r="BJ33" s="598"/>
      <c r="BK33" s="598"/>
      <c r="BL33" s="261" t="s">
        <v>27</v>
      </c>
      <c r="BM33" s="264">
        <v>22.130000000000003</v>
      </c>
      <c r="BN33" s="264">
        <v>18.130000000000003</v>
      </c>
      <c r="BO33" s="270"/>
      <c r="BP33" s="267">
        <f t="shared" si="18"/>
        <v>20.130000000000003</v>
      </c>
    </row>
    <row r="34" spans="5:68">
      <c r="F34" s="215" t="str">
        <f>_xll.qFuturesDateToCode(_xll.qFuturesCodeToDate(F33,Today)+31)</f>
        <v>V1</v>
      </c>
      <c r="G34" s="152" t="str">
        <v>FFV1</v>
      </c>
      <c r="L34" s="586">
        <v>40847</v>
      </c>
      <c r="M34" s="278">
        <v>99.86</v>
      </c>
      <c r="N34" s="278">
        <v>99.864999999999995</v>
      </c>
      <c r="O34" s="278">
        <v>99.86</v>
      </c>
      <c r="Q34" s="586">
        <v>40847</v>
      </c>
      <c r="R34" s="280">
        <v>99.86</v>
      </c>
      <c r="S34" s="280">
        <v>99.864999999999995</v>
      </c>
      <c r="T34" s="280">
        <v>99.86</v>
      </c>
      <c r="W34" s="261" t="s">
        <v>10</v>
      </c>
      <c r="Y34" s="623" t="str">
        <f t="shared" si="14"/>
        <v>USDSB3L6Y=RR</v>
      </c>
      <c r="AC34" s="268">
        <v>2.38</v>
      </c>
      <c r="AD34" s="268">
        <v>2.3699999999999997</v>
      </c>
      <c r="AE34" s="137"/>
      <c r="AF34" s="258">
        <f t="shared" si="15"/>
        <v>2.375</v>
      </c>
      <c r="AH34" s="138"/>
      <c r="AI34" s="261" t="s">
        <v>9</v>
      </c>
      <c r="AJ34" s="598"/>
      <c r="AK34" s="623" t="str">
        <v>USD3L6L5Y=PYNY</v>
      </c>
      <c r="AO34" s="264">
        <v>7</v>
      </c>
      <c r="AP34" s="264">
        <v>5</v>
      </c>
      <c r="AQ34" s="137"/>
      <c r="AR34" s="267">
        <f t="shared" si="19"/>
        <v>6</v>
      </c>
      <c r="AT34" s="138"/>
      <c r="AU34" s="261" t="s">
        <v>8</v>
      </c>
      <c r="AV34" s="598"/>
      <c r="AW34" s="645" t="str">
        <v>USD1L3L4Y=PYNY</v>
      </c>
      <c r="AX34" s="598"/>
      <c r="AY34" s="598"/>
      <c r="AZ34" s="598"/>
      <c r="BA34" s="264">
        <v>3.75</v>
      </c>
      <c r="BB34" s="264">
        <v>5.75</v>
      </c>
      <c r="BC34" s="270"/>
      <c r="BD34" s="257">
        <f t="shared" si="20"/>
        <v>4.75</v>
      </c>
      <c r="BF34" s="138"/>
      <c r="BG34" s="598"/>
      <c r="BH34" s="645" t="str">
        <v>USDFF3L3Y=PYNY</v>
      </c>
      <c r="BI34" s="598"/>
      <c r="BJ34" s="598"/>
      <c r="BK34" s="598"/>
      <c r="BL34" s="261" t="s">
        <v>7</v>
      </c>
      <c r="BM34" s="264">
        <v>23.5</v>
      </c>
      <c r="BN34" s="264">
        <v>18.5</v>
      </c>
      <c r="BO34" s="270"/>
      <c r="BP34" s="267">
        <f t="shared" si="18"/>
        <v>21</v>
      </c>
    </row>
    <row r="35" spans="5:68">
      <c r="F35" s="215" t="str">
        <f>_xll.qFuturesDateToCode(_xll.qFuturesCodeToDate(F34,Today)+31)</f>
        <v>X1</v>
      </c>
      <c r="G35" s="152" t="str">
        <v>FFX1</v>
      </c>
      <c r="L35" s="586">
        <v>40877</v>
      </c>
      <c r="M35" s="278">
        <v>99.84</v>
      </c>
      <c r="N35" s="278">
        <v>99.844999999999999</v>
      </c>
      <c r="O35" s="278">
        <v>99.84</v>
      </c>
      <c r="Q35" s="586">
        <v>40877</v>
      </c>
      <c r="R35" s="280">
        <v>99.84</v>
      </c>
      <c r="S35" s="280">
        <v>99.844999999999999</v>
      </c>
      <c r="T35" s="280">
        <v>99.84</v>
      </c>
      <c r="W35" s="261" t="s">
        <v>11</v>
      </c>
      <c r="Y35" s="623" t="str">
        <f t="shared" si="14"/>
        <v>USDSB3L7Y=RR</v>
      </c>
      <c r="AC35" s="268">
        <v>2.665</v>
      </c>
      <c r="AD35" s="268">
        <v>2.66</v>
      </c>
      <c r="AE35" s="137"/>
      <c r="AF35" s="258">
        <f t="shared" si="15"/>
        <v>2.6625000000000001</v>
      </c>
      <c r="AH35" s="138"/>
      <c r="AI35" s="261" t="s">
        <v>11</v>
      </c>
      <c r="AJ35" s="598"/>
      <c r="AK35" s="623" t="str">
        <v>USD3L6L7Y=PYNY</v>
      </c>
      <c r="AO35" s="264">
        <v>6.1249999999999991</v>
      </c>
      <c r="AP35" s="264">
        <v>4.1249999999999991</v>
      </c>
      <c r="AQ35" s="137"/>
      <c r="AR35" s="267">
        <f t="shared" ref="AR35" si="21">IF(ISNUMBER(AQ35),AQ35,AVERAGE(AO35:AP35))</f>
        <v>5.1249999999999991</v>
      </c>
      <c r="AT35" s="138"/>
      <c r="AU35" s="261" t="s">
        <v>9</v>
      </c>
      <c r="AV35" s="598"/>
      <c r="AW35" s="645" t="str">
        <v>USD1L3L5Y=PYNY</v>
      </c>
      <c r="AX35" s="598"/>
      <c r="AY35" s="598"/>
      <c r="AZ35" s="598"/>
      <c r="BA35" s="264">
        <v>3.25</v>
      </c>
      <c r="BB35" s="264">
        <v>5.25</v>
      </c>
      <c r="BC35" s="270"/>
      <c r="BD35" s="257">
        <f t="shared" si="20"/>
        <v>4.25</v>
      </c>
      <c r="BF35" s="138"/>
      <c r="BG35" s="598"/>
      <c r="BH35" s="645" t="str">
        <v>USDFF3L4Y=PYNY</v>
      </c>
      <c r="BI35" s="598"/>
      <c r="BJ35" s="598"/>
      <c r="BK35" s="598"/>
      <c r="BL35" s="261" t="s">
        <v>8</v>
      </c>
      <c r="BM35" s="264">
        <v>24</v>
      </c>
      <c r="BN35" s="264">
        <v>19</v>
      </c>
      <c r="BO35" s="270"/>
      <c r="BP35" s="267">
        <f t="shared" si="18"/>
        <v>21.5</v>
      </c>
    </row>
    <row r="36" spans="5:68">
      <c r="F36" s="215" t="str">
        <f>_xll.qFuturesDateToCode(_xll.qFuturesCodeToDate(F35,Today)+31)</f>
        <v>Z1</v>
      </c>
      <c r="G36" s="152" t="str">
        <v>FFZ1</v>
      </c>
      <c r="L36" s="586">
        <v>40907</v>
      </c>
      <c r="M36" s="278">
        <v>99.82</v>
      </c>
      <c r="N36" s="278">
        <v>99.824999999999989</v>
      </c>
      <c r="O36" s="278">
        <v>99.82</v>
      </c>
      <c r="Q36" s="586">
        <v>40907</v>
      </c>
      <c r="R36" s="280">
        <v>99.82</v>
      </c>
      <c r="S36" s="280">
        <v>99.824999999999989</v>
      </c>
      <c r="T36" s="280">
        <v>99.82</v>
      </c>
      <c r="W36" s="261" t="s">
        <v>12</v>
      </c>
      <c r="Y36" s="623" t="str">
        <f t="shared" si="14"/>
        <v>USDSB3L8Y=RR</v>
      </c>
      <c r="AC36" s="268">
        <v>2.8929999999999998</v>
      </c>
      <c r="AD36" s="268">
        <v>2.8879999999999999</v>
      </c>
      <c r="AE36" s="137"/>
      <c r="AF36" s="258">
        <f t="shared" si="15"/>
        <v>2.8904999999999998</v>
      </c>
      <c r="AH36" s="138"/>
      <c r="AI36" s="261" t="s">
        <v>14</v>
      </c>
      <c r="AJ36" s="598"/>
      <c r="AK36" s="623" t="str">
        <v>USD3L6L10Y=PYNY</v>
      </c>
      <c r="AO36" s="264">
        <v>5.63</v>
      </c>
      <c r="AP36" s="264">
        <v>3.63</v>
      </c>
      <c r="AQ36" s="137"/>
      <c r="AR36" s="267">
        <f t="shared" ref="AR36:AR37" si="22">IF(ISNUMBER(AQ36),AQ36,AVERAGE(AO36:AP36))</f>
        <v>4.63</v>
      </c>
      <c r="AT36" s="138"/>
      <c r="AU36" s="261" t="s">
        <v>11</v>
      </c>
      <c r="AV36" s="598"/>
      <c r="AW36" s="645" t="str">
        <v>USD1L3L7Y=PYNY</v>
      </c>
      <c r="AX36" s="598"/>
      <c r="AY36" s="598"/>
      <c r="AZ36" s="598"/>
      <c r="BA36" s="264">
        <v>2.75</v>
      </c>
      <c r="BB36" s="264">
        <v>4.75</v>
      </c>
      <c r="BC36" s="270"/>
      <c r="BD36" s="257">
        <f t="shared" si="20"/>
        <v>3.75</v>
      </c>
      <c r="BF36" s="138"/>
      <c r="BG36" s="598"/>
      <c r="BH36" s="645" t="str">
        <v>USDFF3L5Y=PYNY</v>
      </c>
      <c r="BI36" s="598"/>
      <c r="BJ36" s="598"/>
      <c r="BK36" s="598"/>
      <c r="BL36" s="261" t="s">
        <v>9</v>
      </c>
      <c r="BM36" s="264">
        <v>24.130000000000003</v>
      </c>
      <c r="BN36" s="264">
        <v>19.130000000000003</v>
      </c>
      <c r="BO36" s="270"/>
      <c r="BP36" s="267">
        <f t="shared" si="18"/>
        <v>21.630000000000003</v>
      </c>
    </row>
    <row r="37" spans="5:68">
      <c r="L37" s="587"/>
      <c r="M37" s="279"/>
      <c r="N37" s="279"/>
      <c r="O37" s="279"/>
      <c r="Q37" s="586"/>
      <c r="R37" s="280"/>
      <c r="S37" s="280"/>
      <c r="T37" s="280"/>
      <c r="W37" s="261" t="s">
        <v>13</v>
      </c>
      <c r="Y37" s="623" t="str">
        <f t="shared" si="14"/>
        <v>USDSB3L9Y=RR</v>
      </c>
      <c r="AC37" s="268">
        <v>3.0779999999999998</v>
      </c>
      <c r="AD37" s="268">
        <v>3.073</v>
      </c>
      <c r="AE37" s="137"/>
      <c r="AF37" s="258">
        <f t="shared" si="15"/>
        <v>3.0754999999999999</v>
      </c>
      <c r="AH37" s="138"/>
      <c r="AI37" s="261" t="s">
        <v>15</v>
      </c>
      <c r="AJ37" s="598"/>
      <c r="AK37" s="623" t="str">
        <v>USD3L6L12Y=PYNY</v>
      </c>
      <c r="AO37" s="264">
        <v>5.5</v>
      </c>
      <c r="AP37" s="264">
        <v>3.5</v>
      </c>
      <c r="AQ37" s="137"/>
      <c r="AR37" s="267">
        <f t="shared" si="22"/>
        <v>4.5</v>
      </c>
      <c r="AT37" s="138"/>
      <c r="AU37" s="261" t="s">
        <v>14</v>
      </c>
      <c r="AV37" s="598"/>
      <c r="AW37" s="645" t="str">
        <v>USD1L3L10Y=PYNY</v>
      </c>
      <c r="AX37" s="598"/>
      <c r="AY37" s="598"/>
      <c r="AZ37" s="598"/>
      <c r="BA37" s="264">
        <v>2</v>
      </c>
      <c r="BB37" s="264">
        <v>4</v>
      </c>
      <c r="BC37" s="270"/>
      <c r="BD37" s="257">
        <f t="shared" si="20"/>
        <v>3</v>
      </c>
      <c r="BF37" s="138"/>
      <c r="BG37" s="598"/>
      <c r="BH37" s="645" t="str">
        <v>USDFF3L7Y=PYNY</v>
      </c>
      <c r="BI37" s="598"/>
      <c r="BJ37" s="598"/>
      <c r="BK37" s="598"/>
      <c r="BL37" s="261" t="s">
        <v>11</v>
      </c>
      <c r="BM37" s="264">
        <v>23.75</v>
      </c>
      <c r="BN37" s="264">
        <v>18.75</v>
      </c>
      <c r="BO37" s="270"/>
      <c r="BP37" s="267">
        <f t="shared" si="18"/>
        <v>21.25</v>
      </c>
    </row>
    <row r="38" spans="5:68">
      <c r="W38" s="261" t="s">
        <v>14</v>
      </c>
      <c r="Y38" s="623" t="str">
        <f t="shared" si="14"/>
        <v>USDSB3L10Y=RR</v>
      </c>
      <c r="AC38" s="268">
        <v>3.234</v>
      </c>
      <c r="AD38" s="268">
        <v>3.2290000000000001</v>
      </c>
      <c r="AE38" s="137"/>
      <c r="AF38" s="258">
        <f t="shared" ref="AF38" si="23">IF(ISNUMBER(AE38),AE38,AVERAGE(AC38:AD38))</f>
        <v>3.2315</v>
      </c>
      <c r="AH38" s="138"/>
      <c r="AI38" s="261" t="s">
        <v>16</v>
      </c>
      <c r="AJ38" s="598"/>
      <c r="AK38" s="623" t="str">
        <v>USD3L6L15Y=PYNY</v>
      </c>
      <c r="AO38" s="264">
        <v>5.25</v>
      </c>
      <c r="AP38" s="264">
        <v>3.25</v>
      </c>
      <c r="AQ38" s="137"/>
      <c r="AR38" s="267">
        <f t="shared" ref="AR38:AR41" si="24">IF(ISNUMBER(AQ38),AQ38,AVERAGE(AO38:AP38))</f>
        <v>4.25</v>
      </c>
      <c r="AT38" s="138"/>
      <c r="AU38" s="261" t="s">
        <v>16</v>
      </c>
      <c r="AV38" s="598"/>
      <c r="AW38" s="645" t="str">
        <v>USD1L3L15Y=PYNY</v>
      </c>
      <c r="AX38" s="598"/>
      <c r="AY38" s="598"/>
      <c r="AZ38" s="598"/>
      <c r="BA38" s="264">
        <v>1.25</v>
      </c>
      <c r="BB38" s="264">
        <v>3.25</v>
      </c>
      <c r="BC38" s="270"/>
      <c r="BD38" s="257">
        <f>IF(ISNUMBER(BC38),BC38,AVERAGE(BA38:BB38))</f>
        <v>2.25</v>
      </c>
      <c r="BF38" s="138"/>
      <c r="BG38" s="598"/>
      <c r="BH38" s="645" t="str">
        <v>USDFF3L10Y=PYNY</v>
      </c>
      <c r="BI38" s="598"/>
      <c r="BJ38" s="598"/>
      <c r="BK38" s="598"/>
      <c r="BL38" s="261" t="s">
        <v>14</v>
      </c>
      <c r="BM38" s="264">
        <v>23</v>
      </c>
      <c r="BN38" s="264">
        <v>18</v>
      </c>
      <c r="BO38" s="270"/>
      <c r="BP38" s="267">
        <f t="shared" si="18"/>
        <v>20.5</v>
      </c>
    </row>
    <row r="39" spans="5:68">
      <c r="E39" s="585" t="s">
        <v>607</v>
      </c>
      <c r="W39" s="261" t="s">
        <v>214</v>
      </c>
      <c r="Y39" s="623"/>
      <c r="AC39" s="268"/>
      <c r="AD39" s="268"/>
      <c r="AE39" s="137"/>
      <c r="AF39" s="258">
        <f>IF(ISNUMBER(AE39),AE39,AVERAGE(AF38,AF40))</f>
        <v>3.3525</v>
      </c>
      <c r="AH39" s="138"/>
      <c r="AI39" s="261" t="s">
        <v>17</v>
      </c>
      <c r="AJ39" s="598"/>
      <c r="AK39" s="623" t="str">
        <v>USD3L6L20Y=PYNY</v>
      </c>
      <c r="AO39" s="264">
        <v>5.13</v>
      </c>
      <c r="AP39" s="264">
        <v>3.13</v>
      </c>
      <c r="AQ39" s="137"/>
      <c r="AR39" s="267">
        <f t="shared" si="24"/>
        <v>4.13</v>
      </c>
      <c r="AT39" s="138"/>
      <c r="AU39" s="261" t="s">
        <v>17</v>
      </c>
      <c r="AV39" s="598"/>
      <c r="AW39" s="645" t="str">
        <v>USD1L3L20Y=PYNY</v>
      </c>
      <c r="AX39" s="598"/>
      <c r="AY39" s="598"/>
      <c r="AZ39" s="598"/>
      <c r="BA39" s="264">
        <v>1</v>
      </c>
      <c r="BB39" s="264">
        <v>3</v>
      </c>
      <c r="BC39" s="270"/>
      <c r="BD39" s="257">
        <f>IF(ISNUMBER(BC39),BC39,AVERAGE(BA39:BB39))</f>
        <v>2</v>
      </c>
      <c r="BF39" s="138"/>
      <c r="BG39" s="598"/>
      <c r="BH39" s="645" t="str">
        <v>USDFF3L12Y=PYNY</v>
      </c>
      <c r="BI39" s="598"/>
      <c r="BJ39" s="598"/>
      <c r="BK39" s="598"/>
      <c r="BL39" s="261" t="s">
        <v>15</v>
      </c>
      <c r="BM39" s="264">
        <v>22.25</v>
      </c>
      <c r="BN39" s="264">
        <v>17.25</v>
      </c>
      <c r="BO39" s="270"/>
      <c r="BP39" s="267">
        <f t="shared" si="18"/>
        <v>19.75</v>
      </c>
    </row>
    <row r="40" spans="5:68">
      <c r="W40" s="261" t="s">
        <v>15</v>
      </c>
      <c r="Y40" s="623" t="str">
        <f>"USDSB3L"&amp;W40&amp;"=RR"</f>
        <v>USDSB3L12Y=RR</v>
      </c>
      <c r="AC40" s="268">
        <v>3.4759999999999995</v>
      </c>
      <c r="AD40" s="268">
        <v>3.4709999999999996</v>
      </c>
      <c r="AE40" s="137"/>
      <c r="AF40" s="258">
        <f t="shared" ref="AF40:AF43" si="25">IF(ISNUMBER(AE40),AE40,AVERAGE(AC40:AD40))</f>
        <v>3.4734999999999996</v>
      </c>
      <c r="AH40" s="138"/>
      <c r="AI40" s="261" t="s">
        <v>18</v>
      </c>
      <c r="AJ40" s="598"/>
      <c r="AK40" s="623" t="str">
        <v>USD3L6L25Y=PYNY</v>
      </c>
      <c r="AO40" s="264">
        <v>5</v>
      </c>
      <c r="AP40" s="264">
        <v>3</v>
      </c>
      <c r="AQ40" s="137"/>
      <c r="AR40" s="267">
        <f t="shared" si="24"/>
        <v>4</v>
      </c>
      <c r="AT40" s="138"/>
      <c r="AU40" s="261" t="s">
        <v>18</v>
      </c>
      <c r="AV40" s="598"/>
      <c r="AW40" s="645" t="str">
        <v>USD1L3L25Y=PYNY</v>
      </c>
      <c r="AX40" s="598"/>
      <c r="AY40" s="598"/>
      <c r="AZ40" s="598"/>
      <c r="BA40" s="264">
        <v>0.75</v>
      </c>
      <c r="BB40" s="264">
        <v>2.75</v>
      </c>
      <c r="BC40" s="270"/>
      <c r="BD40" s="257">
        <f>IF(ISNUMBER(BC40),BC40,AVERAGE(BA40:BB40))</f>
        <v>1.75</v>
      </c>
      <c r="BF40" s="138"/>
      <c r="BG40" s="598"/>
      <c r="BH40" s="645" t="str">
        <v>USDFF3L15Y=PYNY</v>
      </c>
      <c r="BI40" s="598"/>
      <c r="BJ40" s="598"/>
      <c r="BK40" s="598"/>
      <c r="BL40" s="261" t="s">
        <v>16</v>
      </c>
      <c r="BM40" s="264">
        <v>21</v>
      </c>
      <c r="BN40" s="264">
        <v>16</v>
      </c>
      <c r="BO40" s="270"/>
      <c r="BP40" s="267">
        <f t="shared" si="18"/>
        <v>18.5</v>
      </c>
    </row>
    <row r="41" spans="5:68">
      <c r="F41" s="215" t="s">
        <v>27</v>
      </c>
      <c r="G41" s="152" t="s">
        <v>190</v>
      </c>
      <c r="I41" s="152" t="s">
        <v>196</v>
      </c>
      <c r="K41" s="596" t="str">
        <f ca="1">_xll.RtUpdate("IDN",G41:G46,I41:I42,L41,,RTMODE_RATES)</f>
        <v>Updated at 17:03:10</v>
      </c>
      <c r="L41" s="586">
        <v>0.53639999999999999</v>
      </c>
      <c r="M41" s="278">
        <v>0.52839999999999998</v>
      </c>
      <c r="W41" s="261" t="s">
        <v>241</v>
      </c>
      <c r="Y41" s="623"/>
      <c r="AC41" s="268"/>
      <c r="AD41" s="268"/>
      <c r="AE41" s="137"/>
      <c r="AF41" s="258">
        <f>IF(ISNUMBER(AE41),AE41,(AF43-AF40)/3+AF40)</f>
        <v>3.551333333333333</v>
      </c>
      <c r="AH41" s="138"/>
      <c r="AI41" s="261" t="s">
        <v>19</v>
      </c>
      <c r="AJ41" s="598"/>
      <c r="AK41" s="623" t="str">
        <v>USD3L6L30Y=PYNY</v>
      </c>
      <c r="AO41" s="264">
        <v>4.875</v>
      </c>
      <c r="AP41" s="264">
        <v>2.8749999999999996</v>
      </c>
      <c r="AQ41" s="137"/>
      <c r="AR41" s="267">
        <f t="shared" si="24"/>
        <v>3.875</v>
      </c>
      <c r="AT41" s="138"/>
      <c r="AU41" s="261" t="s">
        <v>19</v>
      </c>
      <c r="AV41" s="598"/>
      <c r="AW41" s="645" t="str">
        <v>USD1L3L30Y=PYNY</v>
      </c>
      <c r="AX41" s="598"/>
      <c r="AZ41" s="598"/>
      <c r="BA41" s="264">
        <v>0.625</v>
      </c>
      <c r="BB41" s="264">
        <v>2.625</v>
      </c>
      <c r="BC41" s="270"/>
      <c r="BD41" s="257">
        <f>IF(ISNUMBER(BC41),BC41,AVERAGE(BA41:BB41))</f>
        <v>1.625</v>
      </c>
      <c r="BF41" s="138"/>
      <c r="BG41" s="598"/>
      <c r="BH41" s="645" t="str">
        <v>USDFF3L20Y=PYNY</v>
      </c>
      <c r="BI41" s="598"/>
      <c r="BJ41" s="598"/>
      <c r="BK41" s="598"/>
      <c r="BL41" s="261" t="s">
        <v>17</v>
      </c>
      <c r="BM41" s="264">
        <v>19.88</v>
      </c>
      <c r="BN41" s="264">
        <v>14.88</v>
      </c>
      <c r="BO41" s="270"/>
      <c r="BP41" s="267">
        <f t="shared" si="18"/>
        <v>17.38</v>
      </c>
    </row>
    <row r="42" spans="5:68">
      <c r="F42" s="215" t="s">
        <v>7</v>
      </c>
      <c r="G42" s="152" t="s">
        <v>191</v>
      </c>
      <c r="I42" s="152" t="s">
        <v>197</v>
      </c>
      <c r="L42" s="586">
        <v>0.94170000000000009</v>
      </c>
      <c r="M42" s="278">
        <v>0.93900000000000006</v>
      </c>
      <c r="W42" s="261" t="s">
        <v>242</v>
      </c>
      <c r="Y42" s="623"/>
      <c r="AC42" s="268"/>
      <c r="AD42" s="268"/>
      <c r="AE42" s="137"/>
      <c r="AF42" s="258">
        <f>IF(ISNUMBER(AE42),AE42,AVERAGE(AF41,AF43))</f>
        <v>3.6291666666666664</v>
      </c>
      <c r="AH42" s="138"/>
      <c r="AJ42" s="598"/>
      <c r="AT42" s="138"/>
      <c r="BF42" s="138"/>
      <c r="BG42" s="598"/>
      <c r="BH42" s="645" t="str">
        <v>USDFF3L25Y=PYNY</v>
      </c>
      <c r="BI42" s="598"/>
      <c r="BJ42" s="598"/>
      <c r="BK42" s="598"/>
      <c r="BL42" s="261" t="s">
        <v>18</v>
      </c>
      <c r="BM42" s="264">
        <v>18.88</v>
      </c>
      <c r="BN42" s="264">
        <v>13.88</v>
      </c>
      <c r="BO42" s="270"/>
      <c r="BP42" s="267">
        <f t="shared" si="18"/>
        <v>16.38</v>
      </c>
    </row>
    <row r="43" spans="5:68">
      <c r="F43" s="215" t="s">
        <v>9</v>
      </c>
      <c r="G43" s="152" t="s">
        <v>192</v>
      </c>
      <c r="L43" s="586">
        <v>1.821</v>
      </c>
      <c r="M43" s="278">
        <v>1.8193999999999999</v>
      </c>
      <c r="W43" s="261" t="s">
        <v>16</v>
      </c>
      <c r="Y43" s="623" t="str">
        <f>"USDSB3L"&amp;W43&amp;"=RR"</f>
        <v>USDSB3L15Y=RR</v>
      </c>
      <c r="AC43" s="268">
        <v>3.71</v>
      </c>
      <c r="AD43" s="268">
        <v>3.7040000000000002</v>
      </c>
      <c r="AE43" s="137"/>
      <c r="AF43" s="258">
        <f t="shared" si="25"/>
        <v>3.7069999999999999</v>
      </c>
      <c r="AH43" s="138"/>
      <c r="AJ43" s="598"/>
      <c r="AT43" s="138"/>
      <c r="AV43" s="598"/>
      <c r="AW43" s="598"/>
      <c r="AX43" s="598"/>
      <c r="AY43" s="598"/>
      <c r="AZ43" s="598"/>
      <c r="BF43" s="138"/>
      <c r="BG43" s="598"/>
      <c r="BH43" s="645" t="str">
        <v>USDFF3L30Y=PYNY</v>
      </c>
      <c r="BI43" s="598"/>
      <c r="BK43" s="598"/>
      <c r="BL43" s="261" t="s">
        <v>19</v>
      </c>
      <c r="BM43" s="264">
        <v>18.130000000000003</v>
      </c>
      <c r="BN43" s="264">
        <v>13.129999999999999</v>
      </c>
      <c r="BO43" s="270"/>
      <c r="BP43" s="267">
        <f t="shared" si="18"/>
        <v>15.63</v>
      </c>
    </row>
    <row r="44" spans="5:68">
      <c r="F44" s="215" t="s">
        <v>11</v>
      </c>
      <c r="G44" s="152" t="s">
        <v>193</v>
      </c>
      <c r="L44" s="586">
        <v>2.4992999999999999</v>
      </c>
      <c r="M44" s="278">
        <v>2.4943999999999997</v>
      </c>
      <c r="W44" s="261" t="s">
        <v>17</v>
      </c>
      <c r="Y44" s="623" t="str">
        <f>"USDSB3L"&amp;W44&amp;"=RR"</f>
        <v>USDSB3L20Y=RR</v>
      </c>
      <c r="AC44" s="268">
        <v>3.8929999999999998</v>
      </c>
      <c r="AD44" s="268">
        <v>3.8859999999999997</v>
      </c>
      <c r="AE44" s="137"/>
      <c r="AF44" s="258">
        <f t="shared" ref="AF44:AF49" si="26">IF(ISNUMBER(AE44),AE44,AVERAGE(AC44:AD44))</f>
        <v>3.8895</v>
      </c>
      <c r="AH44" s="138"/>
      <c r="AI44" s="194" t="s">
        <v>321</v>
      </c>
      <c r="AJ44" s="598"/>
      <c r="AM44" s="595" t="str">
        <f ca="1">_xll.RtUpdate("IDN",AK45:AK56,AM45:AM46,AO45,,RTMODE_RATES)</f>
        <v>Updated at 16:59:04</v>
      </c>
      <c r="AT44" s="138"/>
      <c r="BG44" s="598"/>
      <c r="BH44" s="598"/>
      <c r="BI44" s="598"/>
      <c r="BJ44" s="598"/>
      <c r="BK44" s="598"/>
    </row>
    <row r="45" spans="5:68">
      <c r="F45" s="215" t="s">
        <v>14</v>
      </c>
      <c r="G45" s="152" t="s">
        <v>194</v>
      </c>
      <c r="L45" s="586">
        <v>3.1598999999999999</v>
      </c>
      <c r="M45" s="278">
        <v>3.1579999999999999</v>
      </c>
      <c r="W45" s="261" t="s">
        <v>18</v>
      </c>
      <c r="Y45" s="623" t="str">
        <f>"USDSB3L"&amp;W45&amp;"=RR"</f>
        <v>USDSB3L25Y=RR</v>
      </c>
      <c r="AC45" s="268">
        <v>3.9779999999999998</v>
      </c>
      <c r="AD45" s="268">
        <v>3.9699999999999998</v>
      </c>
      <c r="AE45" s="137"/>
      <c r="AF45" s="258">
        <f t="shared" si="26"/>
        <v>3.9739999999999998</v>
      </c>
      <c r="AH45" s="138"/>
      <c r="AI45" s="261" t="s">
        <v>26</v>
      </c>
      <c r="AJ45" s="598"/>
      <c r="AK45" s="623" t="str">
        <f t="array" ref="AK45:AK56">"USD3L12L"&amp;AI45:AI56&amp;"=PYNY"</f>
        <v>USD3L12L1Y=PYNY</v>
      </c>
      <c r="AM45" s="623" t="s">
        <v>46</v>
      </c>
      <c r="AO45" s="264">
        <v>42.875</v>
      </c>
      <c r="AP45" s="264">
        <v>32.875</v>
      </c>
      <c r="AQ45" s="137"/>
      <c r="AR45" s="267">
        <f t="shared" ref="AR45:AR56" si="27">IF(ISNUMBER(AQ45),AQ45,AVERAGE(AO45:AP45))</f>
        <v>37.875</v>
      </c>
      <c r="AT45" s="138"/>
      <c r="BG45" s="598"/>
      <c r="BH45" s="598"/>
      <c r="BI45" s="598"/>
      <c r="BJ45" s="598"/>
      <c r="BK45" s="598"/>
    </row>
    <row r="46" spans="5:68">
      <c r="F46" s="215" t="s">
        <v>19</v>
      </c>
      <c r="G46" s="152" t="s">
        <v>195</v>
      </c>
      <c r="L46" s="586">
        <v>4.2828999999999997</v>
      </c>
      <c r="M46" s="278">
        <v>4.2801</v>
      </c>
      <c r="W46" s="261" t="s">
        <v>19</v>
      </c>
      <c r="Y46" s="623" t="str">
        <f>"USDSB3L"&amp;W46&amp;"=RR"</f>
        <v>USDSB3L30Y=RR</v>
      </c>
      <c r="AC46" s="268">
        <v>4.03</v>
      </c>
      <c r="AD46" s="268">
        <v>4.0199999999999996</v>
      </c>
      <c r="AE46" s="137"/>
      <c r="AF46" s="258">
        <f t="shared" si="26"/>
        <v>4.0250000000000004</v>
      </c>
      <c r="AH46" s="138"/>
      <c r="AI46" s="261" t="s">
        <v>27</v>
      </c>
      <c r="AJ46" s="598"/>
      <c r="AK46" s="623" t="str">
        <v>USD3L12L2Y=PYNY</v>
      </c>
      <c r="AM46" s="623" t="s">
        <v>45</v>
      </c>
      <c r="AO46" s="264">
        <v>39.875</v>
      </c>
      <c r="AP46" s="264">
        <v>29.875</v>
      </c>
      <c r="AQ46" s="137"/>
      <c r="AR46" s="267">
        <f t="shared" si="27"/>
        <v>34.875</v>
      </c>
      <c r="AT46" s="138"/>
      <c r="AU46" s="116" t="s">
        <v>609</v>
      </c>
      <c r="AV46" s="598"/>
      <c r="AW46" s="598"/>
      <c r="AX46" s="598"/>
      <c r="AY46" s="598"/>
      <c r="AZ46" s="598"/>
      <c r="BG46" s="598"/>
      <c r="BH46" s="598"/>
      <c r="BI46" s="598"/>
      <c r="BJ46" s="598"/>
      <c r="BK46" s="598"/>
    </row>
    <row r="47" spans="5:68">
      <c r="W47" s="261" t="s">
        <v>215</v>
      </c>
      <c r="Y47" s="623"/>
      <c r="AC47" s="268"/>
      <c r="AD47" s="268"/>
      <c r="AE47" s="137"/>
      <c r="AF47" s="258">
        <f>IF(ISNUMBER(AE47),AE47,AVERAGE(AF46,AF48))</f>
        <v>4.0292500000000002</v>
      </c>
      <c r="AH47" s="138"/>
      <c r="AI47" s="261" t="s">
        <v>7</v>
      </c>
      <c r="AJ47" s="598"/>
      <c r="AK47" s="623" t="str">
        <v>USD3L12L3Y=PYNY</v>
      </c>
      <c r="AO47" s="264">
        <v>37.125000000000007</v>
      </c>
      <c r="AP47" s="264">
        <v>27.125</v>
      </c>
      <c r="AQ47" s="137"/>
      <c r="AR47" s="267">
        <f t="shared" si="27"/>
        <v>32.125</v>
      </c>
      <c r="AT47" s="138"/>
      <c r="AU47" s="139" t="s">
        <v>323</v>
      </c>
      <c r="BG47" s="598"/>
      <c r="BH47" s="598"/>
      <c r="BI47" s="598"/>
      <c r="BJ47" s="598"/>
      <c r="BK47" s="598"/>
    </row>
    <row r="48" spans="5:68">
      <c r="W48" s="261" t="s">
        <v>28</v>
      </c>
      <c r="Y48" s="623" t="str">
        <f>"USDSB3L"&amp;W48&amp;"=RR"</f>
        <v>USDSB3L40Y=RR</v>
      </c>
      <c r="AC48" s="268">
        <v>4.0369999999999999</v>
      </c>
      <c r="AD48" s="268">
        <v>4.03</v>
      </c>
      <c r="AE48" s="137"/>
      <c r="AF48" s="258">
        <f t="shared" si="26"/>
        <v>4.0335000000000001</v>
      </c>
      <c r="AH48" s="138"/>
      <c r="AI48" s="261" t="s">
        <v>8</v>
      </c>
      <c r="AJ48" s="598"/>
      <c r="AK48" s="623" t="str">
        <v>USD3L12L4Y=PYNY</v>
      </c>
      <c r="AO48" s="264">
        <v>34.625000000000007</v>
      </c>
      <c r="AP48" s="264">
        <v>24.625</v>
      </c>
      <c r="AQ48" s="137"/>
      <c r="AR48" s="267">
        <f t="shared" si="27"/>
        <v>29.625000000000004</v>
      </c>
      <c r="AT48" s="138"/>
      <c r="AU48" s="299" t="s">
        <v>320</v>
      </c>
      <c r="BA48" s="299"/>
      <c r="BC48" s="121" t="str">
        <f>_xll.qIRcurveZeroBankReval(AU48,"USD",Today,AF5:AF9,AR15:AR26,AI15:AI26,AF32:AF49)</f>
        <v>USD.ZB.DISC|[Swap Pricer 1f.xlsm]US!$BC$48#13380</v>
      </c>
      <c r="BG48" s="598"/>
      <c r="BH48" s="598"/>
      <c r="BI48" s="598"/>
      <c r="BJ48" s="598"/>
      <c r="BK48" s="598"/>
    </row>
    <row r="49" spans="5:63">
      <c r="E49" s="585" t="s">
        <v>424</v>
      </c>
      <c r="I49" s="295">
        <v>1</v>
      </c>
      <c r="W49" s="261" t="s">
        <v>213</v>
      </c>
      <c r="Y49" s="596" t="str">
        <f ca="1">_xll.RtUpdate("IDN","BGCUSD","ROW80_20",AA49,,RTMODE_RATES)</f>
        <v>Updated at 17:03:10</v>
      </c>
      <c r="AA49" s="649" t="s">
        <v>772</v>
      </c>
      <c r="AC49" s="281">
        <f>MID(AA49,39,6)+0</f>
        <v>3.9660000000000002</v>
      </c>
      <c r="AD49" s="281">
        <f>MID(AA49,46,6)+0</f>
        <v>4.0060000000000002</v>
      </c>
      <c r="AE49" s="137"/>
      <c r="AF49" s="258">
        <f t="shared" si="26"/>
        <v>3.9860000000000002</v>
      </c>
      <c r="AH49" s="138"/>
      <c r="AI49" s="261" t="s">
        <v>9</v>
      </c>
      <c r="AJ49" s="598"/>
      <c r="AK49" s="623" t="str">
        <v>USD3L12L5Y=PYNY</v>
      </c>
      <c r="AO49" s="264">
        <v>32.375</v>
      </c>
      <c r="AP49" s="264">
        <v>22.375</v>
      </c>
      <c r="AQ49" s="137"/>
      <c r="AR49" s="267">
        <f t="shared" si="27"/>
        <v>27.375</v>
      </c>
      <c r="AT49" s="138"/>
      <c r="AU49" s="299" t="s">
        <v>315</v>
      </c>
      <c r="BA49" s="299"/>
      <c r="BC49" s="299" t="str">
        <f>_xll.qIRcurveSCBasisReval(AU49,"USD",USD.ZB.DISC,"1V3","SYNTHETIC",BV7:BV32)</f>
        <v>USD.ZB.ON|[Swap Pricer 1f.xlsm]US!$BC$49#13381</v>
      </c>
      <c r="BG49" s="598"/>
      <c r="BH49" s="598"/>
      <c r="BI49" s="598"/>
      <c r="BJ49" s="598"/>
      <c r="BK49" s="598"/>
    </row>
    <row r="50" spans="5:63">
      <c r="AH50" s="138"/>
      <c r="AI50" s="261" t="s">
        <v>11</v>
      </c>
      <c r="AJ50" s="598"/>
      <c r="AK50" s="623" t="str">
        <v>USD3L12L7Y=PYNY</v>
      </c>
      <c r="AO50" s="264">
        <v>27.875</v>
      </c>
      <c r="AP50" s="264">
        <v>17.875</v>
      </c>
      <c r="AQ50" s="137"/>
      <c r="AR50" s="267">
        <f t="shared" si="27"/>
        <v>22.875</v>
      </c>
      <c r="AT50" s="138"/>
      <c r="AU50" s="299" t="s">
        <v>316</v>
      </c>
      <c r="BA50" s="299"/>
      <c r="BC50" s="299" t="str">
        <f>_xll.qIRcurveSCBasisReval(AU50,"USD",USD.ZB.DISC,"1V3","SYNTHETIC",BV7:BV32)</f>
        <v>USD.ZB.1M|[Swap Pricer 1f.xlsm]US!$BC$50#13382</v>
      </c>
    </row>
    <row r="51" spans="5:63">
      <c r="AH51" s="138"/>
      <c r="AI51" s="261" t="s">
        <v>14</v>
      </c>
      <c r="AK51" s="623" t="str">
        <v>USD3L12L10Y=PYNY</v>
      </c>
      <c r="AO51" s="264">
        <v>24</v>
      </c>
      <c r="AP51" s="264">
        <v>14</v>
      </c>
      <c r="AQ51" s="137"/>
      <c r="AR51" s="267">
        <f t="shared" si="27"/>
        <v>19</v>
      </c>
      <c r="AT51" s="138"/>
      <c r="AU51" s="299" t="s">
        <v>317</v>
      </c>
      <c r="BA51" s="299"/>
      <c r="BC51" s="299" t="str">
        <f>USD.ZB.DISC</f>
        <v>USD.ZB.DISC|[Swap Pricer 1f.xlsm]US!$BC$48#13380</v>
      </c>
    </row>
    <row r="52" spans="5:63">
      <c r="AH52" s="138"/>
      <c r="AI52" s="261" t="s">
        <v>15</v>
      </c>
      <c r="AK52" s="623" t="str">
        <v>USD3L12L12Y=PYNY</v>
      </c>
      <c r="AO52" s="264">
        <v>22.25</v>
      </c>
      <c r="AP52" s="264">
        <v>12.25</v>
      </c>
      <c r="AQ52" s="137"/>
      <c r="AR52" s="267">
        <f t="shared" si="27"/>
        <v>17.25</v>
      </c>
      <c r="AT52" s="138"/>
      <c r="AU52" s="299" t="s">
        <v>318</v>
      </c>
      <c r="BA52" s="299"/>
      <c r="BC52" s="299" t="str">
        <f>_xll.qIRcurveSCBasisReval(AU52,"USD",USD.ZB.DISC,"3V6","SYNTHETIC",BW7:BW32)</f>
        <v>USD.ZB.6M|[Swap Pricer 1f.xlsm]US!$BC$52#13383</v>
      </c>
    </row>
    <row r="53" spans="5:63">
      <c r="AH53" s="138"/>
      <c r="AI53" s="261" t="s">
        <v>16</v>
      </c>
      <c r="AK53" s="623" t="str">
        <v>USD3L12L15Y=PYNY</v>
      </c>
      <c r="AO53" s="264">
        <v>20.25</v>
      </c>
      <c r="AP53" s="264">
        <v>10.25</v>
      </c>
      <c r="AQ53" s="137"/>
      <c r="AR53" s="267">
        <f t="shared" si="27"/>
        <v>15.25</v>
      </c>
      <c r="AT53" s="138"/>
      <c r="AU53" s="299" t="s">
        <v>319</v>
      </c>
      <c r="BA53" s="299"/>
      <c r="BC53" s="299" t="str">
        <f>_xll.qIRcurveSCBasisReval(AU53,"USD",USD.ZB.DISC,"3V12","SYNTHETIC",BX7:BX32)</f>
        <v>USD.ZB.1Y|[Swap Pricer 1f.xlsm]US!$BC$53#13384</v>
      </c>
    </row>
    <row r="54" spans="5:63">
      <c r="AH54" s="138"/>
      <c r="AI54" s="261" t="s">
        <v>17</v>
      </c>
      <c r="AK54" s="623" t="str">
        <v>USD3L12L20Y=PYNY</v>
      </c>
      <c r="AO54" s="264">
        <v>18</v>
      </c>
      <c r="AP54" s="264">
        <v>8</v>
      </c>
      <c r="AQ54" s="137"/>
      <c r="AR54" s="267">
        <f t="shared" si="27"/>
        <v>13</v>
      </c>
      <c r="AT54" s="138"/>
    </row>
    <row r="55" spans="5:63">
      <c r="AH55" s="138"/>
      <c r="AI55" s="261" t="s">
        <v>18</v>
      </c>
      <c r="AK55" s="623" t="str">
        <v>USD3L12L25Y=PYNY</v>
      </c>
      <c r="AO55" s="264">
        <v>16.5</v>
      </c>
      <c r="AP55" s="264">
        <v>6.5</v>
      </c>
      <c r="AQ55" s="137"/>
      <c r="AR55" s="267">
        <f t="shared" si="27"/>
        <v>11.5</v>
      </c>
      <c r="AT55" s="138"/>
    </row>
    <row r="56" spans="5:63">
      <c r="AH56" s="138"/>
      <c r="AI56" s="261" t="s">
        <v>19</v>
      </c>
      <c r="AK56" s="623" t="str">
        <v>USD3L12L30Y=PYNY</v>
      </c>
      <c r="AO56" s="264">
        <v>15.375000000000002</v>
      </c>
      <c r="AP56" s="264">
        <v>5.375</v>
      </c>
      <c r="AQ56" s="137"/>
      <c r="AR56" s="267">
        <f t="shared" si="27"/>
        <v>10.375</v>
      </c>
      <c r="AT56" s="138"/>
    </row>
  </sheetData>
  <sheetProtection sheet="1" scenarios="1" autoFilter="0" pivotTables="0"/>
  <mergeCells count="1">
    <mergeCell ref="BC4:BD4"/>
  </mergeCells>
  <conditionalFormatting sqref="BC29:BC41 BO29:BO43 BO19:BO26 BC19:BC26 BC10:BC15 BO10:BO15 CS9:CS18 AQ45:AQ56 AQ29:AQ41 AE5:AE12 AE15:AE26 AE29:AE49">
    <cfRule type="cellIs" dxfId="31" priority="2" operator="notEqual">
      <formula>""</formula>
    </cfRule>
  </conditionalFormatting>
  <conditionalFormatting sqref="BC6 CS4">
    <cfRule type="expression" dxfId="30" priority="1">
      <formula>PPP_Global&lt;&gt;"LOCAL"</formula>
    </cfRule>
  </conditionalFormatting>
  <dataValidations count="1">
    <dataValidation type="list" allowBlank="1" showInputMessage="1" showErrorMessage="1" promptTitle="Reuters Update Frequency" prompt="Throttles the frequency of Reuters updates.  To SNAP more than once, switch to STOP and then back to SNAP again" sqref="CS4 BC6">
      <formula1>"5s,15s,30s,1m,30m,1h,STOP,SNAP"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EU">
    <outlinePr showOutlineSymbols="0"/>
  </sheetPr>
  <dimension ref="A1:DY65"/>
  <sheetViews>
    <sheetView showGridLines="0" showRowColHeaders="0" showZeros="0" showOutlineSymbols="0" zoomScaleNormal="100" workbookViewId="0">
      <pane xSplit="3" topLeftCell="V1" activePane="topRight" state="frozen"/>
      <selection pane="topRight" activeCell="V1" sqref="V1"/>
    </sheetView>
  </sheetViews>
  <sheetFormatPr defaultRowHeight="12.75" outlineLevelCol="2"/>
  <cols>
    <col min="1" max="1" width="1.7109375" style="214" customWidth="1"/>
    <col min="2" max="2" width="7.7109375" style="214" customWidth="1"/>
    <col min="3" max="3" width="1.7109375" style="214" customWidth="1"/>
    <col min="4" max="4" width="2.7109375" style="215" hidden="1" customWidth="1" outlineLevel="2"/>
    <col min="5" max="5" width="10" style="215" hidden="1" customWidth="1" outlineLevel="2"/>
    <col min="6" max="6" width="3.5703125" style="215" hidden="1" customWidth="1" outlineLevel="2"/>
    <col min="7" max="7" width="9.5703125" style="151" hidden="1" customWidth="1" outlineLevel="2"/>
    <col min="8" max="8" width="1.7109375" style="151" hidden="1" customWidth="1" outlineLevel="2"/>
    <col min="9" max="9" width="10.5703125" style="215" hidden="1" customWidth="1" outlineLevel="2"/>
    <col min="10" max="10" width="1.7109375" style="151" hidden="1" customWidth="1" outlineLevel="2"/>
    <col min="11" max="11" width="16.42578125" style="596" hidden="1" customWidth="1" outlineLevel="2"/>
    <col min="12" max="12" width="6.7109375" style="275" hidden="1" customWidth="1" outlineLevel="2"/>
    <col min="13" max="15" width="6.7109375" style="271" hidden="1" customWidth="1" outlineLevel="2"/>
    <col min="16" max="16" width="1.7109375" style="151" hidden="1" customWidth="1" outlineLevel="2"/>
    <col min="17" max="17" width="6.7109375" style="275" hidden="1" customWidth="1" outlineLevel="2"/>
    <col min="18" max="20" width="6.7109375" style="151" hidden="1" customWidth="1" outlineLevel="2"/>
    <col min="21" max="21" width="2.7109375" style="215" hidden="1" customWidth="1" outlineLevel="2"/>
    <col min="22" max="22" width="3.7109375" customWidth="1" collapsed="1"/>
    <col min="23" max="23" width="3.7109375" customWidth="1"/>
    <col min="24" max="24" width="1.7109375" style="596" hidden="1" customWidth="1" outlineLevel="2"/>
    <col min="25" max="25" width="10.5703125" style="596" hidden="1" customWidth="1" outlineLevel="1" collapsed="1"/>
    <col min="26" max="26" width="1.7109375" style="596" hidden="1" customWidth="1" outlineLevel="2"/>
    <col min="27" max="27" width="9.28515625" style="596" hidden="1" customWidth="1" outlineLevel="2"/>
    <col min="28" max="28" width="1.7109375" style="596" hidden="1" customWidth="1" outlineLevel="2"/>
    <col min="29" max="29" width="6.7109375" style="129" customWidth="1" collapsed="1"/>
    <col min="30" max="30" width="6.7109375" style="129" customWidth="1"/>
    <col min="31" max="31" width="6.7109375" style="128" customWidth="1"/>
    <col min="32" max="32" width="6.7109375" style="258" customWidth="1"/>
    <col min="33" max="34" width="2.7109375" customWidth="1"/>
    <col min="35" max="35" width="3.7109375" customWidth="1"/>
    <col min="36" max="36" width="1.7109375" style="596" hidden="1" customWidth="1" outlineLevel="2"/>
    <col min="37" max="37" width="13.85546875" style="596" hidden="1" customWidth="1" outlineLevel="1" collapsed="1"/>
    <col min="38" max="38" width="1.7109375" style="596" hidden="1" customWidth="1" outlineLevel="2"/>
    <col min="39" max="39" width="9.85546875" style="596" hidden="1" customWidth="1" outlineLevel="2"/>
    <col min="40" max="40" width="1.7109375" style="596" hidden="1" customWidth="1" outlineLevel="2"/>
    <col min="41" max="41" width="6.7109375" style="195" customWidth="1" collapsed="1"/>
    <col min="42" max="42" width="6.7109375" style="195" customWidth="1"/>
    <col min="43" max="43" width="6.7109375" customWidth="1"/>
    <col min="44" max="44" width="6.7109375" style="267" customWidth="1"/>
    <col min="45" max="46" width="2.7109375" customWidth="1"/>
    <col min="47" max="47" width="3.7109375" customWidth="1"/>
    <col min="48" max="48" width="1.7109375" style="596" hidden="1" customWidth="1" outlineLevel="2"/>
    <col min="49" max="49" width="12.85546875" style="596" hidden="1" customWidth="1" outlineLevel="1" collapsed="1"/>
    <col min="50" max="50" width="1.7109375" style="596" hidden="1" customWidth="1" outlineLevel="2"/>
    <col min="51" max="51" width="8" style="596" hidden="1" customWidth="1" outlineLevel="2"/>
    <col min="52" max="52" width="1.7109375" style="596" hidden="1" customWidth="1" outlineLevel="2"/>
    <col min="53" max="53" width="6.7109375" style="195" customWidth="1" collapsed="1"/>
    <col min="54" max="55" width="6.7109375" style="195" customWidth="1"/>
    <col min="56" max="56" width="6.7109375" style="257" customWidth="1"/>
    <col min="57" max="58" width="2.7109375" customWidth="1"/>
    <col min="59" max="59" width="3.7109375" customWidth="1"/>
    <col min="60" max="60" width="1.7109375" style="596" hidden="1" customWidth="1" outlineLevel="2"/>
    <col min="61" max="61" width="15" style="596" hidden="1" customWidth="1" outlineLevel="1" collapsed="1"/>
    <col min="62" max="62" width="1.7109375" style="596" hidden="1" customWidth="1" outlineLevel="2"/>
    <col min="63" max="63" width="5.7109375" style="596" hidden="1" customWidth="1" outlineLevel="2"/>
    <col min="64" max="64" width="1.7109375" style="596" hidden="1" customWidth="1" outlineLevel="2"/>
    <col min="65" max="65" width="6.7109375" style="195" customWidth="1" collapsed="1"/>
    <col min="66" max="66" width="6.7109375" style="195" customWidth="1"/>
    <col min="67" max="67" width="6.7109375" style="257" customWidth="1"/>
    <col min="68" max="68" width="6.7109375" style="267" customWidth="1"/>
    <col min="69" max="69" width="2.7109375" customWidth="1"/>
    <col min="70" max="70" width="5.7109375" customWidth="1"/>
    <col min="71" max="71" width="26.5703125" customWidth="1"/>
    <col min="72" max="72" width="7.7109375" style="301" customWidth="1"/>
    <col min="73" max="76" width="7.7109375" style="195" customWidth="1"/>
    <col min="77" max="77" width="5.140625" customWidth="1"/>
    <col min="78" max="78" width="12.5703125" bestFit="1" customWidth="1"/>
    <col min="79" max="79" width="16.7109375" bestFit="1" customWidth="1"/>
    <col min="80" max="80" width="7.42578125" bestFit="1" customWidth="1"/>
    <col min="81" max="81" width="10.7109375" bestFit="1" customWidth="1"/>
    <col min="82" max="82" width="10.42578125" bestFit="1" customWidth="1"/>
    <col min="83" max="86" width="6.28515625" bestFit="1" customWidth="1"/>
    <col min="87" max="88" width="3.7109375" customWidth="1"/>
    <col min="89" max="89" width="3.5703125" style="485" hidden="1" customWidth="1" outlineLevel="2"/>
    <col min="90" max="90" width="14.85546875" style="215" hidden="1" customWidth="1" outlineLevel="2"/>
    <col min="91" max="91" width="1.7109375" style="215" hidden="1" customWidth="1" outlineLevel="2"/>
    <col min="92" max="92" width="14.85546875" style="215" hidden="1" customWidth="1" outlineLevel="2"/>
    <col min="93" max="93" width="1.7109375" style="215" hidden="1" customWidth="1" outlineLevel="2"/>
    <col min="94" max="94" width="9.85546875" style="215" hidden="1" customWidth="1" outlineLevel="2"/>
    <col min="95" max="95" width="1.7109375" style="215" hidden="1" customWidth="1" outlineLevel="2"/>
    <col min="96" max="96" width="7.140625" style="195" customWidth="1" collapsed="1"/>
    <col min="97" max="98" width="7.140625" style="195" customWidth="1"/>
    <col min="99" max="99" width="7.140625" style="267" customWidth="1"/>
    <col min="119" max="119" width="3.7109375" customWidth="1"/>
  </cols>
  <sheetData>
    <row r="1" spans="5:129" ht="0.95" customHeight="1"/>
    <row r="2" spans="5:129" ht="24.95" customHeight="1">
      <c r="E2" s="201" t="s">
        <v>109</v>
      </c>
      <c r="F2" s="201"/>
      <c r="G2" s="207"/>
      <c r="H2" s="207"/>
      <c r="I2" s="201"/>
      <c r="J2" s="207"/>
      <c r="K2" s="597"/>
      <c r="L2" s="255"/>
      <c r="M2" s="276"/>
      <c r="N2" s="276"/>
      <c r="O2" s="276"/>
      <c r="P2" s="207"/>
      <c r="Q2" s="255"/>
      <c r="R2" s="207"/>
      <c r="S2" s="207"/>
      <c r="T2" s="207"/>
      <c r="W2" s="46" t="s">
        <v>565</v>
      </c>
      <c r="Y2" s="597" t="s">
        <v>290</v>
      </c>
      <c r="Z2" s="597"/>
      <c r="AA2" s="597"/>
      <c r="AC2" s="48"/>
      <c r="AD2" s="48"/>
      <c r="AE2" s="47"/>
      <c r="AF2" s="254"/>
      <c r="AG2" s="46"/>
      <c r="AH2" s="46"/>
      <c r="AI2" s="46"/>
      <c r="AJ2" s="597"/>
      <c r="AK2" s="597"/>
      <c r="AL2" s="597"/>
      <c r="AM2" s="597"/>
      <c r="AN2" s="597"/>
      <c r="AO2" s="50"/>
      <c r="AP2" s="50"/>
      <c r="AQ2" s="46"/>
      <c r="AR2" s="51"/>
      <c r="AS2" s="46"/>
      <c r="AT2" s="46"/>
      <c r="AU2" s="46"/>
      <c r="AV2" s="597"/>
      <c r="AW2" s="597"/>
      <c r="AX2" s="597"/>
      <c r="AY2" s="597"/>
      <c r="AZ2" s="597"/>
      <c r="BA2" s="50"/>
      <c r="BB2" s="50"/>
      <c r="BC2" s="50"/>
      <c r="BD2" s="259"/>
      <c r="BE2" s="46"/>
      <c r="BF2" s="46"/>
      <c r="BG2" s="46"/>
      <c r="BH2" s="597"/>
      <c r="BI2" s="597"/>
      <c r="BJ2" s="597"/>
      <c r="BK2" s="597"/>
      <c r="BL2" s="597"/>
      <c r="BM2" s="50"/>
      <c r="BN2" s="50"/>
      <c r="BO2" s="259"/>
      <c r="BP2" s="51"/>
      <c r="BQ2" s="46"/>
      <c r="CJ2" s="46" t="s">
        <v>566</v>
      </c>
      <c r="CR2" s="50"/>
      <c r="CS2" s="50"/>
      <c r="CT2" s="50"/>
      <c r="CU2" s="51"/>
      <c r="CV2" s="46"/>
      <c r="CW2" s="46"/>
      <c r="CX2" s="46"/>
      <c r="CY2" s="46"/>
      <c r="CZ2" s="46"/>
      <c r="DA2" s="46"/>
      <c r="DB2" s="46"/>
      <c r="DC2" s="46"/>
      <c r="DD2" s="46"/>
      <c r="DP2" s="46" t="s">
        <v>567</v>
      </c>
      <c r="DQ2" s="46"/>
      <c r="DR2" s="46"/>
      <c r="DS2" s="46"/>
      <c r="DT2" s="46"/>
      <c r="DU2" s="46"/>
      <c r="DV2" s="46"/>
      <c r="DW2" s="46"/>
      <c r="DX2" s="46"/>
      <c r="DY2" s="46"/>
    </row>
    <row r="3" spans="5:129">
      <c r="AH3" s="260"/>
      <c r="AJ3" s="598"/>
      <c r="AT3" s="159"/>
      <c r="AU3" s="153"/>
      <c r="AV3" s="598"/>
      <c r="AW3" s="598"/>
      <c r="AX3" s="598"/>
      <c r="AY3" s="598"/>
      <c r="AZ3" s="598"/>
      <c r="BA3" s="284"/>
      <c r="BB3" s="284"/>
      <c r="BC3" s="284"/>
      <c r="BD3" s="285"/>
      <c r="BE3" s="153"/>
      <c r="BF3" s="159"/>
      <c r="BG3" s="153"/>
      <c r="BH3" s="598"/>
      <c r="BI3" s="598"/>
      <c r="BJ3" s="598"/>
      <c r="BK3" s="598"/>
      <c r="BL3" s="598"/>
      <c r="BM3" s="284"/>
      <c r="BN3" s="284"/>
      <c r="BO3" s="285"/>
      <c r="BP3" s="286"/>
      <c r="BQ3" s="318"/>
      <c r="CN3" s="588" t="s">
        <v>610</v>
      </c>
    </row>
    <row r="4" spans="5:129">
      <c r="E4" s="585" t="s">
        <v>634</v>
      </c>
      <c r="W4" s="194"/>
      <c r="AH4" s="138"/>
      <c r="AJ4" s="598"/>
      <c r="AT4" s="156"/>
      <c r="AU4" s="287" t="s">
        <v>33</v>
      </c>
      <c r="AV4" s="598"/>
      <c r="AW4" s="598"/>
      <c r="AX4" s="598"/>
      <c r="AY4" s="598"/>
      <c r="AZ4" s="598"/>
      <c r="BA4" s="284"/>
      <c r="BB4" s="284"/>
      <c r="BC4" s="826">
        <f>Today</f>
        <v>40680</v>
      </c>
      <c r="BD4" s="826"/>
      <c r="BE4" s="153"/>
      <c r="BF4" s="156"/>
      <c r="BG4" s="287"/>
      <c r="BH4" s="598"/>
      <c r="BI4" s="598"/>
      <c r="BJ4" s="598"/>
      <c r="BK4" s="598"/>
      <c r="BL4" s="598"/>
      <c r="BM4" s="284"/>
      <c r="BN4" s="284"/>
      <c r="BO4" s="285"/>
      <c r="BP4" s="286"/>
      <c r="BQ4" s="319"/>
      <c r="CJ4" t="s">
        <v>310</v>
      </c>
      <c r="CN4" s="152" t="str">
        <f>PPP_string(PPP_Global,CT4)</f>
        <v>FRQ:30m</v>
      </c>
      <c r="CT4" s="263" t="s">
        <v>408</v>
      </c>
      <c r="DP4" s="139" t="s">
        <v>568</v>
      </c>
    </row>
    <row r="5" spans="5:129">
      <c r="E5" s="585"/>
      <c r="W5" s="194" t="s">
        <v>138</v>
      </c>
      <c r="AA5" s="595" t="str">
        <f ca="1">_xll.RtUpdate("IDN",Y6:Y12,AA6,AC6,,RTMODE_RATES)</f>
        <v>Updated at 16:52:06</v>
      </c>
      <c r="AH5" s="138"/>
      <c r="AJ5" s="598"/>
      <c r="AT5" s="156"/>
      <c r="AU5" s="153"/>
      <c r="AV5" s="598"/>
      <c r="AW5" s="598"/>
      <c r="AX5" s="598"/>
      <c r="AY5" s="204" t="s">
        <v>309</v>
      </c>
      <c r="AZ5" s="598"/>
      <c r="BA5" s="284"/>
      <c r="BB5" s="284"/>
      <c r="BC5" s="284"/>
      <c r="BD5" s="285"/>
      <c r="BE5" s="153"/>
      <c r="BF5" s="156"/>
      <c r="BG5" s="287" t="s">
        <v>717</v>
      </c>
      <c r="BH5" s="598"/>
      <c r="BI5" s="598"/>
      <c r="BJ5" s="598"/>
      <c r="BK5" s="598"/>
      <c r="BL5" s="598"/>
      <c r="BM5" s="284"/>
      <c r="BN5" s="288" t="s">
        <v>596</v>
      </c>
      <c r="BO5" s="270" t="s">
        <v>181</v>
      </c>
      <c r="BP5" s="286"/>
      <c r="BQ5" s="319"/>
      <c r="BT5" s="302" t="s">
        <v>324</v>
      </c>
      <c r="BV5" s="300"/>
    </row>
    <row r="6" spans="5:129">
      <c r="E6" s="215" t="s">
        <v>590</v>
      </c>
      <c r="G6" s="584" t="str">
        <f>"FEI"&amp;$BO$5</f>
        <v>FEIcm1</v>
      </c>
      <c r="I6" s="215" t="s">
        <v>602</v>
      </c>
      <c r="K6" s="596" t="str">
        <f ca="1">_xll.RtUpdate("IDN",G6:G7,"EXPIRE DATE",L6,,RTMODE_RATES)</f>
        <v>Updated at 16:52:06</v>
      </c>
      <c r="L6" s="586" t="s">
        <v>577</v>
      </c>
      <c r="M6" s="271" t="s">
        <v>81</v>
      </c>
      <c r="N6" s="271" t="s">
        <v>601</v>
      </c>
      <c r="Q6" s="587" t="str">
        <f>IF(ISNUMBER(L6),"LIVE","DELAYED")</f>
        <v>DELAYED</v>
      </c>
      <c r="W6" s="261" t="s">
        <v>6</v>
      </c>
      <c r="Y6" s="623" t="s">
        <v>569</v>
      </c>
      <c r="AA6" s="623" t="s">
        <v>223</v>
      </c>
      <c r="AC6" s="268">
        <v>1.0987500000000001</v>
      </c>
      <c r="AE6" s="137"/>
      <c r="AF6" s="258">
        <f t="shared" ref="AF6:AF12" si="0">IF(ISNUMBER(AE6),AE6,AVERAGE(AC6:AD6))</f>
        <v>1.0987500000000001</v>
      </c>
      <c r="AH6" s="138"/>
      <c r="AI6" s="194" t="s">
        <v>579</v>
      </c>
      <c r="AJ6" s="598"/>
      <c r="AM6" s="595" t="str">
        <f ca="1">_xll.RtUpdate("IDN",AK7:AK12,AM7,AO7,,RTMODE_RATES)</f>
        <v>Updated at 16:52:06</v>
      </c>
      <c r="AQ6" s="194" t="s">
        <v>189</v>
      </c>
      <c r="AT6" s="156"/>
      <c r="AU6" s="287" t="s">
        <v>121</v>
      </c>
      <c r="AV6" s="598"/>
      <c r="AW6" s="598"/>
      <c r="AX6" s="598"/>
      <c r="AY6" s="623" t="str">
        <f>PPP_string(PPP_Global,BC6)</f>
        <v>FRQ:1m</v>
      </c>
      <c r="AZ6" s="598"/>
      <c r="BA6" s="284"/>
      <c r="BB6" s="284"/>
      <c r="BC6" s="270" t="s">
        <v>302</v>
      </c>
      <c r="BD6" s="285"/>
      <c r="BE6" s="153"/>
      <c r="BF6" s="156"/>
      <c r="BG6" s="287"/>
      <c r="BH6" s="598"/>
      <c r="BI6" s="598"/>
      <c r="BJ6" s="598"/>
      <c r="BK6" s="598"/>
      <c r="BL6" s="598"/>
      <c r="BM6" s="284"/>
      <c r="BN6" s="288"/>
      <c r="BO6" s="288"/>
      <c r="BP6" s="286"/>
      <c r="BQ6" s="319"/>
      <c r="BT6" s="301" t="s">
        <v>110</v>
      </c>
      <c r="BU6" s="195" t="s">
        <v>322</v>
      </c>
      <c r="BV6" s="195" t="s">
        <v>36</v>
      </c>
      <c r="BW6" s="195" t="s">
        <v>35</v>
      </c>
      <c r="BX6" s="195" t="s">
        <v>321</v>
      </c>
    </row>
    <row r="7" spans="5:129">
      <c r="G7" s="584" t="str">
        <f>"/FEI"&amp;$BO$5</f>
        <v>/FEIcm1</v>
      </c>
      <c r="I7" s="215" t="s">
        <v>603</v>
      </c>
      <c r="L7" s="586">
        <v>40707</v>
      </c>
      <c r="O7" s="271" t="s">
        <v>81</v>
      </c>
      <c r="P7" s="151" t="s">
        <v>81</v>
      </c>
      <c r="W7" s="261" t="s">
        <v>0</v>
      </c>
      <c r="Y7" s="623" t="str">
        <f t="array" ref="Y7:Y12">"EURIBOR"&amp;W7:W12&amp;"D="</f>
        <v>EURIBOR1MD=</v>
      </c>
      <c r="AC7" s="268">
        <v>1.242</v>
      </c>
      <c r="AE7" s="137"/>
      <c r="AF7" s="258">
        <f t="shared" si="0"/>
        <v>1.242</v>
      </c>
      <c r="AH7" s="138"/>
      <c r="AI7" s="261" t="s">
        <v>0</v>
      </c>
      <c r="AJ7" s="598"/>
      <c r="AK7" s="623" t="str">
        <f t="array" ref="AK7:AK12">"EURIBOR"&amp;AI7:AI12&amp;"="</f>
        <v>EURIBOR1M=</v>
      </c>
      <c r="AM7" s="623" t="s">
        <v>223</v>
      </c>
      <c r="AO7" s="264">
        <v>1.242</v>
      </c>
      <c r="AQ7" s="261" t="s">
        <v>27</v>
      </c>
      <c r="AR7" s="296">
        <f t="shared" ref="AR7:AR12" si="1">AVERAGE(L30:M30)</f>
        <v>1.8090000000000002</v>
      </c>
      <c r="AT7" s="160"/>
      <c r="AU7" s="161"/>
      <c r="AV7" s="647"/>
      <c r="AW7" s="647"/>
      <c r="AX7" s="647"/>
      <c r="AY7" s="647"/>
      <c r="AZ7" s="647"/>
      <c r="BA7" s="290"/>
      <c r="BB7" s="290"/>
      <c r="BC7" s="290"/>
      <c r="BD7" s="291"/>
      <c r="BE7" s="161"/>
      <c r="BF7" s="160"/>
      <c r="BG7" s="161"/>
      <c r="BH7" s="647"/>
      <c r="BI7" s="647"/>
      <c r="BJ7" s="647"/>
      <c r="BK7" s="647"/>
      <c r="BL7" s="647"/>
      <c r="BM7" s="290"/>
      <c r="BN7" s="290"/>
      <c r="BO7" s="291"/>
      <c r="BP7" s="292"/>
      <c r="BQ7" s="293"/>
      <c r="BT7" s="301" t="s">
        <v>115</v>
      </c>
      <c r="BU7" s="195">
        <f t="array" ref="BU7:BU30">_xll.qIRsynthSCBasisReval(EUR.ZB.DISC,"1V3",_xll.qVectorMake(BP10:BP12,BP15,BP29:BP44))</f>
        <v>23.100000013763292</v>
      </c>
      <c r="BV7" s="195">
        <f t="array" ref="BV7:BV30">_xll.qIRsynthSCBasisReval(EUR.ZB.DISC,"1V3",_xll.qVectorMake(AF7,BD19:BD20,BD23,BD29:BD44))</f>
        <v>1.3763296058399987E-8</v>
      </c>
      <c r="BW7" s="195">
        <f t="array" ref="BW7:BW30">_xll.qIRsynthSCBasisReval(EUR.ZB.DISC,"3V6",_xll.qVectorMake(AF12,AR29:AR45))</f>
        <v>13.961269752712987</v>
      </c>
      <c r="BX7" s="195">
        <f t="array" ref="BX7:BX30">_xll.qIRsynthSCBasisReval(EUR.ZB.DISC,"3V12",AR50:AR65)</f>
        <v>33.5</v>
      </c>
      <c r="CJ7" s="194" t="s">
        <v>221</v>
      </c>
    </row>
    <row r="8" spans="5:129">
      <c r="O8" s="271" t="s">
        <v>81</v>
      </c>
      <c r="W8" s="261" t="s">
        <v>1</v>
      </c>
      <c r="Y8" s="623" t="str">
        <v>EURIBOR2MD=</v>
      </c>
      <c r="AC8" s="268">
        <v>1.29</v>
      </c>
      <c r="AE8" s="137"/>
      <c r="AF8" s="258">
        <f t="shared" si="0"/>
        <v>1.29</v>
      </c>
      <c r="AH8" s="138"/>
      <c r="AI8" s="261" t="s">
        <v>1</v>
      </c>
      <c r="AJ8" s="598"/>
      <c r="AK8" s="623" t="str">
        <v>EURIBOR2M=</v>
      </c>
      <c r="AO8" s="264">
        <v>1.29</v>
      </c>
      <c r="AQ8" s="261" t="s">
        <v>7</v>
      </c>
      <c r="AR8" s="296">
        <f t="shared" si="1"/>
        <v>1.9604999999999999</v>
      </c>
      <c r="AT8" s="138"/>
      <c r="AV8" s="598"/>
      <c r="AW8" s="598"/>
      <c r="AX8" s="598"/>
      <c r="AY8" s="598"/>
      <c r="AZ8" s="598"/>
      <c r="BF8" s="138"/>
      <c r="BH8" s="598"/>
      <c r="BI8" s="598"/>
      <c r="BJ8" s="598"/>
      <c r="BK8" s="598"/>
      <c r="BL8" s="598"/>
      <c r="BT8" s="301" t="s">
        <v>0</v>
      </c>
      <c r="BU8" s="195">
        <v>23.100000013763292</v>
      </c>
      <c r="BV8" s="195">
        <v>1.3763296058399987E-8</v>
      </c>
      <c r="BW8" s="195">
        <v>13.961269752712987</v>
      </c>
      <c r="BX8" s="195">
        <v>33.5</v>
      </c>
      <c r="CL8" s="215" t="str">
        <f ca="1">_xll.RtUpdate("IDN",CL9:CL18,CP9,CR9,,RTMODE_VOLS)</f>
        <v>Updated at 16:52:06</v>
      </c>
      <c r="CM8" s="215" t="s">
        <v>81</v>
      </c>
      <c r="CN8" s="215" t="str">
        <f ca="1">_xll.RtUpdate("IDN",CN9:CN18,CP9,CS9,,RTMODE_VOLS)</f>
        <v>Updated at 16:52:06</v>
      </c>
      <c r="CR8" s="195" t="s">
        <v>222</v>
      </c>
      <c r="CS8" s="195" t="s">
        <v>220</v>
      </c>
      <c r="CT8" s="195" t="s">
        <v>224</v>
      </c>
      <c r="CU8" s="267" t="s">
        <v>20</v>
      </c>
    </row>
    <row r="9" spans="5:129">
      <c r="M9" s="580"/>
      <c r="N9" s="580"/>
      <c r="W9" s="261" t="s">
        <v>2</v>
      </c>
      <c r="Y9" s="623" t="str">
        <v>EURIBOR3MD=</v>
      </c>
      <c r="AC9" s="268">
        <v>1.4259999999999999</v>
      </c>
      <c r="AE9" s="137"/>
      <c r="AF9" s="258">
        <f t="shared" si="0"/>
        <v>1.4259999999999999</v>
      </c>
      <c r="AH9" s="138"/>
      <c r="AI9" s="261" t="s">
        <v>2</v>
      </c>
      <c r="AJ9" s="598"/>
      <c r="AK9" s="623" t="str">
        <v>EURIBOR3M=</v>
      </c>
      <c r="AO9" s="264">
        <v>1.4259999999999999</v>
      </c>
      <c r="AQ9" s="261" t="s">
        <v>9</v>
      </c>
      <c r="AR9" s="296">
        <f t="shared" si="1"/>
        <v>2.4639999999999995</v>
      </c>
      <c r="AT9" s="138"/>
      <c r="AU9" s="194" t="s">
        <v>34</v>
      </c>
      <c r="AV9" s="598"/>
      <c r="AX9" s="598"/>
      <c r="AY9" s="593" t="str">
        <f ca="1">_xll.RtUpdate("IDN",AW10:AW15,AY10:AY11,BA10,,RTMODE_RATES)</f>
        <v>Updated at 17:03:10</v>
      </c>
      <c r="AZ9" s="598"/>
      <c r="BF9" s="138"/>
      <c r="BG9" s="194" t="s">
        <v>37</v>
      </c>
      <c r="BH9" s="598"/>
      <c r="BJ9" s="598"/>
      <c r="BK9" s="593" t="str">
        <f ca="1">_xll.RtUpdate("IDN",BI10:BI21,BK10:BK11,BM10,,RTMODE_RATES)</f>
        <v>Updated at 17:03:10</v>
      </c>
      <c r="BL9" s="598"/>
      <c r="BT9" s="301" t="s">
        <v>1</v>
      </c>
      <c r="BU9" s="195">
        <v>21.699999999999878</v>
      </c>
      <c r="BV9" s="195">
        <v>2.599999999999894</v>
      </c>
      <c r="BW9" s="195">
        <v>13.961269752712987</v>
      </c>
      <c r="BX9" s="195">
        <v>33.5</v>
      </c>
      <c r="CJ9" s="261" t="s">
        <v>26</v>
      </c>
      <c r="CK9" s="485">
        <v>1</v>
      </c>
      <c r="CL9" s="152" t="str">
        <f t="array" ref="CL9:CL18">"US"&amp;CJ9:CJ18&amp;"3LSTK=ICAP"</f>
        <v>US1Y3LSTK=ICAP</v>
      </c>
      <c r="CN9" s="152" t="str">
        <f t="array" ref="CN9:CN18">"US"&amp;CJ9:CJ18&amp;"3LATM=ICAP"</f>
        <v>US1Y3LATM=ICAP</v>
      </c>
      <c r="CP9" s="152" t="s">
        <v>223</v>
      </c>
      <c r="CR9" s="264">
        <v>0.39</v>
      </c>
      <c r="CS9" s="264">
        <v>93.38</v>
      </c>
      <c r="CT9" s="270"/>
      <c r="CU9" s="267">
        <f t="shared" ref="CU9:CU18" si="2">IF(ISNUMBER(CT9),CT9,CS9)</f>
        <v>93.38</v>
      </c>
    </row>
    <row r="10" spans="5:129">
      <c r="W10" s="261" t="s">
        <v>3</v>
      </c>
      <c r="Y10" s="623" t="str">
        <v>EURIBOR4MD=</v>
      </c>
      <c r="AC10" s="268">
        <v>1.5069999999999999</v>
      </c>
      <c r="AE10" s="137"/>
      <c r="AF10" s="258">
        <f t="shared" si="0"/>
        <v>1.5069999999999999</v>
      </c>
      <c r="AH10" s="138"/>
      <c r="AI10" s="261" t="s">
        <v>3</v>
      </c>
      <c r="AJ10" s="598"/>
      <c r="AK10" s="623" t="str">
        <v>EURIBOR4M=</v>
      </c>
      <c r="AO10" s="264">
        <v>1.5069999999999999</v>
      </c>
      <c r="AQ10" s="261" t="s">
        <v>11</v>
      </c>
      <c r="AR10" s="296">
        <f t="shared" si="1"/>
        <v>2.8239999999999998</v>
      </c>
      <c r="AT10" s="138"/>
      <c r="AU10" s="261" t="s">
        <v>199</v>
      </c>
      <c r="AV10" s="598"/>
      <c r="AW10" s="645" t="str">
        <f t="array" ref="AW10:AW15">"EUR"&amp;AU10:AU15&amp;"F=ICAP"</f>
        <v>EUR1X4F=ICAP</v>
      </c>
      <c r="AX10" s="598"/>
      <c r="AY10" s="645" t="s">
        <v>45</v>
      </c>
      <c r="AZ10" s="598"/>
      <c r="BA10" s="264">
        <v>1.5069999999999999</v>
      </c>
      <c r="BB10" s="264">
        <v>1.5569999999999999</v>
      </c>
      <c r="BC10" s="270"/>
      <c r="BD10" s="257">
        <f t="shared" ref="BD10:BD15" si="3">IF(ISNUMBER(BC10),BC10,AVERAGE(BA10:BB10))</f>
        <v>1.532</v>
      </c>
      <c r="BF10" s="138"/>
      <c r="BG10" s="261" t="s">
        <v>0</v>
      </c>
      <c r="BH10" s="598"/>
      <c r="BI10" s="645" t="str">
        <f t="shared" ref="BI10:BI21" si="4">"EUREON"&amp;BG10&amp;"=ICAP"</f>
        <v>EUREON1M=ICAP</v>
      </c>
      <c r="BJ10" s="598"/>
      <c r="BK10" s="645" t="s">
        <v>45</v>
      </c>
      <c r="BL10" s="598"/>
      <c r="BM10" s="264">
        <v>0.98599999999999999</v>
      </c>
      <c r="BN10" s="264">
        <v>1.036</v>
      </c>
      <c r="BO10" s="263"/>
      <c r="BP10" s="267">
        <f t="shared" ref="BP10:BP15" si="5">IF(ISNUMBER(BO10),BO10,(BM10+BN10)/COUNTIF(BM10:BN10,"&lt;&gt;0"))</f>
        <v>1.0110000000000001</v>
      </c>
      <c r="BT10" s="301" t="s">
        <v>2</v>
      </c>
      <c r="BU10" s="195">
        <v>26.099999999997568</v>
      </c>
      <c r="BV10" s="195">
        <v>10.899999999997561</v>
      </c>
      <c r="BW10" s="195">
        <v>13.961269752712987</v>
      </c>
      <c r="BX10" s="195">
        <v>33.5</v>
      </c>
      <c r="CJ10" s="261" t="s">
        <v>27</v>
      </c>
      <c r="CK10" s="485">
        <v>2</v>
      </c>
      <c r="CL10" s="152" t="str">
        <v>US2Y3LSTK=ICAP</v>
      </c>
      <c r="CN10" s="152" t="str">
        <v>US2Y3LATM=ICAP</v>
      </c>
      <c r="CR10" s="264">
        <v>0.77999999999999992</v>
      </c>
      <c r="CS10" s="264">
        <v>84.7</v>
      </c>
      <c r="CT10" s="270"/>
      <c r="CU10" s="267">
        <f t="shared" si="2"/>
        <v>84.7</v>
      </c>
    </row>
    <row r="11" spans="5:129">
      <c r="E11" s="585" t="s">
        <v>635</v>
      </c>
      <c r="W11" s="261" t="s">
        <v>4</v>
      </c>
      <c r="Y11" s="623" t="str">
        <v>EURIBOR5MD=</v>
      </c>
      <c r="AC11" s="268">
        <v>1.6</v>
      </c>
      <c r="AE11" s="137"/>
      <c r="AF11" s="258">
        <f t="shared" si="0"/>
        <v>1.6</v>
      </c>
      <c r="AH11" s="138"/>
      <c r="AI11" s="261" t="s">
        <v>4</v>
      </c>
      <c r="AJ11" s="598"/>
      <c r="AK11" s="623" t="str">
        <v>EURIBOR5M=</v>
      </c>
      <c r="AO11" s="264">
        <v>1.6</v>
      </c>
      <c r="AQ11" s="261" t="s">
        <v>14</v>
      </c>
      <c r="AR11" s="296">
        <f t="shared" si="1"/>
        <v>3.1159999999999997</v>
      </c>
      <c r="AT11" s="138"/>
      <c r="AU11" s="261" t="s">
        <v>200</v>
      </c>
      <c r="AV11" s="598"/>
      <c r="AW11" s="645" t="str">
        <v>EUR2X5F=ICAP</v>
      </c>
      <c r="AX11" s="598"/>
      <c r="AY11" s="645" t="s">
        <v>46</v>
      </c>
      <c r="AZ11" s="598"/>
      <c r="BA11" s="264">
        <v>1.5980000000000001</v>
      </c>
      <c r="BB11" s="264">
        <v>1.6480000000000001</v>
      </c>
      <c r="BC11" s="270"/>
      <c r="BD11" s="257">
        <f t="shared" si="3"/>
        <v>1.6230000000000002</v>
      </c>
      <c r="BF11" s="138"/>
      <c r="BG11" s="261" t="s">
        <v>1</v>
      </c>
      <c r="BH11" s="598"/>
      <c r="BI11" s="645" t="str">
        <f t="shared" si="4"/>
        <v>EUREON2M=ICAP</v>
      </c>
      <c r="BJ11" s="598"/>
      <c r="BK11" s="645" t="s">
        <v>46</v>
      </c>
      <c r="BL11" s="598"/>
      <c r="BM11" s="264">
        <v>1.048</v>
      </c>
      <c r="BN11" s="264">
        <v>1.0980000000000001</v>
      </c>
      <c r="BO11" s="263"/>
      <c r="BP11" s="267">
        <f t="shared" si="5"/>
        <v>1.073</v>
      </c>
      <c r="BT11" s="301" t="s">
        <v>5</v>
      </c>
      <c r="BU11" s="195">
        <v>23.738730247286984</v>
      </c>
      <c r="BV11" s="195">
        <v>11.238730247286991</v>
      </c>
      <c r="BW11" s="195">
        <v>13.961269752712987</v>
      </c>
      <c r="BX11" s="195">
        <v>33.5</v>
      </c>
      <c r="CJ11" s="261" t="s">
        <v>7</v>
      </c>
      <c r="CK11" s="485">
        <v>3</v>
      </c>
      <c r="CL11" s="152" t="str">
        <v>US3Y3LSTK=ICAP</v>
      </c>
      <c r="CN11" s="152" t="str">
        <v>US3Y3LATM=ICAP</v>
      </c>
      <c r="CR11" s="264">
        <v>1.25</v>
      </c>
      <c r="CS11" s="264">
        <v>69.2</v>
      </c>
      <c r="CT11" s="270"/>
      <c r="CU11" s="267">
        <f t="shared" si="2"/>
        <v>69.2</v>
      </c>
    </row>
    <row r="12" spans="5:129">
      <c r="L12" s="275" t="s">
        <v>599</v>
      </c>
      <c r="Q12" s="275" t="s">
        <v>600</v>
      </c>
      <c r="W12" s="261" t="s">
        <v>5</v>
      </c>
      <c r="Y12" s="623" t="str">
        <v>EURIBOR6MD=</v>
      </c>
      <c r="AC12" s="268">
        <v>1.7069999999999999</v>
      </c>
      <c r="AE12" s="137"/>
      <c r="AF12" s="258">
        <f t="shared" si="0"/>
        <v>1.7069999999999999</v>
      </c>
      <c r="AH12" s="138"/>
      <c r="AI12" s="261" t="s">
        <v>5</v>
      </c>
      <c r="AJ12" s="598"/>
      <c r="AK12" s="623" t="str">
        <v>EURIBOR6M=</v>
      </c>
      <c r="AO12" s="264">
        <v>1.7069999999999999</v>
      </c>
      <c r="AQ12" s="261" t="s">
        <v>19</v>
      </c>
      <c r="AR12" s="296">
        <f t="shared" si="1"/>
        <v>3.66</v>
      </c>
      <c r="AT12" s="138"/>
      <c r="AU12" s="261" t="s">
        <v>201</v>
      </c>
      <c r="AV12" s="598"/>
      <c r="AW12" s="645" t="str">
        <v>EUR3X6F=ICAP</v>
      </c>
      <c r="AX12" s="598"/>
      <c r="AY12" s="598"/>
      <c r="AZ12" s="598"/>
      <c r="BA12" s="264">
        <v>1.7</v>
      </c>
      <c r="BB12" s="264">
        <v>1.75</v>
      </c>
      <c r="BC12" s="270"/>
      <c r="BD12" s="257">
        <f t="shared" si="3"/>
        <v>1.7250000000000001</v>
      </c>
      <c r="BF12" s="138"/>
      <c r="BG12" s="261" t="s">
        <v>2</v>
      </c>
      <c r="BH12" s="598"/>
      <c r="BI12" s="645" t="str">
        <f t="shared" si="4"/>
        <v>EUREON3M=ICAP</v>
      </c>
      <c r="BJ12" s="598"/>
      <c r="BK12" s="598"/>
      <c r="BL12" s="598"/>
      <c r="BM12" s="264">
        <v>1.1400000000000001</v>
      </c>
      <c r="BN12" s="264">
        <v>1.1900000000000002</v>
      </c>
      <c r="BO12" s="263"/>
      <c r="BP12" s="267">
        <f t="shared" si="5"/>
        <v>1.165</v>
      </c>
      <c r="BT12" s="301" t="s">
        <v>26</v>
      </c>
      <c r="BU12" s="195">
        <v>25</v>
      </c>
      <c r="BV12" s="195">
        <v>13.7</v>
      </c>
      <c r="BW12" s="195">
        <v>13.3</v>
      </c>
      <c r="BX12" s="195">
        <v>33.5</v>
      </c>
      <c r="CJ12" s="261" t="s">
        <v>8</v>
      </c>
      <c r="CK12" s="485">
        <v>4</v>
      </c>
      <c r="CL12" s="152" t="str">
        <v>US4Y3LSTK=ICAP</v>
      </c>
      <c r="CN12" s="152" t="str">
        <v>US4Y3LATM=ICAP</v>
      </c>
      <c r="CR12" s="264">
        <v>1.7</v>
      </c>
      <c r="CS12" s="264">
        <v>56.71</v>
      </c>
      <c r="CT12" s="270"/>
      <c r="CU12" s="267">
        <f t="shared" si="2"/>
        <v>56.71</v>
      </c>
    </row>
    <row r="13" spans="5:129">
      <c r="E13" s="215" t="s">
        <v>596</v>
      </c>
      <c r="F13" s="215" t="str">
        <f>_xll.qFuturesDateToCode(IF(Q6="LIVE",L6,L7))</f>
        <v>M1</v>
      </c>
      <c r="G13" s="584" t="str">
        <f t="array" ref="G13:G24">IF($Q$6="DELAYED","/","") &amp; "FEI" &amp; F13:F24</f>
        <v>/FEIM1</v>
      </c>
      <c r="I13" s="152" t="s">
        <v>47</v>
      </c>
      <c r="K13" s="596" t="str">
        <f ca="1">_xll.RtUpdate("IDN",G13:G24,I13:I16,L13,,RTMODE_RATES)</f>
        <v>Updated at 17:03:10</v>
      </c>
      <c r="L13" s="586">
        <v>40707</v>
      </c>
      <c r="M13" s="278">
        <v>98.48</v>
      </c>
      <c r="N13" s="278">
        <v>98.484999999999999</v>
      </c>
      <c r="O13" s="278">
        <v>98.48</v>
      </c>
      <c r="Q13" s="586">
        <v>40707</v>
      </c>
      <c r="R13" s="280">
        <v>98.48</v>
      </c>
      <c r="S13" s="280">
        <v>98.484999999999999</v>
      </c>
      <c r="T13" s="280">
        <v>98.48</v>
      </c>
      <c r="AH13" s="138"/>
      <c r="AJ13" s="598"/>
      <c r="AT13" s="138"/>
      <c r="AU13" s="261" t="s">
        <v>202</v>
      </c>
      <c r="AV13" s="598"/>
      <c r="AW13" s="645" t="str">
        <v>EUR4X7F=ICAP</v>
      </c>
      <c r="AX13" s="598"/>
      <c r="AZ13" s="598"/>
      <c r="BA13" s="264">
        <v>1.7929999999999999</v>
      </c>
      <c r="BB13" s="264">
        <v>1.843</v>
      </c>
      <c r="BC13" s="270"/>
      <c r="BD13" s="257">
        <f t="shared" si="3"/>
        <v>1.8180000000000001</v>
      </c>
      <c r="BF13" s="138"/>
      <c r="BG13" s="261" t="s">
        <v>3</v>
      </c>
      <c r="BH13" s="598"/>
      <c r="BI13" s="645" t="str">
        <f t="shared" si="4"/>
        <v>EUREON4M=ICAP</v>
      </c>
      <c r="BJ13" s="598"/>
      <c r="BK13" s="598"/>
      <c r="BL13" s="598"/>
      <c r="BM13" s="264">
        <v>1.1950000000000001</v>
      </c>
      <c r="BN13" s="264">
        <v>1.2449999999999999</v>
      </c>
      <c r="BO13" s="263"/>
      <c r="BP13" s="267">
        <f t="shared" si="5"/>
        <v>1.22</v>
      </c>
      <c r="BT13" s="301" t="s">
        <v>27</v>
      </c>
      <c r="BU13" s="195">
        <v>24.8</v>
      </c>
      <c r="BV13" s="195">
        <v>12.900000000000002</v>
      </c>
      <c r="BW13" s="195">
        <v>13</v>
      </c>
      <c r="BX13" s="195">
        <v>28.999999999999996</v>
      </c>
      <c r="CJ13" s="261" t="s">
        <v>9</v>
      </c>
      <c r="CK13" s="485">
        <v>5</v>
      </c>
      <c r="CL13" s="152" t="str">
        <v>US5Y3LSTK=ICAP</v>
      </c>
      <c r="CN13" s="152" t="str">
        <v>US5Y3LATM=ICAP</v>
      </c>
      <c r="CR13" s="264">
        <v>2.1</v>
      </c>
      <c r="CS13" s="264">
        <v>47.92</v>
      </c>
      <c r="CT13" s="270"/>
      <c r="CU13" s="267">
        <f t="shared" si="2"/>
        <v>47.92</v>
      </c>
    </row>
    <row r="14" spans="5:129">
      <c r="F14" s="215" t="str">
        <f>_xll.qFuturesDateToCode(_xll.qFuturesCodeToDate(F13,Today)+92)</f>
        <v>U1</v>
      </c>
      <c r="G14" s="584" t="str">
        <v>/FEIU1</v>
      </c>
      <c r="I14" s="152" t="s">
        <v>45</v>
      </c>
      <c r="L14" s="586">
        <v>40805</v>
      </c>
      <c r="M14" s="278">
        <v>98.169999999999987</v>
      </c>
      <c r="N14" s="278">
        <v>98.174999999999983</v>
      </c>
      <c r="O14" s="278">
        <v>98.169999999999987</v>
      </c>
      <c r="Q14" s="586">
        <v>40805</v>
      </c>
      <c r="R14" s="280">
        <v>98.169999999999987</v>
      </c>
      <c r="S14" s="280">
        <v>98.174999999999983</v>
      </c>
      <c r="T14" s="280">
        <v>98.169999999999987</v>
      </c>
      <c r="W14" s="194" t="s">
        <v>576</v>
      </c>
      <c r="AD14" s="269" t="str">
        <f>IF(Q6="DELAYED","DELAYED","")</f>
        <v>DELAYED</v>
      </c>
      <c r="AF14" s="262" t="s">
        <v>20</v>
      </c>
      <c r="AH14" s="138"/>
      <c r="AI14" s="194" t="s">
        <v>136</v>
      </c>
      <c r="AJ14" s="598"/>
      <c r="AQ14" s="297" t="s">
        <v>313</v>
      </c>
      <c r="AR14" s="298" t="s">
        <v>314</v>
      </c>
      <c r="AT14" s="138"/>
      <c r="AU14" s="261" t="s">
        <v>203</v>
      </c>
      <c r="AV14" s="598"/>
      <c r="AW14" s="645" t="str">
        <v>EUR5X8F=ICAP</v>
      </c>
      <c r="AX14" s="598"/>
      <c r="AY14" s="598"/>
      <c r="AZ14" s="598"/>
      <c r="BA14" s="264">
        <v>1.8720000000000001</v>
      </c>
      <c r="BB14" s="264">
        <v>1.9219999999999999</v>
      </c>
      <c r="BC14" s="270"/>
      <c r="BD14" s="257">
        <f t="shared" si="3"/>
        <v>1.897</v>
      </c>
      <c r="BF14" s="138"/>
      <c r="BG14" s="261" t="s">
        <v>4</v>
      </c>
      <c r="BH14" s="598"/>
      <c r="BI14" s="645" t="str">
        <f t="shared" si="4"/>
        <v>EUREON5M=ICAP</v>
      </c>
      <c r="BJ14" s="598"/>
      <c r="BK14" s="598"/>
      <c r="BL14" s="598"/>
      <c r="BM14" s="264">
        <v>1.2429999999999999</v>
      </c>
      <c r="BN14" s="264">
        <v>1.2929999999999999</v>
      </c>
      <c r="BO14" s="263"/>
      <c r="BP14" s="267">
        <f t="shared" si="5"/>
        <v>1.2679999999999998</v>
      </c>
      <c r="BT14" s="301" t="s">
        <v>7</v>
      </c>
      <c r="BU14" s="195">
        <v>24.1</v>
      </c>
      <c r="BV14" s="195">
        <v>12.7</v>
      </c>
      <c r="BW14" s="195">
        <v>12.7</v>
      </c>
      <c r="BX14" s="195">
        <v>27.1</v>
      </c>
      <c r="CJ14" s="261" t="s">
        <v>10</v>
      </c>
      <c r="CK14" s="485">
        <v>6</v>
      </c>
      <c r="CL14" s="152" t="str">
        <v>US6Y3LSTK=ICAP</v>
      </c>
      <c r="CN14" s="152" t="str">
        <v>US6Y3LATM=ICAP</v>
      </c>
      <c r="CR14" s="264">
        <v>2.44</v>
      </c>
      <c r="CS14" s="264">
        <v>42.13</v>
      </c>
      <c r="CT14" s="270"/>
      <c r="CU14" s="267">
        <f t="shared" si="2"/>
        <v>42.13</v>
      </c>
    </row>
    <row r="15" spans="5:129">
      <c r="F15" s="215" t="str">
        <f>_xll.qFuturesDateToCode(_xll.qFuturesCodeToDate(F14,Today)+92)</f>
        <v>Z1</v>
      </c>
      <c r="G15" s="584" t="str">
        <v>/FEIZ1</v>
      </c>
      <c r="I15" s="152" t="s">
        <v>46</v>
      </c>
      <c r="L15" s="586">
        <v>40896</v>
      </c>
      <c r="M15" s="278">
        <v>97.960000000000008</v>
      </c>
      <c r="N15" s="278">
        <v>97.97</v>
      </c>
      <c r="O15" s="278">
        <v>97.965000000000003</v>
      </c>
      <c r="Q15" s="586">
        <v>40896</v>
      </c>
      <c r="R15" s="280">
        <v>97.960000000000008</v>
      </c>
      <c r="S15" s="280">
        <v>97.97</v>
      </c>
      <c r="T15" s="280">
        <v>97.965000000000003</v>
      </c>
      <c r="W15" s="261" t="str">
        <f t="array" ref="W15:W26">F13:F24</f>
        <v>M1</v>
      </c>
      <c r="AC15" s="282">
        <f t="array" ref="AC15:AD15">IF(AND(R13&lt;&gt;0,S13&lt;&gt;0),R13:S13,T13)</f>
        <v>98.48</v>
      </c>
      <c r="AD15" s="282">
        <v>98.484999999999999</v>
      </c>
      <c r="AE15" s="137"/>
      <c r="AF15" s="258">
        <f t="shared" ref="AF15:AF26" si="6">IF(ISNUMBER(AE15),AE15,AVERAGEIF(AC15:AD15,"&lt;&gt;0"))</f>
        <v>98.482500000000002</v>
      </c>
      <c r="AH15" s="138"/>
      <c r="AI15" s="261" t="str">
        <f t="shared" ref="AI15:AI26" si="7">W15</f>
        <v>M1</v>
      </c>
      <c r="AJ15" s="598"/>
      <c r="AO15" s="270"/>
      <c r="AP15" s="294">
        <f>IF(ISNUMBER(AO15),AO15,_xll.qFuturesConvexityAdjustment(AF15,Today,L13,_xll.qInterp((L13-Today)/365,$CK$9:$CK$18,$CU$9:$CU$18)%,_xll.qInterp((L13-Today)/365,$CK$9:$CK$18,$CR$9:$CR$18)%,"SFE"))</f>
        <v>3.6207793501219498E-4</v>
      </c>
      <c r="AQ15" s="258">
        <f t="shared" ref="AQ15:AQ26" si="8">100-AF15</f>
        <v>1.5174999999999983</v>
      </c>
      <c r="AR15" s="258">
        <f t="shared" ref="AR15:AR26" si="9">AQ15-AP15%</f>
        <v>1.5174963792206482</v>
      </c>
      <c r="AT15" s="138"/>
      <c r="AU15" s="261" t="s">
        <v>204</v>
      </c>
      <c r="AV15" s="598"/>
      <c r="AW15" s="645" t="str">
        <v>EUR6X9F=ICAP</v>
      </c>
      <c r="AX15" s="598"/>
      <c r="AZ15" s="598"/>
      <c r="BA15" s="264">
        <v>1.94</v>
      </c>
      <c r="BB15" s="264">
        <v>1.99</v>
      </c>
      <c r="BC15" s="270"/>
      <c r="BD15" s="257">
        <f t="shared" si="3"/>
        <v>1.9649999999999999</v>
      </c>
      <c r="BF15" s="138"/>
      <c r="BG15" s="261" t="s">
        <v>5</v>
      </c>
      <c r="BH15" s="598"/>
      <c r="BI15" s="645" t="str">
        <f t="shared" si="4"/>
        <v>EUREON6M=ICAP</v>
      </c>
      <c r="BJ15" s="598"/>
      <c r="BK15" s="598"/>
      <c r="BL15" s="598"/>
      <c r="BM15" s="264">
        <v>1.3049999999999999</v>
      </c>
      <c r="BN15" s="264">
        <v>1.355</v>
      </c>
      <c r="BO15" s="263"/>
      <c r="BP15" s="267">
        <f t="shared" si="5"/>
        <v>1.33</v>
      </c>
      <c r="BT15" s="301" t="s">
        <v>8</v>
      </c>
      <c r="BU15" s="195">
        <v>23.6</v>
      </c>
      <c r="BV15" s="195">
        <v>12.5</v>
      </c>
      <c r="BW15" s="195">
        <v>12.5</v>
      </c>
      <c r="BX15" s="195">
        <v>26</v>
      </c>
      <c r="CJ15" s="261" t="s">
        <v>11</v>
      </c>
      <c r="CK15" s="485">
        <v>7</v>
      </c>
      <c r="CL15" s="152" t="str">
        <v>US7Y3LSTK=ICAP</v>
      </c>
      <c r="CN15" s="152" t="str">
        <v>US7Y3LATM=ICAP</v>
      </c>
      <c r="CR15" s="264">
        <v>2.72</v>
      </c>
      <c r="CS15" s="264">
        <v>38.160000000000004</v>
      </c>
      <c r="CT15" s="270"/>
      <c r="CU15" s="267">
        <f t="shared" si="2"/>
        <v>38.160000000000004</v>
      </c>
    </row>
    <row r="16" spans="5:129">
      <c r="F16" s="215" t="str">
        <f>_xll.qFuturesDateToCode(_xll.qFuturesCodeToDate(F15,Today)+92)</f>
        <v>H2</v>
      </c>
      <c r="G16" s="584" t="str">
        <v>/FEIH2</v>
      </c>
      <c r="I16" s="152" t="s">
        <v>598</v>
      </c>
      <c r="L16" s="586">
        <v>40987</v>
      </c>
      <c r="M16" s="278">
        <v>97.814999999999998</v>
      </c>
      <c r="N16" s="278">
        <v>97.82</v>
      </c>
      <c r="O16" s="278">
        <v>97.82</v>
      </c>
      <c r="Q16" s="586">
        <v>40987</v>
      </c>
      <c r="R16" s="280">
        <v>97.814999999999998</v>
      </c>
      <c r="S16" s="280">
        <v>97.82</v>
      </c>
      <c r="T16" s="280">
        <v>97.82</v>
      </c>
      <c r="W16" s="261" t="str">
        <v>U1</v>
      </c>
      <c r="AC16" s="282">
        <f t="array" ref="AC16:AD16">IF(AND(R14&lt;&gt;0,S14&lt;&gt;0),R14:S14,T14-T13+AF15)</f>
        <v>98.169999999999987</v>
      </c>
      <c r="AD16" s="282">
        <v>98.174999999999983</v>
      </c>
      <c r="AE16" s="137"/>
      <c r="AF16" s="258">
        <f t="shared" si="6"/>
        <v>98.172499999999985</v>
      </c>
      <c r="AH16" s="138"/>
      <c r="AI16" s="261" t="str">
        <f t="shared" si="7"/>
        <v>U1</v>
      </c>
      <c r="AJ16" s="598"/>
      <c r="AO16" s="270"/>
      <c r="AP16" s="294">
        <f>IF(ISNUMBER(AO16),AO16,_xll.qFuturesConvexityAdjustment(AF16,Today,L14,_xll.qInterp((L14-Today)/365,$CK$9:$CK$18,$CU$9:$CU$18)%,_xll.qInterp((L14-Today)/365,$CK$9:$CK$18,$CR$9:$CR$18)%,"SFE"))</f>
        <v>7.7043354021810728E-3</v>
      </c>
      <c r="AQ16" s="258">
        <f t="shared" si="8"/>
        <v>1.8275000000000148</v>
      </c>
      <c r="AR16" s="258">
        <f t="shared" si="9"/>
        <v>1.827422956645993</v>
      </c>
      <c r="AT16" s="138"/>
      <c r="AV16" s="598"/>
      <c r="AW16" s="598"/>
      <c r="AX16" s="598"/>
      <c r="AY16" s="598"/>
      <c r="AZ16" s="598"/>
      <c r="BF16" s="138"/>
      <c r="BG16" s="261" t="s">
        <v>119</v>
      </c>
      <c r="BH16" s="598"/>
      <c r="BI16" s="645" t="str">
        <f t="shared" si="4"/>
        <v>EUREON7M=ICAP</v>
      </c>
      <c r="BJ16" s="598"/>
      <c r="BK16" s="598"/>
      <c r="BL16" s="598"/>
      <c r="BM16" s="264">
        <v>1.3480000000000001</v>
      </c>
      <c r="BN16" s="264">
        <v>1.3980000000000001</v>
      </c>
      <c r="BO16" s="263"/>
      <c r="BP16" s="267">
        <f t="shared" ref="BP16:BP21" si="10">IF(ISNUMBER(BO16),BO16,(BM16+BN16)/COUNTIF(BM16:BN16,"&lt;&gt;0"))</f>
        <v>1.3730000000000002</v>
      </c>
      <c r="BT16" s="301" t="s">
        <v>9</v>
      </c>
      <c r="BU16" s="195">
        <v>23.1</v>
      </c>
      <c r="BV16" s="195">
        <v>12.4</v>
      </c>
      <c r="BW16" s="195">
        <v>12.2</v>
      </c>
      <c r="BX16" s="195">
        <v>25.1</v>
      </c>
      <c r="CJ16" s="261" t="s">
        <v>12</v>
      </c>
      <c r="CK16" s="485">
        <v>8</v>
      </c>
      <c r="CL16" s="152" t="str">
        <v>US8Y3LSTK=ICAP</v>
      </c>
      <c r="CN16" s="152" t="str">
        <v>US8Y3LATM=ICAP</v>
      </c>
      <c r="CR16" s="264">
        <v>2.9299999999999997</v>
      </c>
      <c r="CS16" s="264">
        <v>35.409999999999997</v>
      </c>
      <c r="CT16" s="270"/>
      <c r="CU16" s="267">
        <f t="shared" si="2"/>
        <v>35.409999999999997</v>
      </c>
    </row>
    <row r="17" spans="5:99">
      <c r="F17" s="215" t="str">
        <f>_xll.qFuturesDateToCode(_xll.qFuturesCodeToDate(F16,Today)+92)</f>
        <v>M2</v>
      </c>
      <c r="G17" s="584" t="str">
        <v>/FEIM2</v>
      </c>
      <c r="L17" s="586">
        <v>41078</v>
      </c>
      <c r="M17" s="278">
        <v>97.669999999999987</v>
      </c>
      <c r="N17" s="278">
        <v>97.674999999999983</v>
      </c>
      <c r="O17" s="278">
        <v>97.679999999999993</v>
      </c>
      <c r="Q17" s="586">
        <v>41078</v>
      </c>
      <c r="R17" s="280">
        <v>97.669999999999987</v>
      </c>
      <c r="S17" s="280">
        <v>97.674999999999983</v>
      </c>
      <c r="T17" s="280">
        <v>97.679999999999993</v>
      </c>
      <c r="W17" s="261" t="str">
        <v>Z1</v>
      </c>
      <c r="AC17" s="282">
        <f t="array" ref="AC17:AD17">IF(AND(R15&lt;&gt;0,S15&lt;&gt;0),R15:S15,T15-T14+AF16)</f>
        <v>97.960000000000008</v>
      </c>
      <c r="AD17" s="282">
        <v>97.97</v>
      </c>
      <c r="AE17" s="137"/>
      <c r="AF17" s="258">
        <f t="shared" si="6"/>
        <v>97.965000000000003</v>
      </c>
      <c r="AH17" s="138"/>
      <c r="AI17" s="261" t="str">
        <f t="shared" si="7"/>
        <v>Z1</v>
      </c>
      <c r="AJ17" s="598"/>
      <c r="AO17" s="270"/>
      <c r="AP17" s="294">
        <f>IF(ISNUMBER(AO17),AO17,_xll.qFuturesConvexityAdjustment(AF17,Today,L15,_xll.qInterp((L15-Today)/365,$CK$9:$CK$18,$CU$9:$CU$18)%,_xll.qInterp((L15-Today)/365,$CK$9:$CK$18,$CR$9:$CR$18)%,"SFE"))</f>
        <v>2.2845785007241659E-2</v>
      </c>
      <c r="AQ17" s="258">
        <f t="shared" si="8"/>
        <v>2.0349999999999966</v>
      </c>
      <c r="AR17" s="258">
        <f t="shared" si="9"/>
        <v>2.0347715421499242</v>
      </c>
      <c r="AT17" s="138"/>
      <c r="AV17" s="598"/>
      <c r="AW17" s="598"/>
      <c r="AX17" s="598"/>
      <c r="AZ17" s="598"/>
      <c r="BF17" s="138"/>
      <c r="BG17" s="261" t="s">
        <v>120</v>
      </c>
      <c r="BH17" s="598"/>
      <c r="BI17" s="645" t="str">
        <f t="shared" si="4"/>
        <v>EUREON8M=ICAP</v>
      </c>
      <c r="BJ17" s="598"/>
      <c r="BK17" s="598"/>
      <c r="BL17" s="598"/>
      <c r="BM17" s="264">
        <v>1.391</v>
      </c>
      <c r="BN17" s="264">
        <v>1.4409999999999998</v>
      </c>
      <c r="BO17" s="263"/>
      <c r="BP17" s="267">
        <f t="shared" si="10"/>
        <v>1.4159999999999999</v>
      </c>
      <c r="BT17" s="301" t="s">
        <v>10</v>
      </c>
      <c r="BU17" s="195">
        <v>22.6</v>
      </c>
      <c r="BV17" s="195">
        <v>12.299999999999999</v>
      </c>
      <c r="BW17" s="195">
        <v>11.8</v>
      </c>
      <c r="BX17" s="195">
        <v>24.2</v>
      </c>
      <c r="CJ17" s="261" t="s">
        <v>13</v>
      </c>
      <c r="CK17" s="485">
        <v>9</v>
      </c>
      <c r="CL17" s="152" t="str">
        <v>US9Y3LSTK=ICAP</v>
      </c>
      <c r="CN17" s="152" t="str">
        <v>US9Y3LATM=ICAP</v>
      </c>
      <c r="CR17" s="264">
        <v>3.11</v>
      </c>
      <c r="CS17" s="264">
        <v>33.42</v>
      </c>
      <c r="CT17" s="270"/>
      <c r="CU17" s="267">
        <f t="shared" si="2"/>
        <v>33.42</v>
      </c>
    </row>
    <row r="18" spans="5:99">
      <c r="F18" s="215" t="str">
        <f>_xll.qFuturesDateToCode(_xll.qFuturesCodeToDate(F17,Today)+92)</f>
        <v>U2</v>
      </c>
      <c r="G18" s="584" t="str">
        <v>/FEIU2</v>
      </c>
      <c r="L18" s="586">
        <v>41169</v>
      </c>
      <c r="M18" s="278">
        <v>97.54</v>
      </c>
      <c r="N18" s="278">
        <v>97.545000000000002</v>
      </c>
      <c r="O18" s="278">
        <v>97.554999999999993</v>
      </c>
      <c r="Q18" s="586">
        <v>41169</v>
      </c>
      <c r="R18" s="280">
        <v>97.54</v>
      </c>
      <c r="S18" s="280">
        <v>97.545000000000002</v>
      </c>
      <c r="T18" s="280">
        <v>97.554999999999993</v>
      </c>
      <c r="W18" s="261" t="str">
        <v>H2</v>
      </c>
      <c r="AC18" s="282">
        <f t="array" ref="AC18:AD18">IF(AND(R16&lt;&gt;0,S16&lt;&gt;0),R16:S16,T16-T15+AF17)</f>
        <v>97.814999999999998</v>
      </c>
      <c r="AD18" s="282">
        <v>97.82</v>
      </c>
      <c r="AE18" s="137"/>
      <c r="AF18" s="258">
        <f t="shared" si="6"/>
        <v>97.817499999999995</v>
      </c>
      <c r="AH18" s="138"/>
      <c r="AI18" s="261" t="str">
        <f t="shared" si="7"/>
        <v>H2</v>
      </c>
      <c r="AJ18" s="598"/>
      <c r="AO18" s="270"/>
      <c r="AP18" s="294">
        <f>IF(ISNUMBER(AO18),AO18,_xll.qFuturesConvexityAdjustment(AF18,Today,L16,_xll.qInterp((L16-Today)/365,$CK$9:$CK$18,$CU$9:$CU$18)%,_xll.qInterp((L16-Today)/365,$CK$9:$CK$18,$CR$9:$CR$18)%,"SFE"))</f>
        <v>4.5824513980452508E-2</v>
      </c>
      <c r="AQ18" s="258">
        <f t="shared" si="8"/>
        <v>2.1825000000000045</v>
      </c>
      <c r="AR18" s="258">
        <f t="shared" si="9"/>
        <v>2.1820417548602</v>
      </c>
      <c r="AT18" s="138"/>
      <c r="AU18" s="194" t="s">
        <v>39</v>
      </c>
      <c r="AV18" s="598"/>
      <c r="AX18" s="598"/>
      <c r="AY18" s="593" t="str">
        <f ca="1">_xll.RtUpdate("IDN",AW19:AW26,AY19:AY20,BA19,,RTMODE_RATES)</f>
        <v>Updated at 17:03:10</v>
      </c>
      <c r="AZ18" s="598"/>
      <c r="BF18" s="138"/>
      <c r="BG18" s="261" t="s">
        <v>32</v>
      </c>
      <c r="BH18" s="598"/>
      <c r="BI18" s="645" t="str">
        <f t="shared" si="4"/>
        <v>EUREON9M=ICAP</v>
      </c>
      <c r="BJ18" s="598"/>
      <c r="BK18" s="598"/>
      <c r="BL18" s="598"/>
      <c r="BM18" s="264">
        <v>1.4359999999999999</v>
      </c>
      <c r="BN18" s="264">
        <v>1.486</v>
      </c>
      <c r="BO18" s="263"/>
      <c r="BP18" s="267">
        <f t="shared" si="10"/>
        <v>1.4609999999999999</v>
      </c>
      <c r="BT18" s="301" t="s">
        <v>11</v>
      </c>
      <c r="BU18" s="195">
        <v>22.1</v>
      </c>
      <c r="BV18" s="195">
        <v>12.1</v>
      </c>
      <c r="BW18" s="195">
        <v>11.5</v>
      </c>
      <c r="BX18" s="195">
        <v>23.3</v>
      </c>
      <c r="CJ18" s="261" t="s">
        <v>14</v>
      </c>
      <c r="CK18" s="485">
        <v>10</v>
      </c>
      <c r="CL18" s="152" t="str">
        <v>US10Y3LSTK=ICAP</v>
      </c>
      <c r="CN18" s="152" t="str">
        <v>US10Y3LATM=ICAP</v>
      </c>
      <c r="CR18" s="264">
        <v>3.2600000000000002</v>
      </c>
      <c r="CS18" s="264">
        <v>31.85</v>
      </c>
      <c r="CT18" s="270"/>
      <c r="CU18" s="267">
        <f t="shared" si="2"/>
        <v>31.85</v>
      </c>
    </row>
    <row r="19" spans="5:99">
      <c r="F19" s="215" t="str">
        <f>_xll.qFuturesDateToCode(_xll.qFuturesCodeToDate(F18,Today)+92)</f>
        <v>Z2</v>
      </c>
      <c r="G19" s="584" t="str">
        <v>/FEIZ2</v>
      </c>
      <c r="L19" s="586">
        <v>41260</v>
      </c>
      <c r="M19" s="278">
        <v>97.415000000000006</v>
      </c>
      <c r="N19" s="278">
        <v>97.42</v>
      </c>
      <c r="O19" s="278">
        <v>97.43</v>
      </c>
      <c r="Q19" s="586">
        <v>41260</v>
      </c>
      <c r="R19" s="280">
        <v>97.415000000000006</v>
      </c>
      <c r="S19" s="280">
        <v>97.42</v>
      </c>
      <c r="T19" s="280">
        <v>97.43</v>
      </c>
      <c r="W19" s="261" t="str">
        <v>M2</v>
      </c>
      <c r="AC19" s="282">
        <f t="array" ref="AC19:AD19">IF(AND(R17&lt;&gt;0,S17&lt;&gt;0),R17:S17,T17-T16+AF18)</f>
        <v>97.669999999999987</v>
      </c>
      <c r="AD19" s="282">
        <v>97.674999999999983</v>
      </c>
      <c r="AE19" s="137"/>
      <c r="AF19" s="258">
        <f t="shared" si="6"/>
        <v>97.672499999999985</v>
      </c>
      <c r="AH19" s="138"/>
      <c r="AI19" s="261" t="str">
        <f t="shared" si="7"/>
        <v>M2</v>
      </c>
      <c r="AJ19" s="598"/>
      <c r="AO19" s="270"/>
      <c r="AP19" s="294">
        <f>IF(ISNUMBER(AO19),AO19,_xll.qFuturesConvexityAdjustment(AF19,Today,L17,_xll.qInterp((L17-Today)/365,$CK$9:$CK$18,$CU$9:$CU$18)%,_xll.qInterp((L17-Today)/365,$CK$9:$CK$18,$CR$9:$CR$18)%,"SFE"))</f>
        <v>8.9404814736404603E-2</v>
      </c>
      <c r="AQ19" s="258">
        <f t="shared" si="8"/>
        <v>2.3275000000000148</v>
      </c>
      <c r="AR19" s="258">
        <f t="shared" si="9"/>
        <v>2.3266059518526507</v>
      </c>
      <c r="AT19" s="138"/>
      <c r="AU19" s="261" t="s">
        <v>205</v>
      </c>
      <c r="AV19" s="598"/>
      <c r="AW19" s="645" t="str">
        <f t="array" ref="AW19:AW26">"EUR"&amp;AU19:AU26&amp;"S=ICAP"</f>
        <v>EUR2X1S=ICAP</v>
      </c>
      <c r="AX19" s="598"/>
      <c r="AY19" s="645" t="s">
        <v>45</v>
      </c>
      <c r="AZ19" s="598"/>
      <c r="BA19" s="264">
        <v>1.2389999999999999</v>
      </c>
      <c r="BB19" s="264">
        <v>1.2889999999999999</v>
      </c>
      <c r="BC19" s="270"/>
      <c r="BD19" s="257">
        <f t="shared" ref="BD19:BD26" si="11">IF(ISNUMBER(BC19),BC19,AVERAGE(BA19:BB19))</f>
        <v>1.2639999999999998</v>
      </c>
      <c r="BF19" s="138"/>
      <c r="BG19" s="261" t="s">
        <v>581</v>
      </c>
      <c r="BH19" s="598"/>
      <c r="BI19" s="645" t="str">
        <f t="shared" si="4"/>
        <v>EUREON10M=ICAP</v>
      </c>
      <c r="BJ19" s="598"/>
      <c r="BK19" s="598"/>
      <c r="BL19" s="598"/>
      <c r="BM19" s="264">
        <v>1.472</v>
      </c>
      <c r="BN19" s="264">
        <v>1.522</v>
      </c>
      <c r="BO19" s="263"/>
      <c r="BP19" s="267">
        <f t="shared" si="10"/>
        <v>1.4969999999999999</v>
      </c>
      <c r="BT19" s="301" t="s">
        <v>12</v>
      </c>
      <c r="BU19" s="195">
        <v>21.5</v>
      </c>
      <c r="BV19" s="195">
        <v>11.9</v>
      </c>
      <c r="BW19" s="195">
        <v>11</v>
      </c>
      <c r="BX19" s="195">
        <v>22.4</v>
      </c>
    </row>
    <row r="20" spans="5:99">
      <c r="F20" s="215" t="str">
        <f>_xll.qFuturesDateToCode(_xll.qFuturesCodeToDate(F19,Today)+92)</f>
        <v>H3</v>
      </c>
      <c r="G20" s="584" t="str">
        <v>/FEIH3</v>
      </c>
      <c r="L20" s="586">
        <v>41351</v>
      </c>
      <c r="M20" s="278">
        <v>97.33</v>
      </c>
      <c r="N20" s="278">
        <v>97.334999999999994</v>
      </c>
      <c r="O20" s="278">
        <v>97.344999999999999</v>
      </c>
      <c r="Q20" s="586">
        <v>41351</v>
      </c>
      <c r="R20" s="280">
        <v>97.33</v>
      </c>
      <c r="S20" s="280">
        <v>97.334999999999994</v>
      </c>
      <c r="T20" s="280">
        <v>97.344999999999999</v>
      </c>
      <c r="W20" s="261" t="str">
        <v>U2</v>
      </c>
      <c r="AC20" s="282">
        <f t="array" ref="AC20:AD20">IF(AND(R18&lt;&gt;0,S18&lt;&gt;0),R18:S18,T18-T17+AF19)</f>
        <v>97.54</v>
      </c>
      <c r="AD20" s="282">
        <v>97.545000000000002</v>
      </c>
      <c r="AE20" s="137"/>
      <c r="AF20" s="258">
        <f t="shared" si="6"/>
        <v>97.542500000000004</v>
      </c>
      <c r="AH20" s="138"/>
      <c r="AI20" s="261" t="str">
        <f t="shared" si="7"/>
        <v>U2</v>
      </c>
      <c r="AJ20" s="598"/>
      <c r="AO20" s="270"/>
      <c r="AP20" s="294">
        <f>IF(ISNUMBER(AO20),AO20,_xll.qFuturesConvexityAdjustment(AF20,Today,L18,_xll.qInterp((L18-Today)/365,$CK$9:$CK$18,$CU$9:$CU$18)%,_xll.qInterp((L18-Today)/365,$CK$9:$CK$18,$CR$9:$CR$18)%,"SFE"))</f>
        <v>0.19294537540019974</v>
      </c>
      <c r="AQ20" s="258">
        <f t="shared" si="8"/>
        <v>2.457499999999996</v>
      </c>
      <c r="AR20" s="258">
        <f t="shared" si="9"/>
        <v>2.455570546245994</v>
      </c>
      <c r="AT20" s="138"/>
      <c r="AU20" s="261" t="s">
        <v>206</v>
      </c>
      <c r="AV20" s="598"/>
      <c r="AW20" s="645" t="str">
        <v>EUR3X1S=ICAP</v>
      </c>
      <c r="AX20" s="598"/>
      <c r="AY20" s="645" t="s">
        <v>46</v>
      </c>
      <c r="AZ20" s="598"/>
      <c r="BA20" s="264">
        <v>1.292</v>
      </c>
      <c r="BB20" s="264">
        <v>1.3420000000000001</v>
      </c>
      <c r="BC20" s="270"/>
      <c r="BD20" s="257">
        <f t="shared" si="11"/>
        <v>1.3170000000000002</v>
      </c>
      <c r="BF20" s="138"/>
      <c r="BG20" s="261" t="s">
        <v>582</v>
      </c>
      <c r="BH20" s="598"/>
      <c r="BI20" s="645" t="str">
        <f t="shared" si="4"/>
        <v>EUREON11M=ICAP</v>
      </c>
      <c r="BJ20" s="598"/>
      <c r="BK20" s="598"/>
      <c r="BL20" s="598"/>
      <c r="BM20" s="264">
        <v>1.5089999999999999</v>
      </c>
      <c r="BN20" s="264">
        <v>1.5589999999999999</v>
      </c>
      <c r="BO20" s="263"/>
      <c r="BP20" s="267">
        <f t="shared" si="10"/>
        <v>1.5339999999999998</v>
      </c>
      <c r="BT20" s="301" t="s">
        <v>13</v>
      </c>
      <c r="BU20" s="195">
        <v>21</v>
      </c>
      <c r="BV20" s="195">
        <v>11.700000000000001</v>
      </c>
      <c r="BW20" s="195">
        <v>10.6</v>
      </c>
      <c r="BX20" s="195">
        <v>21.5</v>
      </c>
    </row>
    <row r="21" spans="5:99">
      <c r="F21" s="215" t="str">
        <f>_xll.qFuturesDateToCode(_xll.qFuturesCodeToDate(F20,Today)+92)</f>
        <v>M3</v>
      </c>
      <c r="G21" s="584" t="str">
        <v>/FEIM3</v>
      </c>
      <c r="L21" s="586">
        <v>41442</v>
      </c>
      <c r="M21" s="278">
        <v>97.240000000000009</v>
      </c>
      <c r="N21" s="278">
        <v>97.245000000000005</v>
      </c>
      <c r="O21" s="278">
        <v>97.254999999999995</v>
      </c>
      <c r="Q21" s="586">
        <v>41442</v>
      </c>
      <c r="R21" s="280">
        <v>97.240000000000009</v>
      </c>
      <c r="S21" s="280">
        <v>97.245000000000005</v>
      </c>
      <c r="T21" s="280">
        <v>97.254999999999995</v>
      </c>
      <c r="W21" s="261" t="str">
        <v>Z2</v>
      </c>
      <c r="AC21" s="282">
        <f t="array" ref="AC21:AD21">IF(AND(R19&lt;&gt;0,S19&lt;&gt;0),R19:S19,T19-T18+AF20)</f>
        <v>97.415000000000006</v>
      </c>
      <c r="AD21" s="282">
        <v>97.42</v>
      </c>
      <c r="AE21" s="137"/>
      <c r="AF21" s="258">
        <f t="shared" si="6"/>
        <v>97.417500000000004</v>
      </c>
      <c r="AH21" s="138"/>
      <c r="AI21" s="261" t="str">
        <f t="shared" si="7"/>
        <v>Z2</v>
      </c>
      <c r="AJ21" s="598"/>
      <c r="AO21" s="270"/>
      <c r="AP21" s="294">
        <f>IF(ISNUMBER(AO21),AO21,_xll.qFuturesConvexityAdjustment(AF21,Today,L19,_xll.qInterp((L19-Today)/365,$CK$9:$CK$18,$CU$9:$CU$18)%,_xll.qInterp((L19-Today)/365,$CK$9:$CK$18,$CR$9:$CR$18)%,"SFE"))</f>
        <v>0.36122844187125303</v>
      </c>
      <c r="AQ21" s="258">
        <f t="shared" si="8"/>
        <v>2.582499999999996</v>
      </c>
      <c r="AR21" s="258">
        <f t="shared" si="9"/>
        <v>2.5788877155812835</v>
      </c>
      <c r="AT21" s="138"/>
      <c r="AU21" s="261" t="s">
        <v>207</v>
      </c>
      <c r="AV21" s="598"/>
      <c r="AW21" s="645" t="str">
        <v>EUR4X1S=ICAP</v>
      </c>
      <c r="AX21" s="598"/>
      <c r="AY21" s="598"/>
      <c r="AZ21" s="598"/>
      <c r="BA21" s="264">
        <v>1.333</v>
      </c>
      <c r="BB21" s="264">
        <v>1.383</v>
      </c>
      <c r="BC21" s="270"/>
      <c r="BD21" s="257">
        <f t="shared" si="11"/>
        <v>1.3580000000000001</v>
      </c>
      <c r="BF21" s="138"/>
      <c r="BG21" s="261" t="s">
        <v>26</v>
      </c>
      <c r="BH21" s="598"/>
      <c r="BI21" s="645" t="str">
        <f t="shared" si="4"/>
        <v>EUREON1Y=ICAP</v>
      </c>
      <c r="BJ21" s="598"/>
      <c r="BL21" s="598"/>
      <c r="BM21" s="264">
        <v>1.536</v>
      </c>
      <c r="BN21" s="264">
        <v>1.6060000000000001</v>
      </c>
      <c r="BO21" s="263"/>
      <c r="BP21" s="267">
        <f t="shared" si="10"/>
        <v>1.5710000000000002</v>
      </c>
      <c r="BT21" s="301" t="s">
        <v>14</v>
      </c>
      <c r="BU21" s="195">
        <v>20.6</v>
      </c>
      <c r="BV21" s="195">
        <v>11.5</v>
      </c>
      <c r="BW21" s="195">
        <v>10.199999999999999</v>
      </c>
      <c r="BX21" s="195">
        <v>20.6</v>
      </c>
    </row>
    <row r="22" spans="5:99">
      <c r="F22" s="215" t="str">
        <f>_xll.qFuturesDateToCode(_xll.qFuturesCodeToDate(F21,Today)+92)</f>
        <v>U3</v>
      </c>
      <c r="G22" s="584" t="str">
        <v>/FEIU3</v>
      </c>
      <c r="L22" s="586">
        <v>41533</v>
      </c>
      <c r="M22" s="278">
        <v>97.144999999999996</v>
      </c>
      <c r="N22" s="278">
        <v>97.149999999999991</v>
      </c>
      <c r="O22" s="278">
        <v>97.16</v>
      </c>
      <c r="Q22" s="586">
        <v>41533</v>
      </c>
      <c r="R22" s="280">
        <v>97.144999999999996</v>
      </c>
      <c r="S22" s="280">
        <v>97.149999999999991</v>
      </c>
      <c r="T22" s="280">
        <v>97.16</v>
      </c>
      <c r="W22" s="261" t="str">
        <v>H3</v>
      </c>
      <c r="AC22" s="282">
        <f t="array" ref="AC22:AD22">IF(AND(R20&lt;&gt;0,S20&lt;&gt;0),R20:S20,T20-T19+AF21)</f>
        <v>97.33</v>
      </c>
      <c r="AD22" s="282">
        <v>97.334999999999994</v>
      </c>
      <c r="AE22" s="137"/>
      <c r="AF22" s="258">
        <f t="shared" si="6"/>
        <v>97.332499999999996</v>
      </c>
      <c r="AH22" s="138"/>
      <c r="AI22" s="261" t="str">
        <f t="shared" si="7"/>
        <v>H3</v>
      </c>
      <c r="AJ22" s="598"/>
      <c r="AO22" s="270"/>
      <c r="AP22" s="294">
        <f>IF(ISNUMBER(AO22),AO22,_xll.qFuturesConvexityAdjustment(AF22,Today,L20,_xll.qInterp((L20-Today)/365,$CK$9:$CK$18,$CU$9:$CU$18)%,_xll.qInterp((L20-Today)/365,$CK$9:$CK$18,$CR$9:$CR$18)%,"SFE"))</f>
        <v>0.61132089611293239</v>
      </c>
      <c r="AQ22" s="258">
        <f t="shared" si="8"/>
        <v>2.667500000000004</v>
      </c>
      <c r="AR22" s="258">
        <f t="shared" si="9"/>
        <v>2.6613867910388747</v>
      </c>
      <c r="AT22" s="138"/>
      <c r="AU22" s="261" t="s">
        <v>208</v>
      </c>
      <c r="AV22" s="598"/>
      <c r="AW22" s="645" t="str">
        <v>EUR5X1S=ICAP</v>
      </c>
      <c r="AX22" s="598"/>
      <c r="AZ22" s="598"/>
      <c r="BA22" s="264">
        <v>1.375</v>
      </c>
      <c r="BB22" s="264">
        <v>1.4249999999999998</v>
      </c>
      <c r="BC22" s="270"/>
      <c r="BD22" s="257">
        <f t="shared" si="11"/>
        <v>1.4</v>
      </c>
      <c r="BF22" s="138"/>
      <c r="BH22" s="598"/>
      <c r="BI22" s="598"/>
      <c r="BJ22" s="598"/>
      <c r="BK22" s="598"/>
      <c r="BL22" s="598"/>
      <c r="BT22" s="301" t="s">
        <v>214</v>
      </c>
      <c r="BU22" s="195">
        <v>20.100000000000001</v>
      </c>
      <c r="BV22" s="195">
        <v>11.3</v>
      </c>
      <c r="BW22" s="195">
        <v>9.7999999999999989</v>
      </c>
      <c r="BX22" s="195">
        <v>19.8</v>
      </c>
    </row>
    <row r="23" spans="5:99">
      <c r="F23" s="215" t="str">
        <f>_xll.qFuturesDateToCode(_xll.qFuturesCodeToDate(F22,Today)+92)</f>
        <v>Z3</v>
      </c>
      <c r="G23" s="584" t="str">
        <v>/FEIZ3</v>
      </c>
      <c r="L23" s="586">
        <v>41624</v>
      </c>
      <c r="M23" s="278">
        <v>97.024999999999991</v>
      </c>
      <c r="N23" s="278">
        <v>97.034999999999997</v>
      </c>
      <c r="O23" s="278">
        <v>97.045000000000002</v>
      </c>
      <c r="Q23" s="586">
        <v>41624</v>
      </c>
      <c r="R23" s="280">
        <v>97.024999999999991</v>
      </c>
      <c r="S23" s="280">
        <v>97.034999999999997</v>
      </c>
      <c r="T23" s="280">
        <v>97.045000000000002</v>
      </c>
      <c r="W23" s="261" t="str">
        <v>M3</v>
      </c>
      <c r="AC23" s="282">
        <f t="array" ref="AC23:AD23">IF(AND(R21&lt;&gt;0,S21&lt;&gt;0),R21:S21,T21-T20+AF22)</f>
        <v>97.240000000000009</v>
      </c>
      <c r="AD23" s="282">
        <v>97.245000000000005</v>
      </c>
      <c r="AE23" s="137"/>
      <c r="AF23" s="258">
        <f t="shared" si="6"/>
        <v>97.242500000000007</v>
      </c>
      <c r="AH23" s="138"/>
      <c r="AI23" s="261" t="str">
        <f t="shared" si="7"/>
        <v>M3</v>
      </c>
      <c r="AJ23" s="598"/>
      <c r="AO23" s="270"/>
      <c r="AP23" s="294">
        <f>IF(ISNUMBER(AO23),AO23,_xll.qFuturesConvexityAdjustment(AF23,Today,L21,_xll.qInterp((L21-Today)/365,$CK$9:$CK$18,$CU$9:$CU$18)%,_xll.qInterp((L21-Today)/365,$CK$9:$CK$18,$CR$9:$CR$18)%,"SFE"))</f>
        <v>0.96207563086960768</v>
      </c>
      <c r="AQ23" s="258">
        <f t="shared" si="8"/>
        <v>2.7574999999999932</v>
      </c>
      <c r="AR23" s="258">
        <f t="shared" si="9"/>
        <v>2.7478792436912971</v>
      </c>
      <c r="AT23" s="138"/>
      <c r="AU23" s="261" t="s">
        <v>209</v>
      </c>
      <c r="AV23" s="598"/>
      <c r="AW23" s="645" t="str">
        <v>EUR6X1S=ICAP</v>
      </c>
      <c r="AX23" s="598"/>
      <c r="AY23" s="598"/>
      <c r="AZ23" s="598"/>
      <c r="BA23" s="264">
        <v>1.43</v>
      </c>
      <c r="BB23" s="264">
        <v>1.48</v>
      </c>
      <c r="BC23" s="270"/>
      <c r="BD23" s="257">
        <f t="shared" si="11"/>
        <v>1.4550000000000001</v>
      </c>
      <c r="BF23" s="138"/>
      <c r="BH23" s="598"/>
      <c r="BI23" s="598"/>
      <c r="BJ23" s="598"/>
      <c r="BK23" s="598"/>
      <c r="BL23" s="598"/>
      <c r="BT23" s="301" t="s">
        <v>15</v>
      </c>
      <c r="BU23" s="195">
        <v>19.599999999999998</v>
      </c>
      <c r="BV23" s="195">
        <v>11.099999999999998</v>
      </c>
      <c r="BW23" s="195">
        <v>9.4</v>
      </c>
      <c r="BX23" s="195">
        <v>19</v>
      </c>
    </row>
    <row r="24" spans="5:99">
      <c r="F24" s="215" t="str">
        <f>_xll.qFuturesDateToCode(_xll.qFuturesCodeToDate(F23,Today)+92)</f>
        <v>H4</v>
      </c>
      <c r="G24" s="584" t="str">
        <v>/FEIH4</v>
      </c>
      <c r="L24" s="586">
        <v>41715</v>
      </c>
      <c r="M24" s="278">
        <v>96.935000000000002</v>
      </c>
      <c r="N24" s="278">
        <v>96.945000000000007</v>
      </c>
      <c r="O24" s="278">
        <v>96.95</v>
      </c>
      <c r="Q24" s="586">
        <v>41715</v>
      </c>
      <c r="R24" s="280">
        <v>96.935000000000002</v>
      </c>
      <c r="S24" s="280">
        <v>96.945000000000007</v>
      </c>
      <c r="T24" s="280">
        <v>96.95</v>
      </c>
      <c r="W24" s="261" t="str">
        <v>U3</v>
      </c>
      <c r="AC24" s="282">
        <f t="array" ref="AC24:AD24">IF(AND(R22&lt;&gt;0,S22&lt;&gt;0),R22:S22,T22-T21+AF23)</f>
        <v>97.144999999999996</v>
      </c>
      <c r="AD24" s="282">
        <v>97.149999999999991</v>
      </c>
      <c r="AE24" s="137"/>
      <c r="AF24" s="258">
        <f t="shared" si="6"/>
        <v>97.147499999999994</v>
      </c>
      <c r="AH24" s="138"/>
      <c r="AI24" s="261" t="str">
        <f t="shared" si="7"/>
        <v>U3</v>
      </c>
      <c r="AJ24" s="598"/>
      <c r="AO24" s="270"/>
      <c r="AP24" s="294">
        <f>IF(ISNUMBER(AO24),AO24,_xll.qFuturesConvexityAdjustment(AF24,Today,L22,_xll.qInterp((L22-Today)/365,$CK$9:$CK$18,$CU$9:$CU$18)%,_xll.qInterp((L22-Today)/365,$CK$9:$CK$18,$CR$9:$CR$18)%,"SFE"))</f>
        <v>1.4213577734055072</v>
      </c>
      <c r="AQ24" s="258">
        <f t="shared" si="8"/>
        <v>2.8525000000000063</v>
      </c>
      <c r="AR24" s="258">
        <f t="shared" si="9"/>
        <v>2.8382864222659512</v>
      </c>
      <c r="AT24" s="138"/>
      <c r="AU24" s="261" t="s">
        <v>210</v>
      </c>
      <c r="AV24" s="598"/>
      <c r="AW24" s="645" t="str">
        <v>EUR7X1S=ICAP</v>
      </c>
      <c r="AX24" s="598"/>
      <c r="AY24" s="598"/>
      <c r="AZ24" s="598"/>
      <c r="BA24" s="264">
        <v>1.47</v>
      </c>
      <c r="BB24" s="264">
        <v>1.52</v>
      </c>
      <c r="BC24" s="270"/>
      <c r="BD24" s="257">
        <f t="shared" si="11"/>
        <v>1.4950000000000001</v>
      </c>
      <c r="BF24" s="138"/>
      <c r="BH24" s="598"/>
      <c r="BI24" s="598"/>
      <c r="BJ24" s="598"/>
      <c r="BK24" s="598"/>
      <c r="BL24" s="598"/>
      <c r="BT24" s="301" t="s">
        <v>241</v>
      </c>
      <c r="BU24" s="195">
        <v>19.166666666666664</v>
      </c>
      <c r="BV24" s="195">
        <v>10.833333333333332</v>
      </c>
      <c r="BW24" s="195">
        <v>9.0666666666666664</v>
      </c>
      <c r="BX24" s="195">
        <v>18.333333333333332</v>
      </c>
    </row>
    <row r="25" spans="5:99">
      <c r="L25" s="587"/>
      <c r="M25" s="279"/>
      <c r="N25" s="279"/>
      <c r="O25" s="279"/>
      <c r="Q25" s="586"/>
      <c r="R25" s="280"/>
      <c r="S25" s="280"/>
      <c r="T25" s="280"/>
      <c r="W25" s="261" t="str">
        <v>Z3</v>
      </c>
      <c r="AC25" s="282">
        <f t="array" ref="AC25:AD25">IF(AND(R23&lt;&gt;0,S23&lt;&gt;0),R23:S23,T23-T22+AF24)</f>
        <v>97.024999999999991</v>
      </c>
      <c r="AD25" s="282">
        <v>97.034999999999997</v>
      </c>
      <c r="AE25" s="137"/>
      <c r="AF25" s="258">
        <f t="shared" si="6"/>
        <v>97.03</v>
      </c>
      <c r="AH25" s="138"/>
      <c r="AI25" s="261" t="str">
        <f t="shared" si="7"/>
        <v>Z3</v>
      </c>
      <c r="AJ25" s="598"/>
      <c r="AO25" s="270"/>
      <c r="AP25" s="294">
        <f>IF(ISNUMBER(AO25),AO25,_xll.qFuturesConvexityAdjustment(AF25,Today,L23,_xll.qInterp((L23-Today)/365,$CK$9:$CK$18,$CU$9:$CU$18)%,_xll.qInterp((L23-Today)/365,$CK$9:$CK$18,$CR$9:$CR$18)%,"SFE"))</f>
        <v>1.9795958442952788</v>
      </c>
      <c r="AQ25" s="258">
        <f t="shared" si="8"/>
        <v>2.9699999999999989</v>
      </c>
      <c r="AR25" s="258">
        <f t="shared" si="9"/>
        <v>2.9502040415570461</v>
      </c>
      <c r="AT25" s="138"/>
      <c r="AU25" s="261" t="s">
        <v>211</v>
      </c>
      <c r="AV25" s="598"/>
      <c r="AW25" s="645" t="str">
        <v>EUR8X1S=ICAP</v>
      </c>
      <c r="AX25" s="598"/>
      <c r="AY25" s="598"/>
      <c r="AZ25" s="598"/>
      <c r="BA25" s="264">
        <v>1.51</v>
      </c>
      <c r="BB25" s="264">
        <v>1.56</v>
      </c>
      <c r="BC25" s="270"/>
      <c r="BD25" s="257">
        <f t="shared" si="11"/>
        <v>1.5350000000000001</v>
      </c>
      <c r="BF25" s="138"/>
      <c r="BH25" s="598"/>
      <c r="BI25" s="598"/>
      <c r="BJ25" s="598"/>
      <c r="BK25" s="598"/>
      <c r="BL25" s="598"/>
      <c r="BT25" s="301" t="s">
        <v>242</v>
      </c>
      <c r="BU25" s="195">
        <v>18.733333333333334</v>
      </c>
      <c r="BV25" s="195">
        <v>10.566666666666666</v>
      </c>
      <c r="BW25" s="195">
        <v>8.7333333333333343</v>
      </c>
      <c r="BX25" s="195">
        <v>17.666666666666664</v>
      </c>
    </row>
    <row r="26" spans="5:99">
      <c r="H26" s="151" t="s">
        <v>81</v>
      </c>
      <c r="J26" s="151" t="s">
        <v>81</v>
      </c>
      <c r="W26" s="261" t="str">
        <v>H4</v>
      </c>
      <c r="AC26" s="282">
        <f t="array" ref="AC26:AD26">IF(AND(R24&lt;&gt;0,S24&lt;&gt;0),R24:S24,T24-T23+AF25)</f>
        <v>96.935000000000002</v>
      </c>
      <c r="AD26" s="282">
        <v>96.945000000000007</v>
      </c>
      <c r="AE26" s="137"/>
      <c r="AF26" s="258">
        <f t="shared" si="6"/>
        <v>96.94</v>
      </c>
      <c r="AH26" s="138"/>
      <c r="AI26" s="261" t="str">
        <f t="shared" si="7"/>
        <v>H4</v>
      </c>
      <c r="AJ26" s="598"/>
      <c r="AO26" s="270"/>
      <c r="AP26" s="294">
        <f>IF(ISNUMBER(AO26),AO26,_xll.qFuturesConvexityAdjustment(AF26,Today,L24,_xll.qInterp((L24-Today)/365,$CK$9:$CK$18,$CU$9:$CU$18)%,_xll.qInterp((L24-Today)/365,$CK$9:$CK$18,$CR$9:$CR$18)%,"SFE"))</f>
        <v>2.6258642482419159</v>
      </c>
      <c r="AQ26" s="258">
        <f t="shared" si="8"/>
        <v>3.0600000000000023</v>
      </c>
      <c r="AR26" s="258">
        <f t="shared" si="9"/>
        <v>3.0337413575175831</v>
      </c>
      <c r="AT26" s="138"/>
      <c r="AU26" s="261" t="s">
        <v>212</v>
      </c>
      <c r="AV26" s="598"/>
      <c r="AW26" s="645" t="str">
        <v>EUR9X1S=ICAP</v>
      </c>
      <c r="AX26" s="598"/>
      <c r="AZ26" s="598"/>
      <c r="BA26" s="264">
        <v>1.5529999999999999</v>
      </c>
      <c r="BB26" s="264">
        <v>1.603</v>
      </c>
      <c r="BC26" s="270"/>
      <c r="BD26" s="257">
        <f t="shared" si="11"/>
        <v>1.5779999999999998</v>
      </c>
      <c r="BF26" s="138"/>
      <c r="BH26" s="598"/>
      <c r="BI26" s="598"/>
      <c r="BJ26" s="598"/>
      <c r="BK26" s="598"/>
      <c r="BL26" s="598"/>
      <c r="BT26" s="301" t="s">
        <v>16</v>
      </c>
      <c r="BU26" s="195">
        <v>18.3</v>
      </c>
      <c r="BV26" s="195">
        <v>10.3</v>
      </c>
      <c r="BW26" s="195">
        <v>8.4</v>
      </c>
      <c r="BX26" s="195">
        <v>17</v>
      </c>
    </row>
    <row r="27" spans="5:99">
      <c r="AH27" s="138"/>
      <c r="AJ27" s="598"/>
      <c r="AT27" s="138"/>
      <c r="AV27" s="598"/>
      <c r="AW27" s="598"/>
      <c r="AX27" s="598"/>
      <c r="AY27" s="598"/>
      <c r="AZ27" s="598"/>
      <c r="BF27" s="138"/>
      <c r="BH27" s="598"/>
      <c r="BI27" s="598"/>
      <c r="BJ27" s="598"/>
      <c r="BK27" s="598"/>
      <c r="BL27" s="598"/>
      <c r="BT27" s="301" t="s">
        <v>17</v>
      </c>
      <c r="BU27" s="195">
        <v>16.8</v>
      </c>
      <c r="BV27" s="195">
        <v>9.3000000000000007</v>
      </c>
      <c r="BW27" s="195">
        <v>7.3</v>
      </c>
      <c r="BX27" s="195">
        <v>14.7</v>
      </c>
    </row>
    <row r="28" spans="5:99">
      <c r="E28" s="585" t="s">
        <v>607</v>
      </c>
      <c r="W28" s="194" t="s">
        <v>578</v>
      </c>
      <c r="AA28" s="595" t="str">
        <f ca="1">_xll.RtUpdate("IDN",Y29:Y48,AA29:AA30,AC29,,RTMODE_RATES)</f>
        <v>Updated at 17:03:10</v>
      </c>
      <c r="AH28" s="138"/>
      <c r="AI28" s="194" t="s">
        <v>35</v>
      </c>
      <c r="AJ28" s="598"/>
      <c r="AM28" s="595" t="str">
        <f ca="1">_xll.RtUpdate("IDN",AK29:AK46,AM29:AM30,AO29,,RTMODE_RATES)</f>
        <v>Updated at 17:03:10</v>
      </c>
      <c r="AT28" s="138"/>
      <c r="AU28" s="194" t="s">
        <v>36</v>
      </c>
      <c r="AV28" s="598"/>
      <c r="AX28" s="598"/>
      <c r="AY28" s="593" t="str">
        <f ca="1">_xll.RtUpdate("IDN",AW29:AW44,AY29:AY30,BA29,,RTMODE_RATES)</f>
        <v>Updated at 17:01:41</v>
      </c>
      <c r="AZ28" s="598"/>
      <c r="BF28" s="138"/>
      <c r="BG28" s="194" t="s">
        <v>580</v>
      </c>
      <c r="BH28" s="598"/>
      <c r="BJ28" s="598"/>
      <c r="BK28" s="593" t="str">
        <f ca="1">_xll.RtUpdate("IDN",BI29:BI44,BK29:BK30,BM29,,RTMODE_RATES)</f>
        <v>Updated at 17:01:44</v>
      </c>
      <c r="BL28" s="598"/>
      <c r="BT28" s="301" t="s">
        <v>18</v>
      </c>
      <c r="BU28" s="195">
        <v>15.7</v>
      </c>
      <c r="BV28" s="195">
        <v>8.6</v>
      </c>
      <c r="BW28" s="195">
        <v>6.7</v>
      </c>
      <c r="BX28" s="195">
        <v>13.4</v>
      </c>
    </row>
    <row r="29" spans="5:99">
      <c r="H29" s="215"/>
      <c r="J29" s="215"/>
      <c r="W29" s="261" t="s">
        <v>26</v>
      </c>
      <c r="Y29" s="623" t="str">
        <f>"EURAB6E"&amp;W29&amp;"="</f>
        <v>EURAB6E1Y=</v>
      </c>
      <c r="AA29" s="623" t="s">
        <v>46</v>
      </c>
      <c r="AC29" s="268">
        <v>2.0070000000000001</v>
      </c>
      <c r="AD29" s="268">
        <v>1.9569999999999999</v>
      </c>
      <c r="AE29" s="137"/>
      <c r="AF29" s="258">
        <f t="shared" ref="AF29:AF38" si="12">IF(ISNUMBER(AE29),AE29,AVERAGE(AC29:AD29))</f>
        <v>1.982</v>
      </c>
      <c r="AH29" s="138"/>
      <c r="AI29" s="261" t="s">
        <v>26</v>
      </c>
      <c r="AJ29" s="598"/>
      <c r="AK29" s="623" t="str">
        <f t="shared" ref="AK29:AK46" si="13">"EUR3E6E"&amp;AI29&amp;"=ICAP"</f>
        <v>EUR3E6E1Y=ICAP</v>
      </c>
      <c r="AM29" s="623" t="s">
        <v>45</v>
      </c>
      <c r="AO29" s="264">
        <v>12.8</v>
      </c>
      <c r="AP29" s="264">
        <v>13.8</v>
      </c>
      <c r="AQ29" s="270"/>
      <c r="AR29" s="267">
        <f t="shared" ref="AR29:AR46" si="14">IF(ISNUMBER(AQ29),AQ29,AVERAGEIF(AO29:AP29,"&lt;&gt;0"))</f>
        <v>13.3</v>
      </c>
      <c r="AT29" s="138"/>
      <c r="AU29" s="261" t="s">
        <v>26</v>
      </c>
      <c r="AV29" s="598"/>
      <c r="AW29" s="645" t="str">
        <f t="shared" ref="AW29:AW44" si="15">"EUR1E3E"&amp;AU29&amp;"=ICAP"</f>
        <v>EUR1E3E1Y=ICAP</v>
      </c>
      <c r="AX29" s="598"/>
      <c r="AY29" s="645" t="s">
        <v>45</v>
      </c>
      <c r="AZ29" s="598"/>
      <c r="BA29" s="264">
        <v>13.7</v>
      </c>
      <c r="BB29" s="264">
        <v>0</v>
      </c>
      <c r="BC29" s="270"/>
      <c r="BD29" s="267">
        <f t="shared" ref="BD29:BD44" si="16">IF(ISNUMBER(BC29),BC29,(BA29+BB29)/COUNTIF(BA29:BB29,"&lt;&gt;0"))</f>
        <v>13.7</v>
      </c>
      <c r="BF29" s="138"/>
      <c r="BG29" s="261" t="s">
        <v>26</v>
      </c>
      <c r="BH29" s="598"/>
      <c r="BI29" s="645" t="str">
        <f t="shared" ref="BI29:BI44" si="17">"EUEONEU3E"&amp;BG29&amp;"=ICAP"</f>
        <v>EUEONEU3E1Y=ICAP</v>
      </c>
      <c r="BJ29" s="598"/>
      <c r="BK29" s="645" t="s">
        <v>45</v>
      </c>
      <c r="BL29" s="598"/>
      <c r="BM29" s="264">
        <v>22.5</v>
      </c>
      <c r="BN29" s="264">
        <v>27.5</v>
      </c>
      <c r="BO29" s="263"/>
      <c r="BP29" s="267">
        <f t="shared" ref="BP29:BP44" si="18">IF(ISNUMBER(BO29),BO29,(BM29+BN29)/COUNTIF(BM29:BN29,"&lt;&gt;0"))</f>
        <v>25</v>
      </c>
      <c r="BT29" s="301" t="s">
        <v>19</v>
      </c>
      <c r="BU29" s="195">
        <v>14.799999999999999</v>
      </c>
      <c r="BV29" s="195">
        <v>8.1</v>
      </c>
      <c r="BW29" s="195">
        <v>6.2</v>
      </c>
      <c r="BX29" s="195">
        <v>12.5</v>
      </c>
    </row>
    <row r="30" spans="5:99">
      <c r="G30" s="591" t="str">
        <f t="array" ref="G30:G35">"EU"&amp;AQ7:AQ12&amp;"T=RR"</f>
        <v>EU2YT=RR</v>
      </c>
      <c r="H30" s="215"/>
      <c r="I30" s="274" t="s">
        <v>196</v>
      </c>
      <c r="J30" s="215"/>
      <c r="K30" s="596" t="str">
        <f ca="1">_xll.RtUpdate("IDN",G30:G35,I30:I31,L30,,RTMODE_RATES)</f>
        <v>Updated at 17:03:10</v>
      </c>
      <c r="L30" s="590">
        <v>1.8140000000000001</v>
      </c>
      <c r="M30" s="590">
        <v>1.804</v>
      </c>
      <c r="W30" s="261" t="s">
        <v>27</v>
      </c>
      <c r="Y30" s="623" t="str">
        <f>"EURAB6E"&amp;W30&amp;"="</f>
        <v>EURAB6E2Y=</v>
      </c>
      <c r="AA30" s="623" t="s">
        <v>45</v>
      </c>
      <c r="AC30" s="268">
        <v>2.3149999999999995</v>
      </c>
      <c r="AD30" s="268">
        <v>2.3049999999999997</v>
      </c>
      <c r="AE30" s="137"/>
      <c r="AF30" s="258">
        <f t="shared" si="12"/>
        <v>2.3099999999999996</v>
      </c>
      <c r="AH30" s="138"/>
      <c r="AI30" s="261" t="s">
        <v>27</v>
      </c>
      <c r="AJ30" s="598"/>
      <c r="AK30" s="623" t="str">
        <f t="shared" si="13"/>
        <v>EUR3E6E2Y=ICAP</v>
      </c>
      <c r="AM30" s="623" t="s">
        <v>46</v>
      </c>
      <c r="AO30" s="264">
        <v>12.5</v>
      </c>
      <c r="AP30" s="264">
        <v>13.5</v>
      </c>
      <c r="AQ30" s="270"/>
      <c r="AR30" s="267">
        <f t="shared" si="14"/>
        <v>13</v>
      </c>
      <c r="AT30" s="138"/>
      <c r="AU30" s="261" t="s">
        <v>27</v>
      </c>
      <c r="AV30" s="598"/>
      <c r="AW30" s="645" t="str">
        <f t="shared" si="15"/>
        <v>EUR1E3E2Y=ICAP</v>
      </c>
      <c r="AX30" s="598"/>
      <c r="AY30" s="645" t="s">
        <v>46</v>
      </c>
      <c r="AZ30" s="598"/>
      <c r="BA30" s="264">
        <v>12.9</v>
      </c>
      <c r="BB30" s="264">
        <v>0</v>
      </c>
      <c r="BC30" s="270"/>
      <c r="BD30" s="257">
        <f t="shared" si="16"/>
        <v>12.9</v>
      </c>
      <c r="BF30" s="138"/>
      <c r="BG30" s="261" t="s">
        <v>27</v>
      </c>
      <c r="BH30" s="598"/>
      <c r="BI30" s="645" t="str">
        <f t="shared" si="17"/>
        <v>EUEONEU3E2Y=ICAP</v>
      </c>
      <c r="BJ30" s="598"/>
      <c r="BK30" s="645" t="s">
        <v>46</v>
      </c>
      <c r="BL30" s="598"/>
      <c r="BM30" s="264">
        <v>22.3</v>
      </c>
      <c r="BN30" s="264">
        <v>27.3</v>
      </c>
      <c r="BO30" s="263"/>
      <c r="BP30" s="267">
        <f t="shared" si="18"/>
        <v>24.8</v>
      </c>
      <c r="BT30" s="301" t="s">
        <v>28</v>
      </c>
      <c r="BU30" s="195">
        <v>12.760342301541659</v>
      </c>
      <c r="BV30" s="195">
        <v>6.9837008542221239</v>
      </c>
      <c r="BW30" s="195">
        <v>5.3450447611350214</v>
      </c>
      <c r="BX30" s="195">
        <v>10.776299921643188</v>
      </c>
    </row>
    <row r="31" spans="5:99">
      <c r="G31" s="591" t="str">
        <v>EU3YT=RR</v>
      </c>
      <c r="H31" s="215"/>
      <c r="I31" s="274" t="s">
        <v>197</v>
      </c>
      <c r="J31" s="215"/>
      <c r="L31" s="590">
        <v>1.966</v>
      </c>
      <c r="M31" s="590">
        <v>1.9549999999999998</v>
      </c>
      <c r="W31" s="261" t="s">
        <v>7</v>
      </c>
      <c r="Y31" s="623" t="str">
        <f>"EURAB6E"&amp;W31&amp;"="</f>
        <v>EURAB6E3Y=</v>
      </c>
      <c r="AC31" s="268">
        <v>2.5430000000000001</v>
      </c>
      <c r="AD31" s="268">
        <v>2.5349999999999997</v>
      </c>
      <c r="AE31" s="137"/>
      <c r="AF31" s="258">
        <f t="shared" si="12"/>
        <v>2.5389999999999997</v>
      </c>
      <c r="AH31" s="138"/>
      <c r="AI31" s="261" t="s">
        <v>7</v>
      </c>
      <c r="AJ31" s="598"/>
      <c r="AK31" s="623" t="str">
        <f t="shared" si="13"/>
        <v>EUR3E6E3Y=ICAP</v>
      </c>
      <c r="AO31" s="264">
        <v>12.2</v>
      </c>
      <c r="AP31" s="264">
        <v>13.2</v>
      </c>
      <c r="AQ31" s="270"/>
      <c r="AR31" s="267">
        <f t="shared" si="14"/>
        <v>12.7</v>
      </c>
      <c r="AT31" s="138"/>
      <c r="AU31" s="261" t="s">
        <v>7</v>
      </c>
      <c r="AV31" s="598"/>
      <c r="AW31" s="645" t="str">
        <f t="shared" si="15"/>
        <v>EUR1E3E3Y=ICAP</v>
      </c>
      <c r="AX31" s="598"/>
      <c r="AY31" s="598"/>
      <c r="AZ31" s="598"/>
      <c r="BA31" s="264">
        <v>12.7</v>
      </c>
      <c r="BB31" s="264">
        <v>0</v>
      </c>
      <c r="BC31" s="270"/>
      <c r="BD31" s="257">
        <f t="shared" si="16"/>
        <v>12.7</v>
      </c>
      <c r="BF31" s="138"/>
      <c r="BG31" s="261" t="s">
        <v>7</v>
      </c>
      <c r="BH31" s="598"/>
      <c r="BI31" s="645" t="str">
        <f t="shared" si="17"/>
        <v>EUEONEU3E3Y=ICAP</v>
      </c>
      <c r="BJ31" s="598"/>
      <c r="BK31" s="598"/>
      <c r="BL31" s="598"/>
      <c r="BM31" s="264">
        <v>21.6</v>
      </c>
      <c r="BN31" s="264">
        <v>26.6</v>
      </c>
      <c r="BO31" s="263"/>
      <c r="BP31" s="267">
        <f t="shared" si="18"/>
        <v>24.1</v>
      </c>
    </row>
    <row r="32" spans="5:99">
      <c r="G32" s="591" t="str">
        <v>EU5YT=RR</v>
      </c>
      <c r="H32" s="215"/>
      <c r="J32" s="215"/>
      <c r="L32" s="590">
        <v>2.4689999999999999</v>
      </c>
      <c r="M32" s="590">
        <v>2.4589999999999996</v>
      </c>
      <c r="W32" s="261" t="s">
        <v>8</v>
      </c>
      <c r="Y32" s="623" t="str">
        <f>"EURAB6E"&amp;W32&amp;"="</f>
        <v>EURAB6E4Y=</v>
      </c>
      <c r="AC32" s="268">
        <v>2.7549999999999999</v>
      </c>
      <c r="AD32" s="268">
        <v>2.7349999999999999</v>
      </c>
      <c r="AE32" s="137"/>
      <c r="AF32" s="258">
        <f t="shared" si="12"/>
        <v>2.7450000000000001</v>
      </c>
      <c r="AH32" s="138"/>
      <c r="AI32" s="261" t="s">
        <v>8</v>
      </c>
      <c r="AJ32" s="598"/>
      <c r="AK32" s="623" t="str">
        <f t="shared" si="13"/>
        <v>EUR3E6E4Y=ICAP</v>
      </c>
      <c r="AO32" s="264">
        <v>12</v>
      </c>
      <c r="AP32" s="264">
        <v>13</v>
      </c>
      <c r="AQ32" s="270"/>
      <c r="AR32" s="267">
        <f t="shared" si="14"/>
        <v>12.5</v>
      </c>
      <c r="AT32" s="138"/>
      <c r="AU32" s="261" t="s">
        <v>8</v>
      </c>
      <c r="AV32" s="598"/>
      <c r="AW32" s="645" t="str">
        <f t="shared" si="15"/>
        <v>EUR1E3E4Y=ICAP</v>
      </c>
      <c r="AX32" s="598"/>
      <c r="AZ32" s="598"/>
      <c r="BA32" s="264">
        <v>12.5</v>
      </c>
      <c r="BB32" s="264">
        <v>0</v>
      </c>
      <c r="BC32" s="270"/>
      <c r="BD32" s="257">
        <f t="shared" si="16"/>
        <v>12.5</v>
      </c>
      <c r="BF32" s="138"/>
      <c r="BG32" s="261" t="s">
        <v>8</v>
      </c>
      <c r="BH32" s="598"/>
      <c r="BI32" s="645" t="str">
        <f t="shared" si="17"/>
        <v>EUEONEU3E4Y=ICAP</v>
      </c>
      <c r="BJ32" s="598"/>
      <c r="BK32" s="598"/>
      <c r="BL32" s="598"/>
      <c r="BM32" s="264">
        <v>21.1</v>
      </c>
      <c r="BN32" s="264">
        <v>26.1</v>
      </c>
      <c r="BO32" s="263"/>
      <c r="BP32" s="267">
        <f t="shared" si="18"/>
        <v>23.6</v>
      </c>
    </row>
    <row r="33" spans="5:68">
      <c r="G33" s="591" t="str">
        <v>EU7YT=RR</v>
      </c>
      <c r="H33" s="215"/>
      <c r="J33" s="215"/>
      <c r="L33" s="590">
        <v>2.827</v>
      </c>
      <c r="M33" s="590">
        <v>2.8209999999999997</v>
      </c>
      <c r="W33" s="261" t="s">
        <v>9</v>
      </c>
      <c r="Y33" s="623" t="str">
        <f>"EURAB6E"&amp;W33&amp;"="</f>
        <v>EURAB6E5Y=</v>
      </c>
      <c r="AC33" s="268">
        <v>2.9249999999999998</v>
      </c>
      <c r="AD33" s="268">
        <v>2.9049999999999998</v>
      </c>
      <c r="AE33" s="137"/>
      <c r="AF33" s="258">
        <f t="shared" si="12"/>
        <v>2.915</v>
      </c>
      <c r="AH33" s="138"/>
      <c r="AI33" s="261" t="s">
        <v>9</v>
      </c>
      <c r="AJ33" s="598"/>
      <c r="AK33" s="623" t="str">
        <f t="shared" si="13"/>
        <v>EUR3E6E5Y=ICAP</v>
      </c>
      <c r="AO33" s="264">
        <v>11.7</v>
      </c>
      <c r="AP33" s="264">
        <v>12.7</v>
      </c>
      <c r="AQ33" s="270"/>
      <c r="AR33" s="267">
        <f t="shared" si="14"/>
        <v>12.2</v>
      </c>
      <c r="AT33" s="138"/>
      <c r="AU33" s="261" t="s">
        <v>9</v>
      </c>
      <c r="AV33" s="598"/>
      <c r="AW33" s="645" t="str">
        <f t="shared" si="15"/>
        <v>EUR1E3E5Y=ICAP</v>
      </c>
      <c r="AX33" s="598"/>
      <c r="AY33" s="598"/>
      <c r="AZ33" s="598"/>
      <c r="BA33" s="264">
        <v>12.4</v>
      </c>
      <c r="BB33" s="264">
        <v>0</v>
      </c>
      <c r="BC33" s="270"/>
      <c r="BD33" s="257">
        <f t="shared" si="16"/>
        <v>12.4</v>
      </c>
      <c r="BF33" s="138"/>
      <c r="BG33" s="261" t="s">
        <v>9</v>
      </c>
      <c r="BH33" s="598"/>
      <c r="BI33" s="645" t="str">
        <f t="shared" si="17"/>
        <v>EUEONEU3E5Y=ICAP</v>
      </c>
      <c r="BJ33" s="598"/>
      <c r="BK33" s="598"/>
      <c r="BL33" s="598"/>
      <c r="BM33" s="264">
        <v>20.6</v>
      </c>
      <c r="BN33" s="264">
        <v>25.6</v>
      </c>
      <c r="BO33" s="263"/>
      <c r="BP33" s="267">
        <f t="shared" ref="BP33:BP34" si="19">IF(ISNUMBER(BO33),BO33,(BM33+BN33)/COUNTIF(BM33:BN33,"&lt;&gt;0"))</f>
        <v>23.1</v>
      </c>
    </row>
    <row r="34" spans="5:68">
      <c r="G34" s="591" t="str">
        <v>EU10YT=RR</v>
      </c>
      <c r="H34" s="215"/>
      <c r="J34" s="215"/>
      <c r="L34" s="590">
        <v>3.117</v>
      </c>
      <c r="M34" s="590">
        <v>3.1149999999999998</v>
      </c>
      <c r="W34" s="261" t="s">
        <v>10</v>
      </c>
      <c r="Y34" s="623" t="str">
        <f>"EURAB6E"&amp;W34&amp;"="</f>
        <v>EURAB6E6Y=</v>
      </c>
      <c r="AC34" s="268">
        <v>3.0649999999999999</v>
      </c>
      <c r="AD34" s="268">
        <v>3.0449999999999999</v>
      </c>
      <c r="AE34" s="137"/>
      <c r="AF34" s="258">
        <f t="shared" si="12"/>
        <v>3.0549999999999997</v>
      </c>
      <c r="AH34" s="138"/>
      <c r="AI34" s="261" t="s">
        <v>10</v>
      </c>
      <c r="AJ34" s="598"/>
      <c r="AK34" s="623" t="str">
        <f t="shared" si="13"/>
        <v>EUR3E6E6Y=ICAP</v>
      </c>
      <c r="AO34" s="264">
        <v>11.3</v>
      </c>
      <c r="AP34" s="264">
        <v>12.3</v>
      </c>
      <c r="AQ34" s="270"/>
      <c r="AR34" s="267">
        <f t="shared" si="14"/>
        <v>11.8</v>
      </c>
      <c r="AT34" s="138"/>
      <c r="AU34" s="261" t="s">
        <v>10</v>
      </c>
      <c r="AV34" s="598"/>
      <c r="AW34" s="645" t="str">
        <f t="shared" si="15"/>
        <v>EUR1E3E6Y=ICAP</v>
      </c>
      <c r="AX34" s="598"/>
      <c r="AY34" s="598"/>
      <c r="AZ34" s="598"/>
      <c r="BA34" s="264">
        <v>12.3</v>
      </c>
      <c r="BB34" s="264">
        <v>0</v>
      </c>
      <c r="BC34" s="270"/>
      <c r="BD34" s="257">
        <f t="shared" si="16"/>
        <v>12.3</v>
      </c>
      <c r="BF34" s="138"/>
      <c r="BG34" s="261" t="s">
        <v>10</v>
      </c>
      <c r="BH34" s="598"/>
      <c r="BI34" s="645" t="str">
        <f t="shared" si="17"/>
        <v>EUEONEU3E6Y=ICAP</v>
      </c>
      <c r="BJ34" s="598"/>
      <c r="BK34" s="598"/>
      <c r="BL34" s="598"/>
      <c r="BM34" s="264">
        <v>20.100000000000001</v>
      </c>
      <c r="BN34" s="264">
        <v>25.1</v>
      </c>
      <c r="BO34" s="263"/>
      <c r="BP34" s="267">
        <f t="shared" si="19"/>
        <v>22.6</v>
      </c>
    </row>
    <row r="35" spans="5:68">
      <c r="G35" s="591" t="str">
        <v>EU30YT=RR</v>
      </c>
      <c r="H35" s="215"/>
      <c r="J35" s="215"/>
      <c r="L35" s="590">
        <v>3.665</v>
      </c>
      <c r="M35" s="590">
        <v>3.6549999999999998</v>
      </c>
      <c r="W35" s="261" t="s">
        <v>11</v>
      </c>
      <c r="Y35" s="623" t="str">
        <f>"EURAB6E"&amp;W35&amp;"="</f>
        <v>EURAB6E7Y=</v>
      </c>
      <c r="AC35" s="268">
        <v>3.1789999999999998</v>
      </c>
      <c r="AD35" s="268">
        <v>3.169</v>
      </c>
      <c r="AE35" s="137"/>
      <c r="AF35" s="258">
        <f t="shared" si="12"/>
        <v>3.1739999999999999</v>
      </c>
      <c r="AH35" s="138"/>
      <c r="AI35" s="261" t="s">
        <v>11</v>
      </c>
      <c r="AJ35" s="598"/>
      <c r="AK35" s="623" t="str">
        <f t="shared" si="13"/>
        <v>EUR3E6E7Y=ICAP</v>
      </c>
      <c r="AO35" s="264">
        <v>11</v>
      </c>
      <c r="AP35" s="264">
        <v>12</v>
      </c>
      <c r="AQ35" s="270"/>
      <c r="AR35" s="267">
        <f t="shared" si="14"/>
        <v>11.5</v>
      </c>
      <c r="AT35" s="138"/>
      <c r="AU35" s="261" t="s">
        <v>11</v>
      </c>
      <c r="AV35" s="598"/>
      <c r="AW35" s="645" t="str">
        <f t="shared" si="15"/>
        <v>EUR1E3E7Y=ICAP</v>
      </c>
      <c r="AX35" s="598"/>
      <c r="AY35" s="598"/>
      <c r="AZ35" s="598"/>
      <c r="BA35" s="264">
        <v>12.1</v>
      </c>
      <c r="BB35" s="264">
        <v>0</v>
      </c>
      <c r="BC35" s="270"/>
      <c r="BD35" s="257">
        <f t="shared" si="16"/>
        <v>12.1</v>
      </c>
      <c r="BF35" s="138"/>
      <c r="BG35" s="261" t="s">
        <v>11</v>
      </c>
      <c r="BH35" s="598"/>
      <c r="BI35" s="645" t="str">
        <f t="shared" si="17"/>
        <v>EUEONEU3E7Y=ICAP</v>
      </c>
      <c r="BJ35" s="598"/>
      <c r="BK35" s="598"/>
      <c r="BL35" s="598"/>
      <c r="BM35" s="264">
        <v>19.600000000000001</v>
      </c>
      <c r="BN35" s="264">
        <v>24.6</v>
      </c>
      <c r="BO35" s="263"/>
      <c r="BP35" s="267">
        <f t="shared" ref="BP35:BP41" si="20">IF(ISNUMBER(BO35),BO35,(BM35+BN35)/COUNTIF(BM35:BN35,"&lt;&gt;0"))</f>
        <v>22.1</v>
      </c>
    </row>
    <row r="36" spans="5:68">
      <c r="W36" s="261" t="s">
        <v>12</v>
      </c>
      <c r="Y36" s="623" t="str">
        <f>"EURAB6E"&amp;W36&amp;"="</f>
        <v>EURAB6E8Y=</v>
      </c>
      <c r="AC36" s="268">
        <v>3.2830000000000004</v>
      </c>
      <c r="AD36" s="268">
        <v>3.2630000000000003</v>
      </c>
      <c r="AE36" s="137"/>
      <c r="AF36" s="258">
        <f t="shared" si="12"/>
        <v>3.2730000000000006</v>
      </c>
      <c r="AH36" s="138"/>
      <c r="AI36" s="261" t="s">
        <v>12</v>
      </c>
      <c r="AJ36" s="598"/>
      <c r="AK36" s="623" t="str">
        <f t="shared" si="13"/>
        <v>EUR3E6E8Y=ICAP</v>
      </c>
      <c r="AO36" s="264">
        <v>10.5</v>
      </c>
      <c r="AP36" s="264">
        <v>11.5</v>
      </c>
      <c r="AQ36" s="270"/>
      <c r="AR36" s="267">
        <f t="shared" si="14"/>
        <v>11</v>
      </c>
      <c r="AT36" s="138"/>
      <c r="AU36" s="261" t="s">
        <v>12</v>
      </c>
      <c r="AV36" s="598"/>
      <c r="AW36" s="645" t="str">
        <f t="shared" si="15"/>
        <v>EUR1E3E8Y=ICAP</v>
      </c>
      <c r="AX36" s="598"/>
      <c r="AY36" s="598"/>
      <c r="AZ36" s="598"/>
      <c r="BA36" s="264">
        <v>11.9</v>
      </c>
      <c r="BB36" s="264">
        <v>0</v>
      </c>
      <c r="BC36" s="270"/>
      <c r="BD36" s="257">
        <f t="shared" si="16"/>
        <v>11.9</v>
      </c>
      <c r="BF36" s="138"/>
      <c r="BG36" s="261" t="s">
        <v>12</v>
      </c>
      <c r="BH36" s="598"/>
      <c r="BI36" s="645" t="str">
        <f t="shared" si="17"/>
        <v>EUEONEU3E8Y=ICAP</v>
      </c>
      <c r="BJ36" s="598"/>
      <c r="BK36" s="598"/>
      <c r="BL36" s="598"/>
      <c r="BM36" s="264">
        <v>19</v>
      </c>
      <c r="BN36" s="264">
        <v>24</v>
      </c>
      <c r="BO36" s="263"/>
      <c r="BP36" s="267">
        <f t="shared" si="20"/>
        <v>21.5</v>
      </c>
    </row>
    <row r="37" spans="5:68">
      <c r="W37" s="261" t="s">
        <v>13</v>
      </c>
      <c r="Y37" s="623" t="str">
        <f>"EURAB6E"&amp;W37&amp;"="</f>
        <v>EURAB6E9Y=</v>
      </c>
      <c r="AC37" s="268">
        <v>3.3689999999999998</v>
      </c>
      <c r="AD37" s="268">
        <v>3.3489999999999998</v>
      </c>
      <c r="AE37" s="137"/>
      <c r="AF37" s="258">
        <f t="shared" si="12"/>
        <v>3.359</v>
      </c>
      <c r="AH37" s="138"/>
      <c r="AI37" s="261" t="s">
        <v>13</v>
      </c>
      <c r="AJ37" s="598"/>
      <c r="AK37" s="623" t="str">
        <f t="shared" si="13"/>
        <v>EUR3E6E9Y=ICAP</v>
      </c>
      <c r="AO37" s="264">
        <v>10.1</v>
      </c>
      <c r="AP37" s="264">
        <v>11.1</v>
      </c>
      <c r="AQ37" s="270"/>
      <c r="AR37" s="267">
        <f t="shared" si="14"/>
        <v>10.6</v>
      </c>
      <c r="AT37" s="138"/>
      <c r="AU37" s="261" t="s">
        <v>13</v>
      </c>
      <c r="AV37" s="598"/>
      <c r="AW37" s="645" t="str">
        <f t="shared" si="15"/>
        <v>EUR1E3E9Y=ICAP</v>
      </c>
      <c r="AX37" s="598"/>
      <c r="AY37" s="598"/>
      <c r="AZ37" s="598"/>
      <c r="BA37" s="264">
        <v>11.7</v>
      </c>
      <c r="BB37" s="264">
        <v>0</v>
      </c>
      <c r="BC37" s="270"/>
      <c r="BD37" s="257">
        <f t="shared" si="16"/>
        <v>11.7</v>
      </c>
      <c r="BF37" s="138"/>
      <c r="BG37" s="261" t="s">
        <v>13</v>
      </c>
      <c r="BH37" s="598"/>
      <c r="BI37" s="645" t="str">
        <f t="shared" si="17"/>
        <v>EUEONEU3E9Y=ICAP</v>
      </c>
      <c r="BJ37" s="598"/>
      <c r="BK37" s="598"/>
      <c r="BL37" s="598"/>
      <c r="BM37" s="264">
        <v>18.5</v>
      </c>
      <c r="BN37" s="264">
        <v>23.5</v>
      </c>
      <c r="BO37" s="263"/>
      <c r="BP37" s="267">
        <f t="shared" si="20"/>
        <v>21</v>
      </c>
    </row>
    <row r="38" spans="5:68">
      <c r="W38" s="261" t="s">
        <v>14</v>
      </c>
      <c r="Y38" s="623" t="str">
        <f>"EURAB6E"&amp;W38&amp;"="</f>
        <v>EURAB6E10Y=</v>
      </c>
      <c r="AC38" s="268">
        <v>3.4449999999999998</v>
      </c>
      <c r="AD38" s="268">
        <v>3.4349999999999996</v>
      </c>
      <c r="AE38" s="137"/>
      <c r="AF38" s="258">
        <f t="shared" si="12"/>
        <v>3.4399999999999995</v>
      </c>
      <c r="AH38" s="138"/>
      <c r="AI38" s="261" t="s">
        <v>14</v>
      </c>
      <c r="AJ38" s="598"/>
      <c r="AK38" s="623" t="str">
        <f t="shared" si="13"/>
        <v>EUR3E6E10Y=ICAP</v>
      </c>
      <c r="AO38" s="264">
        <v>9.6999999999999993</v>
      </c>
      <c r="AP38" s="264">
        <v>10.7</v>
      </c>
      <c r="AQ38" s="270"/>
      <c r="AR38" s="267">
        <f t="shared" si="14"/>
        <v>10.199999999999999</v>
      </c>
      <c r="AT38" s="138"/>
      <c r="AU38" s="261" t="s">
        <v>14</v>
      </c>
      <c r="AV38" s="598"/>
      <c r="AW38" s="645" t="str">
        <f t="shared" si="15"/>
        <v>EUR1E3E10Y=ICAP</v>
      </c>
      <c r="AX38" s="598"/>
      <c r="AY38" s="598"/>
      <c r="AZ38" s="598"/>
      <c r="BA38" s="264">
        <v>11.5</v>
      </c>
      <c r="BB38" s="264">
        <v>0</v>
      </c>
      <c r="BC38" s="270"/>
      <c r="BD38" s="257">
        <f t="shared" si="16"/>
        <v>11.5</v>
      </c>
      <c r="BF38" s="138"/>
      <c r="BG38" s="261" t="s">
        <v>14</v>
      </c>
      <c r="BH38" s="598"/>
      <c r="BI38" s="645" t="str">
        <f t="shared" si="17"/>
        <v>EUEONEU3E10Y=ICAP</v>
      </c>
      <c r="BJ38" s="598"/>
      <c r="BK38" s="598"/>
      <c r="BL38" s="598"/>
      <c r="BM38" s="264">
        <v>18.100000000000001</v>
      </c>
      <c r="BN38" s="264">
        <v>23.1</v>
      </c>
      <c r="BO38" s="263"/>
      <c r="BP38" s="267">
        <f t="shared" si="20"/>
        <v>20.6</v>
      </c>
    </row>
    <row r="39" spans="5:68">
      <c r="W39" s="261" t="s">
        <v>214</v>
      </c>
      <c r="Y39" s="623"/>
      <c r="AC39" s="268"/>
      <c r="AD39" s="268"/>
      <c r="AE39" s="137"/>
      <c r="AF39" s="258">
        <f>IF(ISNUMBER(AE39),AE39,AVERAGE(AF38,AF40))</f>
        <v>3.5134999999999996</v>
      </c>
      <c r="AH39" s="138"/>
      <c r="AI39" s="261" t="s">
        <v>214</v>
      </c>
      <c r="AJ39" s="598"/>
      <c r="AK39" s="623" t="str">
        <f t="shared" si="13"/>
        <v>EUR3E6E11Y=ICAP</v>
      </c>
      <c r="AO39" s="264">
        <v>9.3000000000000007</v>
      </c>
      <c r="AP39" s="264">
        <v>10.3</v>
      </c>
      <c r="AQ39" s="270"/>
      <c r="AR39" s="267">
        <f t="shared" si="14"/>
        <v>9.8000000000000007</v>
      </c>
      <c r="AT39" s="138"/>
      <c r="AU39" s="261" t="s">
        <v>214</v>
      </c>
      <c r="AV39" s="598"/>
      <c r="AW39" s="645" t="str">
        <f t="shared" si="15"/>
        <v>EUR1E3E11Y=ICAP</v>
      </c>
      <c r="AX39" s="598"/>
      <c r="AY39" s="598"/>
      <c r="AZ39" s="598"/>
      <c r="BA39" s="264">
        <v>11.3</v>
      </c>
      <c r="BB39" s="264">
        <v>0</v>
      </c>
      <c r="BC39" s="270"/>
      <c r="BD39" s="257">
        <f t="shared" si="16"/>
        <v>11.3</v>
      </c>
      <c r="BF39" s="138"/>
      <c r="BG39" s="261" t="s">
        <v>214</v>
      </c>
      <c r="BH39" s="598"/>
      <c r="BI39" s="645" t="str">
        <f t="shared" si="17"/>
        <v>EUEONEU3E11Y=ICAP</v>
      </c>
      <c r="BJ39" s="598"/>
      <c r="BK39" s="598"/>
      <c r="BL39" s="598"/>
      <c r="BM39" s="264">
        <v>17.600000000000001</v>
      </c>
      <c r="BN39" s="264">
        <v>22.6</v>
      </c>
      <c r="BO39" s="263"/>
      <c r="BP39" s="267">
        <f t="shared" si="20"/>
        <v>20.100000000000001</v>
      </c>
    </row>
    <row r="40" spans="5:68">
      <c r="E40" s="585" t="s">
        <v>424</v>
      </c>
      <c r="G40" s="280">
        <v>1</v>
      </c>
      <c r="W40" s="261" t="s">
        <v>15</v>
      </c>
      <c r="Y40" s="623" t="str">
        <f>"EURAB6E"&amp;W40&amp;"="</f>
        <v>EURAB6E12Y=</v>
      </c>
      <c r="AC40" s="268">
        <v>3.597</v>
      </c>
      <c r="AD40" s="268">
        <v>3.577</v>
      </c>
      <c r="AE40" s="137"/>
      <c r="AF40" s="258">
        <f t="shared" ref="AF40:AF48" si="21">IF(ISNUMBER(AE40),AE40,AVERAGE(AC40:AD40))</f>
        <v>3.5869999999999997</v>
      </c>
      <c r="AH40" s="138"/>
      <c r="AI40" s="261" t="s">
        <v>15</v>
      </c>
      <c r="AJ40" s="598"/>
      <c r="AK40" s="623" t="str">
        <f t="shared" si="13"/>
        <v>EUR3E6E12Y=ICAP</v>
      </c>
      <c r="AO40" s="264">
        <v>8.9</v>
      </c>
      <c r="AP40" s="264">
        <v>9.9</v>
      </c>
      <c r="AQ40" s="270"/>
      <c r="AR40" s="267">
        <f t="shared" si="14"/>
        <v>9.4</v>
      </c>
      <c r="AT40" s="138"/>
      <c r="AU40" s="261" t="s">
        <v>15</v>
      </c>
      <c r="AV40" s="598"/>
      <c r="AW40" s="645" t="str">
        <f t="shared" si="15"/>
        <v>EUR1E3E12Y=ICAP</v>
      </c>
      <c r="AX40" s="598"/>
      <c r="AY40" s="598"/>
      <c r="AZ40" s="598"/>
      <c r="BA40" s="264">
        <v>11.1</v>
      </c>
      <c r="BB40" s="264">
        <v>0</v>
      </c>
      <c r="BC40" s="270"/>
      <c r="BD40" s="257">
        <f t="shared" si="16"/>
        <v>11.1</v>
      </c>
      <c r="BF40" s="138"/>
      <c r="BG40" s="261" t="s">
        <v>15</v>
      </c>
      <c r="BH40" s="598"/>
      <c r="BI40" s="645" t="str">
        <f t="shared" si="17"/>
        <v>EUEONEU3E12Y=ICAP</v>
      </c>
      <c r="BJ40" s="598"/>
      <c r="BK40" s="598"/>
      <c r="BL40" s="598"/>
      <c r="BM40" s="264">
        <v>17.100000000000001</v>
      </c>
      <c r="BN40" s="264">
        <v>22.1</v>
      </c>
      <c r="BO40" s="263"/>
      <c r="BP40" s="267">
        <f t="shared" si="20"/>
        <v>19.600000000000001</v>
      </c>
    </row>
    <row r="41" spans="5:68">
      <c r="W41" s="261" t="s">
        <v>241</v>
      </c>
      <c r="Y41" s="623"/>
      <c r="AC41" s="268"/>
      <c r="AD41" s="268"/>
      <c r="AE41" s="137"/>
      <c r="AF41" s="258">
        <f>IF(ISNUMBER(AE41),AE41,(AF43-AF40)/3+AF40)</f>
        <v>3.640333333333333</v>
      </c>
      <c r="AH41" s="138"/>
      <c r="AI41" s="261" t="s">
        <v>16</v>
      </c>
      <c r="AJ41" s="598"/>
      <c r="AK41" s="623" t="str">
        <f t="shared" si="13"/>
        <v>EUR3E6E15Y=ICAP</v>
      </c>
      <c r="AO41" s="264">
        <v>7.9</v>
      </c>
      <c r="AP41" s="264">
        <v>8.9</v>
      </c>
      <c r="AQ41" s="270"/>
      <c r="AR41" s="267">
        <f t="shared" si="14"/>
        <v>8.4</v>
      </c>
      <c r="AT41" s="138"/>
      <c r="AU41" s="261" t="s">
        <v>16</v>
      </c>
      <c r="AV41" s="598"/>
      <c r="AW41" s="645" t="str">
        <f t="shared" si="15"/>
        <v>EUR1E3E15Y=ICAP</v>
      </c>
      <c r="AX41" s="598"/>
      <c r="AY41" s="598"/>
      <c r="AZ41" s="598"/>
      <c r="BA41" s="264">
        <v>10.3</v>
      </c>
      <c r="BB41" s="264">
        <v>0</v>
      </c>
      <c r="BC41" s="270"/>
      <c r="BD41" s="257">
        <f t="shared" si="16"/>
        <v>10.3</v>
      </c>
      <c r="BF41" s="138"/>
      <c r="BG41" s="261" t="s">
        <v>16</v>
      </c>
      <c r="BH41" s="598"/>
      <c r="BI41" s="645" t="str">
        <f t="shared" si="17"/>
        <v>EUEONEU3E15Y=ICAP</v>
      </c>
      <c r="BJ41" s="598"/>
      <c r="BK41" s="598"/>
      <c r="BL41" s="598"/>
      <c r="BM41" s="264">
        <v>15.8</v>
      </c>
      <c r="BN41" s="264">
        <v>20.8</v>
      </c>
      <c r="BO41" s="263"/>
      <c r="BP41" s="267">
        <f t="shared" si="20"/>
        <v>18.3</v>
      </c>
    </row>
    <row r="42" spans="5:68">
      <c r="W42" s="261" t="s">
        <v>242</v>
      </c>
      <c r="Y42" s="623"/>
      <c r="AC42" s="268"/>
      <c r="AD42" s="268"/>
      <c r="AE42" s="137"/>
      <c r="AF42" s="258">
        <f>IF(ISNUMBER(AE42),AE42,AVERAGE(AF41,AF43))</f>
        <v>3.6936666666666662</v>
      </c>
      <c r="AH42" s="138"/>
      <c r="AI42" s="261" t="s">
        <v>17</v>
      </c>
      <c r="AJ42" s="598"/>
      <c r="AK42" s="623" t="str">
        <f t="shared" si="13"/>
        <v>EUR3E6E20Y=ICAP</v>
      </c>
      <c r="AO42" s="264">
        <v>6.8</v>
      </c>
      <c r="AP42" s="264">
        <v>7.8</v>
      </c>
      <c r="AQ42" s="270"/>
      <c r="AR42" s="267">
        <f t="shared" si="14"/>
        <v>7.3</v>
      </c>
      <c r="AT42" s="138"/>
      <c r="AU42" s="261" t="s">
        <v>17</v>
      </c>
      <c r="AV42" s="598"/>
      <c r="AW42" s="645" t="str">
        <f t="shared" si="15"/>
        <v>EUR1E3E20Y=ICAP</v>
      </c>
      <c r="AX42" s="598"/>
      <c r="AY42" s="598"/>
      <c r="AZ42" s="598"/>
      <c r="BA42" s="264">
        <v>9.3000000000000007</v>
      </c>
      <c r="BB42" s="264">
        <v>0</v>
      </c>
      <c r="BC42" s="270"/>
      <c r="BD42" s="257">
        <f t="shared" si="16"/>
        <v>9.3000000000000007</v>
      </c>
      <c r="BF42" s="138"/>
      <c r="BG42" s="261" t="s">
        <v>17</v>
      </c>
      <c r="BH42" s="598"/>
      <c r="BI42" s="645" t="str">
        <f t="shared" si="17"/>
        <v>EUEONEU3E20Y=ICAP</v>
      </c>
      <c r="BJ42" s="598"/>
      <c r="BK42" s="598"/>
      <c r="BL42" s="598"/>
      <c r="BM42" s="264">
        <v>14.3</v>
      </c>
      <c r="BN42" s="264">
        <v>19.3</v>
      </c>
      <c r="BO42" s="263"/>
      <c r="BP42" s="267">
        <f t="shared" si="18"/>
        <v>16.8</v>
      </c>
    </row>
    <row r="43" spans="5:68">
      <c r="W43" s="261" t="s">
        <v>16</v>
      </c>
      <c r="Y43" s="623" t="str">
        <f>"EURAB6E"&amp;W43&amp;"="</f>
        <v>EURAB6E15Y=</v>
      </c>
      <c r="AC43" s="268">
        <v>3.7570000000000001</v>
      </c>
      <c r="AD43" s="268">
        <v>3.7370000000000001</v>
      </c>
      <c r="AE43" s="137"/>
      <c r="AF43" s="258">
        <f t="shared" si="21"/>
        <v>3.7469999999999999</v>
      </c>
      <c r="AH43" s="138"/>
      <c r="AI43" s="261" t="s">
        <v>18</v>
      </c>
      <c r="AJ43" s="598"/>
      <c r="AK43" s="623" t="str">
        <f t="shared" si="13"/>
        <v>EUR3E6E25Y=ICAP</v>
      </c>
      <c r="AO43" s="264">
        <v>6.2</v>
      </c>
      <c r="AP43" s="264">
        <v>7.2</v>
      </c>
      <c r="AQ43" s="270"/>
      <c r="AR43" s="267">
        <f t="shared" si="14"/>
        <v>6.7</v>
      </c>
      <c r="AT43" s="138"/>
      <c r="AU43" s="261" t="s">
        <v>18</v>
      </c>
      <c r="AV43" s="598"/>
      <c r="AW43" s="645" t="str">
        <f t="shared" si="15"/>
        <v>EUR1E3E25Y=ICAP</v>
      </c>
      <c r="AX43" s="598"/>
      <c r="AY43" s="598"/>
      <c r="AZ43" s="598"/>
      <c r="BA43" s="264">
        <v>8.6</v>
      </c>
      <c r="BB43" s="264">
        <v>0</v>
      </c>
      <c r="BC43" s="270"/>
      <c r="BD43" s="257">
        <f t="shared" si="16"/>
        <v>8.6</v>
      </c>
      <c r="BF43" s="138"/>
      <c r="BG43" s="261" t="s">
        <v>18</v>
      </c>
      <c r="BH43" s="598"/>
      <c r="BI43" s="645" t="str">
        <f t="shared" si="17"/>
        <v>EUEONEU3E25Y=ICAP</v>
      </c>
      <c r="BJ43" s="598"/>
      <c r="BK43" s="598"/>
      <c r="BL43" s="598"/>
      <c r="BM43" s="264">
        <v>13.2</v>
      </c>
      <c r="BN43" s="264">
        <v>18.2</v>
      </c>
      <c r="BO43" s="263"/>
      <c r="BP43" s="267">
        <f t="shared" si="18"/>
        <v>15.7</v>
      </c>
    </row>
    <row r="44" spans="5:68">
      <c r="W44" s="261" t="s">
        <v>17</v>
      </c>
      <c r="Y44" s="623" t="str">
        <f>"EURAB6E"&amp;W44&amp;"="</f>
        <v>EURAB6E20Y=</v>
      </c>
      <c r="AC44" s="268">
        <v>3.8369999999999997</v>
      </c>
      <c r="AD44" s="268">
        <v>3.827</v>
      </c>
      <c r="AE44" s="137"/>
      <c r="AF44" s="258">
        <f t="shared" si="21"/>
        <v>3.8319999999999999</v>
      </c>
      <c r="AH44" s="138"/>
      <c r="AI44" s="261" t="s">
        <v>19</v>
      </c>
      <c r="AJ44" s="598"/>
      <c r="AK44" s="623" t="str">
        <f t="shared" si="13"/>
        <v>EUR3E6E30Y=ICAP</v>
      </c>
      <c r="AO44" s="264">
        <v>5.7</v>
      </c>
      <c r="AP44" s="264">
        <v>6.7</v>
      </c>
      <c r="AQ44" s="270"/>
      <c r="AR44" s="267">
        <f t="shared" si="14"/>
        <v>6.2</v>
      </c>
      <c r="AT44" s="138"/>
      <c r="AU44" s="261" t="s">
        <v>19</v>
      </c>
      <c r="AV44" s="598"/>
      <c r="AW44" s="645" t="str">
        <f t="shared" si="15"/>
        <v>EUR1E3E30Y=ICAP</v>
      </c>
      <c r="AX44" s="598"/>
      <c r="AZ44" s="598"/>
      <c r="BA44" s="264">
        <v>8.1</v>
      </c>
      <c r="BB44" s="264">
        <v>0</v>
      </c>
      <c r="BC44" s="270"/>
      <c r="BD44" s="257">
        <f t="shared" si="16"/>
        <v>8.1</v>
      </c>
      <c r="BF44" s="138"/>
      <c r="BG44" s="261" t="s">
        <v>19</v>
      </c>
      <c r="BH44" s="598"/>
      <c r="BI44" s="645" t="str">
        <f t="shared" si="17"/>
        <v>EUEONEU3E30Y=ICAP</v>
      </c>
      <c r="BJ44" s="598"/>
      <c r="BL44" s="598"/>
      <c r="BM44" s="264">
        <v>12.3</v>
      </c>
      <c r="BN44" s="264">
        <v>17.3</v>
      </c>
      <c r="BO44" s="263"/>
      <c r="BP44" s="267">
        <f t="shared" si="18"/>
        <v>14.8</v>
      </c>
    </row>
    <row r="45" spans="5:68">
      <c r="W45" s="261" t="s">
        <v>18</v>
      </c>
      <c r="Y45" s="623" t="str">
        <f>"EURAB6E"&amp;W45&amp;"="</f>
        <v>EURAB6E25Y=</v>
      </c>
      <c r="AC45" s="268">
        <v>3.7890000000000001</v>
      </c>
      <c r="AD45" s="268">
        <v>3.7789999999999999</v>
      </c>
      <c r="AE45" s="137"/>
      <c r="AF45" s="258">
        <f t="shared" si="21"/>
        <v>3.7839999999999998</v>
      </c>
      <c r="AH45" s="138"/>
      <c r="AI45" s="261" t="s">
        <v>28</v>
      </c>
      <c r="AJ45" s="598"/>
      <c r="AK45" s="623" t="str">
        <f t="shared" si="13"/>
        <v>EUR3E6E40Y=ICAP</v>
      </c>
      <c r="AO45" s="264">
        <v>5.0999999999999996</v>
      </c>
      <c r="AP45" s="264">
        <v>6.1</v>
      </c>
      <c r="AQ45" s="137"/>
      <c r="AR45" s="267">
        <f t="shared" si="14"/>
        <v>5.6</v>
      </c>
      <c r="AT45" s="138"/>
      <c r="BH45" s="598"/>
      <c r="BI45" s="598"/>
      <c r="BJ45" s="598"/>
      <c r="BK45" s="598"/>
      <c r="BL45" s="598"/>
    </row>
    <row r="46" spans="5:68">
      <c r="W46" s="261" t="s">
        <v>19</v>
      </c>
      <c r="Y46" s="623" t="str">
        <f>"EURAB6E"&amp;W46&amp;"="</f>
        <v>EURAB6E30Y=</v>
      </c>
      <c r="AC46" s="268">
        <v>3.706</v>
      </c>
      <c r="AD46" s="268">
        <v>3.6859999999999999</v>
      </c>
      <c r="AE46" s="137"/>
      <c r="AF46" s="258">
        <f t="shared" si="21"/>
        <v>3.6959999999999997</v>
      </c>
      <c r="AH46" s="138"/>
      <c r="AI46" s="261" t="s">
        <v>213</v>
      </c>
      <c r="AJ46" s="598"/>
      <c r="AK46" s="623" t="str">
        <f t="shared" si="13"/>
        <v>EUR3E6E50Y=ICAP</v>
      </c>
      <c r="AO46" s="264">
        <v>4.7</v>
      </c>
      <c r="AP46" s="264">
        <v>5.7</v>
      </c>
      <c r="AQ46" s="137"/>
      <c r="AR46" s="267">
        <f t="shared" si="14"/>
        <v>5.2</v>
      </c>
      <c r="AT46" s="138"/>
      <c r="AV46" s="598"/>
      <c r="AW46" s="598"/>
      <c r="AX46" s="598"/>
      <c r="AY46" s="598"/>
      <c r="AZ46" s="598"/>
      <c r="BH46" s="598"/>
      <c r="BI46" s="598"/>
      <c r="BJ46" s="598"/>
      <c r="BK46" s="598"/>
      <c r="BL46" s="598"/>
    </row>
    <row r="47" spans="5:68">
      <c r="W47" s="261" t="s">
        <v>28</v>
      </c>
      <c r="Y47" s="623" t="str">
        <f>"EURAB6E"&amp;W47&amp;"="</f>
        <v>EURAB6E40Y=</v>
      </c>
      <c r="AC47" s="268">
        <v>3.585</v>
      </c>
      <c r="AD47" s="268">
        <v>3.577</v>
      </c>
      <c r="AE47" s="137"/>
      <c r="AF47" s="258">
        <f t="shared" si="21"/>
        <v>3.581</v>
      </c>
      <c r="AH47" s="138"/>
      <c r="AJ47" s="598"/>
      <c r="AT47" s="138"/>
      <c r="AV47" s="598"/>
      <c r="AW47" s="598"/>
      <c r="AX47" s="598"/>
      <c r="AY47" s="598"/>
      <c r="AZ47" s="598"/>
      <c r="BH47" s="598"/>
      <c r="BI47" s="598"/>
      <c r="BJ47" s="598"/>
      <c r="BK47" s="598"/>
      <c r="BL47" s="598"/>
    </row>
    <row r="48" spans="5:68">
      <c r="W48" s="261" t="s">
        <v>213</v>
      </c>
      <c r="Y48" s="623" t="str">
        <f>"EURAB6E"&amp;W48&amp;"="</f>
        <v>EURAB6E50Y=</v>
      </c>
      <c r="AC48" s="281">
        <v>3.5605000000000002</v>
      </c>
      <c r="AD48" s="281">
        <v>3.5305</v>
      </c>
      <c r="AE48" s="137"/>
      <c r="AF48" s="258">
        <f t="shared" si="21"/>
        <v>3.5455000000000001</v>
      </c>
      <c r="AH48" s="138"/>
      <c r="AJ48" s="598"/>
      <c r="AT48" s="138"/>
      <c r="AV48" s="598"/>
      <c r="AW48" s="598"/>
      <c r="AX48" s="598"/>
      <c r="AY48" s="598"/>
      <c r="AZ48" s="598"/>
      <c r="BH48" s="598"/>
      <c r="BI48" s="598"/>
      <c r="BJ48" s="598"/>
      <c r="BK48" s="598"/>
      <c r="BL48" s="598"/>
    </row>
    <row r="49" spans="34:64">
      <c r="AH49" s="138"/>
      <c r="AI49" s="194" t="s">
        <v>321</v>
      </c>
      <c r="AJ49" s="598"/>
      <c r="AM49" s="595" t="str">
        <f ca="1">_xll.RtUpdate("IDN",AK50:AK66,AM50:AM51,AO50)</f>
        <v>Updated at 17:03:10</v>
      </c>
      <c r="AT49" s="138"/>
      <c r="AU49" s="194" t="s">
        <v>609</v>
      </c>
      <c r="AV49" s="598"/>
      <c r="AW49" s="598"/>
      <c r="AX49" s="598"/>
      <c r="AY49" s="598"/>
      <c r="AZ49" s="598"/>
      <c r="BH49" s="598"/>
      <c r="BI49" s="598"/>
      <c r="BJ49" s="598"/>
      <c r="BK49" s="598"/>
      <c r="BL49" s="598"/>
    </row>
    <row r="50" spans="34:64">
      <c r="AH50" s="138"/>
      <c r="AI50" s="261" t="s">
        <v>26</v>
      </c>
      <c r="AJ50" s="598"/>
      <c r="AK50" s="623" t="str">
        <f t="shared" ref="AK50:AK65" si="22">"EUR3E12E"&amp;AI50&amp;"=ICAP"</f>
        <v>EUR3E12E1Y=ICAP</v>
      </c>
      <c r="AM50" s="623" t="s">
        <v>45</v>
      </c>
      <c r="AO50" s="264">
        <v>33.5</v>
      </c>
      <c r="AP50" s="264">
        <v>0</v>
      </c>
      <c r="AQ50" s="137"/>
      <c r="AR50" s="267">
        <f t="shared" ref="AR50:AR65" si="23">IF(ISNUMBER(AQ50),AQ50,AVERAGEIF(AO50:AP50,"&lt;&gt;0"))</f>
        <v>33.5</v>
      </c>
      <c r="AT50" s="138"/>
      <c r="AU50" s="139" t="s">
        <v>323</v>
      </c>
    </row>
    <row r="51" spans="34:64">
      <c r="AH51" s="138"/>
      <c r="AI51" s="261" t="s">
        <v>27</v>
      </c>
      <c r="AJ51" s="598"/>
      <c r="AK51" s="623" t="str">
        <f t="shared" si="22"/>
        <v>EUR3E12E2Y=ICAP</v>
      </c>
      <c r="AM51" s="623" t="s">
        <v>46</v>
      </c>
      <c r="AO51" s="264">
        <v>29</v>
      </c>
      <c r="AP51" s="264">
        <v>0</v>
      </c>
      <c r="AQ51" s="137"/>
      <c r="AR51" s="267">
        <f t="shared" si="23"/>
        <v>29</v>
      </c>
      <c r="AT51" s="138"/>
      <c r="AU51" s="299" t="s">
        <v>570</v>
      </c>
      <c r="BA51" s="299"/>
      <c r="BC51" s="121" t="str">
        <f>_xll.qIRcurveZeroBankReval(AU51,"EUR",Today,AF6:AF9,AR15:AR26,AI15:AI26,AF32:AF47)</f>
        <v>EUR.ZB.DISC|[Swap Pricer 1f.xlsm]EU!$BC$51#13385</v>
      </c>
    </row>
    <row r="52" spans="34:64">
      <c r="AH52" s="138"/>
      <c r="AI52" s="261" t="s">
        <v>7</v>
      </c>
      <c r="AJ52" s="598"/>
      <c r="AK52" s="623" t="str">
        <f t="shared" si="22"/>
        <v>EUR3E12E3Y=ICAP</v>
      </c>
      <c r="AO52" s="264">
        <v>27.1</v>
      </c>
      <c r="AP52" s="264">
        <v>0</v>
      </c>
      <c r="AQ52" s="137"/>
      <c r="AR52" s="267">
        <f t="shared" si="23"/>
        <v>27.1</v>
      </c>
      <c r="AT52" s="138"/>
      <c r="AU52" s="299" t="s">
        <v>571</v>
      </c>
      <c r="BA52" s="299"/>
      <c r="BC52" s="299" t="str">
        <f>_xll.qIRcurveSCBasisReval(AU52,"EUR",EUR.ZB.DISC,"1V3","SYNTHETIC",BU7:BU30)</f>
        <v>EUR.ZB.ON|[Swap Pricer 1f.xlsm]EU!$BC$52#13391</v>
      </c>
    </row>
    <row r="53" spans="34:64">
      <c r="AH53" s="138"/>
      <c r="AI53" s="261" t="s">
        <v>8</v>
      </c>
      <c r="AJ53" s="598"/>
      <c r="AK53" s="623" t="str">
        <f t="shared" si="22"/>
        <v>EUR3E12E4Y=ICAP</v>
      </c>
      <c r="AO53" s="264">
        <v>26</v>
      </c>
      <c r="AP53" s="264">
        <v>0</v>
      </c>
      <c r="AQ53" s="137"/>
      <c r="AR53" s="267">
        <f t="shared" si="23"/>
        <v>26</v>
      </c>
      <c r="AT53" s="138"/>
      <c r="AU53" s="299" t="s">
        <v>572</v>
      </c>
      <c r="BA53" s="299"/>
      <c r="BC53" s="299" t="str">
        <f>_xll.qIRcurveSCBasisReval(AU53,"EUR",EUR.ZB.DISC,"1V3","SYNTHETIC",BV7:BV30)</f>
        <v>EUR.ZB.1M|[Swap Pricer 1f.xlsm]EU!$BC$53#13390</v>
      </c>
    </row>
    <row r="54" spans="34:64">
      <c r="AH54" s="138"/>
      <c r="AI54" s="261" t="s">
        <v>9</v>
      </c>
      <c r="AJ54" s="598"/>
      <c r="AK54" s="623" t="str">
        <f t="shared" si="22"/>
        <v>EUR3E12E5Y=ICAP</v>
      </c>
      <c r="AO54" s="264">
        <v>25.1</v>
      </c>
      <c r="AP54" s="264">
        <v>0</v>
      </c>
      <c r="AQ54" s="137"/>
      <c r="AR54" s="267">
        <f t="shared" si="23"/>
        <v>25.1</v>
      </c>
      <c r="AT54" s="138"/>
      <c r="AU54" s="299" t="s">
        <v>573</v>
      </c>
      <c r="BA54" s="299"/>
      <c r="BC54" s="299" t="str">
        <f>EUR.ZB.DISC</f>
        <v>EUR.ZB.DISC|[Swap Pricer 1f.xlsm]EU!$BC$51#13385</v>
      </c>
    </row>
    <row r="55" spans="34:64">
      <c r="AH55" s="138"/>
      <c r="AI55" s="261" t="s">
        <v>10</v>
      </c>
      <c r="AJ55" s="598"/>
      <c r="AK55" s="623" t="str">
        <f t="shared" si="22"/>
        <v>EUR3E12E6Y=ICAP</v>
      </c>
      <c r="AO55" s="264">
        <v>24.2</v>
      </c>
      <c r="AP55" s="264">
        <v>0</v>
      </c>
      <c r="AQ55" s="137"/>
      <c r="AR55" s="267">
        <f t="shared" si="23"/>
        <v>24.2</v>
      </c>
      <c r="AT55" s="138"/>
      <c r="AU55" s="299" t="s">
        <v>574</v>
      </c>
      <c r="BA55" s="299"/>
      <c r="BC55" s="299" t="str">
        <f>_xll.qIRcurveSCBasisReval(AU55,"EUR",EUR.ZB.DISC,"3V6","SYNTHETIC",BW7:BW30)</f>
        <v>EUR.ZB.6M|[Swap Pricer 1f.xlsm]EU!$BC$55#13388</v>
      </c>
    </row>
    <row r="56" spans="34:64">
      <c r="AH56" s="138"/>
      <c r="AI56" s="261" t="s">
        <v>11</v>
      </c>
      <c r="AJ56" s="598"/>
      <c r="AK56" s="623" t="str">
        <f t="shared" si="22"/>
        <v>EUR3E12E7Y=ICAP</v>
      </c>
      <c r="AO56" s="264">
        <v>23.3</v>
      </c>
      <c r="AP56" s="264">
        <v>0</v>
      </c>
      <c r="AQ56" s="137"/>
      <c r="AR56" s="267">
        <f t="shared" si="23"/>
        <v>23.3</v>
      </c>
      <c r="AT56" s="138"/>
      <c r="AU56" s="299" t="s">
        <v>575</v>
      </c>
      <c r="BA56" s="299"/>
      <c r="BC56" s="299" t="str">
        <f>_xll.qIRcurveSCBasisReval(AU56,"EUR",EUR.ZB.DISC,"3V12","SYNTHETIC",BX7:BX30)</f>
        <v>EUR.ZB.1Y|[Swap Pricer 1f.xlsm]EU!$BC$56#13389</v>
      </c>
    </row>
    <row r="57" spans="34:64">
      <c r="AH57" s="138"/>
      <c r="AI57" s="261" t="s">
        <v>12</v>
      </c>
      <c r="AJ57" s="598"/>
      <c r="AK57" s="623" t="str">
        <f t="shared" si="22"/>
        <v>EUR3E12E8Y=ICAP</v>
      </c>
      <c r="AO57" s="264">
        <v>22.4</v>
      </c>
      <c r="AP57" s="264">
        <v>0</v>
      </c>
      <c r="AQ57" s="137"/>
      <c r="AR57" s="267">
        <f t="shared" si="23"/>
        <v>22.4</v>
      </c>
      <c r="AT57" s="138"/>
    </row>
    <row r="58" spans="34:64">
      <c r="AH58" s="138"/>
      <c r="AI58" s="261" t="s">
        <v>13</v>
      </c>
      <c r="AJ58" s="598"/>
      <c r="AK58" s="623" t="str">
        <f t="shared" si="22"/>
        <v>EUR3E12E9Y=ICAP</v>
      </c>
      <c r="AO58" s="264">
        <v>21.5</v>
      </c>
      <c r="AP58" s="264">
        <v>0</v>
      </c>
      <c r="AQ58" s="137"/>
      <c r="AR58" s="267">
        <f t="shared" si="23"/>
        <v>21.5</v>
      </c>
      <c r="AT58" s="138"/>
      <c r="AU58" s="581" t="s">
        <v>583</v>
      </c>
    </row>
    <row r="59" spans="34:64">
      <c r="AH59" s="138"/>
      <c r="AI59" s="261" t="s">
        <v>14</v>
      </c>
      <c r="AK59" s="623" t="str">
        <f t="shared" si="22"/>
        <v>EUR3E12E10Y=ICAP</v>
      </c>
      <c r="AO59" s="264">
        <v>20.6</v>
      </c>
      <c r="AP59" s="264">
        <v>0</v>
      </c>
      <c r="AQ59" s="137"/>
      <c r="AR59" s="267">
        <f t="shared" si="23"/>
        <v>20.6</v>
      </c>
      <c r="AT59" s="138"/>
      <c r="AU59" t="s">
        <v>584</v>
      </c>
      <c r="BC59" s="299" t="str">
        <f>_xll.qIRcurveXCBasisReval("EUR.ZBX.DISC",EUR.ZB.DISC,"MARKET",FX!AB32:AB44,USD.ZB.DISC,FxcurveEUR)</f>
        <v>EUR.ZBX.DISC|[Swap Pricer 1f.xlsm]EU!$BC$59#13387</v>
      </c>
    </row>
    <row r="60" spans="34:64">
      <c r="AH60" s="138"/>
      <c r="AI60" s="261" t="s">
        <v>214</v>
      </c>
      <c r="AK60" s="623" t="str">
        <f t="shared" si="22"/>
        <v>EUR3E12E11Y=ICAP</v>
      </c>
      <c r="AO60" s="264">
        <v>19.8</v>
      </c>
      <c r="AP60" s="264">
        <v>0</v>
      </c>
      <c r="AQ60" s="137"/>
      <c r="AR60" s="267">
        <f t="shared" si="23"/>
        <v>19.8</v>
      </c>
      <c r="AT60" s="138"/>
      <c r="AU60" t="s">
        <v>585</v>
      </c>
      <c r="BC60" s="299" t="str">
        <f t="array" ref="BC60:BC64">BC52:BC56</f>
        <v>EUR.ZB.ON|[Swap Pricer 1f.xlsm]EU!$BC$52#13391</v>
      </c>
    </row>
    <row r="61" spans="34:64">
      <c r="AH61" s="138"/>
      <c r="AI61" s="261" t="s">
        <v>15</v>
      </c>
      <c r="AK61" s="623" t="str">
        <f t="shared" si="22"/>
        <v>EUR3E12E12Y=ICAP</v>
      </c>
      <c r="AO61" s="264">
        <v>19</v>
      </c>
      <c r="AP61" s="264">
        <v>0</v>
      </c>
      <c r="AQ61" s="137"/>
      <c r="AR61" s="267">
        <f t="shared" si="23"/>
        <v>19</v>
      </c>
      <c r="AT61" s="138"/>
      <c r="AU61" t="s">
        <v>586</v>
      </c>
      <c r="BC61" s="299" t="str">
        <v>EUR.ZB.1M|[Swap Pricer 1f.xlsm]EU!$BC$53#13390</v>
      </c>
    </row>
    <row r="62" spans="34:64">
      <c r="AH62" s="138"/>
      <c r="AI62" s="261" t="s">
        <v>16</v>
      </c>
      <c r="AK62" s="623" t="str">
        <f t="shared" si="22"/>
        <v>EUR3E12E15Y=ICAP</v>
      </c>
      <c r="AO62" s="264">
        <v>17</v>
      </c>
      <c r="AP62" s="264">
        <v>0</v>
      </c>
      <c r="AQ62" s="137"/>
      <c r="AR62" s="267">
        <f t="shared" si="23"/>
        <v>17</v>
      </c>
      <c r="AT62" s="138"/>
      <c r="AU62" t="s">
        <v>587</v>
      </c>
      <c r="BC62" s="299" t="str">
        <v>EUR.ZB.DISC|[Swap Pricer 1f.xlsm]EU!$BC$51#13385</v>
      </c>
    </row>
    <row r="63" spans="34:64">
      <c r="AH63" s="138"/>
      <c r="AI63" s="261" t="s">
        <v>17</v>
      </c>
      <c r="AK63" s="623" t="str">
        <f t="shared" si="22"/>
        <v>EUR3E12E20Y=ICAP</v>
      </c>
      <c r="AO63" s="264">
        <v>14.7</v>
      </c>
      <c r="AP63" s="264">
        <v>0</v>
      </c>
      <c r="AQ63" s="137"/>
      <c r="AR63" s="267">
        <f t="shared" si="23"/>
        <v>14.7</v>
      </c>
      <c r="AT63" s="138"/>
      <c r="AU63" t="s">
        <v>588</v>
      </c>
      <c r="BC63" s="299" t="str">
        <v>EUR.ZB.6M|[Swap Pricer 1f.xlsm]EU!$BC$55#13388</v>
      </c>
    </row>
    <row r="64" spans="34:64">
      <c r="AH64" s="138"/>
      <c r="AI64" s="261" t="s">
        <v>18</v>
      </c>
      <c r="AK64" s="623" t="str">
        <f t="shared" si="22"/>
        <v>EUR3E12E25Y=ICAP</v>
      </c>
      <c r="AO64" s="264">
        <v>13.4</v>
      </c>
      <c r="AP64" s="264">
        <v>0</v>
      </c>
      <c r="AQ64" s="137"/>
      <c r="AR64" s="267">
        <f t="shared" si="23"/>
        <v>13.4</v>
      </c>
      <c r="AT64" s="138"/>
      <c r="AU64" t="s">
        <v>589</v>
      </c>
      <c r="BC64" s="299" t="str">
        <v>EUR.ZB.1Y|[Swap Pricer 1f.xlsm]EU!$BC$56#13389</v>
      </c>
    </row>
    <row r="65" spans="34:46">
      <c r="AH65" s="138"/>
      <c r="AI65" s="261" t="s">
        <v>19</v>
      </c>
      <c r="AK65" s="623" t="str">
        <f t="shared" si="22"/>
        <v>EUR3E12E30Y=ICAP</v>
      </c>
      <c r="AO65" s="264">
        <v>12.5</v>
      </c>
      <c r="AP65" s="264">
        <v>0</v>
      </c>
      <c r="AQ65" s="137"/>
      <c r="AR65" s="267">
        <f t="shared" si="23"/>
        <v>12.5</v>
      </c>
      <c r="AT65" s="138"/>
    </row>
  </sheetData>
  <sheetProtection sheet="1" scenarios="1" autoFilter="0" pivotTables="0"/>
  <mergeCells count="1">
    <mergeCell ref="BC4:BD4"/>
  </mergeCells>
  <conditionalFormatting sqref="CT9:CT18 BO29:BO44 BO10:BO21 BC19:BC26 BC10:BC15 BC29:BC44 AQ29:AQ46 AQ50:AQ65 AE15:AE26 AE29:AE48 AE6:AE12">
    <cfRule type="cellIs" dxfId="29" priority="2" operator="notEqual">
      <formula>""</formula>
    </cfRule>
  </conditionalFormatting>
  <conditionalFormatting sqref="CT4 BC6">
    <cfRule type="expression" dxfId="28" priority="1">
      <formula>PPP_Global&lt;&gt;"LOCAL"</formula>
    </cfRule>
  </conditionalFormatting>
  <dataValidations disablePrompts="1" count="1">
    <dataValidation type="list" allowBlank="1" showInputMessage="1" showErrorMessage="1" promptTitle="Reuters Update Frequency" prompt="Throttles the frequency of Reuters updates.  To SNAP more than once, switch to STOP and then back to SNAP again" sqref="CT4 BC6">
      <formula1>"5s,15s,30s,1m,30m,1h,STOP,SNAP"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tGB">
    <outlinePr showOutlineSymbols="0"/>
  </sheetPr>
  <dimension ref="A1:DY65"/>
  <sheetViews>
    <sheetView showGridLines="0" showRowColHeaders="0" showZeros="0" showOutlineSymbols="0" zoomScaleNormal="100" workbookViewId="0">
      <pane xSplit="3" topLeftCell="D1" activePane="topRight" state="frozen"/>
      <selection pane="topRight" activeCell="V1" sqref="V1"/>
    </sheetView>
  </sheetViews>
  <sheetFormatPr defaultRowHeight="12.75" outlineLevelCol="2"/>
  <cols>
    <col min="1" max="1" width="1.7109375" style="214" customWidth="1"/>
    <col min="2" max="2" width="7.7109375" style="214" customWidth="1"/>
    <col min="3" max="3" width="1.7109375" style="214" customWidth="1"/>
    <col min="4" max="4" width="2.7109375" style="596" hidden="1" customWidth="1" outlineLevel="2"/>
    <col min="5" max="5" width="10" style="596" hidden="1" customWidth="1" outlineLevel="2"/>
    <col min="6" max="6" width="3.5703125" style="596" hidden="1" customWidth="1" outlineLevel="2"/>
    <col min="7" max="7" width="9.5703125" style="596" hidden="1" customWidth="1" outlineLevel="2"/>
    <col min="8" max="8" width="1.7109375" style="632" hidden="1" customWidth="1" outlineLevel="2"/>
    <col min="9" max="9" width="10.5703125" style="596" hidden="1" customWidth="1" outlineLevel="2"/>
    <col min="10" max="10" width="1.7109375" style="632" hidden="1" customWidth="1" outlineLevel="2"/>
    <col min="11" max="11" width="17.85546875" style="596" hidden="1" customWidth="1" outlineLevel="2"/>
    <col min="12" max="12" width="8.42578125" style="620" hidden="1" customWidth="1" outlineLevel="2"/>
    <col min="13" max="15" width="6.7109375" style="643" hidden="1" customWidth="1" outlineLevel="2"/>
    <col min="16" max="16" width="1.7109375" style="632" hidden="1" customWidth="1" outlineLevel="2"/>
    <col min="17" max="17" width="8" style="620" hidden="1" customWidth="1" outlineLevel="2"/>
    <col min="18" max="20" width="6.7109375" style="632" hidden="1" customWidth="1" outlineLevel="2"/>
    <col min="21" max="21" width="2.7109375" style="596" hidden="1" customWidth="1" outlineLevel="2"/>
    <col min="22" max="22" width="3.7109375" customWidth="1" collapsed="1"/>
    <col min="23" max="23" width="3.7109375" customWidth="1"/>
    <col min="24" max="24" width="1.7109375" style="596" hidden="1" customWidth="1" outlineLevel="2"/>
    <col min="25" max="25" width="11.42578125" style="596" hidden="1" customWidth="1" outlineLevel="1"/>
    <col min="26" max="26" width="1.7109375" style="596" hidden="1" customWidth="1" outlineLevel="2"/>
    <col min="27" max="27" width="9.5703125" style="596" hidden="1" customWidth="1" outlineLevel="2"/>
    <col min="28" max="28" width="1.7109375" style="596" hidden="1" customWidth="1" outlineLevel="2"/>
    <col min="29" max="29" width="6.7109375" style="129" customWidth="1" collapsed="1"/>
    <col min="30" max="30" width="6.7109375" style="129" customWidth="1"/>
    <col min="31" max="31" width="6.7109375" style="128" customWidth="1"/>
    <col min="32" max="32" width="6.7109375" style="258" customWidth="1"/>
    <col min="33" max="34" width="2.7109375" customWidth="1"/>
    <col min="35" max="35" width="3.7109375" customWidth="1"/>
    <col min="36" max="36" width="1.7109375" style="596" hidden="1" customWidth="1" outlineLevel="2"/>
    <col min="37" max="37" width="14" style="596" hidden="1" customWidth="1" outlineLevel="1"/>
    <col min="38" max="38" width="1.7109375" style="596" hidden="1" customWidth="1" outlineLevel="2"/>
    <col min="39" max="39" width="9.85546875" style="596" hidden="1" customWidth="1" outlineLevel="2"/>
    <col min="40" max="40" width="1.7109375" style="596" hidden="1" customWidth="1" outlineLevel="2"/>
    <col min="41" max="41" width="6.7109375" style="195" customWidth="1" collapsed="1"/>
    <col min="42" max="42" width="6.7109375" style="195" customWidth="1"/>
    <col min="43" max="43" width="6.7109375" customWidth="1"/>
    <col min="44" max="44" width="6.7109375" style="267" customWidth="1"/>
    <col min="45" max="46" width="2.7109375" customWidth="1"/>
    <col min="47" max="47" width="3.7109375" customWidth="1"/>
    <col min="48" max="48" width="1.7109375" style="596" hidden="1" customWidth="1" outlineLevel="2"/>
    <col min="49" max="49" width="13.140625" style="596" hidden="1" customWidth="1" outlineLevel="1"/>
    <col min="50" max="50" width="1.7109375" style="596" hidden="1" customWidth="1" outlineLevel="2"/>
    <col min="51" max="51" width="6.85546875" style="596" hidden="1" customWidth="1" outlineLevel="2"/>
    <col min="52" max="52" width="1.7109375" style="596" hidden="1" customWidth="1" outlineLevel="2"/>
    <col min="53" max="53" width="6.7109375" style="195" customWidth="1" collapsed="1"/>
    <col min="54" max="55" width="6.7109375" style="195" customWidth="1"/>
    <col min="56" max="56" width="6.7109375" style="257" customWidth="1"/>
    <col min="57" max="58" width="2.7109375" customWidth="1"/>
    <col min="59" max="59" width="3.7109375" customWidth="1"/>
    <col min="60" max="60" width="1.7109375" style="596" hidden="1" customWidth="1" outlineLevel="2"/>
    <col min="61" max="61" width="17.7109375" style="596" hidden="1" customWidth="1" outlineLevel="1"/>
    <col min="62" max="62" width="1.7109375" style="596" hidden="1" customWidth="1" outlineLevel="2"/>
    <col min="63" max="63" width="8.42578125" style="596" hidden="1" customWidth="1" outlineLevel="2"/>
    <col min="64" max="64" width="1.7109375" style="596" hidden="1" customWidth="1" outlineLevel="2"/>
    <col min="65" max="65" width="6.7109375" style="195" customWidth="1" collapsed="1"/>
    <col min="66" max="66" width="6.7109375" style="195" customWidth="1"/>
    <col min="67" max="67" width="6.7109375" style="257" customWidth="1"/>
    <col min="68" max="68" width="6.7109375" style="267" customWidth="1"/>
    <col min="69" max="69" width="2.7109375" customWidth="1"/>
    <col min="70" max="70" width="5.7109375" customWidth="1"/>
    <col min="71" max="71" width="26.5703125" customWidth="1"/>
    <col min="72" max="72" width="7.7109375" style="301" customWidth="1"/>
    <col min="73" max="76" width="7.7109375" style="195" customWidth="1"/>
    <col min="77" max="77" width="5.140625" customWidth="1"/>
    <col min="78" max="78" width="12.5703125" bestFit="1" customWidth="1"/>
    <col min="79" max="79" width="7.7109375" bestFit="1" customWidth="1"/>
    <col min="80" max="80" width="7.42578125" bestFit="1" customWidth="1"/>
    <col min="81" max="81" width="10.7109375" bestFit="1" customWidth="1"/>
    <col min="82" max="82" width="10.42578125" bestFit="1" customWidth="1"/>
    <col min="83" max="86" width="6.28515625" bestFit="1" customWidth="1"/>
    <col min="87" max="88" width="3.7109375" customWidth="1"/>
    <col min="89" max="89" width="3.5703125" style="485" hidden="1" customWidth="1" outlineLevel="2"/>
    <col min="90" max="90" width="14.85546875" style="215" hidden="1" customWidth="1" outlineLevel="2"/>
    <col min="91" max="91" width="1.7109375" style="215" hidden="1" customWidth="1" outlineLevel="2"/>
    <col min="92" max="92" width="14.85546875" style="215" hidden="1" customWidth="1" outlineLevel="2"/>
    <col min="93" max="93" width="1.7109375" style="215" hidden="1" customWidth="1" outlineLevel="2"/>
    <col min="94" max="94" width="9.85546875" style="215" hidden="1" customWidth="1" outlineLevel="2"/>
    <col min="95" max="95" width="1.7109375" style="215" hidden="1" customWidth="1" outlineLevel="2"/>
    <col min="96" max="96" width="7.140625" style="195" customWidth="1" collapsed="1"/>
    <col min="97" max="98" width="7.140625" style="195" customWidth="1"/>
    <col min="99" max="99" width="7.140625" style="267" customWidth="1"/>
    <col min="119" max="119" width="3.7109375" customWidth="1"/>
  </cols>
  <sheetData>
    <row r="1" spans="5:129" ht="0.95" customHeight="1">
      <c r="AN1" s="596" t="s">
        <v>81</v>
      </c>
    </row>
    <row r="2" spans="5:129" ht="24.95" customHeight="1">
      <c r="E2" s="201" t="s">
        <v>606</v>
      </c>
      <c r="F2" s="201"/>
      <c r="G2" s="201"/>
      <c r="H2" s="207"/>
      <c r="I2" s="201"/>
      <c r="J2" s="207"/>
      <c r="K2" s="201"/>
      <c r="L2" s="255"/>
      <c r="M2" s="276"/>
      <c r="N2" s="276"/>
      <c r="O2" s="276"/>
      <c r="P2" s="207"/>
      <c r="Q2" s="255"/>
      <c r="R2" s="207"/>
      <c r="S2" s="207"/>
      <c r="T2" s="207"/>
      <c r="W2" s="46" t="s">
        <v>612</v>
      </c>
      <c r="Y2" s="597" t="s">
        <v>290</v>
      </c>
      <c r="Z2" s="597"/>
      <c r="AA2" s="597"/>
      <c r="AC2" s="48"/>
      <c r="AD2" s="48"/>
      <c r="AE2" s="47"/>
      <c r="AF2" s="254"/>
      <c r="AG2" s="46"/>
      <c r="AH2" s="46"/>
      <c r="AI2" s="46"/>
      <c r="AJ2" s="597"/>
      <c r="AK2" s="597"/>
      <c r="AL2" s="597"/>
      <c r="AM2" s="597"/>
      <c r="AN2" s="597"/>
      <c r="AO2" s="50"/>
      <c r="AP2" s="50"/>
      <c r="AQ2" s="46"/>
      <c r="AR2" s="51"/>
      <c r="AS2" s="46"/>
      <c r="AT2" s="46"/>
      <c r="AU2" s="46"/>
      <c r="AV2" s="597"/>
      <c r="AW2" s="597"/>
      <c r="AX2" s="597"/>
      <c r="AY2" s="597"/>
      <c r="AZ2" s="597"/>
      <c r="BA2" s="50"/>
      <c r="BB2" s="50"/>
      <c r="BC2" s="50"/>
      <c r="BD2" s="259"/>
      <c r="BE2" s="46"/>
      <c r="BF2" s="46"/>
      <c r="BG2" s="46"/>
      <c r="BH2" s="597"/>
      <c r="BI2" s="597"/>
      <c r="BJ2" s="597"/>
      <c r="BK2" s="597"/>
      <c r="BL2" s="597"/>
      <c r="BM2" s="50"/>
      <c r="BN2" s="50"/>
      <c r="BO2" s="259"/>
      <c r="BP2" s="51"/>
      <c r="BQ2" s="46"/>
      <c r="CJ2" s="46" t="s">
        <v>613</v>
      </c>
      <c r="CK2" s="589"/>
      <c r="CL2" s="201"/>
      <c r="CM2" s="201"/>
      <c r="CN2" s="201"/>
      <c r="CO2" s="201"/>
      <c r="CP2" s="201"/>
      <c r="CQ2" s="201"/>
      <c r="CR2" s="50"/>
      <c r="CS2" s="50"/>
      <c r="CT2" s="50"/>
      <c r="CU2" s="51"/>
      <c r="CV2" s="46"/>
      <c r="CW2" s="46"/>
      <c r="CX2" s="46"/>
      <c r="CY2" s="46"/>
      <c r="CZ2" s="46"/>
      <c r="DA2" s="46"/>
      <c r="DB2" s="46"/>
      <c r="DC2" s="46"/>
      <c r="DD2" s="46"/>
      <c r="DP2" s="46" t="s">
        <v>614</v>
      </c>
      <c r="DQ2" s="46"/>
      <c r="DR2" s="46"/>
      <c r="DS2" s="46"/>
      <c r="DT2" s="46"/>
      <c r="DU2" s="46"/>
      <c r="DV2" s="46"/>
      <c r="DW2" s="46"/>
      <c r="DX2" s="46"/>
      <c r="DY2" s="46"/>
    </row>
    <row r="3" spans="5:129">
      <c r="AH3" s="260"/>
      <c r="AJ3" s="598"/>
      <c r="AT3" s="159"/>
      <c r="AU3" s="153"/>
      <c r="AV3" s="598"/>
      <c r="AW3" s="598"/>
      <c r="AX3" s="598"/>
      <c r="AY3" s="598"/>
      <c r="AZ3" s="598"/>
      <c r="BA3" s="284"/>
      <c r="BB3" s="284"/>
      <c r="BC3" s="284"/>
      <c r="BD3" s="285"/>
      <c r="BE3" s="153"/>
      <c r="BF3" s="159"/>
      <c r="BG3" s="153"/>
      <c r="BH3" s="95"/>
      <c r="BI3" s="95"/>
      <c r="BJ3" s="95"/>
      <c r="BK3" s="95"/>
      <c r="BL3" s="95"/>
      <c r="BM3" s="284"/>
      <c r="BN3" s="284"/>
      <c r="BO3" s="285"/>
      <c r="BP3" s="286"/>
      <c r="BQ3" s="318"/>
      <c r="CN3" s="588" t="s">
        <v>610</v>
      </c>
    </row>
    <row r="4" spans="5:129">
      <c r="E4" s="622" t="s">
        <v>594</v>
      </c>
      <c r="W4" s="194"/>
      <c r="AH4" s="138"/>
      <c r="AJ4" s="598"/>
      <c r="AT4" s="156"/>
      <c r="AU4" s="287" t="s">
        <v>33</v>
      </c>
      <c r="AV4" s="598"/>
      <c r="AW4" s="598"/>
      <c r="AX4" s="598"/>
      <c r="AY4" s="598"/>
      <c r="AZ4" s="598"/>
      <c r="BA4" s="284"/>
      <c r="BB4" s="284"/>
      <c r="BC4" s="826">
        <f>Today</f>
        <v>40680</v>
      </c>
      <c r="BD4" s="826"/>
      <c r="BE4" s="153"/>
      <c r="BF4" s="156"/>
      <c r="BG4" s="287"/>
      <c r="BH4" s="95"/>
      <c r="BI4" s="95"/>
      <c r="BJ4" s="95"/>
      <c r="BK4" s="95"/>
      <c r="BL4" s="95"/>
      <c r="BM4" s="284"/>
      <c r="BN4" s="284"/>
      <c r="BO4" s="285"/>
      <c r="BP4" s="286"/>
      <c r="BQ4" s="319"/>
      <c r="CJ4" t="s">
        <v>310</v>
      </c>
      <c r="CN4" s="152" t="str">
        <f>PPP_string(PPP_Global,CT4)</f>
        <v>FRQ:30m</v>
      </c>
      <c r="CT4" s="263" t="s">
        <v>408</v>
      </c>
      <c r="DP4" s="139" t="s">
        <v>615</v>
      </c>
    </row>
    <row r="5" spans="5:129">
      <c r="W5" s="194" t="s">
        <v>138</v>
      </c>
      <c r="AA5" s="595" t="str">
        <f ca="1">_xll.RtUpdate("IDN",Y6:Y12,AA6,AC6,,RTMODE_RATES)</f>
        <v>Updated at 16:52:05</v>
      </c>
      <c r="AH5" s="138"/>
      <c r="AJ5" s="598"/>
      <c r="AT5" s="156"/>
      <c r="AU5" s="153"/>
      <c r="AV5" s="598"/>
      <c r="AW5" s="598"/>
      <c r="AX5" s="598"/>
      <c r="AY5" s="204" t="s">
        <v>309</v>
      </c>
      <c r="AZ5" s="598"/>
      <c r="BA5" s="284"/>
      <c r="BB5" s="284"/>
      <c r="BC5" s="284"/>
      <c r="BD5" s="285"/>
      <c r="BE5" s="153"/>
      <c r="BF5" s="156"/>
      <c r="BG5" s="287" t="s">
        <v>717</v>
      </c>
      <c r="BH5" s="95"/>
      <c r="BI5" s="95"/>
      <c r="BJ5" s="95"/>
      <c r="BK5" s="95"/>
      <c r="BL5" s="95"/>
      <c r="BM5" s="284"/>
      <c r="BN5" s="288" t="s">
        <v>677</v>
      </c>
      <c r="BO5" s="270" t="s">
        <v>181</v>
      </c>
      <c r="BP5" s="286"/>
      <c r="BQ5" s="319"/>
      <c r="BT5" s="302" t="s">
        <v>324</v>
      </c>
      <c r="BV5" s="300"/>
    </row>
    <row r="6" spans="5:129">
      <c r="E6" s="596" t="s">
        <v>677</v>
      </c>
      <c r="G6" s="623" t="str">
        <f>"FSS"&amp;$BO$5</f>
        <v>FSScm1</v>
      </c>
      <c r="I6" s="596" t="s">
        <v>591</v>
      </c>
      <c r="K6" s="596" t="str">
        <f ca="1">_xll.RtUpdate("IDN",G6:G7,"EXPIRE DATE",L6,,RTMODE_RATES)</f>
        <v>Updated at 16:52:05</v>
      </c>
      <c r="L6" s="624" t="s">
        <v>577</v>
      </c>
      <c r="M6" s="643" t="s">
        <v>631</v>
      </c>
      <c r="O6" s="628" t="str">
        <f>IF(ISNUMBER(L6),"LIVE","DELAYED")</f>
        <v>DELAYED</v>
      </c>
      <c r="W6" s="261" t="s">
        <v>6</v>
      </c>
      <c r="Y6" s="623" t="s">
        <v>616</v>
      </c>
      <c r="AA6" s="623" t="s">
        <v>223</v>
      </c>
      <c r="AC6" s="268">
        <v>0.57150000000000001</v>
      </c>
      <c r="AE6" s="137"/>
      <c r="AF6" s="258">
        <f t="shared" ref="AF6:AF12" si="0">IF(ISNUMBER(AE6),AE6,AVERAGE(AC6:AD6))</f>
        <v>0.57150000000000001</v>
      </c>
      <c r="AH6" s="138"/>
      <c r="AI6" s="194" t="s">
        <v>617</v>
      </c>
      <c r="AJ6" s="598"/>
      <c r="AM6" s="595" t="str">
        <f ca="1">_xll.RtUpdate("IDN",AK7:AK12,AM7,AO7,,RTMODE_RATES)</f>
        <v>Updated at 16:52:05</v>
      </c>
      <c r="AQ6" s="194" t="s">
        <v>189</v>
      </c>
      <c r="AT6" s="156"/>
      <c r="AU6" s="287" t="s">
        <v>121</v>
      </c>
      <c r="AV6" s="598"/>
      <c r="AW6" s="598"/>
      <c r="AX6" s="598"/>
      <c r="AY6" s="623" t="str">
        <f>PPP_string(PPP_Global,BC6)</f>
        <v>FRQ:1m</v>
      </c>
      <c r="AZ6" s="598"/>
      <c r="BA6" s="284"/>
      <c r="BB6" s="284"/>
      <c r="BC6" s="270" t="s">
        <v>302</v>
      </c>
      <c r="BD6" s="285"/>
      <c r="BE6" s="153"/>
      <c r="BF6" s="156"/>
      <c r="BG6" s="287"/>
      <c r="BH6" s="95"/>
      <c r="BI6" s="95"/>
      <c r="BJ6" s="95"/>
      <c r="BK6" s="95"/>
      <c r="BL6" s="95"/>
      <c r="BM6" s="284"/>
      <c r="BN6" s="288"/>
      <c r="BO6" s="288"/>
      <c r="BP6" s="286"/>
      <c r="BQ6" s="319"/>
      <c r="BT6" s="301" t="s">
        <v>110</v>
      </c>
      <c r="BU6" s="195" t="s">
        <v>322</v>
      </c>
      <c r="BV6" s="195" t="s">
        <v>36</v>
      </c>
      <c r="BW6" s="195" t="s">
        <v>35</v>
      </c>
      <c r="BX6" s="195" t="s">
        <v>321</v>
      </c>
    </row>
    <row r="7" spans="5:129">
      <c r="G7" s="623" t="str">
        <f>"/FSS"&amp;$BO$5</f>
        <v>/FSScm1</v>
      </c>
      <c r="I7" s="596" t="s">
        <v>592</v>
      </c>
      <c r="L7" s="624">
        <v>40709</v>
      </c>
      <c r="O7" s="643" t="s">
        <v>81</v>
      </c>
      <c r="P7" s="632" t="s">
        <v>81</v>
      </c>
      <c r="W7" s="261" t="s">
        <v>0</v>
      </c>
      <c r="Y7" s="623" t="str">
        <f t="shared" ref="Y7:Y12" si="1">"GBP"&amp;W7&amp;"FSR="</f>
        <v>GBP1MFSR=</v>
      </c>
      <c r="AC7" s="268">
        <v>0.62437999999999994</v>
      </c>
      <c r="AE7" s="137"/>
      <c r="AF7" s="258">
        <f t="shared" si="0"/>
        <v>0.62437999999999994</v>
      </c>
      <c r="AH7" s="138"/>
      <c r="AI7" s="261" t="s">
        <v>0</v>
      </c>
      <c r="AJ7" s="598"/>
      <c r="AK7" s="623" t="str">
        <f t="shared" ref="AK7:AK12" si="2">"GBP"&amp;AI7&amp;"FSR="</f>
        <v>GBP1MFSR=</v>
      </c>
      <c r="AM7" s="623" t="s">
        <v>223</v>
      </c>
      <c r="AO7" s="264">
        <v>0.62437999999999994</v>
      </c>
      <c r="AQ7" s="261" t="s">
        <v>27</v>
      </c>
      <c r="AR7" s="296">
        <f t="shared" ref="AR7:AR12" si="3">AVERAGE(L32:M32)</f>
        <v>1.8090000000000002</v>
      </c>
      <c r="AT7" s="160"/>
      <c r="AU7" s="161"/>
      <c r="AV7" s="647"/>
      <c r="AW7" s="647"/>
      <c r="AX7" s="647"/>
      <c r="AY7" s="647"/>
      <c r="AZ7" s="647"/>
      <c r="BA7" s="290"/>
      <c r="BB7" s="290"/>
      <c r="BC7" s="290"/>
      <c r="BD7" s="291"/>
      <c r="BE7" s="161"/>
      <c r="BF7" s="160"/>
      <c r="BG7" s="161"/>
      <c r="BH7" s="105"/>
      <c r="BI7" s="105"/>
      <c r="BJ7" s="105"/>
      <c r="BK7" s="105"/>
      <c r="BL7" s="105"/>
      <c r="BM7" s="290"/>
      <c r="BN7" s="290"/>
      <c r="BO7" s="291"/>
      <c r="BP7" s="292"/>
      <c r="BQ7" s="293"/>
      <c r="BT7" s="301" t="s">
        <v>115</v>
      </c>
      <c r="BU7" s="195">
        <f t="array" ref="BU7:BU28">_xll.qIRsynthSCBasisReval(GBP.ZB.DISC,"1V3",_xll.qVectorMake(BP10:BP12,BP15,BP29:BP45))</f>
        <v>10.187999999997999</v>
      </c>
      <c r="BV7" s="195">
        <f t="array" ref="BV7:BV28">_xll.qIRsynthSCBasisReval(GBP.ZB.DISC,"1V3",_xll.qVectorMake(AF7,BD19:BD20,BD23,BD29:BD45))</f>
        <v>-1.9949319973733282E-12</v>
      </c>
      <c r="BW7" s="195">
        <f t="array" ref="BW7:BW28">_xll.qIRsynthSCBasisReval(GBP.ZB.DISC,"3V6",_xll.qVectorMake(AF12,AR29:AR45))</f>
        <v>28.931912253342528</v>
      </c>
      <c r="BX7" s="195">
        <f t="array" ref="BX7:BX28">_xll.qIRsynthSCBasisReval(GBP.ZB.DISC,"3V12",AR49:AR65)</f>
        <v>60</v>
      </c>
      <c r="CJ7" s="194" t="s">
        <v>221</v>
      </c>
    </row>
    <row r="8" spans="5:129">
      <c r="O8" s="643" t="s">
        <v>81</v>
      </c>
      <c r="W8" s="261" t="s">
        <v>1</v>
      </c>
      <c r="Y8" s="623" t="str">
        <f t="shared" si="1"/>
        <v>GBP2MFSR=</v>
      </c>
      <c r="AC8" s="268">
        <v>0.69874999999999998</v>
      </c>
      <c r="AE8" s="137"/>
      <c r="AF8" s="258">
        <f t="shared" si="0"/>
        <v>0.69874999999999998</v>
      </c>
      <c r="AH8" s="138"/>
      <c r="AI8" s="261" t="s">
        <v>1</v>
      </c>
      <c r="AJ8" s="598"/>
      <c r="AK8" s="623" t="str">
        <f t="shared" si="2"/>
        <v>GBP2MFSR=</v>
      </c>
      <c r="AO8" s="264">
        <v>0.69874999999999998</v>
      </c>
      <c r="AQ8" s="261" t="s">
        <v>7</v>
      </c>
      <c r="AR8" s="296">
        <f t="shared" si="3"/>
        <v>1.9604999999999999</v>
      </c>
      <c r="AT8" s="138"/>
      <c r="AV8" s="598"/>
      <c r="AW8" s="598"/>
      <c r="AX8" s="598"/>
      <c r="AY8" s="598"/>
      <c r="AZ8" s="598"/>
      <c r="BF8" s="138"/>
      <c r="BH8" s="598"/>
      <c r="BI8" s="598"/>
      <c r="BJ8" s="598"/>
      <c r="BK8" s="598"/>
      <c r="BL8" s="598"/>
      <c r="BT8" s="301" t="s">
        <v>0</v>
      </c>
      <c r="BU8" s="195">
        <v>10.187999999997999</v>
      </c>
      <c r="BV8" s="195">
        <v>-1.9949319973733282E-12</v>
      </c>
      <c r="BW8" s="195">
        <v>28.931912253342528</v>
      </c>
      <c r="BX8" s="195">
        <v>60</v>
      </c>
      <c r="CL8" s="215" t="str">
        <f ca="1">_xll.RtUpdate("IDN",CL9:CL18,CP9,CR9,,RTMODE_VOLS)</f>
        <v>Updated at 16:52:05</v>
      </c>
      <c r="CM8" s="215" t="s">
        <v>81</v>
      </c>
      <c r="CN8" s="215" t="str">
        <f ca="1">_xll.RtUpdate("IDN",CN9:CN18,CP9,CS9,,RTMODE_VOLS)</f>
        <v>Updated at 16:52:05</v>
      </c>
      <c r="CR8" s="195" t="s">
        <v>222</v>
      </c>
      <c r="CS8" s="195" t="s">
        <v>220</v>
      </c>
      <c r="CT8" s="195" t="s">
        <v>224</v>
      </c>
      <c r="CU8" s="267" t="s">
        <v>20</v>
      </c>
    </row>
    <row r="9" spans="5:129">
      <c r="M9" s="644"/>
      <c r="N9" s="644"/>
      <c r="W9" s="261" t="s">
        <v>2</v>
      </c>
      <c r="Y9" s="623" t="str">
        <f t="shared" si="1"/>
        <v>GBP3MFSR=</v>
      </c>
      <c r="AC9" s="268">
        <v>0.82188000000000005</v>
      </c>
      <c r="AE9" s="137"/>
      <c r="AF9" s="258">
        <f t="shared" si="0"/>
        <v>0.82188000000000005</v>
      </c>
      <c r="AH9" s="138"/>
      <c r="AI9" s="261" t="s">
        <v>2</v>
      </c>
      <c r="AJ9" s="598"/>
      <c r="AK9" s="623" t="str">
        <f t="shared" si="2"/>
        <v>GBP3MFSR=</v>
      </c>
      <c r="AO9" s="264">
        <v>0.82188000000000005</v>
      </c>
      <c r="AQ9" s="261" t="s">
        <v>9</v>
      </c>
      <c r="AR9" s="296">
        <f t="shared" si="3"/>
        <v>2.4639999999999995</v>
      </c>
      <c r="AT9" s="138"/>
      <c r="AU9" s="194" t="s">
        <v>34</v>
      </c>
      <c r="AV9" s="598"/>
      <c r="AX9" s="598"/>
      <c r="AY9" s="593" t="str">
        <f ca="1">_xll.RtUpdate("IDN",AW10:AW15,AY10:AY11,BA10,,RTMODE_RATES)</f>
        <v>Updated at 17:03:10</v>
      </c>
      <c r="AZ9" s="598"/>
      <c r="BF9" s="138"/>
      <c r="BG9" s="194" t="s">
        <v>37</v>
      </c>
      <c r="BH9" s="598"/>
      <c r="BJ9" s="598"/>
      <c r="BK9" s="593" t="str">
        <f ca="1">_xll.RtUpdate("IDN",BI10:BI21,BK10:BK11,BM10,,RTMODE_RATES)</f>
        <v>Updated at 16:59:40</v>
      </c>
      <c r="BL9" s="598"/>
      <c r="BT9" s="301" t="s">
        <v>1</v>
      </c>
      <c r="BU9" s="195">
        <v>16.874999999996128</v>
      </c>
      <c r="BV9" s="195">
        <v>6.8749999999961373</v>
      </c>
      <c r="BW9" s="195">
        <v>28.931912253342528</v>
      </c>
      <c r="BX9" s="195">
        <v>60</v>
      </c>
      <c r="CJ9" s="261" t="s">
        <v>26</v>
      </c>
      <c r="CK9" s="485">
        <v>1</v>
      </c>
      <c r="CL9" s="152" t="str">
        <f t="shared" ref="CL9:CL18" si="4">"GB"&amp;CJ9:CJ18&amp;"3LSTK=ICAP"</f>
        <v>GB1Y3LSTK=ICAP</v>
      </c>
      <c r="CN9" s="152" t="str">
        <f t="shared" ref="CN9:CN18" si="5">"GB"&amp;CJ9:CJ18&amp;"3LATM=ICAP"</f>
        <v>GB1Y3LATM=ICAP</v>
      </c>
      <c r="CP9" s="152" t="s">
        <v>223</v>
      </c>
      <c r="CR9" s="264">
        <v>1.01</v>
      </c>
      <c r="CS9" s="264">
        <v>45.96</v>
      </c>
      <c r="CT9" s="270"/>
      <c r="CU9" s="267">
        <f t="shared" ref="CU9:CU18" si="6">IF(ISNUMBER(CT9),CT9,CS9)</f>
        <v>45.96</v>
      </c>
    </row>
    <row r="10" spans="5:129">
      <c r="W10" s="261" t="s">
        <v>3</v>
      </c>
      <c r="Y10" s="623" t="str">
        <f t="shared" si="1"/>
        <v>GBP4MFSR=</v>
      </c>
      <c r="AC10" s="268">
        <v>0.89437999999999995</v>
      </c>
      <c r="AE10" s="137"/>
      <c r="AF10" s="258">
        <f t="shared" si="0"/>
        <v>0.89437999999999995</v>
      </c>
      <c r="AH10" s="138"/>
      <c r="AI10" s="261" t="s">
        <v>3</v>
      </c>
      <c r="AJ10" s="598"/>
      <c r="AK10" s="623" t="str">
        <f t="shared" si="2"/>
        <v>GBP4MFSR=</v>
      </c>
      <c r="AO10" s="264">
        <v>0.89437999999999995</v>
      </c>
      <c r="AQ10" s="261" t="s">
        <v>11</v>
      </c>
      <c r="AR10" s="296">
        <f t="shared" si="3"/>
        <v>2.8239999999999998</v>
      </c>
      <c r="AT10" s="138"/>
      <c r="AU10" s="261" t="s">
        <v>199</v>
      </c>
      <c r="AV10" s="598"/>
      <c r="AW10" s="645" t="str">
        <f t="array" ref="AW10:AW15">"GBP"&amp;AU10:AU15&amp;"F=ICAP"</f>
        <v>GBP1X4F=ICAP</v>
      </c>
      <c r="AX10" s="598"/>
      <c r="AY10" s="645" t="s">
        <v>45</v>
      </c>
      <c r="AZ10" s="598"/>
      <c r="BA10" s="264">
        <v>0.81</v>
      </c>
      <c r="BB10" s="264">
        <v>0.8600000000000001</v>
      </c>
      <c r="BC10" s="270"/>
      <c r="BD10" s="257">
        <f t="shared" ref="BD10:BD15" si="7">IF(ISNUMBER(BC10),BC10,AVERAGE(BA10:BB10))</f>
        <v>0.83500000000000008</v>
      </c>
      <c r="BF10" s="138"/>
      <c r="BG10" s="261" t="s">
        <v>0</v>
      </c>
      <c r="BH10" s="598"/>
      <c r="BI10" s="645" t="str">
        <f t="shared" ref="BI10:BI21" si="8">"GBP"&amp;BG10&amp;"OIS=ICAP"</f>
        <v>GBP1MOIS=ICAP</v>
      </c>
      <c r="BJ10" s="598"/>
      <c r="BK10" s="645" t="s">
        <v>45</v>
      </c>
      <c r="BL10" s="598"/>
      <c r="BM10" s="264">
        <v>0.50249999999999995</v>
      </c>
      <c r="BN10" s="264">
        <v>0.54249999999999998</v>
      </c>
      <c r="BO10" s="263"/>
      <c r="BP10" s="267">
        <f t="shared" ref="BP10:BP21" si="9">IF(ISNUMBER(BO10),BO10,(BM10+BN10)/COUNTIF(BM10:BN10,"&lt;&gt;0"))</f>
        <v>0.52249999999999996</v>
      </c>
      <c r="BT10" s="301" t="s">
        <v>2</v>
      </c>
      <c r="BU10" s="195">
        <v>27.93799999999462</v>
      </c>
      <c r="BV10" s="195">
        <v>18.687999999994627</v>
      </c>
      <c r="BW10" s="195">
        <v>28.931912253342528</v>
      </c>
      <c r="BX10" s="195">
        <v>60</v>
      </c>
      <c r="CJ10" s="261" t="s">
        <v>27</v>
      </c>
      <c r="CK10" s="485">
        <v>2</v>
      </c>
      <c r="CL10" s="152" t="str">
        <f t="shared" si="4"/>
        <v>GB2Y3LSTK=ICAP</v>
      </c>
      <c r="CN10" s="152" t="str">
        <f t="shared" si="5"/>
        <v>GB2Y3LATM=ICAP</v>
      </c>
      <c r="CR10" s="264">
        <v>1.3900000000000001</v>
      </c>
      <c r="CS10" s="264">
        <v>54.02</v>
      </c>
      <c r="CT10" s="270"/>
      <c r="CU10" s="267">
        <f t="shared" si="6"/>
        <v>54.02</v>
      </c>
    </row>
    <row r="11" spans="5:129">
      <c r="E11" s="622" t="s">
        <v>595</v>
      </c>
      <c r="W11" s="261" t="s">
        <v>4</v>
      </c>
      <c r="Y11" s="623" t="str">
        <f t="shared" si="1"/>
        <v>GBP5MFSR=</v>
      </c>
      <c r="AC11" s="268">
        <v>1.0006299999999999</v>
      </c>
      <c r="AE11" s="137"/>
      <c r="AF11" s="258">
        <f t="shared" si="0"/>
        <v>1.0006299999999999</v>
      </c>
      <c r="AH11" s="138"/>
      <c r="AI11" s="261" t="s">
        <v>4</v>
      </c>
      <c r="AJ11" s="598"/>
      <c r="AK11" s="623" t="str">
        <f t="shared" si="2"/>
        <v>GBP5MFSR=</v>
      </c>
      <c r="AO11" s="264">
        <v>1.0006299999999999</v>
      </c>
      <c r="AQ11" s="261" t="s">
        <v>14</v>
      </c>
      <c r="AR11" s="296">
        <f t="shared" si="3"/>
        <v>3.1159999999999997</v>
      </c>
      <c r="AT11" s="138"/>
      <c r="AU11" s="261" t="s">
        <v>200</v>
      </c>
      <c r="AV11" s="598"/>
      <c r="AW11" s="645" t="str">
        <v>GBP2X5F=ICAP</v>
      </c>
      <c r="AX11" s="598"/>
      <c r="AY11" s="645" t="s">
        <v>46</v>
      </c>
      <c r="AZ11" s="598"/>
      <c r="BA11" s="264">
        <v>0.83000000000000007</v>
      </c>
      <c r="BB11" s="264">
        <v>0.88</v>
      </c>
      <c r="BC11" s="270"/>
      <c r="BD11" s="257">
        <f t="shared" si="7"/>
        <v>0.85499999999999998</v>
      </c>
      <c r="BF11" s="138"/>
      <c r="BG11" s="261" t="s">
        <v>1</v>
      </c>
      <c r="BH11" s="598"/>
      <c r="BI11" s="645" t="str">
        <f t="shared" si="8"/>
        <v>GBP2MOIS=ICAP</v>
      </c>
      <c r="BJ11" s="598"/>
      <c r="BK11" s="645" t="s">
        <v>46</v>
      </c>
      <c r="BL11" s="598"/>
      <c r="BM11" s="264">
        <v>0.51</v>
      </c>
      <c r="BN11" s="264">
        <v>0.55000000000000004</v>
      </c>
      <c r="BO11" s="263"/>
      <c r="BP11" s="267">
        <f t="shared" si="9"/>
        <v>0.53</v>
      </c>
      <c r="BT11" s="301" t="s">
        <v>5</v>
      </c>
      <c r="BU11" s="195">
        <v>22.881087746657471</v>
      </c>
      <c r="BV11" s="195">
        <v>13.381087746657474</v>
      </c>
      <c r="BW11" s="195">
        <v>28.931912253342528</v>
      </c>
      <c r="BX11" s="195">
        <v>60</v>
      </c>
      <c r="CJ11" s="261" t="s">
        <v>7</v>
      </c>
      <c r="CK11" s="485">
        <v>3</v>
      </c>
      <c r="CL11" s="152" t="str">
        <f t="shared" si="4"/>
        <v>GB3Y3LSTK=ICAP</v>
      </c>
      <c r="CN11" s="152" t="str">
        <f t="shared" si="5"/>
        <v>GB3Y3LATM=ICAP</v>
      </c>
      <c r="CR11" s="264">
        <v>1.79</v>
      </c>
      <c r="CS11" s="264">
        <v>49.01</v>
      </c>
      <c r="CT11" s="270"/>
      <c r="CU11" s="267">
        <f t="shared" si="6"/>
        <v>49.01</v>
      </c>
    </row>
    <row r="12" spans="5:129">
      <c r="L12" s="620" t="s">
        <v>599</v>
      </c>
      <c r="Q12" s="620" t="s">
        <v>600</v>
      </c>
      <c r="W12" s="261" t="s">
        <v>5</v>
      </c>
      <c r="Y12" s="623" t="str">
        <f t="shared" si="1"/>
        <v>GBP6MFSR=</v>
      </c>
      <c r="AC12" s="268">
        <v>1.1081300000000001</v>
      </c>
      <c r="AE12" s="137"/>
      <c r="AF12" s="258">
        <f t="shared" si="0"/>
        <v>1.1081300000000001</v>
      </c>
      <c r="AH12" s="138"/>
      <c r="AI12" s="261" t="s">
        <v>5</v>
      </c>
      <c r="AJ12" s="598"/>
      <c r="AK12" s="623" t="str">
        <f t="shared" si="2"/>
        <v>GBP6MFSR=</v>
      </c>
      <c r="AO12" s="264">
        <v>1.1081300000000001</v>
      </c>
      <c r="AQ12" s="261" t="s">
        <v>19</v>
      </c>
      <c r="AR12" s="296">
        <f t="shared" si="3"/>
        <v>3.66</v>
      </c>
      <c r="AT12" s="138"/>
      <c r="AU12" s="261" t="s">
        <v>201</v>
      </c>
      <c r="AV12" s="598"/>
      <c r="AW12" s="645" t="str">
        <v>GBP3X6F=ICAP</v>
      </c>
      <c r="AX12" s="598"/>
      <c r="AY12" s="598"/>
      <c r="AZ12" s="598"/>
      <c r="BA12" s="264">
        <v>0.87000000000000011</v>
      </c>
      <c r="BB12" s="264">
        <v>0.92</v>
      </c>
      <c r="BC12" s="270"/>
      <c r="BD12" s="257">
        <f t="shared" si="7"/>
        <v>0.89500000000000002</v>
      </c>
      <c r="BF12" s="138"/>
      <c r="BG12" s="261" t="s">
        <v>2</v>
      </c>
      <c r="BH12" s="598"/>
      <c r="BI12" s="645" t="str">
        <f t="shared" si="8"/>
        <v>GBP3MOIS=ICAP</v>
      </c>
      <c r="BJ12" s="598"/>
      <c r="BK12" s="598"/>
      <c r="BL12" s="598"/>
      <c r="BM12" s="264">
        <v>0.52249999999999996</v>
      </c>
      <c r="BN12" s="264">
        <v>0.5625</v>
      </c>
      <c r="BO12" s="263"/>
      <c r="BP12" s="267">
        <f t="shared" si="9"/>
        <v>0.54249999999999998</v>
      </c>
      <c r="BT12" s="301" t="s">
        <v>26</v>
      </c>
      <c r="BU12" s="195">
        <v>27.25</v>
      </c>
      <c r="BV12" s="195">
        <v>16.75</v>
      </c>
      <c r="BW12" s="195">
        <v>23.5</v>
      </c>
      <c r="BX12" s="195">
        <v>60</v>
      </c>
      <c r="CJ12" s="261" t="s">
        <v>8</v>
      </c>
      <c r="CK12" s="485">
        <v>4</v>
      </c>
      <c r="CL12" s="152" t="str">
        <f t="shared" si="4"/>
        <v>GB4Y3LSTK=ICAP</v>
      </c>
      <c r="CN12" s="152" t="str">
        <f t="shared" si="5"/>
        <v>GB4Y3LATM=ICAP</v>
      </c>
      <c r="CR12" s="264">
        <v>2.17</v>
      </c>
      <c r="CS12" s="264">
        <v>42.3</v>
      </c>
      <c r="CT12" s="270"/>
      <c r="CU12" s="267">
        <f t="shared" si="6"/>
        <v>42.3</v>
      </c>
    </row>
    <row r="13" spans="5:129">
      <c r="E13" s="596" t="s">
        <v>677</v>
      </c>
      <c r="F13" s="596" t="str">
        <f>_xll.qFuturesDateToCode(IF(O6="LIVE",L6,L7))</f>
        <v>M1</v>
      </c>
      <c r="G13" s="623" t="str">
        <f t="array" ref="G13:G24">IF($O$6="DELAYED","/","") &amp; "FSS" &amp; F13:F24</f>
        <v>/FSSM1</v>
      </c>
      <c r="I13" s="623" t="s">
        <v>47</v>
      </c>
      <c r="K13" s="596" t="str">
        <f ca="1">_xll.RtUpdate("IDN",G13:G24,I13:I16,L13,,RTMODE_RATES)</f>
        <v>Updated at 17:03:11</v>
      </c>
      <c r="L13" s="624">
        <v>40709</v>
      </c>
      <c r="M13" s="631">
        <v>99.169999999999987</v>
      </c>
      <c r="N13" s="631">
        <v>99.179999999999993</v>
      </c>
      <c r="O13" s="631">
        <v>99.169999999999987</v>
      </c>
      <c r="Q13" s="624">
        <v>40709</v>
      </c>
      <c r="R13" s="630">
        <v>99.169999999999987</v>
      </c>
      <c r="S13" s="630">
        <v>99.179999999999993</v>
      </c>
      <c r="T13" s="630">
        <v>99.169999999999987</v>
      </c>
      <c r="AH13" s="138"/>
      <c r="AJ13" s="598"/>
      <c r="AT13" s="138"/>
      <c r="AU13" s="261" t="s">
        <v>202</v>
      </c>
      <c r="AV13" s="598"/>
      <c r="AW13" s="645" t="str">
        <v>GBP4X7F=ICAP</v>
      </c>
      <c r="AX13" s="598"/>
      <c r="AZ13" s="598"/>
      <c r="BA13" s="264">
        <v>0.89500000000000002</v>
      </c>
      <c r="BB13" s="264">
        <v>0.94500000000000006</v>
      </c>
      <c r="BC13" s="270"/>
      <c r="BD13" s="257">
        <f t="shared" si="7"/>
        <v>0.92</v>
      </c>
      <c r="BF13" s="138"/>
      <c r="BG13" s="261" t="s">
        <v>3</v>
      </c>
      <c r="BH13" s="598"/>
      <c r="BI13" s="645" t="str">
        <f t="shared" si="8"/>
        <v>GBP4MOIS=ICAP</v>
      </c>
      <c r="BJ13" s="598"/>
      <c r="BK13" s="598"/>
      <c r="BL13" s="598"/>
      <c r="BM13" s="264">
        <v>0.54</v>
      </c>
      <c r="BN13" s="264">
        <v>0.57999999999999996</v>
      </c>
      <c r="BO13" s="263"/>
      <c r="BP13" s="267">
        <f t="shared" si="9"/>
        <v>0.56000000000000005</v>
      </c>
      <c r="BT13" s="301" t="s">
        <v>27</v>
      </c>
      <c r="BU13" s="195">
        <v>29.25</v>
      </c>
      <c r="BV13" s="195">
        <v>17</v>
      </c>
      <c r="BW13" s="195">
        <v>22.5</v>
      </c>
      <c r="BX13" s="195">
        <v>52</v>
      </c>
      <c r="CJ13" s="261" t="s">
        <v>9</v>
      </c>
      <c r="CK13" s="485">
        <v>5</v>
      </c>
      <c r="CL13" s="152" t="str">
        <f t="shared" si="4"/>
        <v>GB5Y3LSTK=ICAP</v>
      </c>
      <c r="CN13" s="152" t="str">
        <f t="shared" si="5"/>
        <v>GB5Y3LATM=ICAP</v>
      </c>
      <c r="CR13" s="264">
        <v>2.48</v>
      </c>
      <c r="CS13" s="264">
        <v>37.049999999999997</v>
      </c>
      <c r="CT13" s="270"/>
      <c r="CU13" s="267">
        <f t="shared" si="6"/>
        <v>37.049999999999997</v>
      </c>
    </row>
    <row r="14" spans="5:129">
      <c r="F14" s="596" t="str">
        <f>_xll.qFuturesDateToCode(_xll.qFuturesCodeToDate(F13,Today)+92)</f>
        <v>U1</v>
      </c>
      <c r="G14" s="623" t="str">
        <v>/FSSU1</v>
      </c>
      <c r="I14" s="623" t="s">
        <v>45</v>
      </c>
      <c r="L14" s="624">
        <v>40807</v>
      </c>
      <c r="M14" s="631">
        <v>99.07</v>
      </c>
      <c r="N14" s="631">
        <v>99.08</v>
      </c>
      <c r="O14" s="631">
        <v>99.09</v>
      </c>
      <c r="Q14" s="624">
        <v>40807</v>
      </c>
      <c r="R14" s="630">
        <v>99.07</v>
      </c>
      <c r="S14" s="630">
        <v>99.08</v>
      </c>
      <c r="T14" s="630">
        <v>99.09</v>
      </c>
      <c r="W14" s="194" t="s">
        <v>676</v>
      </c>
      <c r="AD14" s="269" t="str">
        <f>IF(O6="DELAYED","DELAYED","")</f>
        <v>DELAYED</v>
      </c>
      <c r="AF14" s="262" t="s">
        <v>20</v>
      </c>
      <c r="AH14" s="138"/>
      <c r="AI14" s="194" t="s">
        <v>608</v>
      </c>
      <c r="AJ14" s="598"/>
      <c r="AQ14" s="297" t="s">
        <v>688</v>
      </c>
      <c r="AR14" s="298" t="s">
        <v>314</v>
      </c>
      <c r="AT14" s="138"/>
      <c r="AU14" s="261" t="s">
        <v>203</v>
      </c>
      <c r="AV14" s="598"/>
      <c r="AW14" s="645" t="str">
        <v>GBP5X8F=ICAP</v>
      </c>
      <c r="AX14" s="598"/>
      <c r="AY14" s="598"/>
      <c r="AZ14" s="598"/>
      <c r="BA14" s="264">
        <v>0.94500000000000006</v>
      </c>
      <c r="BB14" s="264">
        <v>0.995</v>
      </c>
      <c r="BC14" s="270"/>
      <c r="BD14" s="257">
        <f t="shared" si="7"/>
        <v>0.97</v>
      </c>
      <c r="BF14" s="138"/>
      <c r="BG14" s="261" t="s">
        <v>4</v>
      </c>
      <c r="BH14" s="598"/>
      <c r="BI14" s="645" t="str">
        <f t="shared" si="8"/>
        <v>GBP5MOIS=ICAP</v>
      </c>
      <c r="BJ14" s="598"/>
      <c r="BK14" s="598"/>
      <c r="BL14" s="598"/>
      <c r="BM14" s="264">
        <v>0.55500000000000005</v>
      </c>
      <c r="BN14" s="264">
        <v>0.59499999999999997</v>
      </c>
      <c r="BO14" s="263"/>
      <c r="BP14" s="267">
        <f t="shared" si="9"/>
        <v>0.57499999999999996</v>
      </c>
      <c r="BT14" s="301" t="s">
        <v>7</v>
      </c>
      <c r="BU14" s="195">
        <v>28.75</v>
      </c>
      <c r="BV14" s="195">
        <v>17.25</v>
      </c>
      <c r="BW14" s="195">
        <v>22.25</v>
      </c>
      <c r="BX14" s="195">
        <v>48.5</v>
      </c>
      <c r="CJ14" s="261" t="s">
        <v>10</v>
      </c>
      <c r="CK14" s="485">
        <v>6</v>
      </c>
      <c r="CL14" s="152" t="str">
        <f t="shared" si="4"/>
        <v>GB6Y3LSTK=ICAP</v>
      </c>
      <c r="CN14" s="152" t="str">
        <f t="shared" si="5"/>
        <v>GB6Y3LATM=ICAP</v>
      </c>
      <c r="CR14" s="264">
        <v>2.74</v>
      </c>
      <c r="CS14" s="264">
        <v>33.190000000000005</v>
      </c>
      <c r="CT14" s="270"/>
      <c r="CU14" s="267">
        <f t="shared" si="6"/>
        <v>33.190000000000005</v>
      </c>
    </row>
    <row r="15" spans="5:129">
      <c r="F15" s="596" t="str">
        <f>_xll.qFuturesDateToCode(_xll.qFuturesCodeToDate(F14,Today)+92)</f>
        <v>Z1</v>
      </c>
      <c r="G15" s="623" t="str">
        <v>/FSSZ1</v>
      </c>
      <c r="I15" s="623" t="s">
        <v>46</v>
      </c>
      <c r="L15" s="624">
        <v>40898</v>
      </c>
      <c r="M15" s="631">
        <v>98.910000000000011</v>
      </c>
      <c r="N15" s="631">
        <v>98.92</v>
      </c>
      <c r="O15" s="631">
        <v>98.940000000000012</v>
      </c>
      <c r="Q15" s="624">
        <v>40898</v>
      </c>
      <c r="R15" s="630">
        <v>98.910000000000011</v>
      </c>
      <c r="S15" s="630">
        <v>98.92</v>
      </c>
      <c r="T15" s="630">
        <v>98.940000000000012</v>
      </c>
      <c r="W15" s="261" t="str">
        <f t="array" ref="W15:W26">F13:F24</f>
        <v>M1</v>
      </c>
      <c r="AC15" s="282">
        <f t="array" ref="AC15:AD15">IF(AND(R13&lt;&gt;0,S13&lt;&gt;0),R13:S13,T13)</f>
        <v>99.169999999999987</v>
      </c>
      <c r="AD15" s="282">
        <v>99.179999999999993</v>
      </c>
      <c r="AE15" s="137"/>
      <c r="AF15" s="258">
        <f t="shared" ref="AF15:AF26" si="10">IF(ISNUMBER(AE15),AE15,AVERAGEIF(AC15:AD15,"&lt;&gt;0"))</f>
        <v>99.174999999999983</v>
      </c>
      <c r="AH15" s="138"/>
      <c r="AI15" s="261" t="str">
        <f t="shared" ref="AI15:AI26" si="11">W15</f>
        <v>M1</v>
      </c>
      <c r="AJ15" s="598"/>
      <c r="AO15" s="270"/>
      <c r="AP15" s="294">
        <f>IF(ISNUMBER(AO15),AO15,_xll.qFuturesConvexityAdjustment(AF15,Today,L13,_xll.qInterp((L13-Today)/365,$CK$9:$CK$18,$CU$9:$CU$18)%,_xll.qInterp((L13-Today)/365,$CK$9:$CK$18,$CR$9:$CR$18)%,"SFE"))</f>
        <v>6.7735340117947018E-4</v>
      </c>
      <c r="AQ15" s="258">
        <f t="shared" ref="AQ15:AQ26" si="12">100-AF15</f>
        <v>0.82500000000001705</v>
      </c>
      <c r="AR15" s="258">
        <f t="shared" ref="AR15:AR26" si="13">AQ15-AP15%</f>
        <v>0.82499322646600526</v>
      </c>
      <c r="AT15" s="138"/>
      <c r="AU15" s="261" t="s">
        <v>204</v>
      </c>
      <c r="AV15" s="598"/>
      <c r="AW15" s="645" t="str">
        <v>GBP6X9F=ICAP</v>
      </c>
      <c r="AX15" s="598"/>
      <c r="AZ15" s="598"/>
      <c r="BA15" s="264">
        <v>0.995</v>
      </c>
      <c r="BB15" s="264">
        <v>1.0449999999999999</v>
      </c>
      <c r="BC15" s="270"/>
      <c r="BD15" s="257">
        <f t="shared" si="7"/>
        <v>1.02</v>
      </c>
      <c r="BF15" s="138"/>
      <c r="BG15" s="261" t="s">
        <v>5</v>
      </c>
      <c r="BH15" s="598"/>
      <c r="BI15" s="645" t="str">
        <f t="shared" si="8"/>
        <v>GBP6MOIS=ICAP</v>
      </c>
      <c r="BJ15" s="598"/>
      <c r="BK15" s="598"/>
      <c r="BL15" s="598"/>
      <c r="BM15" s="264">
        <v>0.57000000000000006</v>
      </c>
      <c r="BN15" s="264">
        <v>0.61</v>
      </c>
      <c r="BO15" s="263"/>
      <c r="BP15" s="267">
        <f t="shared" si="9"/>
        <v>0.59000000000000008</v>
      </c>
      <c r="BT15" s="301" t="s">
        <v>8</v>
      </c>
      <c r="BU15" s="195">
        <v>28</v>
      </c>
      <c r="BV15" s="195">
        <v>17</v>
      </c>
      <c r="BW15" s="195">
        <v>21.75</v>
      </c>
      <c r="BX15" s="195">
        <v>46.499999999999993</v>
      </c>
      <c r="CJ15" s="261" t="s">
        <v>11</v>
      </c>
      <c r="CK15" s="485">
        <v>7</v>
      </c>
      <c r="CL15" s="152" t="str">
        <f t="shared" si="4"/>
        <v>GB7Y3LSTK=ICAP</v>
      </c>
      <c r="CN15" s="152" t="str">
        <f t="shared" si="5"/>
        <v>GB7Y3LATM=ICAP</v>
      </c>
      <c r="CR15" s="264">
        <v>2.9499999999999997</v>
      </c>
      <c r="CS15" s="264">
        <v>30.22</v>
      </c>
      <c r="CT15" s="270"/>
      <c r="CU15" s="267">
        <f t="shared" si="6"/>
        <v>30.22</v>
      </c>
    </row>
    <row r="16" spans="5:129">
      <c r="F16" s="596" t="str">
        <f>_xll.qFuturesDateToCode(_xll.qFuturesCodeToDate(F15,Today)+92)</f>
        <v>H2</v>
      </c>
      <c r="G16" s="623" t="str">
        <v>/FSSH2</v>
      </c>
      <c r="I16" s="623" t="s">
        <v>598</v>
      </c>
      <c r="L16" s="624">
        <v>40989</v>
      </c>
      <c r="M16" s="631">
        <v>98.740000000000009</v>
      </c>
      <c r="N16" s="631">
        <v>98.75</v>
      </c>
      <c r="O16" s="631">
        <v>98.77</v>
      </c>
      <c r="Q16" s="624">
        <v>40989</v>
      </c>
      <c r="R16" s="630">
        <v>98.740000000000009</v>
      </c>
      <c r="S16" s="630">
        <v>98.75</v>
      </c>
      <c r="T16" s="630">
        <v>98.77</v>
      </c>
      <c r="W16" s="261" t="str">
        <v>U1</v>
      </c>
      <c r="AC16" s="282">
        <f t="array" ref="AC16:AD16">IF(AND(R14&lt;&gt;0,S14&lt;&gt;0),R14:S14,T14-T13+AF15)</f>
        <v>99.07</v>
      </c>
      <c r="AD16" s="282">
        <v>99.08</v>
      </c>
      <c r="AE16" s="137"/>
      <c r="AF16" s="258">
        <f t="shared" si="10"/>
        <v>99.074999999999989</v>
      </c>
      <c r="AH16" s="138"/>
      <c r="AI16" s="261" t="str">
        <f t="shared" si="11"/>
        <v>U1</v>
      </c>
      <c r="AJ16" s="598"/>
      <c r="AO16" s="270"/>
      <c r="AP16" s="294">
        <f>IF(ISNUMBER(AO16),AO16,_xll.qFuturesConvexityAdjustment(AF16,Today,L14,_xll.qInterp((L14-Today)/365,$CK$9:$CK$18,$CU$9:$CU$18)%,_xll.qInterp((L14-Today)/365,$CK$9:$CK$18,$CR$9:$CR$18)%,"SFE"))</f>
        <v>1.2889634960489005E-2</v>
      </c>
      <c r="AQ16" s="258">
        <f t="shared" si="12"/>
        <v>0.92500000000001137</v>
      </c>
      <c r="AR16" s="258">
        <f t="shared" si="13"/>
        <v>0.92487110365040648</v>
      </c>
      <c r="AT16" s="138"/>
      <c r="AV16" s="598"/>
      <c r="AW16" s="598"/>
      <c r="AX16" s="598"/>
      <c r="AY16" s="598"/>
      <c r="AZ16" s="598"/>
      <c r="BF16" s="138"/>
      <c r="BG16" s="261" t="s">
        <v>119</v>
      </c>
      <c r="BH16" s="598"/>
      <c r="BI16" s="645" t="str">
        <f t="shared" si="8"/>
        <v>GBP7MOIS=ICAP</v>
      </c>
      <c r="BJ16" s="598"/>
      <c r="BK16" s="598"/>
      <c r="BL16" s="598"/>
      <c r="BM16" s="264">
        <v>0.59</v>
      </c>
      <c r="BN16" s="264">
        <v>0.63</v>
      </c>
      <c r="BO16" s="263"/>
      <c r="BP16" s="267">
        <f t="shared" si="9"/>
        <v>0.61</v>
      </c>
      <c r="BT16" s="301" t="s">
        <v>9</v>
      </c>
      <c r="BU16" s="195">
        <v>26.75</v>
      </c>
      <c r="BV16" s="195">
        <v>16.5</v>
      </c>
      <c r="BW16" s="195">
        <v>21.5</v>
      </c>
      <c r="BX16" s="195">
        <v>44.5</v>
      </c>
      <c r="CJ16" s="261" t="s">
        <v>12</v>
      </c>
      <c r="CK16" s="485">
        <v>8</v>
      </c>
      <c r="CL16" s="152" t="str">
        <f t="shared" si="4"/>
        <v>GB8Y3LSTK=ICAP</v>
      </c>
      <c r="CN16" s="152" t="str">
        <f t="shared" si="5"/>
        <v>GB8Y3LATM=ICAP</v>
      </c>
      <c r="CR16" s="264">
        <v>3.13</v>
      </c>
      <c r="CS16" s="264">
        <v>27.84</v>
      </c>
      <c r="CT16" s="270"/>
      <c r="CU16" s="267">
        <f t="shared" si="6"/>
        <v>27.84</v>
      </c>
    </row>
    <row r="17" spans="5:99">
      <c r="F17" s="596" t="str">
        <f>_xll.qFuturesDateToCode(_xll.qFuturesCodeToDate(F16,Today)+92)</f>
        <v>M2</v>
      </c>
      <c r="G17" s="623" t="str">
        <v>/FSSM2</v>
      </c>
      <c r="L17" s="624">
        <v>41080</v>
      </c>
      <c r="M17" s="631">
        <v>98.53</v>
      </c>
      <c r="N17" s="631">
        <v>98.54</v>
      </c>
      <c r="O17" s="631">
        <v>98.56</v>
      </c>
      <c r="Q17" s="624">
        <v>41080</v>
      </c>
      <c r="R17" s="630">
        <v>98.53</v>
      </c>
      <c r="S17" s="630">
        <v>98.54</v>
      </c>
      <c r="T17" s="630">
        <v>98.56</v>
      </c>
      <c r="W17" s="261" t="str">
        <v>Z1</v>
      </c>
      <c r="AC17" s="282">
        <f t="array" ref="AC17:AD17">IF(AND(R15&lt;&gt;0,S15&lt;&gt;0),R15:S15,T15-T14+AF16)</f>
        <v>98.910000000000011</v>
      </c>
      <c r="AD17" s="282">
        <v>98.92</v>
      </c>
      <c r="AE17" s="137"/>
      <c r="AF17" s="258">
        <f t="shared" si="10"/>
        <v>98.915000000000006</v>
      </c>
      <c r="AH17" s="138"/>
      <c r="AI17" s="261" t="str">
        <f t="shared" si="11"/>
        <v>Z1</v>
      </c>
      <c r="AJ17" s="598"/>
      <c r="AO17" s="270"/>
      <c r="AP17" s="294">
        <f>IF(ISNUMBER(AO17),AO17,_xll.qFuturesConvexityAdjustment(AF17,Today,L15,_xll.qInterp((L15-Today)/365,$CK$9:$CK$18,$CU$9:$CU$18)%,_xll.qInterp((L15-Today)/365,$CK$9:$CK$18,$CR$9:$CR$18)%,"SFE"))</f>
        <v>3.771192508601473E-2</v>
      </c>
      <c r="AQ17" s="258">
        <f t="shared" si="12"/>
        <v>1.0849999999999937</v>
      </c>
      <c r="AR17" s="258">
        <f t="shared" si="13"/>
        <v>1.0846228807491336</v>
      </c>
      <c r="AT17" s="138"/>
      <c r="AV17" s="598"/>
      <c r="AW17" s="598"/>
      <c r="AX17" s="598"/>
      <c r="AY17" s="598"/>
      <c r="AZ17" s="598"/>
      <c r="BF17" s="138"/>
      <c r="BG17" s="261" t="s">
        <v>120</v>
      </c>
      <c r="BH17" s="598"/>
      <c r="BI17" s="645" t="str">
        <f t="shared" si="8"/>
        <v>GBP8MOIS=ICAP</v>
      </c>
      <c r="BJ17" s="598"/>
      <c r="BK17" s="598"/>
      <c r="BL17" s="598"/>
      <c r="BM17" s="264">
        <v>0.61</v>
      </c>
      <c r="BN17" s="264">
        <v>0.65</v>
      </c>
      <c r="BO17" s="263"/>
      <c r="BP17" s="267">
        <f t="shared" si="9"/>
        <v>0.63</v>
      </c>
      <c r="BT17" s="301" t="s">
        <v>10</v>
      </c>
      <c r="BU17" s="195">
        <v>25.75</v>
      </c>
      <c r="BV17" s="195">
        <v>15.75</v>
      </c>
      <c r="BW17" s="195">
        <v>21</v>
      </c>
      <c r="BX17" s="195">
        <v>42.75</v>
      </c>
      <c r="CJ17" s="261" t="s">
        <v>13</v>
      </c>
      <c r="CK17" s="485">
        <v>9</v>
      </c>
      <c r="CL17" s="152" t="str">
        <f t="shared" si="4"/>
        <v>GB9Y3LSTK=ICAP</v>
      </c>
      <c r="CN17" s="152" t="str">
        <f t="shared" si="5"/>
        <v>GB9Y3LATM=ICAP</v>
      </c>
      <c r="CR17" s="264">
        <v>3.29</v>
      </c>
      <c r="CS17" s="264">
        <v>25.959999999999997</v>
      </c>
      <c r="CT17" s="270"/>
      <c r="CU17" s="267">
        <f t="shared" si="6"/>
        <v>25.959999999999997</v>
      </c>
    </row>
    <row r="18" spans="5:99">
      <c r="F18" s="596" t="str">
        <f>_xll.qFuturesDateToCode(_xll.qFuturesCodeToDate(F17,Today)+92)</f>
        <v>U2</v>
      </c>
      <c r="G18" s="623" t="str">
        <v>/FSSU2</v>
      </c>
      <c r="L18" s="624">
        <v>41171</v>
      </c>
      <c r="M18" s="631">
        <v>98.32</v>
      </c>
      <c r="N18" s="631">
        <v>98.33</v>
      </c>
      <c r="O18" s="631">
        <v>98.35</v>
      </c>
      <c r="Q18" s="624">
        <v>41171</v>
      </c>
      <c r="R18" s="630">
        <v>98.32</v>
      </c>
      <c r="S18" s="630">
        <v>98.33</v>
      </c>
      <c r="T18" s="630">
        <v>98.35</v>
      </c>
      <c r="W18" s="261" t="str">
        <v>H2</v>
      </c>
      <c r="AC18" s="282">
        <f t="array" ref="AC18:AD18">IF(AND(R16&lt;&gt;0,S16&lt;&gt;0),R16:S16,T16-T15+AF17)</f>
        <v>98.740000000000009</v>
      </c>
      <c r="AD18" s="282">
        <v>98.75</v>
      </c>
      <c r="AE18" s="137"/>
      <c r="AF18" s="258">
        <f t="shared" si="10"/>
        <v>98.745000000000005</v>
      </c>
      <c r="AH18" s="138"/>
      <c r="AI18" s="261" t="str">
        <f t="shared" si="11"/>
        <v>H2</v>
      </c>
      <c r="AJ18" s="598"/>
      <c r="AO18" s="270"/>
      <c r="AP18" s="294">
        <f>IF(ISNUMBER(AO18),AO18,_xll.qFuturesConvexityAdjustment(AF18,Today,L16,_xll.qInterp((L16-Today)/365,$CK$9:$CK$18,$CU$9:$CU$18)%,_xll.qInterp((L16-Today)/365,$CK$9:$CK$18,$CR$9:$CR$18)%,"SFE"))</f>
        <v>7.5236736312800367E-2</v>
      </c>
      <c r="AQ18" s="258">
        <f t="shared" si="12"/>
        <v>1.2549999999999955</v>
      </c>
      <c r="AR18" s="258">
        <f t="shared" si="13"/>
        <v>1.2542476326368674</v>
      </c>
      <c r="AT18" s="138"/>
      <c r="AU18" s="194" t="s">
        <v>39</v>
      </c>
      <c r="AV18" s="598"/>
      <c r="AX18" s="598"/>
      <c r="AY18" s="593" t="str">
        <f ca="1">_xll.RtUpdate("IDN",AW19:AW26,AY19:AY20,BA19,,RTMODE_RATES)</f>
        <v>Updated at 17:03:10</v>
      </c>
      <c r="AZ18" s="598"/>
      <c r="BF18" s="138"/>
      <c r="BG18" s="261" t="s">
        <v>32</v>
      </c>
      <c r="BH18" s="598"/>
      <c r="BI18" s="645" t="str">
        <f t="shared" si="8"/>
        <v>GBP9MOIS=ICAP</v>
      </c>
      <c r="BJ18" s="598"/>
      <c r="BK18" s="598"/>
      <c r="BL18" s="598"/>
      <c r="BM18" s="264">
        <v>0.63</v>
      </c>
      <c r="BN18" s="264">
        <v>0.66999999999999993</v>
      </c>
      <c r="BO18" s="263"/>
      <c r="BP18" s="267">
        <f t="shared" si="9"/>
        <v>0.64999999999999991</v>
      </c>
      <c r="BT18" s="301" t="s">
        <v>11</v>
      </c>
      <c r="BU18" s="195">
        <v>24.5</v>
      </c>
      <c r="BV18" s="195">
        <v>15</v>
      </c>
      <c r="BW18" s="195">
        <v>20.25</v>
      </c>
      <c r="BX18" s="195">
        <v>41</v>
      </c>
      <c r="CJ18" s="261" t="s">
        <v>14</v>
      </c>
      <c r="CK18" s="485">
        <v>10</v>
      </c>
      <c r="CL18" s="152" t="str">
        <f t="shared" si="4"/>
        <v>GB10Y3LSTK=ICAP</v>
      </c>
      <c r="CN18" s="152" t="str">
        <f t="shared" si="5"/>
        <v>GB10Y3LATM=ICAP</v>
      </c>
      <c r="CR18" s="264">
        <v>3.4099999999999997</v>
      </c>
      <c r="CS18" s="264">
        <v>24.479999999999997</v>
      </c>
      <c r="CT18" s="270"/>
      <c r="CU18" s="267">
        <f t="shared" si="6"/>
        <v>24.479999999999997</v>
      </c>
    </row>
    <row r="19" spans="5:99">
      <c r="F19" s="596" t="str">
        <f>_xll.qFuturesDateToCode(_xll.qFuturesCodeToDate(F18,Today)+92)</f>
        <v>Z2</v>
      </c>
      <c r="G19" s="623" t="str">
        <v>/FSSZ2</v>
      </c>
      <c r="L19" s="624">
        <v>41262</v>
      </c>
      <c r="M19" s="631">
        <v>98.08</v>
      </c>
      <c r="N19" s="631">
        <v>98.1</v>
      </c>
      <c r="O19" s="631">
        <v>98.11</v>
      </c>
      <c r="Q19" s="624">
        <v>41262</v>
      </c>
      <c r="R19" s="630">
        <v>98.08</v>
      </c>
      <c r="S19" s="630">
        <v>98.1</v>
      </c>
      <c r="T19" s="630">
        <v>98.11</v>
      </c>
      <c r="W19" s="261" t="str">
        <v>M2</v>
      </c>
      <c r="AC19" s="282">
        <f t="array" ref="AC19:AD19">IF(AND(R17&lt;&gt;0,S17&lt;&gt;0),R17:S17,T17-T16+AF18)</f>
        <v>98.53</v>
      </c>
      <c r="AD19" s="282">
        <v>98.54</v>
      </c>
      <c r="AE19" s="137"/>
      <c r="AF19" s="258">
        <f t="shared" si="10"/>
        <v>98.534999999999997</v>
      </c>
      <c r="AH19" s="138"/>
      <c r="AI19" s="261" t="str">
        <f t="shared" si="11"/>
        <v>M2</v>
      </c>
      <c r="AJ19" s="598"/>
      <c r="AO19" s="270"/>
      <c r="AP19" s="294">
        <f>IF(ISNUMBER(AO19),AO19,_xll.qFuturesConvexityAdjustment(AF19,Today,L17,_xll.qInterp((L17-Today)/365,$CK$9:$CK$18,$CU$9:$CU$18)%,_xll.qInterp((L17-Today)/365,$CK$9:$CK$18,$CR$9:$CR$18)%,"SFE"))</f>
        <v>0.13896226744001261</v>
      </c>
      <c r="AQ19" s="258">
        <f t="shared" si="12"/>
        <v>1.4650000000000034</v>
      </c>
      <c r="AR19" s="258">
        <f t="shared" si="13"/>
        <v>1.4636103773256033</v>
      </c>
      <c r="AT19" s="138"/>
      <c r="AU19" s="261" t="s">
        <v>205</v>
      </c>
      <c r="AV19" s="598"/>
      <c r="AW19" s="645" t="str">
        <f t="array" ref="AW19:AW26">"GBP"&amp;AU19:AU26&amp;"S=ICAP"</f>
        <v>GBP2X1S=ICAP</v>
      </c>
      <c r="AX19" s="598"/>
      <c r="AY19" s="645" t="s">
        <v>45</v>
      </c>
      <c r="AZ19" s="598"/>
      <c r="BA19" s="264">
        <v>0.57999999999999996</v>
      </c>
      <c r="BB19" s="264">
        <v>0.67999999999999994</v>
      </c>
      <c r="BC19" s="270"/>
      <c r="BD19" s="257">
        <f t="shared" ref="BD19:BD26" si="14">IF(ISNUMBER(BC19),BC19,AVERAGE(BA19:BB19))</f>
        <v>0.62999999999999989</v>
      </c>
      <c r="BF19" s="138"/>
      <c r="BG19" s="261" t="s">
        <v>581</v>
      </c>
      <c r="BH19" s="598"/>
      <c r="BI19" s="645" t="str">
        <f t="shared" si="8"/>
        <v>GBP10MOIS=ICAP</v>
      </c>
      <c r="BJ19" s="598"/>
      <c r="BK19" s="598"/>
      <c r="BL19" s="598"/>
      <c r="BM19" s="264">
        <v>0.65</v>
      </c>
      <c r="BN19" s="264">
        <v>0.69</v>
      </c>
      <c r="BO19" s="263"/>
      <c r="BP19" s="267">
        <f t="shared" si="9"/>
        <v>0.66999999999999993</v>
      </c>
      <c r="BT19" s="301" t="s">
        <v>12</v>
      </c>
      <c r="BU19" s="195">
        <v>23.5</v>
      </c>
      <c r="BV19" s="195">
        <v>14.25</v>
      </c>
      <c r="BW19" s="195">
        <v>19.5</v>
      </c>
      <c r="BX19" s="195">
        <v>39</v>
      </c>
    </row>
    <row r="20" spans="5:99">
      <c r="F20" s="596" t="str">
        <f>_xll.qFuturesDateToCode(_xll.qFuturesCodeToDate(F19,Today)+92)</f>
        <v>H3</v>
      </c>
      <c r="G20" s="623" t="str">
        <v>/FSSH3</v>
      </c>
      <c r="L20" s="624">
        <v>41353</v>
      </c>
      <c r="M20" s="631">
        <v>97.89</v>
      </c>
      <c r="N20" s="631">
        <v>97.9</v>
      </c>
      <c r="O20" s="631">
        <v>97.910000000000011</v>
      </c>
      <c r="Q20" s="624">
        <v>41353</v>
      </c>
      <c r="R20" s="630">
        <v>97.89</v>
      </c>
      <c r="S20" s="630">
        <v>97.9</v>
      </c>
      <c r="T20" s="630">
        <v>97.910000000000011</v>
      </c>
      <c r="W20" s="261" t="str">
        <v>U2</v>
      </c>
      <c r="AC20" s="282">
        <f t="array" ref="AC20:AD20">IF(AND(R18&lt;&gt;0,S18&lt;&gt;0),R18:S18,T18-T17+AF19)</f>
        <v>98.32</v>
      </c>
      <c r="AD20" s="282">
        <v>98.33</v>
      </c>
      <c r="AE20" s="137"/>
      <c r="AF20" s="258">
        <f t="shared" si="10"/>
        <v>98.324999999999989</v>
      </c>
      <c r="AH20" s="138"/>
      <c r="AI20" s="261" t="str">
        <f t="shared" si="11"/>
        <v>U2</v>
      </c>
      <c r="AJ20" s="598"/>
      <c r="AO20" s="270"/>
      <c r="AP20" s="294">
        <f>IF(ISNUMBER(AO20),AO20,_xll.qFuturesConvexityAdjustment(AF20,Today,L18,_xll.qInterp((L18-Today)/365,$CK$9:$CK$18,$CU$9:$CU$18)%,_xll.qInterp((L18-Today)/365,$CK$9:$CK$18,$CR$9:$CR$18)%,"SFE"))</f>
        <v>0.26902051061432619</v>
      </c>
      <c r="AQ20" s="258">
        <f t="shared" si="12"/>
        <v>1.6750000000000114</v>
      </c>
      <c r="AR20" s="258">
        <f t="shared" si="13"/>
        <v>1.6723097948938681</v>
      </c>
      <c r="AT20" s="138"/>
      <c r="AU20" s="261" t="s">
        <v>206</v>
      </c>
      <c r="AV20" s="598"/>
      <c r="AW20" s="645" t="str">
        <v>GBP3X1S=ICAP</v>
      </c>
      <c r="AX20" s="598"/>
      <c r="AY20" s="645" t="s">
        <v>46</v>
      </c>
      <c r="AZ20" s="598"/>
      <c r="BA20" s="264">
        <v>0.58499999999999996</v>
      </c>
      <c r="BB20" s="264">
        <v>0.68499999999999994</v>
      </c>
      <c r="BC20" s="270"/>
      <c r="BD20" s="257">
        <f t="shared" si="14"/>
        <v>0.63500000000000001</v>
      </c>
      <c r="BF20" s="138"/>
      <c r="BG20" s="261" t="s">
        <v>582</v>
      </c>
      <c r="BH20" s="598"/>
      <c r="BI20" s="645" t="str">
        <f t="shared" si="8"/>
        <v>GBP11MOIS=ICAP</v>
      </c>
      <c r="BJ20" s="598"/>
      <c r="BK20" s="598"/>
      <c r="BL20" s="598"/>
      <c r="BM20" s="264">
        <v>0.66999999999999993</v>
      </c>
      <c r="BN20" s="264">
        <v>0.71</v>
      </c>
      <c r="BO20" s="263"/>
      <c r="BP20" s="267">
        <f t="shared" si="9"/>
        <v>0.69</v>
      </c>
      <c r="BT20" s="301" t="s">
        <v>13</v>
      </c>
      <c r="BU20" s="195">
        <v>22.75</v>
      </c>
      <c r="BV20" s="195">
        <v>13.25</v>
      </c>
      <c r="BW20" s="195">
        <v>18.5</v>
      </c>
      <c r="BX20" s="195">
        <v>37</v>
      </c>
    </row>
    <row r="21" spans="5:99">
      <c r="F21" s="596" t="str">
        <f>_xll.qFuturesDateToCode(_xll.qFuturesCodeToDate(F20,Today)+92)</f>
        <v>M3</v>
      </c>
      <c r="G21" s="623" t="str">
        <v>/FSSM3</v>
      </c>
      <c r="L21" s="624">
        <v>41444</v>
      </c>
      <c r="M21" s="631">
        <v>97.669999999999987</v>
      </c>
      <c r="N21" s="631">
        <v>97.679999999999993</v>
      </c>
      <c r="O21" s="631">
        <v>97.69</v>
      </c>
      <c r="Q21" s="624">
        <v>41444</v>
      </c>
      <c r="R21" s="630">
        <v>97.669999999999987</v>
      </c>
      <c r="S21" s="630">
        <v>97.679999999999993</v>
      </c>
      <c r="T21" s="630">
        <v>97.69</v>
      </c>
      <c r="W21" s="261" t="str">
        <v>Z2</v>
      </c>
      <c r="AC21" s="282">
        <f t="array" ref="AC21:AD21">IF(AND(R19&lt;&gt;0,S19&lt;&gt;0),R19:S19,T19-T18+AF20)</f>
        <v>98.08</v>
      </c>
      <c r="AD21" s="282">
        <v>98.1</v>
      </c>
      <c r="AE21" s="137"/>
      <c r="AF21" s="258">
        <f t="shared" si="10"/>
        <v>98.09</v>
      </c>
      <c r="AH21" s="138"/>
      <c r="AI21" s="261" t="str">
        <f t="shared" si="11"/>
        <v>Z2</v>
      </c>
      <c r="AJ21" s="598"/>
      <c r="AO21" s="270"/>
      <c r="AP21" s="294">
        <f>IF(ISNUMBER(AO21),AO21,_xll.qFuturesConvexityAdjustment(AF21,Today,L19,_xll.qInterp((L19-Today)/365,$CK$9:$CK$18,$CU$9:$CU$18)%,_xll.qInterp((L19-Today)/365,$CK$9:$CK$18,$CR$9:$CR$18)%,"SFE"))</f>
        <v>0.47737498490922903</v>
      </c>
      <c r="AQ21" s="258">
        <f t="shared" si="12"/>
        <v>1.9099999999999966</v>
      </c>
      <c r="AR21" s="258">
        <f t="shared" si="13"/>
        <v>1.9052262501509043</v>
      </c>
      <c r="AT21" s="138"/>
      <c r="AU21" s="261" t="s">
        <v>207</v>
      </c>
      <c r="AV21" s="598"/>
      <c r="AW21" s="645" t="str">
        <v>GBP4X1S=ICAP</v>
      </c>
      <c r="AX21" s="598"/>
      <c r="AY21" s="598"/>
      <c r="AZ21" s="598"/>
      <c r="BA21" s="264">
        <v>0.60499999999999998</v>
      </c>
      <c r="BB21" s="264">
        <v>0.70499999999999996</v>
      </c>
      <c r="BC21" s="270"/>
      <c r="BD21" s="257">
        <f t="shared" si="14"/>
        <v>0.65500000000000003</v>
      </c>
      <c r="BF21" s="138"/>
      <c r="BG21" s="261" t="s">
        <v>26</v>
      </c>
      <c r="BH21" s="598"/>
      <c r="BI21" s="645" t="str">
        <f t="shared" si="8"/>
        <v>GBP1YOIS=ICAP</v>
      </c>
      <c r="BJ21" s="598"/>
      <c r="BL21" s="598"/>
      <c r="BM21" s="264">
        <v>0.69</v>
      </c>
      <c r="BN21" s="264">
        <v>0.73</v>
      </c>
      <c r="BO21" s="263"/>
      <c r="BP21" s="267">
        <f t="shared" si="9"/>
        <v>0.71</v>
      </c>
      <c r="BT21" s="301" t="s">
        <v>14</v>
      </c>
      <c r="BU21" s="195">
        <v>21.75</v>
      </c>
      <c r="BV21" s="195">
        <v>12.25</v>
      </c>
      <c r="BW21" s="195">
        <v>17.5</v>
      </c>
      <c r="BX21" s="195">
        <v>35.25</v>
      </c>
    </row>
    <row r="22" spans="5:99">
      <c r="F22" s="596" t="str">
        <f>_xll.qFuturesDateToCode(_xll.qFuturesCodeToDate(F21,Today)+92)</f>
        <v>U3</v>
      </c>
      <c r="G22" s="623" t="str">
        <v>/FSSU3</v>
      </c>
      <c r="L22" s="624">
        <v>41535</v>
      </c>
      <c r="M22" s="631">
        <v>97.45</v>
      </c>
      <c r="N22" s="631">
        <v>97.47</v>
      </c>
      <c r="O22" s="631">
        <v>97.47</v>
      </c>
      <c r="Q22" s="624">
        <v>41535</v>
      </c>
      <c r="R22" s="630">
        <v>97.45</v>
      </c>
      <c r="S22" s="630">
        <v>97.47</v>
      </c>
      <c r="T22" s="630">
        <v>97.47</v>
      </c>
      <c r="W22" s="261" t="str">
        <v>H3</v>
      </c>
      <c r="AC22" s="282">
        <f t="array" ref="AC22:AD22">IF(AND(R20&lt;&gt;0,S20&lt;&gt;0),R20:S20,T20-T19+AF21)</f>
        <v>97.89</v>
      </c>
      <c r="AD22" s="282">
        <v>97.9</v>
      </c>
      <c r="AE22" s="137"/>
      <c r="AF22" s="258">
        <f t="shared" si="10"/>
        <v>97.89500000000001</v>
      </c>
      <c r="AH22" s="138"/>
      <c r="AI22" s="261" t="str">
        <f t="shared" si="11"/>
        <v>H3</v>
      </c>
      <c r="AJ22" s="598"/>
      <c r="AO22" s="270"/>
      <c r="AP22" s="294">
        <f>IF(ISNUMBER(AO22),AO22,_xll.qFuturesConvexityAdjustment(AF22,Today,L20,_xll.qInterp((L20-Today)/365,$CK$9:$CK$18,$CU$9:$CU$18)%,_xll.qInterp((L20-Today)/365,$CK$9:$CK$18,$CR$9:$CR$18)%,"SFE"))</f>
        <v>0.7941701021379366</v>
      </c>
      <c r="AQ22" s="258">
        <f t="shared" si="12"/>
        <v>2.1049999999999898</v>
      </c>
      <c r="AR22" s="258">
        <f t="shared" si="13"/>
        <v>2.0970582989786104</v>
      </c>
      <c r="AT22" s="138"/>
      <c r="AU22" s="261" t="s">
        <v>208</v>
      </c>
      <c r="AV22" s="598"/>
      <c r="AW22" s="645" t="str">
        <v>GBP5X1S=ICAP</v>
      </c>
      <c r="AX22" s="598"/>
      <c r="AZ22" s="598"/>
      <c r="BA22" s="264">
        <v>0.62</v>
      </c>
      <c r="BB22" s="264">
        <v>0.72</v>
      </c>
      <c r="BC22" s="270"/>
      <c r="BD22" s="257">
        <f t="shared" si="14"/>
        <v>0.66999999999999993</v>
      </c>
      <c r="BF22" s="138"/>
      <c r="BH22" s="598"/>
      <c r="BI22" s="598"/>
      <c r="BJ22" s="598"/>
      <c r="BK22" s="598"/>
      <c r="BL22" s="598"/>
      <c r="BT22" s="301" t="s">
        <v>15</v>
      </c>
      <c r="BU22" s="195">
        <v>21.25</v>
      </c>
      <c r="BV22" s="195">
        <v>10.75</v>
      </c>
      <c r="BW22" s="195">
        <v>15.5</v>
      </c>
      <c r="BX22" s="195">
        <v>32</v>
      </c>
    </row>
    <row r="23" spans="5:99">
      <c r="F23" s="596" t="str">
        <f>_xll.qFuturesDateToCode(_xll.qFuturesCodeToDate(F22,Today)+92)</f>
        <v>Z3</v>
      </c>
      <c r="G23" s="623" t="str">
        <v>/FSSZ3</v>
      </c>
      <c r="L23" s="624">
        <v>41626</v>
      </c>
      <c r="M23" s="631">
        <v>97.22</v>
      </c>
      <c r="N23" s="631">
        <v>97.240000000000009</v>
      </c>
      <c r="O23" s="631">
        <v>97.25</v>
      </c>
      <c r="Q23" s="624">
        <v>41626</v>
      </c>
      <c r="R23" s="630">
        <v>97.22</v>
      </c>
      <c r="S23" s="630">
        <v>97.240000000000009</v>
      </c>
      <c r="T23" s="630">
        <v>97.25</v>
      </c>
      <c r="W23" s="261" t="str">
        <v>M3</v>
      </c>
      <c r="AC23" s="282">
        <f t="array" ref="AC23:AD23">IF(AND(R21&lt;&gt;0,S21&lt;&gt;0),R21:S21,T21-T20+AF22)</f>
        <v>97.669999999999987</v>
      </c>
      <c r="AD23" s="282">
        <v>97.679999999999993</v>
      </c>
      <c r="AE23" s="137"/>
      <c r="AF23" s="258">
        <f t="shared" si="10"/>
        <v>97.674999999999983</v>
      </c>
      <c r="AH23" s="138"/>
      <c r="AI23" s="261" t="str">
        <f t="shared" si="11"/>
        <v>M3</v>
      </c>
      <c r="AJ23" s="598"/>
      <c r="AO23" s="270"/>
      <c r="AP23" s="294">
        <f>IF(ISNUMBER(AO23),AO23,_xll.qFuturesConvexityAdjustment(AF23,Today,L21,_xll.qInterp((L21-Today)/365,$CK$9:$CK$18,$CU$9:$CU$18)%,_xll.qInterp((L21-Today)/365,$CK$9:$CK$18,$CR$9:$CR$18)%,"SFE"))</f>
        <v>1.2047706988361107</v>
      </c>
      <c r="AQ23" s="258">
        <f t="shared" si="12"/>
        <v>2.3250000000000171</v>
      </c>
      <c r="AR23" s="258">
        <f t="shared" si="13"/>
        <v>2.3129522930116559</v>
      </c>
      <c r="AT23" s="138"/>
      <c r="AU23" s="261" t="s">
        <v>209</v>
      </c>
      <c r="AV23" s="598"/>
      <c r="AW23" s="645" t="str">
        <v>GBP6X1S=ICAP</v>
      </c>
      <c r="AX23" s="598"/>
      <c r="AY23" s="598"/>
      <c r="AZ23" s="598"/>
      <c r="BA23" s="264">
        <v>0.63500000000000001</v>
      </c>
      <c r="BB23" s="264">
        <v>0.73499999999999999</v>
      </c>
      <c r="BC23" s="270"/>
      <c r="BD23" s="257">
        <f t="shared" si="14"/>
        <v>0.68500000000000005</v>
      </c>
      <c r="BF23" s="138"/>
      <c r="BH23" s="598"/>
      <c r="BI23" s="598"/>
      <c r="BJ23" s="598"/>
      <c r="BK23" s="598"/>
      <c r="BL23" s="598"/>
      <c r="BT23" s="301" t="s">
        <v>16</v>
      </c>
      <c r="BU23" s="195">
        <v>20.5</v>
      </c>
      <c r="BV23" s="195">
        <v>9.25</v>
      </c>
      <c r="BW23" s="195">
        <v>13.25</v>
      </c>
      <c r="BX23" s="195">
        <v>28.249999999999996</v>
      </c>
    </row>
    <row r="24" spans="5:99">
      <c r="F24" s="596" t="str">
        <f>_xll.qFuturesDateToCode(_xll.qFuturesCodeToDate(F23,Today)+92)</f>
        <v>H4</v>
      </c>
      <c r="G24" s="623" t="str">
        <v>/FSSH4</v>
      </c>
      <c r="L24" s="624">
        <v>41717</v>
      </c>
      <c r="M24" s="631">
        <v>97.04</v>
      </c>
      <c r="N24" s="631">
        <v>97.05</v>
      </c>
      <c r="O24" s="631">
        <v>97.06</v>
      </c>
      <c r="Q24" s="624">
        <v>41717</v>
      </c>
      <c r="R24" s="630">
        <v>97.04</v>
      </c>
      <c r="S24" s="630">
        <v>97.05</v>
      </c>
      <c r="T24" s="630">
        <v>97.06</v>
      </c>
      <c r="W24" s="261" t="str">
        <v>U3</v>
      </c>
      <c r="AC24" s="282">
        <f t="array" ref="AC24:AD24">IF(AND(R22&lt;&gt;0,S22&lt;&gt;0),R22:S22,T22-T21+AF23)</f>
        <v>97.45</v>
      </c>
      <c r="AD24" s="282">
        <v>97.47</v>
      </c>
      <c r="AE24" s="137"/>
      <c r="AF24" s="258">
        <f t="shared" si="10"/>
        <v>97.460000000000008</v>
      </c>
      <c r="AH24" s="138"/>
      <c r="AI24" s="261" t="str">
        <f t="shared" si="11"/>
        <v>U3</v>
      </c>
      <c r="AJ24" s="598"/>
      <c r="AO24" s="270"/>
      <c r="AP24" s="294">
        <f>IF(ISNUMBER(AO24),AO24,_xll.qFuturesConvexityAdjustment(AF24,Today,L22,_xll.qInterp((L22-Today)/365,$CK$9:$CK$18,$CU$9:$CU$18)%,_xll.qInterp((L22-Today)/365,$CK$9:$CK$18,$CR$9:$CR$18)%,"SFE"))</f>
        <v>1.6361851553243323</v>
      </c>
      <c r="AQ24" s="258">
        <f t="shared" si="12"/>
        <v>2.539999999999992</v>
      </c>
      <c r="AR24" s="258">
        <f t="shared" si="13"/>
        <v>2.5236381484467487</v>
      </c>
      <c r="AT24" s="138"/>
      <c r="AU24" s="261" t="s">
        <v>210</v>
      </c>
      <c r="AV24" s="598"/>
      <c r="AW24" s="645" t="str">
        <v>GBP7X1S=ICAP</v>
      </c>
      <c r="AX24" s="598"/>
      <c r="AY24" s="598"/>
      <c r="AZ24" s="598"/>
      <c r="BA24" s="264">
        <v>0.65500000000000003</v>
      </c>
      <c r="BB24" s="264">
        <v>0.755</v>
      </c>
      <c r="BC24" s="270"/>
      <c r="BD24" s="257">
        <f t="shared" si="14"/>
        <v>0.70500000000000007</v>
      </c>
      <c r="BF24" s="138"/>
      <c r="BH24" s="598"/>
      <c r="BI24" s="598"/>
      <c r="BJ24" s="598"/>
      <c r="BK24" s="598"/>
      <c r="BL24" s="598"/>
      <c r="BT24" s="301" t="s">
        <v>17</v>
      </c>
      <c r="BU24" s="195">
        <v>18.5</v>
      </c>
      <c r="BV24" s="195">
        <v>7.75</v>
      </c>
      <c r="BW24" s="195">
        <v>11.25</v>
      </c>
      <c r="BX24" s="195">
        <v>24.5</v>
      </c>
    </row>
    <row r="25" spans="5:99">
      <c r="L25" s="628"/>
      <c r="M25" s="648"/>
      <c r="N25" s="648"/>
      <c r="O25" s="648"/>
      <c r="Q25" s="624"/>
      <c r="R25" s="630"/>
      <c r="S25" s="630"/>
      <c r="T25" s="630"/>
      <c r="W25" s="261" t="str">
        <v>Z3</v>
      </c>
      <c r="AC25" s="282">
        <f t="array" ref="AC25:AD25">IF(AND(R23&lt;&gt;0,S23&lt;&gt;0),R23:S23,T23-T22+AF24)</f>
        <v>97.22</v>
      </c>
      <c r="AD25" s="282">
        <v>97.240000000000009</v>
      </c>
      <c r="AE25" s="137"/>
      <c r="AF25" s="258">
        <f t="shared" si="10"/>
        <v>97.23</v>
      </c>
      <c r="AH25" s="138"/>
      <c r="AI25" s="261" t="str">
        <f t="shared" si="11"/>
        <v>Z3</v>
      </c>
      <c r="AJ25" s="598"/>
      <c r="AO25" s="270"/>
      <c r="AP25" s="294">
        <f>IF(ISNUMBER(AO25),AO25,_xll.qFuturesConvexityAdjustment(AF25,Today,L23,_xll.qInterp((L23-Today)/365,$CK$9:$CK$18,$CU$9:$CU$18)%,_xll.qInterp((L23-Today)/365,$CK$9:$CK$18,$CR$9:$CR$18)%,"SFE"))</f>
        <v>2.1511787425323448</v>
      </c>
      <c r="AQ25" s="258">
        <f t="shared" si="12"/>
        <v>2.769999999999996</v>
      </c>
      <c r="AR25" s="258">
        <f t="shared" si="13"/>
        <v>2.7484882125746726</v>
      </c>
      <c r="AT25" s="138"/>
      <c r="AU25" s="261" t="s">
        <v>211</v>
      </c>
      <c r="AV25" s="598"/>
      <c r="AW25" s="645" t="str">
        <v>GBP8X1S=ICAP</v>
      </c>
      <c r="AX25" s="598"/>
      <c r="AY25" s="598"/>
      <c r="AZ25" s="598"/>
      <c r="BA25" s="264">
        <v>0.67499999999999993</v>
      </c>
      <c r="BB25" s="264">
        <v>0.77500000000000002</v>
      </c>
      <c r="BC25" s="270"/>
      <c r="BD25" s="257">
        <f t="shared" si="14"/>
        <v>0.72499999999999998</v>
      </c>
      <c r="BF25" s="138"/>
      <c r="BH25" s="598"/>
      <c r="BI25" s="598"/>
      <c r="BJ25" s="598"/>
      <c r="BK25" s="598"/>
      <c r="BL25" s="598"/>
      <c r="BT25" s="301" t="s">
        <v>18</v>
      </c>
      <c r="BU25" s="195">
        <v>17.5</v>
      </c>
      <c r="BV25" s="195">
        <v>7</v>
      </c>
      <c r="BW25" s="195">
        <v>10</v>
      </c>
      <c r="BX25" s="195">
        <v>22</v>
      </c>
    </row>
    <row r="26" spans="5:99">
      <c r="H26" s="632" t="s">
        <v>81</v>
      </c>
      <c r="J26" s="632" t="s">
        <v>81</v>
      </c>
      <c r="W26" s="261" t="str">
        <v>H4</v>
      </c>
      <c r="AC26" s="282">
        <f t="array" ref="AC26:AD26">IF(AND(R24&lt;&gt;0,S24&lt;&gt;0),R24:S24,T24-T23+AF25)</f>
        <v>97.04</v>
      </c>
      <c r="AD26" s="282">
        <v>97.05</v>
      </c>
      <c r="AE26" s="137"/>
      <c r="AF26" s="258">
        <f t="shared" si="10"/>
        <v>97.045000000000002</v>
      </c>
      <c r="AH26" s="138"/>
      <c r="AI26" s="261" t="str">
        <f t="shared" si="11"/>
        <v>H4</v>
      </c>
      <c r="AJ26" s="598"/>
      <c r="AO26" s="270"/>
      <c r="AP26" s="294">
        <f>IF(ISNUMBER(AO26),AO26,_xll.qFuturesConvexityAdjustment(AF26,Today,L24,_xll.qInterp((L24-Today)/365,$CK$9:$CK$18,$CU$9:$CU$18)%,_xll.qInterp((L24-Today)/365,$CK$9:$CK$18,$CR$9:$CR$18)%,"SFE"))</f>
        <v>2.7517568380733604</v>
      </c>
      <c r="AQ26" s="258">
        <f t="shared" si="12"/>
        <v>2.9549999999999983</v>
      </c>
      <c r="AR26" s="258">
        <f t="shared" si="13"/>
        <v>2.9274824316192647</v>
      </c>
      <c r="AT26" s="138"/>
      <c r="AU26" s="261" t="s">
        <v>212</v>
      </c>
      <c r="AV26" s="598"/>
      <c r="AW26" s="645" t="str">
        <v>GBP9X1S=ICAP</v>
      </c>
      <c r="AX26" s="598"/>
      <c r="AZ26" s="598"/>
      <c r="BA26" s="264">
        <v>0.69499999999999995</v>
      </c>
      <c r="BB26" s="264">
        <v>0.79499999999999993</v>
      </c>
      <c r="BC26" s="270"/>
      <c r="BD26" s="257">
        <f t="shared" si="14"/>
        <v>0.74499999999999988</v>
      </c>
      <c r="BF26" s="138"/>
      <c r="BH26" s="598"/>
      <c r="BI26" s="598"/>
      <c r="BJ26" s="598"/>
      <c r="BK26" s="598"/>
      <c r="BL26" s="598"/>
      <c r="BT26" s="301" t="s">
        <v>19</v>
      </c>
      <c r="BU26" s="195">
        <v>17</v>
      </c>
      <c r="BV26" s="195">
        <v>6.5</v>
      </c>
      <c r="BW26" s="195">
        <v>9.25</v>
      </c>
      <c r="BX26" s="195">
        <v>20.5</v>
      </c>
    </row>
    <row r="27" spans="5:99">
      <c r="AH27" s="138"/>
      <c r="AJ27" s="598"/>
      <c r="AT27" s="138"/>
      <c r="AV27" s="598"/>
      <c r="AW27" s="598"/>
      <c r="AX27" s="598"/>
      <c r="AY27" s="598"/>
      <c r="AZ27" s="598"/>
      <c r="BF27" s="138"/>
      <c r="BH27" s="598"/>
      <c r="BI27" s="598"/>
      <c r="BJ27" s="598"/>
      <c r="BK27" s="598"/>
      <c r="BL27" s="598"/>
      <c r="BT27" s="301" t="s">
        <v>28</v>
      </c>
      <c r="BU27" s="195">
        <v>17</v>
      </c>
      <c r="BV27" s="195">
        <v>5.75</v>
      </c>
      <c r="BW27" s="195">
        <v>8.25</v>
      </c>
      <c r="BX27" s="195">
        <v>18.5</v>
      </c>
    </row>
    <row r="28" spans="5:99">
      <c r="W28" s="194" t="s">
        <v>632</v>
      </c>
      <c r="AA28" s="595" t="str">
        <f ca="1">_xll.RtUpdate("IDN",Y29:Y45,AA29:AA30,AC29,,RTMODE_RATES)</f>
        <v>Updated at 17:03:10</v>
      </c>
      <c r="AH28" s="138"/>
      <c r="AI28" s="194" t="s">
        <v>35</v>
      </c>
      <c r="AJ28" s="598"/>
      <c r="AM28" s="595" t="str">
        <f ca="1">_xll.RtUpdate("IDN",AK29:AK45,AM29:AM30,AO29,,RTMODE_RATES)</f>
        <v>Updated at 16:52:05</v>
      </c>
      <c r="AT28" s="138"/>
      <c r="AU28" s="194" t="s">
        <v>36</v>
      </c>
      <c r="AV28" s="598"/>
      <c r="AX28" s="598"/>
      <c r="AY28" s="593" t="str">
        <f ca="1">_xll.RtUpdate("IDN",AW29:AW45,AY29:AY30,BA29,,RTMODE_RATES)</f>
        <v>Updated at 16:55:53</v>
      </c>
      <c r="AZ28" s="598"/>
      <c r="BF28" s="138"/>
      <c r="BG28" s="194" t="s">
        <v>633</v>
      </c>
      <c r="BH28" s="598"/>
      <c r="BJ28" s="598"/>
      <c r="BK28" s="593" t="str">
        <f ca="1">_xll.RtUpdate("IDN",BI29:BI43,BK29:BK30,BM29,,RTMODE_RATES)</f>
        <v>Updated at 16:53:05</v>
      </c>
      <c r="BL28" s="598"/>
      <c r="BT28" s="301" t="s">
        <v>213</v>
      </c>
      <c r="BU28" s="195">
        <v>17</v>
      </c>
      <c r="BV28" s="195">
        <v>5.25</v>
      </c>
      <c r="BW28" s="195">
        <v>7.5</v>
      </c>
      <c r="BX28" s="195">
        <v>17.5</v>
      </c>
    </row>
    <row r="29" spans="5:99">
      <c r="W29" s="261" t="s">
        <v>26</v>
      </c>
      <c r="Y29" s="623" t="str">
        <f>"GBPAM3L"&amp;W29&amp;"="</f>
        <v>GBPAM3L1Y=</v>
      </c>
      <c r="AA29" s="623" t="s">
        <v>46</v>
      </c>
      <c r="AC29" s="268">
        <v>0.999</v>
      </c>
      <c r="AD29" s="268">
        <v>0.96899999999999997</v>
      </c>
      <c r="AE29" s="137"/>
      <c r="AF29" s="258">
        <f t="shared" ref="AF29:AF38" si="15">IF(ISNUMBER(AE29),AE29,AVERAGE(AC29:AD29))</f>
        <v>0.98399999999999999</v>
      </c>
      <c r="AH29" s="138"/>
      <c r="AI29" s="261" t="s">
        <v>26</v>
      </c>
      <c r="AJ29" s="598"/>
      <c r="AK29" s="623" t="str">
        <f t="shared" ref="AK29:AK45" si="16">"GBP3L6L"&amp;AI29&amp;"=ICAP"</f>
        <v>GBP3L6L1Y=ICAP</v>
      </c>
      <c r="AM29" s="623" t="s">
        <v>45</v>
      </c>
      <c r="AO29" s="264">
        <v>21</v>
      </c>
      <c r="AP29" s="264">
        <v>26</v>
      </c>
      <c r="AQ29" s="137"/>
      <c r="AR29" s="267">
        <f t="shared" ref="AR29:AR45" si="17">IF(ISNUMBER(AQ29),AQ29,AVERAGEIF(AO29:AP29,"&lt;&gt;0"))</f>
        <v>23.5</v>
      </c>
      <c r="AT29" s="138"/>
      <c r="AU29" s="261" t="s">
        <v>26</v>
      </c>
      <c r="AV29" s="598"/>
      <c r="AW29" s="645" t="str">
        <f t="shared" ref="AW29:AW43" si="18">"GBP1L3L"&amp;AU29&amp;"=ICAP"</f>
        <v>GBP1L3L1Y=ICAP</v>
      </c>
      <c r="AX29" s="598"/>
      <c r="AY29" s="645" t="s">
        <v>45</v>
      </c>
      <c r="AZ29" s="598"/>
      <c r="BA29" s="264">
        <v>14.25</v>
      </c>
      <c r="BB29" s="264">
        <v>19.25</v>
      </c>
      <c r="BC29" s="270"/>
      <c r="BD29" s="267">
        <f t="shared" ref="BD29:BD43" si="19">IF(ISNUMBER(BC29),BC29,(BA29+BB29)/COUNTIF(BA29:BB29,"&lt;&gt;0"))</f>
        <v>16.75</v>
      </c>
      <c r="BF29" s="138"/>
      <c r="BG29" s="261" t="s">
        <v>26</v>
      </c>
      <c r="BH29" s="598"/>
      <c r="BI29" s="645" t="str">
        <f t="shared" ref="BI29:BI43" si="20">"GBPSO3L"&amp;BG29&amp;"=ICAP"</f>
        <v>GBPSO3L1Y=ICAP</v>
      </c>
      <c r="BJ29" s="598"/>
      <c r="BK29" s="645" t="s">
        <v>45</v>
      </c>
      <c r="BL29" s="598"/>
      <c r="BM29" s="264">
        <v>27.25</v>
      </c>
      <c r="BN29" s="264">
        <v>0</v>
      </c>
      <c r="BO29" s="263"/>
      <c r="BP29" s="267">
        <f t="shared" ref="BP29:BP43" si="21">IF(ISNUMBER(BO29),BO29,AVERAGEIF(BM29:BN29,"&lt;&gt;0"))</f>
        <v>27.25</v>
      </c>
    </row>
    <row r="30" spans="5:99">
      <c r="E30" s="622" t="s">
        <v>607</v>
      </c>
      <c r="W30" s="261" t="s">
        <v>27</v>
      </c>
      <c r="Y30" s="623" t="str">
        <f t="shared" ref="Y30:Y45" si="22">"GBPSB6L"&amp;W30&amp;"="</f>
        <v>GBPSB6L2Y=</v>
      </c>
      <c r="AA30" s="623" t="s">
        <v>45</v>
      </c>
      <c r="AC30" s="268">
        <v>1.5780000000000001</v>
      </c>
      <c r="AD30" s="268">
        <v>1.538</v>
      </c>
      <c r="AE30" s="137"/>
      <c r="AF30" s="258">
        <f t="shared" si="15"/>
        <v>1.5580000000000001</v>
      </c>
      <c r="AH30" s="138"/>
      <c r="AI30" s="261" t="s">
        <v>27</v>
      </c>
      <c r="AJ30" s="598"/>
      <c r="AK30" s="623" t="str">
        <f t="shared" si="16"/>
        <v>GBP3L6L2Y=ICAP</v>
      </c>
      <c r="AM30" s="623" t="s">
        <v>46</v>
      </c>
      <c r="AO30" s="264">
        <v>20.5</v>
      </c>
      <c r="AP30" s="264">
        <v>24.5</v>
      </c>
      <c r="AQ30" s="137"/>
      <c r="AR30" s="267">
        <f t="shared" si="17"/>
        <v>22.5</v>
      </c>
      <c r="AT30" s="138"/>
      <c r="AU30" s="261" t="s">
        <v>27</v>
      </c>
      <c r="AV30" s="598"/>
      <c r="AW30" s="645" t="str">
        <f t="shared" si="18"/>
        <v>GBP1L3L2Y=ICAP</v>
      </c>
      <c r="AX30" s="598"/>
      <c r="AY30" s="645" t="s">
        <v>46</v>
      </c>
      <c r="AZ30" s="598"/>
      <c r="BA30" s="264">
        <v>15</v>
      </c>
      <c r="BB30" s="264">
        <v>19</v>
      </c>
      <c r="BC30" s="270"/>
      <c r="BD30" s="257">
        <f t="shared" si="19"/>
        <v>17</v>
      </c>
      <c r="BF30" s="138"/>
      <c r="BG30" s="261" t="s">
        <v>27</v>
      </c>
      <c r="BH30" s="598"/>
      <c r="BI30" s="645" t="str">
        <f t="shared" si="20"/>
        <v>GBPSO3L2Y=ICAP</v>
      </c>
      <c r="BJ30" s="598"/>
      <c r="BK30" s="645" t="s">
        <v>46</v>
      </c>
      <c r="BL30" s="598"/>
      <c r="BM30" s="264">
        <v>29.25</v>
      </c>
      <c r="BN30" s="264">
        <v>0</v>
      </c>
      <c r="BO30" s="263"/>
      <c r="BP30" s="267">
        <f t="shared" si="21"/>
        <v>29.25</v>
      </c>
    </row>
    <row r="31" spans="5:99">
      <c r="H31" s="596"/>
      <c r="J31" s="596"/>
      <c r="L31" s="596"/>
      <c r="W31" s="261" t="s">
        <v>7</v>
      </c>
      <c r="Y31" s="623" t="str">
        <f t="shared" si="22"/>
        <v>GBPSB6L3Y=</v>
      </c>
      <c r="AC31" s="268">
        <v>1.972</v>
      </c>
      <c r="AD31" s="268">
        <v>1.9319999999999999</v>
      </c>
      <c r="AE31" s="137"/>
      <c r="AF31" s="258">
        <f t="shared" si="15"/>
        <v>1.952</v>
      </c>
      <c r="AH31" s="138"/>
      <c r="AI31" s="261" t="s">
        <v>7</v>
      </c>
      <c r="AJ31" s="598"/>
      <c r="AK31" s="623" t="str">
        <f t="shared" si="16"/>
        <v>GBP3L6L3Y=ICAP</v>
      </c>
      <c r="AO31" s="264">
        <v>20.25</v>
      </c>
      <c r="AP31" s="264">
        <v>24.25</v>
      </c>
      <c r="AQ31" s="137"/>
      <c r="AR31" s="267">
        <f t="shared" si="17"/>
        <v>22.25</v>
      </c>
      <c r="AT31" s="138"/>
      <c r="AU31" s="261" t="s">
        <v>7</v>
      </c>
      <c r="AV31" s="598"/>
      <c r="AW31" s="645" t="str">
        <f t="shared" si="18"/>
        <v>GBP1L3L3Y=ICAP</v>
      </c>
      <c r="AX31" s="598"/>
      <c r="AY31" s="598"/>
      <c r="AZ31" s="598"/>
      <c r="BA31" s="264">
        <v>15.25</v>
      </c>
      <c r="BB31" s="264">
        <v>19.25</v>
      </c>
      <c r="BC31" s="270"/>
      <c r="BD31" s="257">
        <f t="shared" si="19"/>
        <v>17.25</v>
      </c>
      <c r="BF31" s="138"/>
      <c r="BG31" s="261" t="s">
        <v>7</v>
      </c>
      <c r="BH31" s="598"/>
      <c r="BI31" s="645" t="str">
        <f t="shared" si="20"/>
        <v>GBPSO3L3Y=ICAP</v>
      </c>
      <c r="BJ31" s="598"/>
      <c r="BK31" s="598"/>
      <c r="BL31" s="598"/>
      <c r="BM31" s="264">
        <v>28.75</v>
      </c>
      <c r="BN31" s="264">
        <v>0</v>
      </c>
      <c r="BO31" s="263"/>
      <c r="BP31" s="267">
        <f t="shared" si="21"/>
        <v>28.75</v>
      </c>
    </row>
    <row r="32" spans="5:99">
      <c r="G32" s="645" t="str">
        <f t="array" ref="G32:G37">"EU"&amp;AQ7:AQ12&amp;"T=RR"</f>
        <v>EU2YT=RR</v>
      </c>
      <c r="H32" s="596"/>
      <c r="I32" s="645" t="s">
        <v>196</v>
      </c>
      <c r="J32" s="596"/>
      <c r="K32" s="596" t="str">
        <f ca="1">_xll.RtUpdate("IDN",G32:G37,I32:I33,L32,,RTMODE_RATES)</f>
        <v>Updated at 17:03:10</v>
      </c>
      <c r="L32" s="626">
        <v>1.8140000000000001</v>
      </c>
      <c r="M32" s="626">
        <v>1.804</v>
      </c>
      <c r="W32" s="261" t="s">
        <v>8</v>
      </c>
      <c r="Y32" s="623" t="str">
        <f t="shared" si="22"/>
        <v>GBPSB6L4Y=</v>
      </c>
      <c r="AC32" s="268">
        <v>2.3349999999999995</v>
      </c>
      <c r="AD32" s="268">
        <v>2.2850000000000001</v>
      </c>
      <c r="AE32" s="137"/>
      <c r="AF32" s="258">
        <f t="shared" si="15"/>
        <v>2.3099999999999996</v>
      </c>
      <c r="AH32" s="138"/>
      <c r="AI32" s="261" t="s">
        <v>8</v>
      </c>
      <c r="AJ32" s="598"/>
      <c r="AK32" s="623" t="str">
        <f t="shared" si="16"/>
        <v>GBP3L6L4Y=ICAP</v>
      </c>
      <c r="AO32" s="264">
        <v>19.75</v>
      </c>
      <c r="AP32" s="264">
        <v>23.75</v>
      </c>
      <c r="AQ32" s="137"/>
      <c r="AR32" s="267">
        <f t="shared" si="17"/>
        <v>21.75</v>
      </c>
      <c r="AT32" s="138"/>
      <c r="AU32" s="261" t="s">
        <v>8</v>
      </c>
      <c r="AV32" s="598"/>
      <c r="AW32" s="645" t="str">
        <f t="shared" si="18"/>
        <v>GBP1L3L4Y=ICAP</v>
      </c>
      <c r="AX32" s="598"/>
      <c r="AZ32" s="598"/>
      <c r="BA32" s="264">
        <v>15</v>
      </c>
      <c r="BB32" s="264">
        <v>19</v>
      </c>
      <c r="BC32" s="270"/>
      <c r="BD32" s="257">
        <f t="shared" si="19"/>
        <v>17</v>
      </c>
      <c r="BF32" s="138"/>
      <c r="BG32" s="261" t="s">
        <v>8</v>
      </c>
      <c r="BH32" s="598"/>
      <c r="BI32" s="645" t="str">
        <f t="shared" si="20"/>
        <v>GBPSO3L4Y=ICAP</v>
      </c>
      <c r="BJ32" s="598"/>
      <c r="BK32" s="598"/>
      <c r="BL32" s="598"/>
      <c r="BM32" s="264">
        <v>28</v>
      </c>
      <c r="BN32" s="264">
        <v>0</v>
      </c>
      <c r="BO32" s="263"/>
      <c r="BP32" s="267">
        <f t="shared" si="21"/>
        <v>28</v>
      </c>
    </row>
    <row r="33" spans="5:68">
      <c r="G33" s="645" t="str">
        <v>EU3YT=RR</v>
      </c>
      <c r="H33" s="596"/>
      <c r="I33" s="645" t="s">
        <v>197</v>
      </c>
      <c r="J33" s="596"/>
      <c r="L33" s="626">
        <v>1.966</v>
      </c>
      <c r="M33" s="626">
        <v>1.9549999999999998</v>
      </c>
      <c r="W33" s="261" t="s">
        <v>9</v>
      </c>
      <c r="Y33" s="623" t="str">
        <f t="shared" si="22"/>
        <v>GBPSB6L5Y=</v>
      </c>
      <c r="AC33" s="268">
        <v>2.6349999999999998</v>
      </c>
      <c r="AD33" s="268">
        <v>2.6149999999999998</v>
      </c>
      <c r="AE33" s="137"/>
      <c r="AF33" s="258">
        <f t="shared" si="15"/>
        <v>2.625</v>
      </c>
      <c r="AH33" s="138"/>
      <c r="AI33" s="261" t="s">
        <v>9</v>
      </c>
      <c r="AJ33" s="598"/>
      <c r="AK33" s="623" t="str">
        <f t="shared" si="16"/>
        <v>GBP3L6L5Y=ICAP</v>
      </c>
      <c r="AO33" s="264">
        <v>19.5</v>
      </c>
      <c r="AP33" s="264">
        <v>23.5</v>
      </c>
      <c r="AQ33" s="137"/>
      <c r="AR33" s="267">
        <f t="shared" si="17"/>
        <v>21.5</v>
      </c>
      <c r="AT33" s="138"/>
      <c r="AU33" s="261" t="s">
        <v>9</v>
      </c>
      <c r="AV33" s="598"/>
      <c r="AW33" s="645" t="str">
        <f t="shared" si="18"/>
        <v>GBP1L3L5Y=ICAP</v>
      </c>
      <c r="AX33" s="598"/>
      <c r="AY33" s="598"/>
      <c r="AZ33" s="598"/>
      <c r="BA33" s="264">
        <v>14.5</v>
      </c>
      <c r="BB33" s="264">
        <v>18.5</v>
      </c>
      <c r="BC33" s="270"/>
      <c r="BD33" s="257">
        <f t="shared" si="19"/>
        <v>16.5</v>
      </c>
      <c r="BF33" s="138"/>
      <c r="BG33" s="261" t="s">
        <v>9</v>
      </c>
      <c r="BH33" s="598"/>
      <c r="BI33" s="645" t="str">
        <f t="shared" si="20"/>
        <v>GBPSO3L5Y=ICAP</v>
      </c>
      <c r="BJ33" s="598"/>
      <c r="BK33" s="598"/>
      <c r="BL33" s="598"/>
      <c r="BM33" s="264">
        <v>26.75</v>
      </c>
      <c r="BN33" s="264">
        <v>0</v>
      </c>
      <c r="BO33" s="263"/>
      <c r="BP33" s="267">
        <f t="shared" si="21"/>
        <v>26.75</v>
      </c>
    </row>
    <row r="34" spans="5:68">
      <c r="G34" s="645" t="str">
        <v>EU5YT=RR</v>
      </c>
      <c r="H34" s="596"/>
      <c r="J34" s="596"/>
      <c r="L34" s="626">
        <v>2.4689999999999999</v>
      </c>
      <c r="M34" s="626">
        <v>2.4589999999999996</v>
      </c>
      <c r="W34" s="261" t="s">
        <v>10</v>
      </c>
      <c r="Y34" s="623" t="str">
        <f t="shared" si="22"/>
        <v>GBPSB6L6Y=</v>
      </c>
      <c r="AC34" s="268">
        <v>2.8849999999999998</v>
      </c>
      <c r="AD34" s="268">
        <v>2.8749999999999996</v>
      </c>
      <c r="AE34" s="137"/>
      <c r="AF34" s="258">
        <f t="shared" si="15"/>
        <v>2.88</v>
      </c>
      <c r="AH34" s="138"/>
      <c r="AI34" s="261" t="s">
        <v>10</v>
      </c>
      <c r="AJ34" s="598"/>
      <c r="AK34" s="623" t="str">
        <f t="shared" si="16"/>
        <v>GBP3L6L6Y=ICAP</v>
      </c>
      <c r="AO34" s="264">
        <v>19.5</v>
      </c>
      <c r="AP34" s="264">
        <v>22.5</v>
      </c>
      <c r="AQ34" s="137"/>
      <c r="AR34" s="267">
        <f t="shared" si="17"/>
        <v>21</v>
      </c>
      <c r="AT34" s="138"/>
      <c r="AU34" s="261" t="s">
        <v>10</v>
      </c>
      <c r="AV34" s="598"/>
      <c r="AW34" s="645" t="str">
        <f t="shared" si="18"/>
        <v>GBP1L3L6Y=ICAP</v>
      </c>
      <c r="AX34" s="598"/>
      <c r="AY34" s="598"/>
      <c r="AZ34" s="598"/>
      <c r="BA34" s="264">
        <v>13.75</v>
      </c>
      <c r="BB34" s="264">
        <v>17.75</v>
      </c>
      <c r="BC34" s="270"/>
      <c r="BD34" s="257">
        <f t="shared" si="19"/>
        <v>15.75</v>
      </c>
      <c r="BF34" s="138"/>
      <c r="BG34" s="261" t="s">
        <v>10</v>
      </c>
      <c r="BH34" s="598"/>
      <c r="BI34" s="645" t="str">
        <f t="shared" si="20"/>
        <v>GBPSO3L6Y=ICAP</v>
      </c>
      <c r="BJ34" s="598"/>
      <c r="BK34" s="598"/>
      <c r="BL34" s="598"/>
      <c r="BM34" s="264">
        <v>25.75</v>
      </c>
      <c r="BN34" s="264">
        <v>0</v>
      </c>
      <c r="BO34" s="263"/>
      <c r="BP34" s="267">
        <f t="shared" si="21"/>
        <v>25.75</v>
      </c>
    </row>
    <row r="35" spans="5:68">
      <c r="G35" s="645" t="str">
        <v>EU7YT=RR</v>
      </c>
      <c r="H35" s="596"/>
      <c r="J35" s="596"/>
      <c r="L35" s="626">
        <v>2.827</v>
      </c>
      <c r="M35" s="626">
        <v>2.8209999999999997</v>
      </c>
      <c r="W35" s="261" t="s">
        <v>11</v>
      </c>
      <c r="Y35" s="623" t="str">
        <f t="shared" si="22"/>
        <v>GBPSB6L7Y=</v>
      </c>
      <c r="AC35" s="268">
        <v>3.1</v>
      </c>
      <c r="AD35" s="268">
        <v>3.08</v>
      </c>
      <c r="AE35" s="137"/>
      <c r="AF35" s="258">
        <f t="shared" si="15"/>
        <v>3.09</v>
      </c>
      <c r="AH35" s="138"/>
      <c r="AI35" s="261" t="s">
        <v>11</v>
      </c>
      <c r="AJ35" s="598"/>
      <c r="AK35" s="623" t="str">
        <f t="shared" si="16"/>
        <v>GBP3L6L7Y=ICAP</v>
      </c>
      <c r="AO35" s="264">
        <v>18.75</v>
      </c>
      <c r="AP35" s="264">
        <v>21.75</v>
      </c>
      <c r="AQ35" s="137"/>
      <c r="AR35" s="267">
        <f t="shared" si="17"/>
        <v>20.25</v>
      </c>
      <c r="AT35" s="138"/>
      <c r="AU35" s="261" t="s">
        <v>11</v>
      </c>
      <c r="AV35" s="598"/>
      <c r="AW35" s="645" t="str">
        <f t="shared" si="18"/>
        <v>GBP1L3L7Y=ICAP</v>
      </c>
      <c r="AX35" s="598"/>
      <c r="AY35" s="598"/>
      <c r="AZ35" s="598"/>
      <c r="BA35" s="264">
        <v>13</v>
      </c>
      <c r="BB35" s="264">
        <v>17</v>
      </c>
      <c r="BC35" s="270"/>
      <c r="BD35" s="257">
        <f t="shared" si="19"/>
        <v>15</v>
      </c>
      <c r="BF35" s="138"/>
      <c r="BG35" s="261" t="s">
        <v>11</v>
      </c>
      <c r="BH35" s="598"/>
      <c r="BI35" s="645" t="str">
        <f t="shared" si="20"/>
        <v>GBPSO3L7Y=ICAP</v>
      </c>
      <c r="BJ35" s="598"/>
      <c r="BK35" s="598"/>
      <c r="BL35" s="598"/>
      <c r="BM35" s="264">
        <v>24.5</v>
      </c>
      <c r="BN35" s="264">
        <v>0</v>
      </c>
      <c r="BO35" s="263"/>
      <c r="BP35" s="267">
        <f t="shared" si="21"/>
        <v>24.5</v>
      </c>
    </row>
    <row r="36" spans="5:68">
      <c r="G36" s="645" t="str">
        <v>EU10YT=RR</v>
      </c>
      <c r="H36" s="596"/>
      <c r="J36" s="596"/>
      <c r="L36" s="626">
        <v>3.117</v>
      </c>
      <c r="M36" s="626">
        <v>3.1149999999999998</v>
      </c>
      <c r="W36" s="261" t="s">
        <v>12</v>
      </c>
      <c r="Y36" s="623" t="str">
        <f t="shared" si="22"/>
        <v>GBPSB6L8Y=</v>
      </c>
      <c r="AC36" s="268">
        <v>3.27</v>
      </c>
      <c r="AD36" s="268">
        <v>3.2600000000000002</v>
      </c>
      <c r="AE36" s="137"/>
      <c r="AF36" s="258">
        <f t="shared" si="15"/>
        <v>3.2650000000000001</v>
      </c>
      <c r="AH36" s="138"/>
      <c r="AI36" s="261" t="s">
        <v>12</v>
      </c>
      <c r="AJ36" s="598"/>
      <c r="AK36" s="623" t="str">
        <f t="shared" si="16"/>
        <v>GBP3L6L8Y=ICAP</v>
      </c>
      <c r="AO36" s="264">
        <v>18</v>
      </c>
      <c r="AP36" s="264">
        <v>21</v>
      </c>
      <c r="AQ36" s="137"/>
      <c r="AR36" s="267">
        <f t="shared" si="17"/>
        <v>19.5</v>
      </c>
      <c r="AT36" s="138"/>
      <c r="AU36" s="261" t="s">
        <v>12</v>
      </c>
      <c r="AV36" s="598"/>
      <c r="AW36" s="645" t="str">
        <f t="shared" si="18"/>
        <v>GBP1L3L8Y=ICAP</v>
      </c>
      <c r="AX36" s="598"/>
      <c r="AY36" s="598"/>
      <c r="AZ36" s="598"/>
      <c r="BA36" s="264">
        <v>12.25</v>
      </c>
      <c r="BB36" s="264">
        <v>16.25</v>
      </c>
      <c r="BC36" s="270"/>
      <c r="BD36" s="257">
        <f t="shared" si="19"/>
        <v>14.25</v>
      </c>
      <c r="BF36" s="138"/>
      <c r="BG36" s="261" t="s">
        <v>12</v>
      </c>
      <c r="BH36" s="598"/>
      <c r="BI36" s="645" t="str">
        <f t="shared" si="20"/>
        <v>GBPSO3L8Y=ICAP</v>
      </c>
      <c r="BJ36" s="598"/>
      <c r="BK36" s="598"/>
      <c r="BL36" s="598"/>
      <c r="BM36" s="264">
        <v>23.5</v>
      </c>
      <c r="BN36" s="264">
        <v>0</v>
      </c>
      <c r="BO36" s="263"/>
      <c r="BP36" s="267">
        <f t="shared" si="21"/>
        <v>23.5</v>
      </c>
    </row>
    <row r="37" spans="5:68">
      <c r="G37" s="645" t="str">
        <v>EU30YT=RR</v>
      </c>
      <c r="H37" s="596"/>
      <c r="J37" s="596"/>
      <c r="L37" s="626">
        <v>3.665</v>
      </c>
      <c r="M37" s="626">
        <v>3.6549999999999998</v>
      </c>
      <c r="W37" s="261" t="s">
        <v>13</v>
      </c>
      <c r="Y37" s="623" t="str">
        <f t="shared" si="22"/>
        <v>GBPSB6L9Y=</v>
      </c>
      <c r="AC37" s="268">
        <v>3.44</v>
      </c>
      <c r="AD37" s="268">
        <v>3.3899999999999997</v>
      </c>
      <c r="AE37" s="137"/>
      <c r="AF37" s="258">
        <f t="shared" si="15"/>
        <v>3.415</v>
      </c>
      <c r="AH37" s="138"/>
      <c r="AI37" s="261" t="s">
        <v>13</v>
      </c>
      <c r="AJ37" s="598"/>
      <c r="AK37" s="623" t="str">
        <f t="shared" si="16"/>
        <v>GBP3L6L9Y=ICAP</v>
      </c>
      <c r="AO37" s="264">
        <v>17</v>
      </c>
      <c r="AP37" s="264">
        <v>20</v>
      </c>
      <c r="AQ37" s="137"/>
      <c r="AR37" s="267">
        <f t="shared" si="17"/>
        <v>18.5</v>
      </c>
      <c r="AT37" s="138"/>
      <c r="AU37" s="261" t="s">
        <v>13</v>
      </c>
      <c r="AV37" s="598"/>
      <c r="AW37" s="645" t="str">
        <f t="shared" si="18"/>
        <v>GBP1L3L9Y=ICAP</v>
      </c>
      <c r="AX37" s="598"/>
      <c r="AY37" s="598"/>
      <c r="AZ37" s="598"/>
      <c r="BA37" s="264">
        <v>11.25</v>
      </c>
      <c r="BB37" s="264">
        <v>15.25</v>
      </c>
      <c r="BC37" s="270"/>
      <c r="BD37" s="257">
        <f t="shared" si="19"/>
        <v>13.25</v>
      </c>
      <c r="BF37" s="138"/>
      <c r="BG37" s="261" t="s">
        <v>13</v>
      </c>
      <c r="BH37" s="598"/>
      <c r="BI37" s="645" t="str">
        <f t="shared" si="20"/>
        <v>GBPSO3L9Y=ICAP</v>
      </c>
      <c r="BJ37" s="598"/>
      <c r="BK37" s="598"/>
      <c r="BL37" s="598"/>
      <c r="BM37" s="264">
        <v>22.75</v>
      </c>
      <c r="BN37" s="264">
        <v>0</v>
      </c>
      <c r="BO37" s="263"/>
      <c r="BP37" s="267">
        <f t="shared" si="21"/>
        <v>22.75</v>
      </c>
    </row>
    <row r="38" spans="5:68">
      <c r="W38" s="261" t="s">
        <v>14</v>
      </c>
      <c r="Y38" s="623" t="str">
        <f>"GBPSB6L"&amp;W38&amp;"="</f>
        <v>GBPSB6L10Y=</v>
      </c>
      <c r="AC38" s="268">
        <v>3.5430000000000001</v>
      </c>
      <c r="AD38" s="268">
        <v>3.5230000000000001</v>
      </c>
      <c r="AE38" s="137"/>
      <c r="AF38" s="258">
        <f t="shared" si="15"/>
        <v>3.5330000000000004</v>
      </c>
      <c r="AH38" s="138"/>
      <c r="AI38" s="261" t="s">
        <v>14</v>
      </c>
      <c r="AJ38" s="598"/>
      <c r="AK38" s="623" t="str">
        <f t="shared" si="16"/>
        <v>GBP3L6L10Y=ICAP</v>
      </c>
      <c r="AO38" s="264">
        <v>16</v>
      </c>
      <c r="AP38" s="264">
        <v>19</v>
      </c>
      <c r="AQ38" s="137"/>
      <c r="AR38" s="267">
        <f t="shared" si="17"/>
        <v>17.5</v>
      </c>
      <c r="AT38" s="138"/>
      <c r="AU38" s="261" t="s">
        <v>14</v>
      </c>
      <c r="AV38" s="598"/>
      <c r="AW38" s="645" t="str">
        <f t="shared" si="18"/>
        <v>GBP1L3L10Y=ICAP</v>
      </c>
      <c r="AX38" s="598"/>
      <c r="AY38" s="598"/>
      <c r="AZ38" s="598"/>
      <c r="BA38" s="264">
        <v>10.25</v>
      </c>
      <c r="BB38" s="264">
        <v>14.25</v>
      </c>
      <c r="BC38" s="270"/>
      <c r="BD38" s="257">
        <f t="shared" si="19"/>
        <v>12.25</v>
      </c>
      <c r="BF38" s="138"/>
      <c r="BG38" s="261" t="s">
        <v>14</v>
      </c>
      <c r="BH38" s="598"/>
      <c r="BI38" s="645" t="str">
        <f t="shared" si="20"/>
        <v>GBPSO3L10Y=ICAP</v>
      </c>
      <c r="BJ38" s="598"/>
      <c r="BK38" s="598"/>
      <c r="BL38" s="598"/>
      <c r="BM38" s="264">
        <v>21.75</v>
      </c>
      <c r="BN38" s="264">
        <v>0</v>
      </c>
      <c r="BO38" s="263"/>
      <c r="BP38" s="267">
        <f t="shared" si="21"/>
        <v>21.75</v>
      </c>
    </row>
    <row r="39" spans="5:68">
      <c r="W39" s="261" t="s">
        <v>15</v>
      </c>
      <c r="Y39" s="623" t="str">
        <f t="shared" si="22"/>
        <v>GBPSB6L12Y=</v>
      </c>
      <c r="AC39" s="268">
        <v>3.7230000000000003</v>
      </c>
      <c r="AD39" s="268">
        <v>3.7030000000000003</v>
      </c>
      <c r="AE39" s="137"/>
      <c r="AF39" s="258">
        <f t="shared" ref="AF39:AF45" si="23">IF(ISNUMBER(AE39),AE39,AVERAGE(AC39:AD39))</f>
        <v>3.7130000000000001</v>
      </c>
      <c r="AH39" s="138"/>
      <c r="AI39" s="261" t="s">
        <v>15</v>
      </c>
      <c r="AJ39" s="598"/>
      <c r="AK39" s="623" t="str">
        <f t="shared" si="16"/>
        <v>GBP3L6L12Y=ICAP</v>
      </c>
      <c r="AO39" s="264">
        <v>14</v>
      </c>
      <c r="AP39" s="264">
        <v>17</v>
      </c>
      <c r="AQ39" s="137"/>
      <c r="AR39" s="267">
        <f t="shared" si="17"/>
        <v>15.5</v>
      </c>
      <c r="AT39" s="138"/>
      <c r="AU39" s="261" t="s">
        <v>15</v>
      </c>
      <c r="AV39" s="598"/>
      <c r="AW39" s="645" t="str">
        <f t="shared" si="18"/>
        <v>GBP1L3L12Y=ICAP</v>
      </c>
      <c r="AX39" s="598"/>
      <c r="AY39" s="598"/>
      <c r="AZ39" s="598"/>
      <c r="BA39" s="264">
        <v>8.75</v>
      </c>
      <c r="BB39" s="264">
        <v>12.75</v>
      </c>
      <c r="BC39" s="270"/>
      <c r="BD39" s="257">
        <f t="shared" si="19"/>
        <v>10.75</v>
      </c>
      <c r="BF39" s="138"/>
      <c r="BG39" s="261" t="s">
        <v>15</v>
      </c>
      <c r="BH39" s="598"/>
      <c r="BI39" s="645" t="str">
        <f t="shared" si="20"/>
        <v>GBPSO3L12Y=ICAP</v>
      </c>
      <c r="BJ39" s="598"/>
      <c r="BK39" s="598"/>
      <c r="BL39" s="598"/>
      <c r="BM39" s="264">
        <v>21.25</v>
      </c>
      <c r="BN39" s="264">
        <v>0</v>
      </c>
      <c r="BO39" s="263"/>
      <c r="BP39" s="267">
        <f t="shared" si="21"/>
        <v>21.25</v>
      </c>
    </row>
    <row r="40" spans="5:68">
      <c r="E40" s="622" t="s">
        <v>424</v>
      </c>
      <c r="G40" s="626">
        <v>1</v>
      </c>
      <c r="W40" s="261" t="s">
        <v>16</v>
      </c>
      <c r="Y40" s="623" t="str">
        <f t="shared" si="22"/>
        <v>GBPSB6L15Y=</v>
      </c>
      <c r="AC40" s="268">
        <v>3.8879999999999999</v>
      </c>
      <c r="AD40" s="268">
        <v>3.8679999999999999</v>
      </c>
      <c r="AE40" s="137"/>
      <c r="AF40" s="258">
        <f t="shared" si="23"/>
        <v>3.8780000000000001</v>
      </c>
      <c r="AH40" s="138"/>
      <c r="AI40" s="261" t="s">
        <v>16</v>
      </c>
      <c r="AJ40" s="598"/>
      <c r="AK40" s="623" t="str">
        <f t="shared" si="16"/>
        <v>GBP3L6L15Y=ICAP</v>
      </c>
      <c r="AO40" s="264">
        <v>11.75</v>
      </c>
      <c r="AP40" s="264">
        <v>14.75</v>
      </c>
      <c r="AQ40" s="137"/>
      <c r="AR40" s="267">
        <f t="shared" si="17"/>
        <v>13.25</v>
      </c>
      <c r="AT40" s="138"/>
      <c r="AU40" s="261" t="s">
        <v>16</v>
      </c>
      <c r="AV40" s="598"/>
      <c r="AW40" s="645" t="str">
        <f t="shared" si="18"/>
        <v>GBP1L3L15Y=ICAP</v>
      </c>
      <c r="AX40" s="598"/>
      <c r="AY40" s="598"/>
      <c r="AZ40" s="598"/>
      <c r="BA40" s="264">
        <v>7.25</v>
      </c>
      <c r="BB40" s="264">
        <v>11.25</v>
      </c>
      <c r="BC40" s="270"/>
      <c r="BD40" s="257">
        <f t="shared" si="19"/>
        <v>9.25</v>
      </c>
      <c r="BF40" s="138"/>
      <c r="BG40" s="261" t="s">
        <v>16</v>
      </c>
      <c r="BH40" s="598"/>
      <c r="BI40" s="645" t="str">
        <f t="shared" si="20"/>
        <v>GBPSO3L15Y=ICAP</v>
      </c>
      <c r="BJ40" s="598"/>
      <c r="BK40" s="598"/>
      <c r="BL40" s="598"/>
      <c r="BM40" s="264">
        <v>20.5</v>
      </c>
      <c r="BN40" s="264">
        <v>0</v>
      </c>
      <c r="BO40" s="263"/>
      <c r="BP40" s="267">
        <f t="shared" si="21"/>
        <v>20.5</v>
      </c>
    </row>
    <row r="41" spans="5:68">
      <c r="W41" s="261" t="s">
        <v>17</v>
      </c>
      <c r="Y41" s="623" t="str">
        <f t="shared" si="22"/>
        <v>GBPSB6L20Y=</v>
      </c>
      <c r="AC41" s="268">
        <v>3.9949999999999997</v>
      </c>
      <c r="AD41" s="268">
        <v>3.9749999999999996</v>
      </c>
      <c r="AE41" s="137"/>
      <c r="AF41" s="258">
        <f t="shared" si="23"/>
        <v>3.9849999999999994</v>
      </c>
      <c r="AH41" s="138"/>
      <c r="AI41" s="261" t="s">
        <v>17</v>
      </c>
      <c r="AJ41" s="598"/>
      <c r="AK41" s="623" t="str">
        <f t="shared" si="16"/>
        <v>GBP3L6L20Y=ICAP</v>
      </c>
      <c r="AO41" s="264">
        <v>9.75</v>
      </c>
      <c r="AP41" s="264">
        <v>12.75</v>
      </c>
      <c r="AQ41" s="137"/>
      <c r="AR41" s="267">
        <f t="shared" si="17"/>
        <v>11.25</v>
      </c>
      <c r="AT41" s="138"/>
      <c r="AU41" s="261" t="s">
        <v>17</v>
      </c>
      <c r="AV41" s="598"/>
      <c r="AW41" s="645" t="str">
        <f t="shared" si="18"/>
        <v>GBP1L3L20Y=ICAP</v>
      </c>
      <c r="AX41" s="598"/>
      <c r="AY41" s="598"/>
      <c r="AZ41" s="598"/>
      <c r="BA41" s="264">
        <v>5.75</v>
      </c>
      <c r="BB41" s="264">
        <v>9.75</v>
      </c>
      <c r="BC41" s="270"/>
      <c r="BD41" s="257">
        <f t="shared" si="19"/>
        <v>7.75</v>
      </c>
      <c r="BF41" s="138"/>
      <c r="BG41" s="261" t="s">
        <v>17</v>
      </c>
      <c r="BH41" s="598"/>
      <c r="BI41" s="645" t="str">
        <f t="shared" si="20"/>
        <v>GBPSO3L20Y=ICAP</v>
      </c>
      <c r="BJ41" s="598"/>
      <c r="BK41" s="598"/>
      <c r="BL41" s="598"/>
      <c r="BM41" s="264">
        <v>18.5</v>
      </c>
      <c r="BN41" s="264">
        <v>0</v>
      </c>
      <c r="BO41" s="263"/>
      <c r="BP41" s="267">
        <f t="shared" si="21"/>
        <v>18.5</v>
      </c>
    </row>
    <row r="42" spans="5:68">
      <c r="W42" s="261" t="s">
        <v>18</v>
      </c>
      <c r="Y42" s="623" t="str">
        <f t="shared" si="22"/>
        <v>GBPSB6L25Y=</v>
      </c>
      <c r="AC42" s="268">
        <v>4.03</v>
      </c>
      <c r="AD42" s="268">
        <v>4.01</v>
      </c>
      <c r="AE42" s="137"/>
      <c r="AF42" s="258">
        <f t="shared" si="23"/>
        <v>4.0199999999999996</v>
      </c>
      <c r="AH42" s="138"/>
      <c r="AI42" s="261" t="s">
        <v>18</v>
      </c>
      <c r="AJ42" s="598"/>
      <c r="AK42" s="623" t="str">
        <f t="shared" si="16"/>
        <v>GBP3L6L25Y=ICAP</v>
      </c>
      <c r="AO42" s="264">
        <v>8.5</v>
      </c>
      <c r="AP42" s="264">
        <v>11.5</v>
      </c>
      <c r="AQ42" s="137"/>
      <c r="AR42" s="267">
        <f t="shared" si="17"/>
        <v>10</v>
      </c>
      <c r="AT42" s="138"/>
      <c r="AU42" s="261" t="s">
        <v>18</v>
      </c>
      <c r="AV42" s="598"/>
      <c r="AW42" s="645" t="str">
        <f t="shared" si="18"/>
        <v>GBP1L3L25Y=ICAP</v>
      </c>
      <c r="AX42" s="598"/>
      <c r="AY42" s="598"/>
      <c r="AZ42" s="598"/>
      <c r="BA42" s="264">
        <v>5</v>
      </c>
      <c r="BB42" s="264">
        <v>9</v>
      </c>
      <c r="BC42" s="270"/>
      <c r="BD42" s="257">
        <f t="shared" si="19"/>
        <v>7</v>
      </c>
      <c r="BF42" s="138"/>
      <c r="BG42" s="261" t="s">
        <v>18</v>
      </c>
      <c r="BH42" s="598"/>
      <c r="BI42" s="645" t="str">
        <f t="shared" si="20"/>
        <v>GBPSO3L25Y=ICAP</v>
      </c>
      <c r="BJ42" s="598"/>
      <c r="BK42" s="598"/>
      <c r="BL42" s="598"/>
      <c r="BM42" s="264">
        <v>17.5</v>
      </c>
      <c r="BN42" s="264">
        <v>0</v>
      </c>
      <c r="BO42" s="263"/>
      <c r="BP42" s="267">
        <f t="shared" si="21"/>
        <v>17.5</v>
      </c>
    </row>
    <row r="43" spans="5:68">
      <c r="W43" s="261" t="s">
        <v>19</v>
      </c>
      <c r="Y43" s="623" t="str">
        <f t="shared" si="22"/>
        <v>GBPSB6L30Y=</v>
      </c>
      <c r="AC43" s="268">
        <v>4.0279999999999996</v>
      </c>
      <c r="AD43" s="268">
        <v>4.008</v>
      </c>
      <c r="AE43" s="137"/>
      <c r="AF43" s="258">
        <f t="shared" si="23"/>
        <v>4.0179999999999998</v>
      </c>
      <c r="AH43" s="138"/>
      <c r="AI43" s="261" t="s">
        <v>19</v>
      </c>
      <c r="AJ43" s="598"/>
      <c r="AK43" s="623" t="str">
        <f t="shared" si="16"/>
        <v>GBP3L6L30Y=ICAP</v>
      </c>
      <c r="AO43" s="264">
        <v>7.75</v>
      </c>
      <c r="AP43" s="264">
        <v>10.75</v>
      </c>
      <c r="AQ43" s="137"/>
      <c r="AR43" s="267">
        <f t="shared" si="17"/>
        <v>9.25</v>
      </c>
      <c r="AT43" s="138"/>
      <c r="AU43" s="261" t="s">
        <v>19</v>
      </c>
      <c r="AV43" s="598"/>
      <c r="AW43" s="645" t="str">
        <f t="shared" si="18"/>
        <v>GBP1L3L30Y=ICAP</v>
      </c>
      <c r="AX43" s="598"/>
      <c r="AZ43" s="598"/>
      <c r="BA43" s="264">
        <v>4.5</v>
      </c>
      <c r="BB43" s="264">
        <v>8.5</v>
      </c>
      <c r="BC43" s="270"/>
      <c r="BD43" s="257">
        <f t="shared" si="19"/>
        <v>6.5</v>
      </c>
      <c r="BF43" s="138"/>
      <c r="BG43" s="261" t="s">
        <v>19</v>
      </c>
      <c r="BH43" s="598"/>
      <c r="BI43" s="645" t="str">
        <f t="shared" si="20"/>
        <v>GBPSO3L30Y=ICAP</v>
      </c>
      <c r="BJ43" s="598"/>
      <c r="BL43" s="598"/>
      <c r="BM43" s="264">
        <v>17</v>
      </c>
      <c r="BN43" s="264">
        <v>0</v>
      </c>
      <c r="BO43" s="263"/>
      <c r="BP43" s="267">
        <f t="shared" si="21"/>
        <v>17</v>
      </c>
    </row>
    <row r="44" spans="5:68">
      <c r="W44" s="261" t="s">
        <v>28</v>
      </c>
      <c r="Y44" s="623" t="str">
        <f t="shared" si="22"/>
        <v>GBPSB6L40Y=</v>
      </c>
      <c r="AC44" s="268">
        <v>4.077</v>
      </c>
      <c r="AD44" s="268">
        <v>3.9059999999999997</v>
      </c>
      <c r="AE44" s="137"/>
      <c r="AF44" s="258">
        <f t="shared" si="23"/>
        <v>3.9914999999999998</v>
      </c>
      <c r="AH44" s="138"/>
      <c r="AI44" s="261" t="s">
        <v>28</v>
      </c>
      <c r="AJ44" s="598"/>
      <c r="AK44" s="623" t="str">
        <f t="shared" si="16"/>
        <v>GBP3L6L40Y=ICAP</v>
      </c>
      <c r="AO44" s="264">
        <v>6.75</v>
      </c>
      <c r="AP44" s="264">
        <v>9.75</v>
      </c>
      <c r="AQ44" s="137"/>
      <c r="AR44" s="267">
        <f t="shared" si="17"/>
        <v>8.25</v>
      </c>
      <c r="AT44" s="138"/>
      <c r="AU44" s="261" t="s">
        <v>28</v>
      </c>
      <c r="AV44" s="598"/>
      <c r="AW44" s="645" t="str">
        <f t="shared" ref="AW44:AW45" si="24">"GBP1L3L"&amp;AU44&amp;"=ICAP"</f>
        <v>GBP1L3L40Y=ICAP</v>
      </c>
      <c r="AX44" s="598"/>
      <c r="AZ44" s="598"/>
      <c r="BA44" s="264">
        <v>3.75</v>
      </c>
      <c r="BB44" s="264">
        <v>7.75</v>
      </c>
      <c r="BC44" s="270"/>
      <c r="BD44" s="257">
        <f t="shared" ref="BD44:BD45" si="25">IF(ISNUMBER(BC44),BC44,(BA44+BB44)/COUNTIF(BA44:BB44,"&lt;&gt;0"))</f>
        <v>5.75</v>
      </c>
      <c r="BF44" s="138"/>
      <c r="BG44" s="261" t="s">
        <v>28</v>
      </c>
      <c r="BH44" s="598"/>
      <c r="BI44" s="645" t="str">
        <f t="shared" ref="BI44:BI45" si="26">"GBPSO3L"&amp;BG44&amp;"=ICAP"</f>
        <v>GBPSO3L40Y=ICAP</v>
      </c>
      <c r="BJ44" s="598"/>
      <c r="BL44" s="598"/>
      <c r="BM44" s="659"/>
      <c r="BN44" s="264"/>
      <c r="BO44" s="263"/>
      <c r="BP44" s="267">
        <f t="shared" ref="BP44:BP45" si="27">IF(ISNUMBER(BO44),BO44,BP43)</f>
        <v>17</v>
      </c>
    </row>
    <row r="45" spans="5:68">
      <c r="W45" s="261" t="s">
        <v>213</v>
      </c>
      <c r="Y45" s="623" t="str">
        <f t="shared" si="22"/>
        <v>GBPSB6L50Y=</v>
      </c>
      <c r="AC45" s="281">
        <v>4.0720000000000001</v>
      </c>
      <c r="AD45" s="281">
        <v>3.9019999999999997</v>
      </c>
      <c r="AE45" s="137"/>
      <c r="AF45" s="258">
        <f t="shared" si="23"/>
        <v>3.9870000000000001</v>
      </c>
      <c r="AH45" s="138"/>
      <c r="AI45" s="261" t="s">
        <v>213</v>
      </c>
      <c r="AJ45" s="598"/>
      <c r="AK45" s="623" t="str">
        <f t="shared" si="16"/>
        <v>GBP3L6L50Y=ICAP</v>
      </c>
      <c r="AO45" s="264">
        <v>5.5</v>
      </c>
      <c r="AP45" s="264">
        <v>9.5</v>
      </c>
      <c r="AQ45" s="137"/>
      <c r="AR45" s="267">
        <f t="shared" si="17"/>
        <v>7.5</v>
      </c>
      <c r="AT45" s="138"/>
      <c r="AU45" s="261" t="s">
        <v>213</v>
      </c>
      <c r="AV45" s="598"/>
      <c r="AW45" s="645" t="str">
        <f t="shared" si="24"/>
        <v>GBP1L3L50Y=ICAP</v>
      </c>
      <c r="AX45" s="598"/>
      <c r="AZ45" s="598"/>
      <c r="BA45" s="264">
        <v>2.75</v>
      </c>
      <c r="BB45" s="264">
        <v>7.75</v>
      </c>
      <c r="BC45" s="270"/>
      <c r="BD45" s="257">
        <f t="shared" si="25"/>
        <v>5.25</v>
      </c>
      <c r="BF45" s="138"/>
      <c r="BG45" s="261" t="s">
        <v>213</v>
      </c>
      <c r="BH45" s="598"/>
      <c r="BI45" s="645" t="str">
        <f t="shared" si="26"/>
        <v>GBPSO3L50Y=ICAP</v>
      </c>
      <c r="BJ45" s="598"/>
      <c r="BL45" s="598"/>
      <c r="BM45" s="659"/>
      <c r="BN45" s="264"/>
      <c r="BO45" s="263"/>
      <c r="BP45" s="267">
        <f t="shared" si="27"/>
        <v>17</v>
      </c>
    </row>
    <row r="46" spans="5:68">
      <c r="AH46" s="138"/>
      <c r="AJ46" s="598"/>
      <c r="AT46" s="138"/>
      <c r="AV46" s="598"/>
      <c r="AW46" s="598"/>
      <c r="AX46" s="598"/>
      <c r="AY46" s="598"/>
      <c r="AZ46" s="598"/>
      <c r="BH46" s="598"/>
      <c r="BI46" s="598"/>
      <c r="BJ46" s="598"/>
      <c r="BK46" s="598"/>
      <c r="BL46" s="598"/>
    </row>
    <row r="47" spans="5:68">
      <c r="AH47" s="138"/>
      <c r="AJ47" s="598"/>
      <c r="AT47" s="138"/>
      <c r="AV47" s="598"/>
      <c r="AW47" s="598"/>
      <c r="AX47" s="598"/>
      <c r="AY47" s="598"/>
      <c r="AZ47" s="598"/>
      <c r="BH47" s="598"/>
      <c r="BI47" s="598"/>
      <c r="BJ47" s="598"/>
      <c r="BK47" s="598"/>
      <c r="BL47" s="598"/>
    </row>
    <row r="48" spans="5:68">
      <c r="AH48" s="138"/>
      <c r="AI48" s="194" t="s">
        <v>321</v>
      </c>
      <c r="AJ48" s="598"/>
      <c r="AM48" s="595" t="str">
        <f ca="1">_xll.RtUpdate("IDN",AK49:AK65,AM49:AM50,AO49,,RTMODE_RATES)</f>
        <v>Updated at 17:03:10</v>
      </c>
      <c r="AT48" s="138"/>
      <c r="AU48" s="194" t="s">
        <v>609</v>
      </c>
      <c r="AV48" s="598"/>
      <c r="AW48" s="598"/>
      <c r="AX48" s="598"/>
      <c r="AY48" s="598"/>
      <c r="AZ48" s="598"/>
      <c r="BH48" s="598"/>
      <c r="BI48" s="598"/>
      <c r="BJ48" s="598"/>
      <c r="BK48" s="598"/>
      <c r="BL48" s="598"/>
    </row>
    <row r="49" spans="34:55">
      <c r="AH49" s="138"/>
      <c r="AI49" s="261" t="s">
        <v>26</v>
      </c>
      <c r="AJ49" s="598"/>
      <c r="AK49" s="623" t="str">
        <f t="shared" ref="AK49:AK63" si="28">"GBP3L12L"&amp;AI49&amp;"=ICAP"</f>
        <v>GBP3L12L1Y=ICAP</v>
      </c>
      <c r="AM49" s="623" t="s">
        <v>45</v>
      </c>
      <c r="AO49" s="264">
        <v>54</v>
      </c>
      <c r="AP49" s="264">
        <v>66</v>
      </c>
      <c r="AQ49" s="137"/>
      <c r="AR49" s="267">
        <f t="shared" ref="AR49:AR63" si="29">IF(ISNUMBER(AQ49),AQ49,AVERAGEIF(AO49:AP49,"&lt;&gt;0"))</f>
        <v>60</v>
      </c>
      <c r="AT49" s="138"/>
      <c r="AU49" s="139" t="s">
        <v>323</v>
      </c>
    </row>
    <row r="50" spans="34:55">
      <c r="AH50" s="138"/>
      <c r="AI50" s="261" t="s">
        <v>27</v>
      </c>
      <c r="AJ50" s="598"/>
      <c r="AK50" s="623" t="str">
        <f t="shared" si="28"/>
        <v>GBP3L12L2Y=ICAP</v>
      </c>
      <c r="AM50" s="623" t="s">
        <v>46</v>
      </c>
      <c r="AO50" s="264">
        <v>46</v>
      </c>
      <c r="AP50" s="264">
        <v>58</v>
      </c>
      <c r="AQ50" s="137"/>
      <c r="AR50" s="267">
        <f t="shared" si="29"/>
        <v>52</v>
      </c>
      <c r="AT50" s="138"/>
      <c r="AU50" s="299" t="s">
        <v>618</v>
      </c>
      <c r="BA50" s="299"/>
      <c r="BC50" s="121" t="str">
        <f>_xll.qIRcurveZeroBankReval(AU50,"GBP",Today,AF6:AF9,AR15:AR22,AI15:AI22,AF31:AF45)</f>
        <v>GBP.ZB.DISC|[Swap Pricer 1f.xlsm]GB!$BC$50#13399</v>
      </c>
    </row>
    <row r="51" spans="34:55">
      <c r="AH51" s="138"/>
      <c r="AI51" s="261" t="s">
        <v>7</v>
      </c>
      <c r="AJ51" s="598"/>
      <c r="AK51" s="623" t="str">
        <f t="shared" si="28"/>
        <v>GBP3L12L3Y=ICAP</v>
      </c>
      <c r="AO51" s="264">
        <v>42.5</v>
      </c>
      <c r="AP51" s="264">
        <v>54.5</v>
      </c>
      <c r="AQ51" s="137"/>
      <c r="AR51" s="267">
        <f t="shared" si="29"/>
        <v>48.5</v>
      </c>
      <c r="AT51" s="138"/>
      <c r="AU51" s="299" t="s">
        <v>619</v>
      </c>
      <c r="BA51" s="299"/>
      <c r="BC51" s="299" t="str">
        <f>_xll.qIRcurveSCBasisReval(AU51,"GBP",GBP.ZB.DISC,"1V3","SYNTHETIC",BV7:BV28)</f>
        <v>GBP.ZB.ON|[Swap Pricer 1f.xlsm]GB!$BC$51#13401</v>
      </c>
    </row>
    <row r="52" spans="34:55">
      <c r="AH52" s="138"/>
      <c r="AI52" s="261" t="s">
        <v>8</v>
      </c>
      <c r="AJ52" s="598"/>
      <c r="AK52" s="623" t="str">
        <f t="shared" si="28"/>
        <v>GBP3L12L4Y=ICAP</v>
      </c>
      <c r="AO52" s="264">
        <v>40.5</v>
      </c>
      <c r="AP52" s="264">
        <v>52.5</v>
      </c>
      <c r="AQ52" s="137"/>
      <c r="AR52" s="267">
        <f t="shared" si="29"/>
        <v>46.5</v>
      </c>
      <c r="AT52" s="138"/>
      <c r="AU52" s="299" t="s">
        <v>620</v>
      </c>
      <c r="BA52" s="299"/>
      <c r="BC52" s="299" t="str">
        <f>_xll.qIRcurveSCBasisReval(AU52,"GBP",GBP.ZB.DISC,"1V3","SYNTHETIC",BV7:BV28)</f>
        <v>GBP.ZB.1M|[Swap Pricer 1f.xlsm]GB!$BC$52#13403</v>
      </c>
    </row>
    <row r="53" spans="34:55">
      <c r="AH53" s="138"/>
      <c r="AI53" s="261" t="s">
        <v>9</v>
      </c>
      <c r="AJ53" s="598"/>
      <c r="AK53" s="623" t="str">
        <f t="shared" si="28"/>
        <v>GBP3L12L5Y=ICAP</v>
      </c>
      <c r="AO53" s="264">
        <v>38.5</v>
      </c>
      <c r="AP53" s="264">
        <v>50.5</v>
      </c>
      <c r="AQ53" s="137"/>
      <c r="AR53" s="267">
        <f t="shared" si="29"/>
        <v>44.5</v>
      </c>
      <c r="AT53" s="138"/>
      <c r="AU53" s="299" t="s">
        <v>621</v>
      </c>
      <c r="BA53" s="299"/>
      <c r="BC53" s="299" t="str">
        <f>GBP.ZB.DISC</f>
        <v>GBP.ZB.DISC|[Swap Pricer 1f.xlsm]GB!$BC$50#13399</v>
      </c>
    </row>
    <row r="54" spans="34:55">
      <c r="AH54" s="138"/>
      <c r="AI54" s="261" t="s">
        <v>10</v>
      </c>
      <c r="AJ54" s="598"/>
      <c r="AK54" s="623" t="str">
        <f t="shared" si="28"/>
        <v>GBP3L12L6Y=ICAP</v>
      </c>
      <c r="AO54" s="264">
        <v>36.75</v>
      </c>
      <c r="AP54" s="264">
        <v>48.75</v>
      </c>
      <c r="AQ54" s="137"/>
      <c r="AR54" s="267">
        <f t="shared" si="29"/>
        <v>42.75</v>
      </c>
      <c r="AT54" s="138"/>
      <c r="AU54" s="299" t="s">
        <v>622</v>
      </c>
      <c r="BA54" s="299"/>
      <c r="BC54" s="299" t="str">
        <f>_xll.qIRcurveSCBasisReval(AU54,"GBP",GBP.ZB.DISC,"3V6","SYNTHETIC",BW7:BW28)</f>
        <v>GBP.ZB.6M|[Swap Pricer 1f.xlsm]GB!$BC$54#13404</v>
      </c>
    </row>
    <row r="55" spans="34:55">
      <c r="AH55" s="138"/>
      <c r="AI55" s="261" t="s">
        <v>11</v>
      </c>
      <c r="AJ55" s="598"/>
      <c r="AK55" s="623" t="str">
        <f t="shared" si="28"/>
        <v>GBP3L12L7Y=ICAP</v>
      </c>
      <c r="AO55" s="264">
        <v>35</v>
      </c>
      <c r="AP55" s="264">
        <v>47</v>
      </c>
      <c r="AQ55" s="137"/>
      <c r="AR55" s="267">
        <f t="shared" si="29"/>
        <v>41</v>
      </c>
      <c r="AT55" s="138"/>
      <c r="AU55" s="299" t="s">
        <v>623</v>
      </c>
      <c r="BA55" s="299"/>
      <c r="BC55" s="299" t="str">
        <f>_xll.qIRcurveSCBasisReval(AU55,"GBP",GBP.ZB.DISC,"3V12","SYNTHETIC",BX7:BX28)</f>
        <v>GBP.ZB.1Y|[Swap Pricer 1f.xlsm]GB!$BC$55#13402</v>
      </c>
    </row>
    <row r="56" spans="34:55">
      <c r="AH56" s="138"/>
      <c r="AI56" s="261" t="s">
        <v>12</v>
      </c>
      <c r="AJ56" s="598"/>
      <c r="AK56" s="623" t="str">
        <f t="shared" si="28"/>
        <v>GBP3L12L8Y=ICAP</v>
      </c>
      <c r="AO56" s="264">
        <v>33</v>
      </c>
      <c r="AP56" s="264">
        <v>45</v>
      </c>
      <c r="AQ56" s="137"/>
      <c r="AR56" s="267">
        <f t="shared" si="29"/>
        <v>39</v>
      </c>
      <c r="AT56" s="138"/>
    </row>
    <row r="57" spans="34:55">
      <c r="AH57" s="138"/>
      <c r="AI57" s="261" t="s">
        <v>13</v>
      </c>
      <c r="AJ57" s="598"/>
      <c r="AK57" s="623" t="str">
        <f t="shared" si="28"/>
        <v>GBP3L12L9Y=ICAP</v>
      </c>
      <c r="AO57" s="264">
        <v>31</v>
      </c>
      <c r="AP57" s="264">
        <v>43</v>
      </c>
      <c r="AQ57" s="137"/>
      <c r="AR57" s="267">
        <f t="shared" si="29"/>
        <v>37</v>
      </c>
      <c r="AT57" s="138"/>
      <c r="AU57" s="581" t="s">
        <v>583</v>
      </c>
    </row>
    <row r="58" spans="34:55">
      <c r="AH58" s="138"/>
      <c r="AI58" s="261" t="s">
        <v>14</v>
      </c>
      <c r="AK58" s="623" t="str">
        <f t="shared" si="28"/>
        <v>GBP3L12L10Y=ICAP</v>
      </c>
      <c r="AO58" s="264">
        <v>29.25</v>
      </c>
      <c r="AP58" s="264">
        <v>41.25</v>
      </c>
      <c r="AQ58" s="137"/>
      <c r="AR58" s="267">
        <f t="shared" si="29"/>
        <v>35.25</v>
      </c>
      <c r="AT58" s="138"/>
      <c r="AU58" t="s">
        <v>624</v>
      </c>
      <c r="BC58" s="299" t="str">
        <f>_xll.qIRcurveXCBasisReval("GBP.ZBX.DISC",GBP.ZB.DISC,"MARKET",FX!U32:U43,USD.ZB.DISC,FxcurveGBP)</f>
        <v>GBP.ZBX.DISC|[Swap Pricer 1f.xlsm]GB!$BC$58#13400</v>
      </c>
    </row>
    <row r="59" spans="34:55">
      <c r="AH59" s="138"/>
      <c r="AI59" s="261" t="s">
        <v>15</v>
      </c>
      <c r="AK59" s="623" t="str">
        <f t="shared" si="28"/>
        <v>GBP3L12L12Y=ICAP</v>
      </c>
      <c r="AO59" s="264">
        <v>26</v>
      </c>
      <c r="AP59" s="264">
        <v>38</v>
      </c>
      <c r="AQ59" s="137"/>
      <c r="AR59" s="267">
        <f t="shared" si="29"/>
        <v>32</v>
      </c>
      <c r="AT59" s="138"/>
      <c r="AU59" t="s">
        <v>625</v>
      </c>
      <c r="BC59" s="299" t="str">
        <f t="array" ref="BC59:BC63">BC51:BC55</f>
        <v>GBP.ZB.ON|[Swap Pricer 1f.xlsm]GB!$BC$51#13401</v>
      </c>
    </row>
    <row r="60" spans="34:55">
      <c r="AH60" s="138"/>
      <c r="AI60" s="261" t="s">
        <v>16</v>
      </c>
      <c r="AK60" s="623" t="str">
        <f t="shared" si="28"/>
        <v>GBP3L12L15Y=ICAP</v>
      </c>
      <c r="AO60" s="264">
        <v>22.25</v>
      </c>
      <c r="AP60" s="264">
        <v>34.25</v>
      </c>
      <c r="AQ60" s="137"/>
      <c r="AR60" s="267">
        <f t="shared" si="29"/>
        <v>28.25</v>
      </c>
      <c r="AT60" s="138"/>
      <c r="AU60" t="s">
        <v>626</v>
      </c>
      <c r="BC60" s="299" t="str">
        <v>GBP.ZB.1M|[Swap Pricer 1f.xlsm]GB!$BC$52#13403</v>
      </c>
    </row>
    <row r="61" spans="34:55">
      <c r="AH61" s="138"/>
      <c r="AI61" s="261" t="s">
        <v>17</v>
      </c>
      <c r="AK61" s="623" t="str">
        <f t="shared" si="28"/>
        <v>GBP3L12L20Y=ICAP</v>
      </c>
      <c r="AO61" s="264">
        <v>18.5</v>
      </c>
      <c r="AP61" s="264">
        <v>30.5</v>
      </c>
      <c r="AQ61" s="137"/>
      <c r="AR61" s="267">
        <f t="shared" si="29"/>
        <v>24.5</v>
      </c>
      <c r="AT61" s="138"/>
      <c r="AU61" t="s">
        <v>627</v>
      </c>
      <c r="BC61" s="299" t="str">
        <v>GBP.ZB.DISC|[Swap Pricer 1f.xlsm]GB!$BC$50#13399</v>
      </c>
    </row>
    <row r="62" spans="34:55">
      <c r="AH62" s="138"/>
      <c r="AI62" s="261" t="s">
        <v>18</v>
      </c>
      <c r="AK62" s="623" t="str">
        <f t="shared" si="28"/>
        <v>GBP3L12L25Y=ICAP</v>
      </c>
      <c r="AO62" s="264">
        <v>16</v>
      </c>
      <c r="AP62" s="264">
        <v>28</v>
      </c>
      <c r="AQ62" s="137"/>
      <c r="AR62" s="267">
        <f t="shared" si="29"/>
        <v>22</v>
      </c>
      <c r="AT62" s="138"/>
      <c r="AU62" t="s">
        <v>628</v>
      </c>
      <c r="BC62" s="299" t="str">
        <v>GBP.ZB.6M|[Swap Pricer 1f.xlsm]GB!$BC$54#13404</v>
      </c>
    </row>
    <row r="63" spans="34:55">
      <c r="AH63" s="138"/>
      <c r="AI63" s="261" t="s">
        <v>19</v>
      </c>
      <c r="AK63" s="623" t="str">
        <f t="shared" si="28"/>
        <v>GBP3L12L30Y=ICAP</v>
      </c>
      <c r="AO63" s="264">
        <v>14.5</v>
      </c>
      <c r="AP63" s="264">
        <v>26.5</v>
      </c>
      <c r="AQ63" s="137"/>
      <c r="AR63" s="267">
        <f t="shared" si="29"/>
        <v>20.5</v>
      </c>
      <c r="AT63" s="138"/>
      <c r="AU63" t="s">
        <v>629</v>
      </c>
      <c r="BC63" s="299" t="str">
        <v>GBP.ZB.1Y|[Swap Pricer 1f.xlsm]GB!$BC$55#13402</v>
      </c>
    </row>
    <row r="64" spans="34:55">
      <c r="AH64" s="138"/>
      <c r="AI64" s="261" t="s">
        <v>28</v>
      </c>
      <c r="AK64" s="623" t="str">
        <f t="shared" ref="AK64:AK65" si="30">"GBP3L12L"&amp;AI64&amp;"=ICAP"</f>
        <v>GBP3L12L40Y=ICAP</v>
      </c>
      <c r="AO64" s="264">
        <v>12.5</v>
      </c>
      <c r="AP64" s="264">
        <v>24.5</v>
      </c>
      <c r="AQ64" s="137"/>
      <c r="AR64" s="267">
        <f t="shared" ref="AR64:AR65" si="31">IF(ISNUMBER(AQ64),AQ64,AVERAGEIF(AO64:AP64,"&lt;&gt;0"))</f>
        <v>18.5</v>
      </c>
      <c r="AT64" s="138"/>
    </row>
    <row r="65" spans="34:46">
      <c r="AH65" s="138"/>
      <c r="AI65" s="261" t="s">
        <v>213</v>
      </c>
      <c r="AK65" s="623" t="str">
        <f t="shared" si="30"/>
        <v>GBP3L12L50Y=ICAP</v>
      </c>
      <c r="AO65" s="264">
        <v>10.5</v>
      </c>
      <c r="AP65" s="264">
        <v>24.5</v>
      </c>
      <c r="AQ65" s="137"/>
      <c r="AR65" s="267">
        <f t="shared" si="31"/>
        <v>17.5</v>
      </c>
      <c r="AT65" s="138"/>
    </row>
  </sheetData>
  <sheetProtection sheet="1" scenarios="1" autoFilter="0" pivotTables="0"/>
  <mergeCells count="1">
    <mergeCell ref="BC4:BD4"/>
  </mergeCells>
  <conditionalFormatting sqref="CT9:CT18 BO10:BO21 BC19:BC26 BC10:BC15 AQ29:AQ45 AE15:AE26 AE29:AE45 AE6:AE12 BC29:BC45 BO29:BO45 AQ49:AQ65">
    <cfRule type="cellIs" dxfId="27" priority="2" operator="notEqual">
      <formula>""</formula>
    </cfRule>
  </conditionalFormatting>
  <conditionalFormatting sqref="CT4 BC6">
    <cfRule type="expression" dxfId="26" priority="1">
      <formula>PPP_Global&lt;&gt;"LOCAL"</formula>
    </cfRule>
  </conditionalFormatting>
  <dataValidations disablePrompts="1" count="1">
    <dataValidation type="list" allowBlank="1" showInputMessage="1" showErrorMessage="1" promptTitle="Reuters Update Frequency" prompt="Throttles the frequency of Reuters updates.  To SNAP more than once, switch to STOP and then back to SNAP again" sqref="CT4 BC6">
      <formula1>"5s,15s,30s,1m,30m,1h,STOP,SNAP"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tNZ">
    <outlinePr showOutlineSymbols="0"/>
  </sheetPr>
  <dimension ref="A1:DR55"/>
  <sheetViews>
    <sheetView showGridLines="0" showRowColHeaders="0" showZeros="0" showOutlineSymbols="0" zoomScaleNormal="100" workbookViewId="0">
      <pane xSplit="3" topLeftCell="D1" activePane="topRight" state="frozen"/>
      <selection pane="topRight" activeCell="V1" sqref="V1"/>
    </sheetView>
  </sheetViews>
  <sheetFormatPr defaultRowHeight="12.75" outlineLevelCol="2"/>
  <cols>
    <col min="1" max="1" width="1.7109375" style="214" customWidth="1"/>
    <col min="2" max="2" width="7.7109375" style="214" customWidth="1"/>
    <col min="3" max="3" width="1.7109375" style="214" customWidth="1"/>
    <col min="4" max="4" width="2.7109375" style="596" hidden="1" customWidth="1" outlineLevel="2"/>
    <col min="5" max="5" width="10" style="596" hidden="1" customWidth="1" outlineLevel="2"/>
    <col min="6" max="6" width="3.5703125" style="596" hidden="1" customWidth="1" outlineLevel="2"/>
    <col min="7" max="7" width="10.85546875" style="596" hidden="1" customWidth="1" outlineLevel="2"/>
    <col min="8" max="8" width="1.7109375" style="632" hidden="1" customWidth="1" outlineLevel="2"/>
    <col min="9" max="9" width="10.5703125" style="596" hidden="1" customWidth="1" outlineLevel="2"/>
    <col min="10" max="10" width="1.7109375" style="632" hidden="1" customWidth="1" outlineLevel="2"/>
    <col min="11" max="11" width="17.85546875" style="596" hidden="1" customWidth="1" outlineLevel="2"/>
    <col min="12" max="12" width="8.42578125" style="620" hidden="1" customWidth="1" outlineLevel="2"/>
    <col min="13" max="15" width="6.7109375" style="643" hidden="1" customWidth="1" outlineLevel="2"/>
    <col min="16" max="16" width="1.7109375" style="632" hidden="1" customWidth="1" outlineLevel="2"/>
    <col min="17" max="17" width="8" style="620" hidden="1" customWidth="1" outlineLevel="2"/>
    <col min="18" max="20" width="6.7109375" style="632" hidden="1" customWidth="1" outlineLevel="2"/>
    <col min="21" max="21" width="2.7109375" style="596" hidden="1" customWidth="1" outlineLevel="2"/>
    <col min="22" max="22" width="3.7109375" customWidth="1" collapsed="1"/>
    <col min="23" max="23" width="3.7109375" customWidth="1"/>
    <col min="24" max="24" width="1.7109375" style="596" hidden="1" customWidth="1" outlineLevel="2"/>
    <col min="25" max="25" width="14.7109375" style="596" hidden="1" customWidth="1" outlineLevel="1"/>
    <col min="26" max="26" width="1.7109375" style="596" hidden="1" customWidth="1" outlineLevel="2"/>
    <col min="27" max="27" width="12.7109375" style="596" hidden="1" customWidth="1" outlineLevel="2"/>
    <col min="28" max="28" width="1.7109375" style="596" hidden="1" customWidth="1" outlineLevel="2"/>
    <col min="29" max="29" width="6.7109375" style="129" customWidth="1" collapsed="1"/>
    <col min="30" max="30" width="6.7109375" style="129" customWidth="1"/>
    <col min="31" max="31" width="6.7109375" style="128" customWidth="1"/>
    <col min="32" max="32" width="6.7109375" style="258" customWidth="1"/>
    <col min="33" max="34" width="2.7109375" customWidth="1"/>
    <col min="35" max="35" width="3.7109375" customWidth="1"/>
    <col min="36" max="36" width="1.7109375" style="596" hidden="1" customWidth="1" outlineLevel="2"/>
    <col min="37" max="37" width="12.5703125" style="596" hidden="1" customWidth="1" outlineLevel="1"/>
    <col min="38" max="38" width="1.7109375" style="596" hidden="1" customWidth="1" outlineLevel="2"/>
    <col min="39" max="39" width="9.85546875" style="596" hidden="1" customWidth="1" outlineLevel="2"/>
    <col min="40" max="40" width="1.7109375" style="596" hidden="1" customWidth="1" outlineLevel="2"/>
    <col min="41" max="41" width="6.7109375" style="195" customWidth="1" collapsed="1"/>
    <col min="42" max="42" width="6.7109375" style="195" customWidth="1"/>
    <col min="43" max="43" width="6.7109375" customWidth="1"/>
    <col min="44" max="44" width="6.7109375" style="267" customWidth="1"/>
    <col min="45" max="46" width="2.7109375" customWidth="1"/>
    <col min="47" max="47" width="3.7109375" customWidth="1"/>
    <col min="48" max="48" width="1.7109375" style="215" hidden="1" customWidth="1" outlineLevel="2"/>
    <col min="49" max="49" width="15.28515625" style="215" hidden="1" customWidth="1" outlineLevel="1"/>
    <col min="50" max="50" width="1.7109375" style="215" hidden="1" customWidth="1" outlineLevel="2"/>
    <col min="51" max="51" width="8" style="215" hidden="1" customWidth="1" outlineLevel="2"/>
    <col min="52" max="52" width="1.7109375" style="215" hidden="1" customWidth="1" outlineLevel="2"/>
    <col min="53" max="53" width="6.7109375" style="195" customWidth="1" collapsed="1"/>
    <col min="54" max="55" width="6.7109375" style="195" customWidth="1"/>
    <col min="56" max="56" width="6.7109375" style="257" customWidth="1"/>
    <col min="57" max="58" width="2.7109375" customWidth="1"/>
    <col min="59" max="59" width="3.7109375" customWidth="1"/>
    <col min="60" max="60" width="1.7109375" style="596" hidden="1" customWidth="1" outlineLevel="2"/>
    <col min="61" max="61" width="17.7109375" style="596" hidden="1" customWidth="1" outlineLevel="1"/>
    <col min="62" max="62" width="1.7109375" style="596" hidden="1" customWidth="1" outlineLevel="2"/>
    <col min="63" max="63" width="8.42578125" style="596" hidden="1" customWidth="1" outlineLevel="2"/>
    <col min="64" max="64" width="1.7109375" style="596" hidden="1" customWidth="1" outlineLevel="2"/>
    <col min="65" max="65" width="6.7109375" style="195" customWidth="1" collapsed="1"/>
    <col min="66" max="66" width="6.7109375" style="195" customWidth="1"/>
    <col min="67" max="67" width="6.7109375" style="257" customWidth="1"/>
    <col min="68" max="68" width="6.7109375" style="267" customWidth="1"/>
    <col min="69" max="69" width="2.7109375" customWidth="1"/>
    <col min="70" max="70" width="5.7109375" customWidth="1"/>
    <col min="71" max="71" width="26.5703125" customWidth="1"/>
    <col min="72" max="72" width="5.140625" customWidth="1"/>
    <col min="73" max="73" width="12.85546875" bestFit="1" customWidth="1"/>
    <col min="74" max="74" width="8" bestFit="1" customWidth="1"/>
    <col min="75" max="75" width="7.7109375" bestFit="1" customWidth="1"/>
    <col min="76" max="76" width="11" bestFit="1" customWidth="1"/>
    <col min="77" max="77" width="10.7109375" bestFit="1" customWidth="1"/>
    <col min="78" max="80" width="7.28515625" bestFit="1" customWidth="1"/>
    <col min="81" max="81" width="7.140625" bestFit="1" customWidth="1"/>
    <col min="82" max="83" width="3.7109375" customWidth="1"/>
    <col min="84" max="84" width="3.5703125" style="652" hidden="1" customWidth="1" outlineLevel="2"/>
    <col min="85" max="85" width="14.85546875" style="596" hidden="1" customWidth="1" outlineLevel="2"/>
    <col min="86" max="86" width="1.7109375" style="596" hidden="1" customWidth="1" outlineLevel="2"/>
    <col min="87" max="87" width="9.85546875" style="596" hidden="1" customWidth="1" outlineLevel="2"/>
    <col min="88" max="88" width="1.7109375" style="596" hidden="1" customWidth="1" outlineLevel="2"/>
    <col min="89" max="89" width="7.140625" style="195" customWidth="1" collapsed="1"/>
    <col min="90" max="91" width="7.140625" style="195" customWidth="1"/>
    <col min="92" max="92" width="7.140625" style="267" customWidth="1"/>
    <col min="112" max="112" width="3.7109375" customWidth="1"/>
  </cols>
  <sheetData>
    <row r="1" spans="5:122" ht="0.95" customHeight="1">
      <c r="AN1" s="596" t="s">
        <v>81</v>
      </c>
    </row>
    <row r="2" spans="5:122" ht="24.95" customHeight="1">
      <c r="E2" s="201" t="s">
        <v>606</v>
      </c>
      <c r="F2" s="201"/>
      <c r="G2" s="201"/>
      <c r="H2" s="207"/>
      <c r="I2" s="201"/>
      <c r="J2" s="207"/>
      <c r="K2" s="201"/>
      <c r="L2" s="255"/>
      <c r="M2" s="276"/>
      <c r="N2" s="276"/>
      <c r="O2" s="276"/>
      <c r="P2" s="207"/>
      <c r="Q2" s="255"/>
      <c r="R2" s="207"/>
      <c r="S2" s="207"/>
      <c r="T2" s="207"/>
      <c r="W2" s="46" t="s">
        <v>657</v>
      </c>
      <c r="Y2" s="597" t="s">
        <v>290</v>
      </c>
      <c r="Z2" s="597"/>
      <c r="AA2" s="597"/>
      <c r="AC2" s="48"/>
      <c r="AD2" s="48"/>
      <c r="AE2" s="47"/>
      <c r="AF2" s="254"/>
      <c r="AG2" s="46"/>
      <c r="AH2" s="660" t="s">
        <v>698</v>
      </c>
      <c r="AI2" s="46"/>
      <c r="AJ2" s="597"/>
      <c r="AK2" s="597"/>
      <c r="AL2" s="597"/>
      <c r="AM2" s="597"/>
      <c r="AN2" s="597"/>
      <c r="AO2" s="50"/>
      <c r="AP2" s="50"/>
      <c r="AQ2" s="46"/>
      <c r="AR2" s="51"/>
      <c r="AS2" s="46"/>
      <c r="AT2" s="46"/>
      <c r="AU2" s="46"/>
      <c r="AV2" s="201"/>
      <c r="AW2" s="201"/>
      <c r="AX2" s="201"/>
      <c r="AY2" s="201"/>
      <c r="AZ2" s="201"/>
      <c r="BA2" s="50"/>
      <c r="BB2" s="50"/>
      <c r="BC2" s="50"/>
      <c r="BD2" s="259"/>
      <c r="BE2" s="46"/>
      <c r="BF2" s="46"/>
      <c r="BG2" s="46"/>
      <c r="BH2" s="597"/>
      <c r="BI2" s="597"/>
      <c r="BJ2" s="597"/>
      <c r="BK2" s="597"/>
      <c r="BL2" s="597"/>
      <c r="BM2" s="50"/>
      <c r="BN2" s="50"/>
      <c r="BO2" s="259"/>
      <c r="BP2" s="51"/>
      <c r="BQ2" s="46"/>
      <c r="CE2" s="46" t="s">
        <v>658</v>
      </c>
      <c r="CF2" s="653"/>
      <c r="CG2" s="597"/>
      <c r="CH2" s="597"/>
      <c r="CI2" s="597"/>
      <c r="CJ2" s="597"/>
      <c r="CK2" s="50"/>
      <c r="CL2" s="50"/>
      <c r="CM2" s="50"/>
      <c r="CN2" s="51"/>
      <c r="CO2" s="46"/>
      <c r="CP2" s="46"/>
      <c r="CQ2" s="46"/>
      <c r="CR2" s="46"/>
      <c r="CS2" s="46"/>
      <c r="CT2" s="46"/>
      <c r="CU2" s="46"/>
      <c r="CV2" s="46"/>
      <c r="CW2" s="46"/>
      <c r="DI2" s="46" t="s">
        <v>659</v>
      </c>
      <c r="DJ2" s="46"/>
      <c r="DK2" s="46"/>
      <c r="DL2" s="46"/>
      <c r="DM2" s="46"/>
      <c r="DN2" s="46"/>
      <c r="DO2" s="46"/>
      <c r="DP2" s="46"/>
      <c r="DQ2" s="46"/>
      <c r="DR2" s="46"/>
    </row>
    <row r="3" spans="5:122">
      <c r="AH3" s="260"/>
      <c r="AJ3" s="598"/>
      <c r="AT3" s="159"/>
      <c r="AU3" s="153"/>
      <c r="AV3" s="273"/>
      <c r="AW3" s="273"/>
      <c r="AX3" s="273"/>
      <c r="AY3" s="273"/>
      <c r="AZ3" s="273"/>
      <c r="BA3" s="284"/>
      <c r="BB3" s="284"/>
      <c r="BC3" s="284"/>
      <c r="BD3" s="285"/>
      <c r="BE3" s="658"/>
      <c r="BF3" s="658"/>
      <c r="BG3" s="153"/>
      <c r="BH3" s="95"/>
      <c r="BI3" s="95"/>
      <c r="BJ3" s="95"/>
      <c r="BK3" s="95"/>
      <c r="BL3" s="95"/>
      <c r="BM3" s="284"/>
      <c r="BN3" s="284"/>
      <c r="BO3" s="285"/>
      <c r="BP3" s="286"/>
      <c r="BQ3" s="318"/>
    </row>
    <row r="4" spans="5:122">
      <c r="E4" s="622" t="s">
        <v>594</v>
      </c>
      <c r="W4" s="194" t="s">
        <v>689</v>
      </c>
      <c r="AA4" s="595" t="str">
        <f ca="1">_xll.RtUpdate("IDN",Y5:Y11,AA5,AC5,,RTMODE_RATES)</f>
        <v>Updated at 16:52:05</v>
      </c>
      <c r="AH4" s="138"/>
      <c r="AJ4" s="598"/>
      <c r="AT4" s="156"/>
      <c r="AU4" s="287" t="s">
        <v>33</v>
      </c>
      <c r="AV4" s="273"/>
      <c r="AW4" s="273"/>
      <c r="AX4" s="273"/>
      <c r="AY4" s="273"/>
      <c r="AZ4" s="273"/>
      <c r="BA4" s="284"/>
      <c r="BB4" s="284"/>
      <c r="BC4" s="826">
        <f>Today</f>
        <v>40680</v>
      </c>
      <c r="BD4" s="826"/>
      <c r="BE4" s="283"/>
      <c r="BF4" s="283"/>
      <c r="BG4" s="287"/>
      <c r="BH4" s="95"/>
      <c r="BI4" s="95"/>
      <c r="BJ4" s="95"/>
      <c r="BK4" s="95"/>
      <c r="BL4" s="95"/>
      <c r="BM4" s="284"/>
      <c r="BN4" s="284"/>
      <c r="BO4" s="284"/>
      <c r="BP4" s="286"/>
      <c r="BQ4" s="319"/>
      <c r="CE4" t="s">
        <v>310</v>
      </c>
      <c r="CG4" s="654" t="s">
        <v>610</v>
      </c>
      <c r="CI4" s="623" t="str">
        <f>PPP_string(PPP_Global,CM4)</f>
        <v>FRQ:30m</v>
      </c>
      <c r="CM4" s="263" t="s">
        <v>408</v>
      </c>
      <c r="DI4" s="139" t="s">
        <v>660</v>
      </c>
    </row>
    <row r="5" spans="5:122">
      <c r="W5" s="261" t="s">
        <v>6</v>
      </c>
      <c r="Y5" s="623" t="s">
        <v>679</v>
      </c>
      <c r="AA5" s="623" t="s">
        <v>223</v>
      </c>
      <c r="AC5" s="268">
        <v>2.5</v>
      </c>
      <c r="AE5" s="137"/>
      <c r="AF5" s="258">
        <f t="shared" ref="AF5:AF11" si="0">IF(ISNUMBER(AE5),AE5,AVERAGE(AC5:AD5))</f>
        <v>2.5</v>
      </c>
      <c r="AH5" s="138"/>
      <c r="AI5" s="194" t="s">
        <v>690</v>
      </c>
      <c r="AJ5" s="598"/>
      <c r="AM5" s="595" t="str">
        <f ca="1">_xll.RtUpdate("IDN",AK6:AK11,AM6,AO6,,RTMODE_RATES)</f>
        <v>Updated at 16:52:05</v>
      </c>
      <c r="AQ5" s="473" t="s">
        <v>691</v>
      </c>
      <c r="AR5" s="298"/>
      <c r="AT5" s="156"/>
      <c r="AU5" s="153"/>
      <c r="AV5" s="273"/>
      <c r="AW5" s="273"/>
      <c r="AX5" s="273"/>
      <c r="AY5" s="245" t="s">
        <v>309</v>
      </c>
      <c r="AZ5" s="273"/>
      <c r="BA5" s="284"/>
      <c r="BB5" s="284"/>
      <c r="BC5" s="284"/>
      <c r="BD5" s="285"/>
      <c r="BE5" s="283"/>
      <c r="BF5" s="283"/>
      <c r="BG5" s="287"/>
      <c r="BH5" s="95"/>
      <c r="BI5" s="95"/>
      <c r="BJ5" s="95"/>
      <c r="BK5" s="95"/>
      <c r="BL5" s="95"/>
      <c r="BM5" s="284"/>
      <c r="BN5" s="284"/>
      <c r="BO5" s="284"/>
      <c r="BP5" s="286"/>
      <c r="BQ5" s="319"/>
    </row>
    <row r="6" spans="5:122">
      <c r="E6" s="596" t="s">
        <v>673</v>
      </c>
      <c r="G6" s="623" t="str">
        <f>"NBB"&amp;$BO$6</f>
        <v>NBBc1</v>
      </c>
      <c r="I6" s="596" t="s">
        <v>591</v>
      </c>
      <c r="K6" s="596" t="str">
        <f ca="1">_xll.RtUpdate("IDN",G6:G7,"EXPIRE DATE",L6,,RTMODE_RATES)</f>
        <v>Updated at 16:52:05</v>
      </c>
      <c r="L6" s="624">
        <v>40709</v>
      </c>
      <c r="M6" s="643" t="s">
        <v>631</v>
      </c>
      <c r="O6" s="628" t="str">
        <f>IF(ISNUMBER(L6),"LIVE","DELAYED")</f>
        <v>LIVE</v>
      </c>
      <c r="W6" s="261" t="s">
        <v>0</v>
      </c>
      <c r="Y6" s="623" t="str">
        <f t="shared" ref="Y6:Y11" si="1">"NZD"&amp;W6&amp;"FSR="</f>
        <v>NZD1MFSR=</v>
      </c>
      <c r="AC6" s="268">
        <v>2.6949999999999998</v>
      </c>
      <c r="AE6" s="137"/>
      <c r="AF6" s="258">
        <f t="shared" si="0"/>
        <v>2.6949999999999998</v>
      </c>
      <c r="AH6" s="138"/>
      <c r="AI6" s="261" t="s">
        <v>0</v>
      </c>
      <c r="AJ6" s="598"/>
      <c r="AK6" s="623" t="str">
        <f t="shared" ref="AK6:AK11" si="2">"NZ"&amp;AI6&amp;"BBFIX="</f>
        <v>NZ1MBBFIX=</v>
      </c>
      <c r="AM6" s="623" t="s">
        <v>223</v>
      </c>
      <c r="AO6" s="646">
        <v>2.63</v>
      </c>
      <c r="AQ6" s="656" t="s">
        <v>692</v>
      </c>
      <c r="AR6" s="657">
        <v>3.17</v>
      </c>
      <c r="AT6" s="156"/>
      <c r="AU6" s="287" t="s">
        <v>121</v>
      </c>
      <c r="AV6" s="273"/>
      <c r="AW6" s="273"/>
      <c r="AX6" s="273"/>
      <c r="AY6" s="152" t="str">
        <f>PPP_string(PPP_Global,BC6)</f>
        <v>FRQ:1m</v>
      </c>
      <c r="AZ6" s="273"/>
      <c r="BA6" s="284"/>
      <c r="BB6" s="284"/>
      <c r="BC6" s="270" t="s">
        <v>302</v>
      </c>
      <c r="BD6" s="285"/>
      <c r="BE6" s="283"/>
      <c r="BF6" s="283"/>
      <c r="BG6" s="287" t="s">
        <v>717</v>
      </c>
      <c r="BH6" s="95"/>
      <c r="BI6" s="95"/>
      <c r="BJ6" s="95"/>
      <c r="BK6" s="95"/>
      <c r="BL6" s="95"/>
      <c r="BM6" s="284"/>
      <c r="BN6" s="288" t="s">
        <v>674</v>
      </c>
      <c r="BO6" s="270" t="s">
        <v>117</v>
      </c>
      <c r="BP6" s="286"/>
      <c r="BQ6" s="319"/>
    </row>
    <row r="7" spans="5:122">
      <c r="G7" s="623" t="str">
        <f>"/NBB"&amp;$BO$6</f>
        <v>/NBBc1</v>
      </c>
      <c r="I7" s="596" t="s">
        <v>592</v>
      </c>
      <c r="L7" s="624">
        <v>40709</v>
      </c>
      <c r="O7" s="643" t="s">
        <v>81</v>
      </c>
      <c r="P7" s="632" t="s">
        <v>81</v>
      </c>
      <c r="W7" s="261" t="s">
        <v>1</v>
      </c>
      <c r="Y7" s="623" t="str">
        <f t="shared" si="1"/>
        <v>NZD2MFSR=</v>
      </c>
      <c r="AC7" s="268">
        <v>2.7450000000000001</v>
      </c>
      <c r="AE7" s="137"/>
      <c r="AF7" s="258">
        <f t="shared" si="0"/>
        <v>2.7450000000000001</v>
      </c>
      <c r="AH7" s="138"/>
      <c r="AI7" s="261" t="s">
        <v>1</v>
      </c>
      <c r="AJ7" s="598"/>
      <c r="AK7" s="623" t="str">
        <f t="shared" si="2"/>
        <v>NZ2MBBFIX=</v>
      </c>
      <c r="AO7" s="646">
        <v>2.68</v>
      </c>
      <c r="AQ7" s="656" t="s">
        <v>693</v>
      </c>
      <c r="AR7" s="657">
        <v>4.0999999999999996</v>
      </c>
      <c r="AT7" s="160"/>
      <c r="AU7" s="161"/>
      <c r="AV7" s="289"/>
      <c r="AW7" s="289"/>
      <c r="AX7" s="289"/>
      <c r="AY7" s="289"/>
      <c r="AZ7" s="289"/>
      <c r="BA7" s="290"/>
      <c r="BB7" s="290"/>
      <c r="BC7" s="290"/>
      <c r="BD7" s="291"/>
      <c r="BE7" s="161"/>
      <c r="BF7" s="161"/>
      <c r="BG7" s="161"/>
      <c r="BH7" s="105"/>
      <c r="BI7" s="105"/>
      <c r="BJ7" s="105"/>
      <c r="BK7" s="105"/>
      <c r="BL7" s="105"/>
      <c r="BM7" s="290"/>
      <c r="BN7" s="290"/>
      <c r="BO7" s="291"/>
      <c r="BP7" s="292"/>
      <c r="BQ7" s="293"/>
      <c r="CE7" s="194" t="s">
        <v>221</v>
      </c>
    </row>
    <row r="8" spans="5:122">
      <c r="O8" s="643" t="s">
        <v>81</v>
      </c>
      <c r="W8" s="261" t="s">
        <v>2</v>
      </c>
      <c r="Y8" s="623" t="str">
        <f t="shared" si="1"/>
        <v>NZD3MFSR=</v>
      </c>
      <c r="AC8" s="268">
        <v>2.7800000000000002</v>
      </c>
      <c r="AE8" s="137"/>
      <c r="AF8" s="258">
        <f t="shared" si="0"/>
        <v>2.7800000000000002</v>
      </c>
      <c r="AH8" s="138"/>
      <c r="AI8" s="261" t="s">
        <v>2</v>
      </c>
      <c r="AJ8" s="598"/>
      <c r="AK8" s="623" t="str">
        <f t="shared" si="2"/>
        <v>NZ3MBBFIX=</v>
      </c>
      <c r="AO8" s="646">
        <v>2.69</v>
      </c>
      <c r="AQ8" s="656" t="s">
        <v>694</v>
      </c>
      <c r="AR8" s="657">
        <v>4.7649999999999997</v>
      </c>
      <c r="AT8" s="138"/>
      <c r="AV8" s="273"/>
      <c r="AW8" s="273"/>
      <c r="AX8" s="273"/>
      <c r="AY8" s="273"/>
      <c r="AZ8" s="273"/>
      <c r="BF8" s="138"/>
      <c r="BH8" s="598"/>
      <c r="BI8" s="598"/>
      <c r="BJ8" s="598"/>
      <c r="BK8" s="598"/>
      <c r="BL8" s="598"/>
      <c r="CG8" s="596" t="str">
        <f ca="1">_xll.RtUpdate("IDN",CG9:CG15,CI9:CI10,CK9,,RTMODE_VOLS)</f>
        <v>Updated at 16:52:05</v>
      </c>
      <c r="CK8" s="655" t="s">
        <v>222</v>
      </c>
      <c r="CL8" s="655" t="s">
        <v>220</v>
      </c>
      <c r="CM8" s="655" t="s">
        <v>224</v>
      </c>
      <c r="CN8" s="298" t="s">
        <v>20</v>
      </c>
    </row>
    <row r="9" spans="5:122">
      <c r="M9" s="644"/>
      <c r="N9" s="644"/>
      <c r="W9" s="261" t="s">
        <v>3</v>
      </c>
      <c r="Y9" s="623" t="str">
        <f t="shared" si="1"/>
        <v>NZD4MFSR=</v>
      </c>
      <c r="AC9" s="268">
        <v>2.8149999999999995</v>
      </c>
      <c r="AE9" s="137"/>
      <c r="AF9" s="258">
        <f t="shared" si="0"/>
        <v>2.8149999999999995</v>
      </c>
      <c r="AH9" s="138"/>
      <c r="AI9" s="261" t="s">
        <v>3</v>
      </c>
      <c r="AJ9" s="598"/>
      <c r="AK9" s="623" t="str">
        <f t="shared" si="2"/>
        <v>NZ4MBBFIX=</v>
      </c>
      <c r="AO9" s="646">
        <v>2.69</v>
      </c>
      <c r="AQ9" s="656" t="s">
        <v>695</v>
      </c>
      <c r="AR9" s="657">
        <v>4.99</v>
      </c>
      <c r="AT9" s="138"/>
      <c r="AU9" s="194" t="s">
        <v>34</v>
      </c>
      <c r="AV9" s="273"/>
      <c r="AX9" s="273"/>
      <c r="AY9" s="592" t="str">
        <f ca="1">_xll.RtUpdate("IDN",AW10:AW15,AY10:AY11,BA10,,RTMODE_RATES)</f>
        <v>Updated at 16:52:05</v>
      </c>
      <c r="AZ9" s="273"/>
      <c r="BF9" s="138"/>
      <c r="BG9" s="194" t="s">
        <v>37</v>
      </c>
      <c r="BH9" s="598"/>
      <c r="BJ9" s="598"/>
      <c r="BK9" s="593" t="str">
        <f ca="1">_xll.RtUpdate("IDN",BI10:BI21,BK10:BK11,BM10,,RTMODE_RATES)</f>
        <v>Updated at 16:59:37</v>
      </c>
      <c r="BL9" s="598"/>
      <c r="CE9" s="261" t="s">
        <v>26</v>
      </c>
      <c r="CF9" s="652">
        <v>1</v>
      </c>
      <c r="CG9" s="623" t="str">
        <f t="shared" ref="CG9:CG15" si="3">"NZ"&amp;CE9&amp;"CATM=ICAA"</f>
        <v>NZ1YCATM=ICAA</v>
      </c>
      <c r="CI9" s="623" t="s">
        <v>84</v>
      </c>
      <c r="CK9" s="264">
        <v>2.7919999999999998</v>
      </c>
      <c r="CL9" s="264">
        <v>18.93</v>
      </c>
      <c r="CM9" s="270"/>
      <c r="CN9" s="267">
        <f t="shared" ref="CN9:CN15" si="4">IF(ISNUMBER(CM9),CM9,CL9)</f>
        <v>18.93</v>
      </c>
    </row>
    <row r="10" spans="5:122">
      <c r="W10" s="261" t="s">
        <v>4</v>
      </c>
      <c r="Y10" s="623" t="str">
        <f t="shared" si="1"/>
        <v>NZD5MFSR=</v>
      </c>
      <c r="AC10" s="268">
        <v>2.8749999999999996</v>
      </c>
      <c r="AE10" s="137"/>
      <c r="AF10" s="258">
        <f t="shared" si="0"/>
        <v>2.8749999999999996</v>
      </c>
      <c r="AH10" s="138"/>
      <c r="AI10" s="261" t="s">
        <v>4</v>
      </c>
      <c r="AJ10" s="598"/>
      <c r="AK10" s="623" t="str">
        <f t="shared" si="2"/>
        <v>NZ5MBBFIX=</v>
      </c>
      <c r="AO10" s="646">
        <v>2.69</v>
      </c>
      <c r="AQ10" s="656" t="s">
        <v>696</v>
      </c>
      <c r="AR10" s="657">
        <v>0</v>
      </c>
      <c r="AT10" s="138"/>
      <c r="AU10" s="261" t="s">
        <v>199</v>
      </c>
      <c r="AV10" s="273"/>
      <c r="AW10" s="274" t="str">
        <f t="shared" ref="AW10:AW15" si="5">"NZD"&amp;AU10&amp;"F=ICAA"</f>
        <v>NZD1X4F=ICAA</v>
      </c>
      <c r="AX10" s="273"/>
      <c r="AY10" s="274" t="s">
        <v>45</v>
      </c>
      <c r="AZ10" s="273"/>
      <c r="BA10" s="264">
        <v>2.6</v>
      </c>
      <c r="BB10" s="264">
        <v>2.7</v>
      </c>
      <c r="BC10" s="270"/>
      <c r="BD10" s="257">
        <f t="shared" ref="BD10:BD15" si="6">IF(ISNUMBER(BC10),BC10,AVERAGE(BA10:BB10))</f>
        <v>2.6500000000000004</v>
      </c>
      <c r="BF10" s="138"/>
      <c r="BG10" s="261" t="s">
        <v>0</v>
      </c>
      <c r="BH10" s="598"/>
      <c r="BI10" s="645" t="str">
        <f t="shared" ref="BI10:BI21" si="7">"NZD"&amp;BG10&amp;"OIS=ICAP"</f>
        <v>NZD1MOIS=ICAP</v>
      </c>
      <c r="BJ10" s="598"/>
      <c r="BK10" s="645" t="s">
        <v>45</v>
      </c>
      <c r="BL10" s="598"/>
      <c r="BM10" s="264">
        <v>2.4949999999999997</v>
      </c>
      <c r="BN10" s="264">
        <v>2.5049999999999999</v>
      </c>
      <c r="BO10" s="263"/>
      <c r="BP10" s="267">
        <f t="shared" ref="BP10:BP21" si="8">IF(ISNUMBER(BO10),BO10,(BM10+BN10)/COUNTIF(BM10:BN10,"&lt;&gt;0"))</f>
        <v>2.5</v>
      </c>
      <c r="CE10" s="261" t="s">
        <v>27</v>
      </c>
      <c r="CF10" s="652">
        <v>2</v>
      </c>
      <c r="CG10" s="623" t="str">
        <f t="shared" si="3"/>
        <v>NZ2YCATM=ICAA</v>
      </c>
      <c r="CI10" s="623" t="s">
        <v>135</v>
      </c>
      <c r="CK10" s="264">
        <v>3.2789999999999999</v>
      </c>
      <c r="CL10" s="264">
        <v>23.38</v>
      </c>
      <c r="CM10" s="270"/>
      <c r="CN10" s="267">
        <f t="shared" si="4"/>
        <v>23.38</v>
      </c>
    </row>
    <row r="11" spans="5:122">
      <c r="E11" s="622" t="s">
        <v>595</v>
      </c>
      <c r="W11" s="261" t="s">
        <v>5</v>
      </c>
      <c r="Y11" s="623" t="str">
        <f t="shared" si="1"/>
        <v>NZD6MFSR=</v>
      </c>
      <c r="AC11" s="268">
        <v>2.94</v>
      </c>
      <c r="AE11" s="137"/>
      <c r="AF11" s="258">
        <f t="shared" si="0"/>
        <v>2.94</v>
      </c>
      <c r="AH11" s="138"/>
      <c r="AI11" s="261" t="s">
        <v>5</v>
      </c>
      <c r="AJ11" s="598"/>
      <c r="AK11" s="623" t="str">
        <f t="shared" si="2"/>
        <v>NZ6MBBFIX=</v>
      </c>
      <c r="AO11" s="646">
        <v>2.69</v>
      </c>
      <c r="AQ11" s="651"/>
      <c r="AR11" s="296"/>
      <c r="AT11" s="138"/>
      <c r="AU11" s="261" t="s">
        <v>200</v>
      </c>
      <c r="AV11" s="273"/>
      <c r="AW11" s="274" t="str">
        <f t="shared" si="5"/>
        <v>NZD2X5F=ICAA</v>
      </c>
      <c r="AX11" s="273"/>
      <c r="AY11" s="274" t="s">
        <v>46</v>
      </c>
      <c r="AZ11" s="273"/>
      <c r="BA11" s="264">
        <v>2.61</v>
      </c>
      <c r="BB11" s="264">
        <v>2.71</v>
      </c>
      <c r="BC11" s="270"/>
      <c r="BD11" s="257">
        <f t="shared" si="6"/>
        <v>2.66</v>
      </c>
      <c r="BF11" s="138"/>
      <c r="BG11" s="261" t="s">
        <v>1</v>
      </c>
      <c r="BH11" s="598"/>
      <c r="BI11" s="645" t="str">
        <f t="shared" si="7"/>
        <v>NZD2MOIS=ICAP</v>
      </c>
      <c r="BJ11" s="598"/>
      <c r="BK11" s="645" t="s">
        <v>46</v>
      </c>
      <c r="BL11" s="598"/>
      <c r="BM11" s="264">
        <v>2.4949999999999997</v>
      </c>
      <c r="BN11" s="264">
        <v>2.5099999999999998</v>
      </c>
      <c r="BO11" s="263"/>
      <c r="BP11" s="267">
        <f t="shared" si="8"/>
        <v>2.5024999999999995</v>
      </c>
      <c r="CE11" s="261" t="s">
        <v>7</v>
      </c>
      <c r="CF11" s="652">
        <v>3</v>
      </c>
      <c r="CG11" s="623" t="str">
        <f t="shared" si="3"/>
        <v>NZ3YCATM=ICAA</v>
      </c>
      <c r="CK11" s="264">
        <v>3.7519999999999998</v>
      </c>
      <c r="CL11" s="264">
        <v>22.1</v>
      </c>
      <c r="CM11" s="270"/>
      <c r="CN11" s="267">
        <f t="shared" si="4"/>
        <v>22.1</v>
      </c>
    </row>
    <row r="12" spans="5:122">
      <c r="L12" s="620" t="s">
        <v>599</v>
      </c>
      <c r="Q12" s="620" t="s">
        <v>600</v>
      </c>
      <c r="AH12" s="138"/>
      <c r="AT12" s="138"/>
      <c r="AU12" s="261" t="s">
        <v>201</v>
      </c>
      <c r="AV12" s="273"/>
      <c r="AW12" s="274" t="str">
        <f t="shared" si="5"/>
        <v>NZD3X6F=ICAA</v>
      </c>
      <c r="AX12" s="273"/>
      <c r="AY12" s="273"/>
      <c r="AZ12" s="273"/>
      <c r="BA12" s="264">
        <v>2.63</v>
      </c>
      <c r="BB12" s="264">
        <v>2.73</v>
      </c>
      <c r="BC12" s="270"/>
      <c r="BD12" s="257">
        <f t="shared" si="6"/>
        <v>2.6799999999999997</v>
      </c>
      <c r="BF12" s="138"/>
      <c r="BG12" s="261" t="s">
        <v>2</v>
      </c>
      <c r="BH12" s="598"/>
      <c r="BI12" s="645" t="str">
        <f t="shared" si="7"/>
        <v>NZD3MOIS=ICAP</v>
      </c>
      <c r="BJ12" s="598"/>
      <c r="BK12" s="598"/>
      <c r="BL12" s="598"/>
      <c r="BM12" s="264">
        <v>2.5019999999999998</v>
      </c>
      <c r="BN12" s="264">
        <v>2.5070000000000001</v>
      </c>
      <c r="BO12" s="263"/>
      <c r="BP12" s="267">
        <f t="shared" si="8"/>
        <v>2.5045000000000002</v>
      </c>
      <c r="CE12" s="261" t="s">
        <v>8</v>
      </c>
      <c r="CF12" s="652">
        <v>4</v>
      </c>
      <c r="CG12" s="623" t="str">
        <f t="shared" si="3"/>
        <v>NZ4YCATM=ICAA</v>
      </c>
      <c r="CK12" s="264">
        <v>4.1059999999999999</v>
      </c>
      <c r="CL12" s="264">
        <v>20.350000000000001</v>
      </c>
      <c r="CM12" s="270"/>
      <c r="CN12" s="267">
        <f t="shared" si="4"/>
        <v>20.350000000000001</v>
      </c>
    </row>
    <row r="13" spans="5:122">
      <c r="E13" s="596" t="s">
        <v>674</v>
      </c>
      <c r="F13" s="596" t="str">
        <f>_xll.qFuturesDateToCode(IF(O6="LIVE",L6,L7))</f>
        <v>M1</v>
      </c>
      <c r="G13" s="623" t="str">
        <f t="array" ref="G13:G16">IF($O$6="DELAYED","/","") &amp; "NBB" &amp; F13:F16</f>
        <v>NBBM1</v>
      </c>
      <c r="I13" s="623" t="s">
        <v>47</v>
      </c>
      <c r="K13" s="596" t="str">
        <f ca="1">_xll.RtUpdate("IDN",G13:G16,I13:I16,L13,,RTMODE_RATES)</f>
        <v>Updated at 16:52:05</v>
      </c>
      <c r="L13" s="624">
        <v>40709</v>
      </c>
      <c r="M13" s="631">
        <v>97.34</v>
      </c>
      <c r="N13" s="631">
        <v>97.35</v>
      </c>
      <c r="O13" s="631">
        <v>97.35</v>
      </c>
      <c r="Q13" s="624">
        <v>40709</v>
      </c>
      <c r="R13" s="630">
        <v>97.34</v>
      </c>
      <c r="S13" s="630">
        <v>97.35</v>
      </c>
      <c r="T13" s="630">
        <v>97.35</v>
      </c>
      <c r="AH13" s="138"/>
      <c r="AJ13" s="598"/>
      <c r="AT13" s="138"/>
      <c r="AU13" s="261" t="s">
        <v>202</v>
      </c>
      <c r="AV13" s="273"/>
      <c r="AW13" s="274" t="str">
        <f t="shared" si="5"/>
        <v>NZD4X7F=ICAA</v>
      </c>
      <c r="AX13" s="273"/>
      <c r="AZ13" s="273"/>
      <c r="BA13" s="264">
        <v>2.65</v>
      </c>
      <c r="BB13" s="264">
        <v>2.75</v>
      </c>
      <c r="BC13" s="270"/>
      <c r="BD13" s="257">
        <f t="shared" si="6"/>
        <v>2.7</v>
      </c>
      <c r="BF13" s="138"/>
      <c r="BG13" s="261" t="s">
        <v>3</v>
      </c>
      <c r="BH13" s="598"/>
      <c r="BI13" s="645" t="str">
        <f t="shared" si="7"/>
        <v>NZD4MOIS=ICAP</v>
      </c>
      <c r="BJ13" s="598"/>
      <c r="BK13" s="598"/>
      <c r="BL13" s="598"/>
      <c r="BM13" s="264">
        <v>2.5019999999999998</v>
      </c>
      <c r="BN13" s="264">
        <v>2.52</v>
      </c>
      <c r="BO13" s="263"/>
      <c r="BP13" s="267">
        <f t="shared" si="8"/>
        <v>2.5110000000000001</v>
      </c>
      <c r="CE13" s="261" t="s">
        <v>9</v>
      </c>
      <c r="CF13" s="652">
        <v>5</v>
      </c>
      <c r="CG13" s="623" t="str">
        <f t="shared" si="3"/>
        <v>NZ5YCATM=ICAA</v>
      </c>
      <c r="CK13" s="264">
        <v>4.3899999999999997</v>
      </c>
      <c r="CL13" s="264">
        <v>18.919999999999998</v>
      </c>
      <c r="CM13" s="270"/>
      <c r="CN13" s="267">
        <f t="shared" si="4"/>
        <v>18.919999999999998</v>
      </c>
    </row>
    <row r="14" spans="5:122">
      <c r="F14" s="596" t="str">
        <f>_xll.qFuturesDateToCode(_xll.qFuturesCodeToDate(F13,Today)+92)</f>
        <v>U1</v>
      </c>
      <c r="G14" s="623" t="str">
        <v>NBBU1</v>
      </c>
      <c r="I14" s="623" t="s">
        <v>45</v>
      </c>
      <c r="L14" s="624">
        <v>40800</v>
      </c>
      <c r="M14" s="631">
        <v>97.29</v>
      </c>
      <c r="N14" s="631">
        <v>97.32</v>
      </c>
      <c r="O14" s="631">
        <v>97.31</v>
      </c>
      <c r="Q14" s="624">
        <v>40800</v>
      </c>
      <c r="R14" s="630">
        <v>97.29</v>
      </c>
      <c r="S14" s="630">
        <v>97.32</v>
      </c>
      <c r="T14" s="630">
        <v>97.31</v>
      </c>
      <c r="W14" s="194" t="s">
        <v>675</v>
      </c>
      <c r="AD14" s="269" t="str">
        <f>IF(O6="DELAYED","DELAYED","")</f>
        <v/>
      </c>
      <c r="AF14" s="262" t="s">
        <v>20</v>
      </c>
      <c r="AH14" s="138"/>
      <c r="AI14" s="194" t="s">
        <v>608</v>
      </c>
      <c r="AJ14" s="598"/>
      <c r="AQ14" s="297" t="s">
        <v>313</v>
      </c>
      <c r="AR14" s="298" t="s">
        <v>314</v>
      </c>
      <c r="AT14" s="138"/>
      <c r="AU14" s="261" t="s">
        <v>203</v>
      </c>
      <c r="AV14" s="273"/>
      <c r="AW14" s="274" t="str">
        <f t="shared" si="5"/>
        <v>NZD5X8F=ICAA</v>
      </c>
      <c r="AX14" s="273"/>
      <c r="AY14" s="273"/>
      <c r="AZ14" s="273"/>
      <c r="BA14" s="264">
        <v>2.7</v>
      </c>
      <c r="BB14" s="264">
        <v>2.8</v>
      </c>
      <c r="BC14" s="270"/>
      <c r="BD14" s="257">
        <f t="shared" si="6"/>
        <v>2.75</v>
      </c>
      <c r="BF14" s="138"/>
      <c r="BG14" s="261" t="s">
        <v>4</v>
      </c>
      <c r="BH14" s="598"/>
      <c r="BI14" s="645" t="str">
        <f t="shared" si="7"/>
        <v>NZD5MOIS=ICAP</v>
      </c>
      <c r="BJ14" s="598"/>
      <c r="BK14" s="598"/>
      <c r="BL14" s="598"/>
      <c r="BM14" s="264">
        <v>2.5099999999999998</v>
      </c>
      <c r="BN14" s="264">
        <v>2.5270000000000001</v>
      </c>
      <c r="BO14" s="263"/>
      <c r="BP14" s="267">
        <f t="shared" si="8"/>
        <v>2.5185</v>
      </c>
      <c r="CE14" s="261" t="s">
        <v>11</v>
      </c>
      <c r="CF14" s="652">
        <v>7</v>
      </c>
      <c r="CG14" s="623" t="str">
        <f t="shared" si="3"/>
        <v>NZ7YCATM=ICAA</v>
      </c>
      <c r="CK14" s="264">
        <v>4.7960000000000003</v>
      </c>
      <c r="CL14" s="264">
        <v>16.850000000000001</v>
      </c>
      <c r="CM14" s="270"/>
      <c r="CN14" s="267">
        <f t="shared" si="4"/>
        <v>16.850000000000001</v>
      </c>
    </row>
    <row r="15" spans="5:122">
      <c r="F15" s="596" t="str">
        <f>_xll.qFuturesDateToCode(_xll.qFuturesCodeToDate(F14,Today)+92)</f>
        <v>Z1</v>
      </c>
      <c r="G15" s="623" t="str">
        <v>NBBZ1</v>
      </c>
      <c r="I15" s="623" t="s">
        <v>46</v>
      </c>
      <c r="L15" s="624">
        <v>40891</v>
      </c>
      <c r="M15" s="631">
        <v>97.11999999999999</v>
      </c>
      <c r="N15" s="631">
        <v>97.149999999999991</v>
      </c>
      <c r="O15" s="631">
        <v>97.14</v>
      </c>
      <c r="Q15" s="624">
        <v>40891</v>
      </c>
      <c r="R15" s="630">
        <v>97.11999999999999</v>
      </c>
      <c r="S15" s="630">
        <v>97.149999999999991</v>
      </c>
      <c r="T15" s="630">
        <v>97.14</v>
      </c>
      <c r="W15" s="261" t="str">
        <f t="array" ref="W15:W18">F13:F16</f>
        <v>M1</v>
      </c>
      <c r="AC15" s="282">
        <f t="array" ref="AC15:AD15">IF(AND(R13&lt;&gt;0,S13&lt;&gt;0),R13:S13,T13)</f>
        <v>97.34</v>
      </c>
      <c r="AD15" s="282">
        <v>97.35</v>
      </c>
      <c r="AE15" s="137"/>
      <c r="AF15" s="258">
        <f t="shared" ref="AF15:AF18" si="9">IF(ISNUMBER(AE15),AE15,AVERAGEIF(AC15:AD15,"&lt;&gt;0"))</f>
        <v>97.344999999999999</v>
      </c>
      <c r="AH15" s="138"/>
      <c r="AI15" s="261" t="str">
        <f>W15</f>
        <v>M1</v>
      </c>
      <c r="AJ15" s="598"/>
      <c r="AO15" s="270"/>
      <c r="AP15" s="294">
        <f>IF(ISNUMBER(AO15),AO15,_xll.qFuturesConvexityAdjustment(AF15,Today,L13,_xll.qInterp((L13-Today)/365,$CF$9:$CF$15,$CN$9:$CN$15)%,_xll.qInterp((L13-Today)/365,$CF$9:$CF$15,$CK$9:$CK$15)%,"SFE"))</f>
        <v>8.8211026914031265E-4</v>
      </c>
      <c r="AQ15" s="258">
        <f t="shared" ref="AQ15:AQ18" si="10">100-AF15</f>
        <v>2.6550000000000011</v>
      </c>
      <c r="AR15" s="258">
        <f t="shared" ref="AR15:AR18" si="11">AQ15-AP15%</f>
        <v>2.6549911788973097</v>
      </c>
      <c r="AT15" s="138"/>
      <c r="AU15" s="261" t="s">
        <v>204</v>
      </c>
      <c r="AV15" s="273"/>
      <c r="AW15" s="274" t="str">
        <f t="shared" si="5"/>
        <v>NZD6X9F=ICAA</v>
      </c>
      <c r="AX15" s="273"/>
      <c r="AZ15" s="273"/>
      <c r="BA15" s="264">
        <v>2.7600000000000002</v>
      </c>
      <c r="BB15" s="264">
        <v>2.86</v>
      </c>
      <c r="BC15" s="270"/>
      <c r="BD15" s="257">
        <f t="shared" si="6"/>
        <v>2.81</v>
      </c>
      <c r="BF15" s="138"/>
      <c r="BG15" s="261" t="s">
        <v>5</v>
      </c>
      <c r="BH15" s="598"/>
      <c r="BI15" s="645" t="str">
        <f t="shared" si="7"/>
        <v>NZD6MOIS=ICAP</v>
      </c>
      <c r="BJ15" s="598"/>
      <c r="BK15" s="598"/>
      <c r="BL15" s="598"/>
      <c r="BM15" s="264">
        <v>2.5099999999999998</v>
      </c>
      <c r="BN15" s="264">
        <v>2.5349999999999997</v>
      </c>
      <c r="BO15" s="263"/>
      <c r="BP15" s="267">
        <f t="shared" si="8"/>
        <v>2.5225</v>
      </c>
      <c r="CE15" s="261" t="s">
        <v>14</v>
      </c>
      <c r="CF15" s="652">
        <v>10</v>
      </c>
      <c r="CG15" s="623" t="str">
        <f t="shared" si="3"/>
        <v>NZ10YCATM=ICAA</v>
      </c>
      <c r="CK15" s="264">
        <v>5.1710000000000003</v>
      </c>
      <c r="CL15" s="264">
        <v>15.129999999999999</v>
      </c>
      <c r="CM15" s="270"/>
      <c r="CN15" s="267">
        <f t="shared" si="4"/>
        <v>15.129999999999999</v>
      </c>
    </row>
    <row r="16" spans="5:122">
      <c r="F16" s="596" t="str">
        <f>_xll.qFuturesDateToCode(_xll.qFuturesCodeToDate(F15,Today)+92)</f>
        <v>H2</v>
      </c>
      <c r="G16" s="623" t="str">
        <v>NBBH2</v>
      </c>
      <c r="I16" s="623" t="s">
        <v>598</v>
      </c>
      <c r="L16" s="624">
        <v>40982</v>
      </c>
      <c r="M16" s="631">
        <v>96.84</v>
      </c>
      <c r="N16" s="631">
        <v>96.89</v>
      </c>
      <c r="O16" s="631">
        <v>96.86999999999999</v>
      </c>
      <c r="Q16" s="624">
        <v>40982</v>
      </c>
      <c r="R16" s="630">
        <v>96.84</v>
      </c>
      <c r="S16" s="630">
        <v>96.89</v>
      </c>
      <c r="T16" s="630">
        <v>96.86999999999999</v>
      </c>
      <c r="W16" s="261" t="str">
        <v>U1</v>
      </c>
      <c r="AC16" s="282">
        <f t="array" ref="AC16:AD16">IF(AND(R14&lt;&gt;0,S14&lt;&gt;0),R14:S14,T14-T13+AF15)</f>
        <v>97.29</v>
      </c>
      <c r="AD16" s="282">
        <v>97.32</v>
      </c>
      <c r="AE16" s="137"/>
      <c r="AF16" s="258">
        <f t="shared" si="9"/>
        <v>97.305000000000007</v>
      </c>
      <c r="AH16" s="138"/>
      <c r="AI16" s="261" t="str">
        <f t="shared" ref="AI16:AI18" si="12">W16</f>
        <v>U1</v>
      </c>
      <c r="AJ16" s="598"/>
      <c r="AO16" s="270"/>
      <c r="AP16" s="294">
        <f>IF(ISNUMBER(AO16),AO16,_xll.qFuturesConvexityAdjustment(AF16,Today,L14,_xll.qInterp((L14-Today)/365,$CF$9:$CF$15,$CN$9:$CN$15)%,_xll.qInterp((L14-Today)/365,$CF$9:$CF$15,$CK$9:$CK$15)%,"SFE"))</f>
        <v>1.4992963036997153E-2</v>
      </c>
      <c r="AQ16" s="258">
        <f t="shared" si="10"/>
        <v>2.6949999999999932</v>
      </c>
      <c r="AR16" s="258">
        <f t="shared" si="11"/>
        <v>2.6948500703696232</v>
      </c>
      <c r="AT16" s="138"/>
      <c r="BF16" s="138"/>
      <c r="BG16" s="261" t="s">
        <v>119</v>
      </c>
      <c r="BH16" s="598"/>
      <c r="BI16" s="645" t="str">
        <f t="shared" si="7"/>
        <v>NZD7MOIS=ICAP</v>
      </c>
      <c r="BJ16" s="598"/>
      <c r="BK16" s="598"/>
      <c r="BL16" s="598"/>
      <c r="BM16" s="264">
        <v>2.5249999999999999</v>
      </c>
      <c r="BN16" s="264">
        <v>2.5549999999999997</v>
      </c>
      <c r="BO16" s="263"/>
      <c r="BP16" s="267">
        <f t="shared" si="8"/>
        <v>2.54</v>
      </c>
    </row>
    <row r="17" spans="5:68">
      <c r="W17" s="261" t="str">
        <v>Z1</v>
      </c>
      <c r="AC17" s="282">
        <f t="array" ref="AC17:AD17">IF(AND(R15&lt;&gt;0,S15&lt;&gt;0),R15:S15,T15-T14+AF16)</f>
        <v>97.11999999999999</v>
      </c>
      <c r="AD17" s="282">
        <v>97.149999999999991</v>
      </c>
      <c r="AE17" s="137"/>
      <c r="AF17" s="258">
        <f t="shared" si="9"/>
        <v>97.134999999999991</v>
      </c>
      <c r="AH17" s="138"/>
      <c r="AI17" s="261" t="str">
        <f t="shared" si="12"/>
        <v>Z1</v>
      </c>
      <c r="AJ17" s="598"/>
      <c r="AO17" s="270"/>
      <c r="AP17" s="294">
        <f>IF(ISNUMBER(AO17),AO17,_xll.qFuturesConvexityAdjustment(AF17,Today,L15,_xll.qInterp((L15-Today)/365,$CF$9:$CF$15,$CN$9:$CN$15)%,_xll.qInterp((L15-Today)/365,$CF$9:$CF$15,$CK$9:$CK$15)%,"SFE"))</f>
        <v>4.6029059611152334E-2</v>
      </c>
      <c r="AQ17" s="258">
        <f t="shared" si="10"/>
        <v>2.8650000000000091</v>
      </c>
      <c r="AR17" s="258">
        <f t="shared" si="11"/>
        <v>2.8645397094038976</v>
      </c>
      <c r="AT17" s="138"/>
      <c r="BF17" s="138"/>
      <c r="BG17" s="261" t="s">
        <v>120</v>
      </c>
      <c r="BH17" s="598"/>
      <c r="BI17" s="645" t="str">
        <f t="shared" si="7"/>
        <v>NZD8MOIS=ICAP</v>
      </c>
      <c r="BJ17" s="598"/>
      <c r="BK17" s="598"/>
      <c r="BL17" s="598"/>
      <c r="BM17" s="264">
        <v>2.5449999999999999</v>
      </c>
      <c r="BN17" s="264">
        <v>2.5749999999999997</v>
      </c>
      <c r="BO17" s="263"/>
      <c r="BP17" s="267">
        <f t="shared" si="8"/>
        <v>2.5599999999999996</v>
      </c>
    </row>
    <row r="18" spans="5:68">
      <c r="W18" s="261" t="str">
        <v>H2</v>
      </c>
      <c r="AC18" s="282">
        <f t="array" ref="AC18:AD18">IF(AND(R16&lt;&gt;0,S16&lt;&gt;0),R16:S16,T16-T15+AF17)</f>
        <v>96.84</v>
      </c>
      <c r="AD18" s="282">
        <v>96.89</v>
      </c>
      <c r="AE18" s="137"/>
      <c r="AF18" s="258">
        <f t="shared" si="9"/>
        <v>96.865000000000009</v>
      </c>
      <c r="AH18" s="138"/>
      <c r="AI18" s="261" t="str">
        <f t="shared" si="12"/>
        <v>H2</v>
      </c>
      <c r="AJ18" s="598"/>
      <c r="AO18" s="270"/>
      <c r="AP18" s="294">
        <f>IF(ISNUMBER(AO18),AO18,_xll.qFuturesConvexityAdjustment(AF18,Today,L16,_xll.qInterp((L16-Today)/365,$CF$9:$CF$15,$CN$9:$CN$15)%,_xll.qInterp((L16-Today)/365,$CF$9:$CF$15,$CK$9:$CK$15)%,"SFE"))</f>
        <v>9.3655851414009561E-2</v>
      </c>
      <c r="AQ18" s="258">
        <f t="shared" si="10"/>
        <v>3.1349999999999909</v>
      </c>
      <c r="AR18" s="258">
        <f t="shared" si="11"/>
        <v>3.1340634414858508</v>
      </c>
      <c r="AT18" s="138"/>
      <c r="BF18" s="138"/>
      <c r="BG18" s="261" t="s">
        <v>32</v>
      </c>
      <c r="BH18" s="598"/>
      <c r="BI18" s="645" t="str">
        <f t="shared" si="7"/>
        <v>NZD9MOIS=ICAP</v>
      </c>
      <c r="BJ18" s="598"/>
      <c r="BK18" s="598"/>
      <c r="BL18" s="598"/>
      <c r="BM18" s="264">
        <v>2.57</v>
      </c>
      <c r="BN18" s="264">
        <v>2.59</v>
      </c>
      <c r="BO18" s="263"/>
      <c r="BP18" s="267">
        <f t="shared" si="8"/>
        <v>2.58</v>
      </c>
    </row>
    <row r="19" spans="5:68">
      <c r="E19" s="622" t="s">
        <v>697</v>
      </c>
      <c r="AH19" s="138"/>
      <c r="AJ19" s="598"/>
      <c r="AT19" s="138"/>
      <c r="AV19" s="273"/>
      <c r="AW19" s="273"/>
      <c r="AX19" s="273"/>
      <c r="AY19" s="273"/>
      <c r="AZ19" s="273"/>
      <c r="BF19" s="138"/>
      <c r="BG19" s="261" t="s">
        <v>581</v>
      </c>
      <c r="BH19" s="598"/>
      <c r="BI19" s="645" t="str">
        <f t="shared" si="7"/>
        <v>NZD10MOIS=ICAP</v>
      </c>
      <c r="BJ19" s="598"/>
      <c r="BK19" s="598"/>
      <c r="BL19" s="598"/>
      <c r="BM19" s="264">
        <v>2.585</v>
      </c>
      <c r="BN19" s="264">
        <v>2.6149999999999998</v>
      </c>
      <c r="BO19" s="263"/>
      <c r="BP19" s="267">
        <f t="shared" si="8"/>
        <v>2.5999999999999996</v>
      </c>
    </row>
    <row r="20" spans="5:68">
      <c r="G20" s="623" t="str">
        <f t="shared" ref="G20:G24" si="13">"NZG"&amp;AQ6&amp;"=ICAA"</f>
        <v>NZG1111=ICAA</v>
      </c>
      <c r="I20" s="623" t="s">
        <v>84</v>
      </c>
      <c r="K20" s="596" t="str">
        <f ca="1">_xll.RtUpdate("IDN",G20:G24,I20,AR6,,RTMODE_RATES)</f>
        <v>Updated at 16:52:05</v>
      </c>
      <c r="AH20" s="138"/>
      <c r="AT20" s="138"/>
      <c r="AV20" s="273"/>
      <c r="AW20" s="273"/>
      <c r="AX20" s="273"/>
      <c r="AY20" s="273"/>
      <c r="AZ20" s="273"/>
      <c r="BF20" s="138"/>
      <c r="BG20" s="261" t="s">
        <v>582</v>
      </c>
      <c r="BH20" s="598"/>
      <c r="BI20" s="645" t="str">
        <f t="shared" si="7"/>
        <v>NZD11MOIS=ICAP</v>
      </c>
      <c r="BJ20" s="598"/>
      <c r="BK20" s="598"/>
      <c r="BL20" s="598"/>
      <c r="BM20" s="264">
        <v>2.62</v>
      </c>
      <c r="BN20" s="264">
        <v>2.65</v>
      </c>
      <c r="BO20" s="263"/>
      <c r="BP20" s="267">
        <f t="shared" si="8"/>
        <v>2.6349999999999998</v>
      </c>
    </row>
    <row r="21" spans="5:68">
      <c r="G21" s="623" t="str">
        <f t="shared" si="13"/>
        <v>NZG0413=ICAA</v>
      </c>
      <c r="W21" s="194" t="s">
        <v>678</v>
      </c>
      <c r="AA21" s="595" t="str">
        <f ca="1">_xll.RtUpdate("IDN",Y22:Y34,AA22:AA23,AC22,,RTMODE_RATES)</f>
        <v>Updated at 16:52:05</v>
      </c>
      <c r="AH21" s="138"/>
      <c r="AI21" s="194" t="s">
        <v>699</v>
      </c>
      <c r="AJ21" s="598"/>
      <c r="AK21" s="596" t="s">
        <v>680</v>
      </c>
      <c r="AM21" s="595" t="str">
        <f ca="1">_xll.RtUpdate("IDN",AK21,AK22:AK28,AM22,,"LAY:VER " &amp; RTMODE_RATES)</f>
        <v>Updated at 16:52:05</v>
      </c>
      <c r="AT21" s="138"/>
      <c r="AU21" s="194" t="s">
        <v>700</v>
      </c>
      <c r="AV21" s="273"/>
      <c r="AW21" s="215" t="s">
        <v>680</v>
      </c>
      <c r="AX21" s="273"/>
      <c r="AY21" s="594" t="str">
        <f ca="1">_xll.RtUpdate("IDN",AW21,AW22:AW28,AY22,,"LAY:VER " &amp; RTMODE_RATES)</f>
        <v>Updated at 16:52:05</v>
      </c>
      <c r="AZ21" s="273"/>
      <c r="BF21" s="138"/>
      <c r="BG21" s="261" t="s">
        <v>26</v>
      </c>
      <c r="BH21" s="598"/>
      <c r="BI21" s="645" t="str">
        <f t="shared" si="7"/>
        <v>NZD1YOIS=ICAP</v>
      </c>
      <c r="BJ21" s="598"/>
      <c r="BL21" s="598"/>
      <c r="BM21" s="264">
        <v>2.665</v>
      </c>
      <c r="BN21" s="264">
        <v>2.69</v>
      </c>
      <c r="BO21" s="263"/>
      <c r="BP21" s="267">
        <f t="shared" si="8"/>
        <v>2.6775000000000002</v>
      </c>
    </row>
    <row r="22" spans="5:68">
      <c r="G22" s="623" t="str">
        <f t="shared" si="13"/>
        <v>NZG0415=ICAA</v>
      </c>
      <c r="W22" s="261" t="s">
        <v>26</v>
      </c>
      <c r="Y22" s="623" t="str">
        <f t="shared" ref="Y22:Y34" si="14">"NZDSM3NB"&amp;W22&amp;"=ICAA"</f>
        <v>NZDSM3NB1Y=ICAA</v>
      </c>
      <c r="AA22" s="623" t="s">
        <v>46</v>
      </c>
      <c r="AC22" s="268">
        <v>2.8449999999999998</v>
      </c>
      <c r="AD22" s="268">
        <v>2.7650000000000001</v>
      </c>
      <c r="AE22" s="137"/>
      <c r="AF22" s="258">
        <f t="shared" ref="AF22:AF31" si="15">IF(ISNUMBER(AE22),AE22,AVERAGE(AC22:AD22))</f>
        <v>2.8049999999999997</v>
      </c>
      <c r="AH22" s="138"/>
      <c r="AI22" s="261" t="s">
        <v>26</v>
      </c>
      <c r="AJ22" s="598"/>
      <c r="AK22" s="623" t="s">
        <v>88</v>
      </c>
      <c r="AM22" s="630" t="s">
        <v>681</v>
      </c>
      <c r="AN22" s="596" t="str">
        <f t="array" ref="AN22:AN28">""</f>
        <v/>
      </c>
      <c r="AO22" s="650">
        <f t="shared" ref="AO22:AO28" si="16">MID(AM22,25,8)+0</f>
        <v>6</v>
      </c>
      <c r="AP22" s="650">
        <f t="shared" ref="AP22:AP28" si="17">MID(AM22,38,8)+0</f>
        <v>-2</v>
      </c>
      <c r="AQ22" s="137"/>
      <c r="AR22" s="267">
        <f t="shared" ref="AR22:AR28" si="18">IF(ISNUMBER(AQ22),AQ22,AVERAGE(AO22:AP22))</f>
        <v>2</v>
      </c>
      <c r="AT22" s="138"/>
      <c r="AU22" s="261" t="s">
        <v>26</v>
      </c>
      <c r="AV22" s="273"/>
      <c r="AW22" s="152" t="s">
        <v>88</v>
      </c>
      <c r="AX22" s="273"/>
      <c r="AY22" s="211" t="s">
        <v>681</v>
      </c>
      <c r="AZ22" s="273" t="str">
        <f t="array" ref="AZ22:AZ28">""</f>
        <v/>
      </c>
      <c r="BA22" s="650">
        <f t="shared" ref="BA22:BA28" si="19">MID(AY22,53,8)+0</f>
        <v>8</v>
      </c>
      <c r="BB22" s="650">
        <f t="shared" ref="BB22:BB28" si="20">MID(AY22,64,8)+0</f>
        <v>0</v>
      </c>
      <c r="BC22" s="270"/>
      <c r="BD22" s="267">
        <f t="shared" ref="BD22:BD28" si="21">IF(ISNUMBER(BC22),BC22,AVERAGE(BA22:BB22))</f>
        <v>4</v>
      </c>
      <c r="BF22" s="138"/>
    </row>
    <row r="23" spans="5:68">
      <c r="G23" s="623" t="str">
        <f t="shared" si="13"/>
        <v>NZG1217=ICAA</v>
      </c>
      <c r="W23" s="261" t="s">
        <v>27</v>
      </c>
      <c r="Y23" s="623" t="str">
        <f t="shared" si="14"/>
        <v>NZDSM3NB2Y=ICAA</v>
      </c>
      <c r="AA23" s="623" t="s">
        <v>45</v>
      </c>
      <c r="AC23" s="268">
        <v>3.3349999999999995</v>
      </c>
      <c r="AD23" s="268">
        <v>3.2549999999999999</v>
      </c>
      <c r="AE23" s="137"/>
      <c r="AF23" s="258">
        <f t="shared" si="15"/>
        <v>3.2949999999999999</v>
      </c>
      <c r="AH23" s="138"/>
      <c r="AI23" s="261" t="s">
        <v>27</v>
      </c>
      <c r="AJ23" s="598"/>
      <c r="AK23" s="623" t="s">
        <v>89</v>
      </c>
      <c r="AM23" s="630" t="s">
        <v>682</v>
      </c>
      <c r="AN23" s="596" t="str">
        <v/>
      </c>
      <c r="AO23" s="650">
        <f t="shared" si="16"/>
        <v>6</v>
      </c>
      <c r="AP23" s="650">
        <f t="shared" si="17"/>
        <v>-2</v>
      </c>
      <c r="AQ23" s="137"/>
      <c r="AR23" s="267">
        <f t="shared" si="18"/>
        <v>2</v>
      </c>
      <c r="AT23" s="138"/>
      <c r="AU23" s="261" t="s">
        <v>27</v>
      </c>
      <c r="AV23" s="273"/>
      <c r="AW23" s="152" t="s">
        <v>89</v>
      </c>
      <c r="AX23" s="273"/>
      <c r="AY23" s="211" t="s">
        <v>682</v>
      </c>
      <c r="AZ23" s="273" t="str">
        <v/>
      </c>
      <c r="BA23" s="650">
        <f t="shared" si="19"/>
        <v>8</v>
      </c>
      <c r="BB23" s="650">
        <f t="shared" si="20"/>
        <v>0</v>
      </c>
      <c r="BC23" s="270"/>
      <c r="BD23" s="267">
        <f t="shared" si="21"/>
        <v>4</v>
      </c>
      <c r="BF23" s="138"/>
    </row>
    <row r="24" spans="5:68">
      <c r="G24" s="623" t="str">
        <f t="shared" si="13"/>
        <v>NZG0216=ICAA</v>
      </c>
      <c r="W24" s="261" t="s">
        <v>7</v>
      </c>
      <c r="Y24" s="623" t="str">
        <f t="shared" si="14"/>
        <v>NZDSM3NB3Y=ICAA</v>
      </c>
      <c r="AC24" s="268">
        <v>3.8099999999999996</v>
      </c>
      <c r="AD24" s="268">
        <v>3.73</v>
      </c>
      <c r="AE24" s="137"/>
      <c r="AF24" s="258">
        <f t="shared" si="15"/>
        <v>3.7699999999999996</v>
      </c>
      <c r="AH24" s="138"/>
      <c r="AI24" s="261" t="s">
        <v>7</v>
      </c>
      <c r="AJ24" s="598"/>
      <c r="AK24" s="623" t="s">
        <v>90</v>
      </c>
      <c r="AM24" s="630" t="s">
        <v>683</v>
      </c>
      <c r="AN24" s="596" t="str">
        <v/>
      </c>
      <c r="AO24" s="650">
        <f t="shared" si="16"/>
        <v>6</v>
      </c>
      <c r="AP24" s="650">
        <f t="shared" si="17"/>
        <v>-2</v>
      </c>
      <c r="AQ24" s="137"/>
      <c r="AR24" s="267">
        <f t="shared" si="18"/>
        <v>2</v>
      </c>
      <c r="AT24" s="138"/>
      <c r="AU24" s="261" t="s">
        <v>7</v>
      </c>
      <c r="AV24" s="273"/>
      <c r="AW24" s="152" t="s">
        <v>90</v>
      </c>
      <c r="AX24" s="273"/>
      <c r="AY24" s="211" t="s">
        <v>683</v>
      </c>
      <c r="AZ24" s="273" t="str">
        <v/>
      </c>
      <c r="BA24" s="650">
        <f t="shared" si="19"/>
        <v>8</v>
      </c>
      <c r="BB24" s="650">
        <f t="shared" si="20"/>
        <v>0</v>
      </c>
      <c r="BC24" s="270"/>
      <c r="BD24" s="267">
        <f t="shared" si="21"/>
        <v>4</v>
      </c>
      <c r="BF24" s="138"/>
    </row>
    <row r="25" spans="5:68">
      <c r="W25" s="261" t="s">
        <v>8</v>
      </c>
      <c r="Y25" s="623" t="str">
        <f t="shared" si="14"/>
        <v>NZDSM3NB4Y=ICAA</v>
      </c>
      <c r="AC25" s="268">
        <v>4.17</v>
      </c>
      <c r="AD25" s="268">
        <v>4.09</v>
      </c>
      <c r="AE25" s="137"/>
      <c r="AF25" s="258">
        <f t="shared" si="15"/>
        <v>4.13</v>
      </c>
      <c r="AH25" s="138"/>
      <c r="AI25" s="261" t="s">
        <v>8</v>
      </c>
      <c r="AJ25" s="598"/>
      <c r="AK25" s="623" t="s">
        <v>91</v>
      </c>
      <c r="AM25" s="630" t="s">
        <v>684</v>
      </c>
      <c r="AN25" s="596" t="str">
        <v/>
      </c>
      <c r="AO25" s="650">
        <f t="shared" si="16"/>
        <v>6</v>
      </c>
      <c r="AP25" s="650">
        <f t="shared" si="17"/>
        <v>-2</v>
      </c>
      <c r="AQ25" s="137"/>
      <c r="AR25" s="267">
        <f t="shared" si="18"/>
        <v>2</v>
      </c>
      <c r="AT25" s="138"/>
      <c r="AU25" s="261" t="s">
        <v>8</v>
      </c>
      <c r="AV25" s="273"/>
      <c r="AW25" s="152" t="s">
        <v>91</v>
      </c>
      <c r="AX25" s="273"/>
      <c r="AY25" s="280" t="s">
        <v>684</v>
      </c>
      <c r="AZ25" s="273" t="str">
        <v/>
      </c>
      <c r="BA25" s="650">
        <f t="shared" si="19"/>
        <v>8</v>
      </c>
      <c r="BB25" s="650">
        <f t="shared" si="20"/>
        <v>0</v>
      </c>
      <c r="BC25" s="270"/>
      <c r="BD25" s="267">
        <f t="shared" si="21"/>
        <v>4</v>
      </c>
      <c r="BF25" s="138"/>
    </row>
    <row r="26" spans="5:68">
      <c r="W26" s="261" t="s">
        <v>9</v>
      </c>
      <c r="Y26" s="623" t="str">
        <f t="shared" si="14"/>
        <v>NZDSM3NB5Y=ICAA</v>
      </c>
      <c r="AC26" s="268">
        <v>4.4550000000000001</v>
      </c>
      <c r="AD26" s="268">
        <v>4.375</v>
      </c>
      <c r="AE26" s="137"/>
      <c r="AF26" s="258">
        <f t="shared" si="15"/>
        <v>4.415</v>
      </c>
      <c r="AH26" s="138"/>
      <c r="AI26" s="261" t="s">
        <v>9</v>
      </c>
      <c r="AJ26" s="598"/>
      <c r="AK26" s="623" t="s">
        <v>92</v>
      </c>
      <c r="AM26" s="630" t="s">
        <v>685</v>
      </c>
      <c r="AN26" s="596" t="str">
        <v/>
      </c>
      <c r="AO26" s="650">
        <f t="shared" si="16"/>
        <v>6</v>
      </c>
      <c r="AP26" s="650">
        <f t="shared" si="17"/>
        <v>-2</v>
      </c>
      <c r="AQ26" s="137"/>
      <c r="AR26" s="267">
        <f t="shared" si="18"/>
        <v>2</v>
      </c>
      <c r="AT26" s="138"/>
      <c r="AU26" s="261" t="s">
        <v>9</v>
      </c>
      <c r="AV26" s="273"/>
      <c r="AW26" s="152" t="s">
        <v>92</v>
      </c>
      <c r="AX26" s="273"/>
      <c r="AY26" s="211" t="s">
        <v>685</v>
      </c>
      <c r="AZ26" s="273" t="str">
        <v/>
      </c>
      <c r="BA26" s="650">
        <f t="shared" si="19"/>
        <v>8</v>
      </c>
      <c r="BB26" s="650">
        <f t="shared" si="20"/>
        <v>0</v>
      </c>
      <c r="BC26" s="270"/>
      <c r="BD26" s="267">
        <f t="shared" si="21"/>
        <v>4</v>
      </c>
      <c r="BF26" s="138"/>
    </row>
    <row r="27" spans="5:68">
      <c r="W27" s="261" t="s">
        <v>10</v>
      </c>
      <c r="Y27" s="623" t="str">
        <f t="shared" si="14"/>
        <v>NZDSM3NB6Y=ICAA</v>
      </c>
      <c r="AC27" s="268">
        <v>4.6824999999999992</v>
      </c>
      <c r="AD27" s="268">
        <v>4.6024999999999991</v>
      </c>
      <c r="AE27" s="137"/>
      <c r="AF27" s="258">
        <f t="shared" si="15"/>
        <v>4.6424999999999992</v>
      </c>
      <c r="AH27" s="138"/>
      <c r="AI27" s="261" t="s">
        <v>11</v>
      </c>
      <c r="AJ27" s="598"/>
      <c r="AK27" s="623" t="s">
        <v>93</v>
      </c>
      <c r="AM27" s="630" t="s">
        <v>686</v>
      </c>
      <c r="AN27" s="596" t="str">
        <v/>
      </c>
      <c r="AO27" s="650">
        <f t="shared" si="16"/>
        <v>6</v>
      </c>
      <c r="AP27" s="650">
        <f t="shared" si="17"/>
        <v>-2</v>
      </c>
      <c r="AQ27" s="137"/>
      <c r="AR27" s="267">
        <f t="shared" si="18"/>
        <v>2</v>
      </c>
      <c r="AT27" s="138"/>
      <c r="AU27" s="261" t="s">
        <v>11</v>
      </c>
      <c r="AV27" s="273"/>
      <c r="AW27" s="152" t="s">
        <v>93</v>
      </c>
      <c r="AX27" s="273"/>
      <c r="AY27" s="211" t="s">
        <v>686</v>
      </c>
      <c r="AZ27" s="273" t="str">
        <v/>
      </c>
      <c r="BA27" s="650">
        <f t="shared" si="19"/>
        <v>8</v>
      </c>
      <c r="BB27" s="650">
        <f t="shared" si="20"/>
        <v>0</v>
      </c>
      <c r="BC27" s="270"/>
      <c r="BD27" s="267">
        <f t="shared" si="21"/>
        <v>4</v>
      </c>
      <c r="BF27" s="138"/>
    </row>
    <row r="28" spans="5:68">
      <c r="E28" s="622" t="s">
        <v>424</v>
      </c>
      <c r="G28" s="626">
        <v>1</v>
      </c>
      <c r="W28" s="261" t="s">
        <v>11</v>
      </c>
      <c r="Y28" s="623" t="str">
        <f t="shared" si="14"/>
        <v>NZDSM3NB7Y=ICAA</v>
      </c>
      <c r="AC28" s="268">
        <v>4.8649999999999993</v>
      </c>
      <c r="AD28" s="268">
        <v>4.7850000000000001</v>
      </c>
      <c r="AE28" s="137"/>
      <c r="AF28" s="258">
        <f t="shared" si="15"/>
        <v>4.8249999999999993</v>
      </c>
      <c r="AH28" s="138"/>
      <c r="AI28" s="261" t="s">
        <v>14</v>
      </c>
      <c r="AJ28" s="598"/>
      <c r="AK28" s="623" t="s">
        <v>94</v>
      </c>
      <c r="AM28" s="630" t="s">
        <v>687</v>
      </c>
      <c r="AN28" s="596" t="str">
        <v/>
      </c>
      <c r="AO28" s="650">
        <f t="shared" si="16"/>
        <v>6</v>
      </c>
      <c r="AP28" s="650">
        <f t="shared" si="17"/>
        <v>-2</v>
      </c>
      <c r="AQ28" s="137"/>
      <c r="AR28" s="267">
        <f t="shared" si="18"/>
        <v>2</v>
      </c>
      <c r="AT28" s="138"/>
      <c r="AU28" s="261" t="s">
        <v>14</v>
      </c>
      <c r="AV28" s="273"/>
      <c r="AW28" s="152" t="s">
        <v>94</v>
      </c>
      <c r="AX28" s="273"/>
      <c r="AY28" s="211" t="s">
        <v>687</v>
      </c>
      <c r="AZ28" s="273" t="str">
        <v/>
      </c>
      <c r="BA28" s="650">
        <f t="shared" si="19"/>
        <v>8</v>
      </c>
      <c r="BB28" s="650">
        <f t="shared" si="20"/>
        <v>0</v>
      </c>
      <c r="BC28" s="270"/>
      <c r="BD28" s="267">
        <f t="shared" si="21"/>
        <v>4</v>
      </c>
      <c r="BF28" s="138"/>
    </row>
    <row r="29" spans="5:68">
      <c r="W29" s="261" t="s">
        <v>12</v>
      </c>
      <c r="Y29" s="623" t="str">
        <f t="shared" si="14"/>
        <v>NZDSM3NB8Y=ICAA</v>
      </c>
      <c r="AC29" s="268">
        <v>5.0224999999999991</v>
      </c>
      <c r="AD29" s="268">
        <v>4.9424999999999999</v>
      </c>
      <c r="AE29" s="137"/>
      <c r="AF29" s="258">
        <f t="shared" si="15"/>
        <v>4.9824999999999999</v>
      </c>
      <c r="AH29" s="138"/>
      <c r="AT29" s="138"/>
      <c r="BF29" s="138"/>
    </row>
    <row r="30" spans="5:68">
      <c r="W30" s="261" t="s">
        <v>13</v>
      </c>
      <c r="Y30" s="623" t="str">
        <f t="shared" si="14"/>
        <v>NZDSM3NB9Y=ICAA</v>
      </c>
      <c r="AC30" s="268">
        <v>5.14</v>
      </c>
      <c r="AD30" s="268">
        <v>5.0599999999999996</v>
      </c>
      <c r="AE30" s="137"/>
      <c r="AF30" s="258">
        <f t="shared" si="15"/>
        <v>5.0999999999999996</v>
      </c>
      <c r="AH30" s="138"/>
      <c r="AT30" s="138"/>
    </row>
    <row r="31" spans="5:68">
      <c r="W31" s="261" t="s">
        <v>14</v>
      </c>
      <c r="Y31" s="623" t="str">
        <f t="shared" si="14"/>
        <v>NZDSM3NB10Y=ICAA</v>
      </c>
      <c r="AC31" s="268">
        <v>5.2450000000000001</v>
      </c>
      <c r="AD31" s="268">
        <v>5.1649999999999991</v>
      </c>
      <c r="AE31" s="137"/>
      <c r="AF31" s="258">
        <f t="shared" si="15"/>
        <v>5.2050000000000001</v>
      </c>
      <c r="AH31" s="138"/>
      <c r="AT31" s="138"/>
    </row>
    <row r="32" spans="5:68">
      <c r="W32" s="261" t="s">
        <v>15</v>
      </c>
      <c r="Y32" s="623" t="str">
        <f t="shared" si="14"/>
        <v>NZDSM3NB12Y=ICAA</v>
      </c>
      <c r="AC32" s="268">
        <v>5.3599999999999994</v>
      </c>
      <c r="AD32" s="268">
        <v>5.28</v>
      </c>
      <c r="AE32" s="137"/>
      <c r="AF32" s="258">
        <f t="shared" ref="AF32:AF34" si="22">IF(ISNUMBER(AE32),AE32,AVERAGE(AC32:AD32))</f>
        <v>5.32</v>
      </c>
      <c r="AH32" s="138"/>
      <c r="AT32" s="138"/>
    </row>
    <row r="33" spans="23:64">
      <c r="W33" s="261" t="s">
        <v>16</v>
      </c>
      <c r="Y33" s="623" t="str">
        <f t="shared" si="14"/>
        <v>NZDSM3NB15Y=ICAA</v>
      </c>
      <c r="AC33" s="268">
        <v>5.4350000000000005</v>
      </c>
      <c r="AD33" s="268">
        <v>5.3549999999999995</v>
      </c>
      <c r="AE33" s="137"/>
      <c r="AF33" s="258">
        <f t="shared" si="22"/>
        <v>5.3949999999999996</v>
      </c>
      <c r="AH33" s="138"/>
      <c r="AT33" s="138"/>
    </row>
    <row r="34" spans="23:64">
      <c r="W34" s="261" t="s">
        <v>17</v>
      </c>
      <c r="Y34" s="623" t="str">
        <f t="shared" si="14"/>
        <v>NZDSM3NB20Y=ICAA</v>
      </c>
      <c r="AC34" s="268">
        <v>5.4649999999999999</v>
      </c>
      <c r="AD34" s="268">
        <v>5.3849999999999998</v>
      </c>
      <c r="AE34" s="137"/>
      <c r="AF34" s="258">
        <f t="shared" si="22"/>
        <v>5.4249999999999998</v>
      </c>
      <c r="AH34" s="138"/>
      <c r="AT34" s="138"/>
      <c r="BH34" s="598"/>
      <c r="BI34" s="598"/>
      <c r="BJ34" s="598"/>
      <c r="BK34" s="598"/>
      <c r="BL34" s="598"/>
    </row>
    <row r="35" spans="23:64">
      <c r="AT35" s="138"/>
      <c r="BH35" s="598"/>
      <c r="BI35" s="598"/>
      <c r="BJ35" s="598"/>
      <c r="BK35" s="598"/>
      <c r="BL35" s="598"/>
    </row>
    <row r="36" spans="23:64">
      <c r="AT36" s="138"/>
      <c r="BH36" s="598"/>
      <c r="BI36" s="598"/>
      <c r="BJ36" s="598"/>
      <c r="BK36" s="598"/>
      <c r="BL36" s="598"/>
    </row>
    <row r="37" spans="23:64">
      <c r="AT37" s="138"/>
      <c r="AV37" s="273"/>
      <c r="AW37" s="273"/>
      <c r="AX37" s="273"/>
      <c r="AY37" s="273"/>
      <c r="AZ37" s="273"/>
      <c r="BH37" s="598"/>
      <c r="BI37" s="598"/>
      <c r="BJ37" s="598"/>
      <c r="BK37" s="598"/>
      <c r="BL37" s="598"/>
    </row>
    <row r="38" spans="23:64">
      <c r="AT38" s="138"/>
      <c r="AV38" s="273"/>
      <c r="AW38" s="273"/>
      <c r="AX38" s="273"/>
      <c r="AY38" s="273"/>
      <c r="AZ38" s="273"/>
      <c r="BH38" s="598"/>
      <c r="BI38" s="598"/>
      <c r="BJ38" s="598"/>
      <c r="BK38" s="598"/>
      <c r="BL38" s="598"/>
    </row>
    <row r="39" spans="23:64">
      <c r="AT39" s="138"/>
      <c r="AV39" s="273"/>
      <c r="AW39" s="273"/>
      <c r="AX39" s="273"/>
      <c r="AY39" s="273"/>
      <c r="AZ39" s="273"/>
      <c r="BH39" s="598"/>
      <c r="BI39" s="598"/>
      <c r="BJ39" s="598"/>
      <c r="BK39" s="598"/>
      <c r="BL39" s="598"/>
    </row>
    <row r="40" spans="23:64">
      <c r="AT40" s="138"/>
      <c r="AU40" s="194" t="s">
        <v>609</v>
      </c>
      <c r="AV40" s="273"/>
      <c r="AW40" s="273"/>
      <c r="AX40" s="273"/>
      <c r="AY40" s="273"/>
      <c r="AZ40" s="273"/>
      <c r="BH40" s="598"/>
      <c r="BI40" s="598"/>
      <c r="BJ40" s="598"/>
      <c r="BK40" s="598"/>
      <c r="BL40" s="598"/>
    </row>
    <row r="41" spans="23:64">
      <c r="AT41" s="138"/>
      <c r="AU41" s="139" t="s">
        <v>323</v>
      </c>
      <c r="BH41" s="598"/>
      <c r="BI41" s="598"/>
      <c r="BJ41" s="598"/>
      <c r="BK41" s="598"/>
      <c r="BL41" s="598"/>
    </row>
    <row r="42" spans="23:64">
      <c r="AT42" s="138"/>
      <c r="AU42" s="299" t="s">
        <v>661</v>
      </c>
      <c r="BA42" s="299"/>
      <c r="BC42" s="121" t="str">
        <f>_xll.qIRcurveZeroBankReval(AU42,"NZD",Today,AF5:AF8,AR15:AR18,AI15:AI18,_xll.qVectorMake(AF23:AF26,AF28,AF31,AF33:AF34))</f>
        <v>NZD.ZB.DISC|[Swap Pricer 1f.xlsm]NZ!$BC$42#12830</v>
      </c>
      <c r="BH42" s="598"/>
      <c r="BI42" s="598"/>
      <c r="BJ42" s="598"/>
      <c r="BK42" s="598"/>
      <c r="BL42" s="598"/>
    </row>
    <row r="43" spans="23:64">
      <c r="AT43" s="138"/>
      <c r="AU43" s="299" t="s">
        <v>662</v>
      </c>
      <c r="BA43" s="299"/>
      <c r="BC43" s="299" t="str">
        <f>NZD.ZB.DISC</f>
        <v>NZD.ZB.DISC|[Swap Pricer 1f.xlsm]NZ!$BC$42#12830</v>
      </c>
      <c r="BH43" s="598"/>
      <c r="BI43" s="598"/>
      <c r="BJ43" s="598"/>
      <c r="BK43" s="598"/>
      <c r="BL43" s="598"/>
    </row>
    <row r="44" spans="23:64">
      <c r="AT44" s="138"/>
      <c r="AU44" s="299" t="s">
        <v>663</v>
      </c>
      <c r="BA44" s="299"/>
      <c r="BC44" s="299" t="str">
        <f>NZD.ZB.DISC</f>
        <v>NZD.ZB.DISC|[Swap Pricer 1f.xlsm]NZ!$BC$42#12830</v>
      </c>
      <c r="BH44" s="598"/>
      <c r="BI44" s="598"/>
      <c r="BJ44" s="598"/>
      <c r="BK44" s="598"/>
      <c r="BL44" s="598"/>
    </row>
    <row r="45" spans="23:64">
      <c r="AT45" s="138"/>
      <c r="AU45" s="299" t="s">
        <v>664</v>
      </c>
      <c r="BA45" s="299"/>
      <c r="BC45" s="299" t="str">
        <f>NZD.ZB.DISC</f>
        <v>NZD.ZB.DISC|[Swap Pricer 1f.xlsm]NZ!$BC$42#12830</v>
      </c>
      <c r="BH45" s="598"/>
      <c r="BI45" s="598"/>
      <c r="BJ45" s="598"/>
      <c r="BK45" s="598"/>
      <c r="BL45" s="598"/>
    </row>
    <row r="46" spans="23:64">
      <c r="AT46" s="138"/>
      <c r="AU46" s="299" t="s">
        <v>665</v>
      </c>
      <c r="BA46" s="299"/>
      <c r="BC46" s="299" t="str">
        <f>NZD.ZB.DISC</f>
        <v>NZD.ZB.DISC|[Swap Pricer 1f.xlsm]NZ!$BC$42#12830</v>
      </c>
      <c r="BH46" s="598"/>
      <c r="BI46" s="598"/>
      <c r="BJ46" s="598"/>
      <c r="BK46" s="598"/>
      <c r="BL46" s="598"/>
    </row>
    <row r="47" spans="23:64">
      <c r="AT47" s="138"/>
      <c r="AU47" s="299" t="s">
        <v>666</v>
      </c>
      <c r="BA47" s="299"/>
      <c r="BC47" s="299" t="str">
        <f>NZD.ZB.DISC</f>
        <v>NZD.ZB.DISC|[Swap Pricer 1f.xlsm]NZ!$BC$42#12830</v>
      </c>
      <c r="BH47" s="598"/>
      <c r="BI47" s="598"/>
      <c r="BJ47" s="598"/>
      <c r="BK47" s="598"/>
      <c r="BL47" s="598"/>
    </row>
    <row r="48" spans="23:64">
      <c r="AT48" s="138"/>
      <c r="BH48" s="598"/>
      <c r="BI48" s="598"/>
      <c r="BJ48" s="598"/>
      <c r="BK48" s="598"/>
      <c r="BL48" s="598"/>
    </row>
    <row r="49" spans="46:55">
      <c r="AT49" s="138"/>
      <c r="AU49" s="581" t="s">
        <v>583</v>
      </c>
    </row>
    <row r="50" spans="46:55">
      <c r="AT50" s="138"/>
      <c r="AU50" t="s">
        <v>667</v>
      </c>
      <c r="BC50" s="299" t="str">
        <f>_xll.qIRcurveXCBasisReval("NZD.ZBX.DISC",NZD.ZB.DISC,"MARKET",FX!AI32:AI40,USD.ZB.DISC,FxcurveNZD)</f>
        <v>NZD.ZBX.DISC|[Swap Pricer 1f.xlsm]NZ!$BC$50#13386</v>
      </c>
    </row>
    <row r="51" spans="46:55">
      <c r="AT51" s="138"/>
      <c r="AU51" t="s">
        <v>668</v>
      </c>
      <c r="BC51" s="299" t="str">
        <f t="array" ref="BC51:BC55">BC43:BC47</f>
        <v>NZD.ZB.DISC|[Swap Pricer 1f.xlsm]NZ!$BC$42#12830</v>
      </c>
    </row>
    <row r="52" spans="46:55">
      <c r="AT52" s="138"/>
      <c r="AU52" t="s">
        <v>669</v>
      </c>
      <c r="BC52" s="299" t="str">
        <v>NZD.ZB.DISC|[Swap Pricer 1f.xlsm]NZ!$BC$42#12830</v>
      </c>
    </row>
    <row r="53" spans="46:55">
      <c r="AT53" s="138"/>
      <c r="AU53" t="s">
        <v>670</v>
      </c>
      <c r="BC53" s="299" t="str">
        <v>NZD.ZB.DISC|[Swap Pricer 1f.xlsm]NZ!$BC$42#12830</v>
      </c>
    </row>
    <row r="54" spans="46:55">
      <c r="AT54" s="138"/>
      <c r="AU54" t="s">
        <v>671</v>
      </c>
      <c r="BC54" s="299" t="str">
        <v>NZD.ZB.DISC|[Swap Pricer 1f.xlsm]NZ!$BC$42#12830</v>
      </c>
    </row>
    <row r="55" spans="46:55">
      <c r="AT55" s="138"/>
      <c r="AU55" t="s">
        <v>672</v>
      </c>
      <c r="BC55" s="299" t="str">
        <v>NZD.ZB.DISC|[Swap Pricer 1f.xlsm]NZ!$BC$42#12830</v>
      </c>
    </row>
  </sheetData>
  <sheetProtection sheet="1" scenarios="1" autoFilter="0" pivotTables="0"/>
  <mergeCells count="1">
    <mergeCell ref="BC4:BD4"/>
  </mergeCells>
  <conditionalFormatting sqref="CM9:CM15 BO10:BO21 BC22:BC28 AQ22:AQ28 AE22:AE34 AE5:AE11 BC10:BC15 AE15:AE18">
    <cfRule type="cellIs" dxfId="1" priority="2" operator="notEqual">
      <formula>""</formula>
    </cfRule>
  </conditionalFormatting>
  <conditionalFormatting sqref="CM4 BC6">
    <cfRule type="expression" dxfId="0" priority="1">
      <formula>PPP_Global&lt;&gt;"LOCAL"</formula>
    </cfRule>
  </conditionalFormatting>
  <dataValidations disablePrompts="1" count="1">
    <dataValidation type="list" allowBlank="1" showInputMessage="1" showErrorMessage="1" promptTitle="Reuters Update Frequency" prompt="Throttles the frequency of Reuters updates.  To SNAP more than once, switch to STOP and then back to SNAP again" sqref="CM4 BC6">
      <formula1>"5s,15s,30s,1m,30m,1h,STOP,SNAP"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tHS">
    <outlinePr showOutlineSymbols="0"/>
  </sheetPr>
  <dimension ref="B1:X310"/>
  <sheetViews>
    <sheetView showGridLines="0" showRowColHeaders="0" showOutlineSymbols="0" workbookViewId="0"/>
  </sheetViews>
  <sheetFormatPr defaultRowHeight="12.75"/>
  <cols>
    <col min="1" max="1" width="3.7109375" customWidth="1"/>
    <col min="3" max="3" width="9.42578125" style="122" bestFit="1" customWidth="1"/>
    <col min="4" max="4" width="9.28515625" style="494" bestFit="1" customWidth="1"/>
    <col min="6" max="6" width="9.5703125" style="122" bestFit="1" customWidth="1"/>
    <col min="7" max="7" width="9.5703125" style="267" customWidth="1"/>
    <col min="8" max="13" width="9.28515625" style="132" bestFit="1" customWidth="1"/>
    <col min="16" max="16" width="10.85546875" style="121" customWidth="1"/>
  </cols>
  <sheetData>
    <row r="1" spans="2:24" ht="0.95" customHeight="1"/>
    <row r="2" spans="2:24" ht="24.95" customHeight="1">
      <c r="B2" s="46" t="s">
        <v>425</v>
      </c>
      <c r="C2" s="135"/>
      <c r="D2" s="495"/>
      <c r="E2" s="46"/>
      <c r="F2" s="135"/>
      <c r="G2" s="51"/>
      <c r="H2" s="149"/>
      <c r="I2" s="149"/>
      <c r="J2" s="149"/>
      <c r="K2" s="149"/>
      <c r="L2" s="149"/>
      <c r="M2" s="149"/>
      <c r="N2" s="149"/>
      <c r="O2" s="149"/>
      <c r="P2" s="533"/>
      <c r="Q2" s="149"/>
      <c r="R2" s="149"/>
      <c r="S2" s="149"/>
      <c r="T2" s="149"/>
      <c r="U2" s="149"/>
      <c r="V2" s="149"/>
    </row>
    <row r="4" spans="2:24">
      <c r="C4" s="122" t="s">
        <v>426</v>
      </c>
      <c r="F4" s="122" t="s">
        <v>528</v>
      </c>
      <c r="P4" s="121" t="s">
        <v>549</v>
      </c>
    </row>
    <row r="6" spans="2:24">
      <c r="C6" s="122" t="str">
        <f ca="1">_xll.DeHistory(D10,"CVALUE",C7:D7,C11,,"EVENTS:20 SERVICE:IDN INTERVAL:M ","LAY:HOR  SORT:ASC SOURCE:DBU RECALL:AUTO HEADER:NO DT:AD")</f>
        <v>Fully retrieved at 16:43:58</v>
      </c>
      <c r="F6" s="546" t="str">
        <f ca="1">_xll.DeHistory(G9:N9,"LAST TRADE",F7:G7,F11,,"EVENTS:300 SERVICE:IDN INTERVAL:D ","LAY:HOR  SORT:ASC SOURCE:DBU  HEADER:NO TSREPEAT:NO TRADETIME:YES DT:WD")</f>
        <v>Fully retrieved at 16:43:58</v>
      </c>
      <c r="G6" s="549"/>
      <c r="P6" s="551" t="str">
        <f ca="1">_xll.DeHistory(Q9:X9,"LAST TRADE",P7:Q7,P11,,"EVENTS:300 SERVICE:IDN INTERVAL:D ","LAY:HOR  SORT:ASC SOURCE:DBU  HEADER:NO TSREPEAT:NO TRADETIME:YES DT:WD")</f>
        <v>Fully retrieved at 16:43:58</v>
      </c>
    </row>
    <row r="7" spans="2:24">
      <c r="C7" s="122" t="s">
        <v>523</v>
      </c>
      <c r="D7" s="494" t="s">
        <v>529</v>
      </c>
      <c r="F7" s="122" t="s">
        <v>523</v>
      </c>
      <c r="G7" s="267" t="s">
        <v>524</v>
      </c>
      <c r="P7" s="122" t="s">
        <v>523</v>
      </c>
      <c r="Q7" s="267" t="s">
        <v>524</v>
      </c>
    </row>
    <row r="9" spans="2:24">
      <c r="G9" s="267" t="s">
        <v>48</v>
      </c>
      <c r="H9" s="132" t="s">
        <v>102</v>
      </c>
      <c r="I9" s="132" t="s">
        <v>103</v>
      </c>
      <c r="J9" s="132" t="s">
        <v>104</v>
      </c>
      <c r="K9" s="132" t="s">
        <v>105</v>
      </c>
      <c r="L9" s="132" t="s">
        <v>106</v>
      </c>
      <c r="M9" s="132" t="s">
        <v>107</v>
      </c>
      <c r="N9" s="132" t="s">
        <v>527</v>
      </c>
      <c r="Q9" t="s">
        <v>182</v>
      </c>
      <c r="R9" t="s">
        <v>183</v>
      </c>
      <c r="S9" t="s">
        <v>184</v>
      </c>
      <c r="T9" t="s">
        <v>185</v>
      </c>
      <c r="U9" t="s">
        <v>186</v>
      </c>
      <c r="V9" t="s">
        <v>187</v>
      </c>
      <c r="W9" t="s">
        <v>188</v>
      </c>
      <c r="X9" t="s">
        <v>548</v>
      </c>
    </row>
    <row r="10" spans="2:24">
      <c r="D10" s="494" t="s">
        <v>530</v>
      </c>
      <c r="F10" s="122" t="s">
        <v>525</v>
      </c>
      <c r="G10" s="267" t="s">
        <v>6</v>
      </c>
      <c r="H10" s="132" t="s">
        <v>0</v>
      </c>
      <c r="I10" s="132" t="s">
        <v>1</v>
      </c>
      <c r="J10" s="132" t="s">
        <v>2</v>
      </c>
      <c r="K10" s="132" t="s">
        <v>3</v>
      </c>
      <c r="L10" s="132" t="s">
        <v>4</v>
      </c>
      <c r="M10" s="132" t="s">
        <v>5</v>
      </c>
      <c r="N10" s="132" t="s">
        <v>423</v>
      </c>
      <c r="P10" s="164" t="s">
        <v>525</v>
      </c>
      <c r="Q10" s="267" t="s">
        <v>6</v>
      </c>
      <c r="R10" s="132" t="s">
        <v>0</v>
      </c>
      <c r="S10" s="132" t="s">
        <v>1</v>
      </c>
      <c r="T10" s="132" t="s">
        <v>2</v>
      </c>
      <c r="U10" s="132" t="s">
        <v>3</v>
      </c>
      <c r="V10" s="132" t="s">
        <v>4</v>
      </c>
      <c r="W10" s="132" t="s">
        <v>5</v>
      </c>
      <c r="X10" s="132" t="s">
        <v>423</v>
      </c>
    </row>
    <row r="11" spans="2:24">
      <c r="C11" s="547">
        <v>38898</v>
      </c>
      <c r="D11" s="548">
        <v>154.300003</v>
      </c>
      <c r="F11" s="547">
        <v>40242</v>
      </c>
      <c r="G11" s="550">
        <v>4</v>
      </c>
      <c r="H11" s="545" t="s">
        <v>526</v>
      </c>
      <c r="I11" s="545" t="s">
        <v>526</v>
      </c>
      <c r="J11" s="545" t="s">
        <v>526</v>
      </c>
      <c r="K11" s="545" t="s">
        <v>526</v>
      </c>
      <c r="L11" s="545" t="s">
        <v>526</v>
      </c>
      <c r="M11" s="545" t="s">
        <v>526</v>
      </c>
      <c r="N11" s="545" t="s">
        <v>526</v>
      </c>
      <c r="P11" s="547">
        <v>40241</v>
      </c>
      <c r="Q11" s="550">
        <v>0.17813000000000001</v>
      </c>
      <c r="R11" s="545" t="s">
        <v>526</v>
      </c>
      <c r="S11" s="545" t="s">
        <v>526</v>
      </c>
      <c r="T11" s="545">
        <v>0.25219000000000003</v>
      </c>
      <c r="U11" s="545" t="s">
        <v>526</v>
      </c>
      <c r="V11" s="545" t="s">
        <v>526</v>
      </c>
      <c r="W11" s="545" t="s">
        <v>526</v>
      </c>
      <c r="X11" s="545" t="s">
        <v>526</v>
      </c>
    </row>
    <row r="12" spans="2:24">
      <c r="C12" s="547">
        <v>38990</v>
      </c>
      <c r="D12" s="548">
        <v>155.699997</v>
      </c>
      <c r="F12" s="547">
        <v>40245</v>
      </c>
      <c r="G12" s="550">
        <v>4</v>
      </c>
      <c r="H12" s="545" t="s">
        <v>526</v>
      </c>
      <c r="I12" s="545" t="s">
        <v>526</v>
      </c>
      <c r="J12" s="545" t="s">
        <v>526</v>
      </c>
      <c r="K12" s="545" t="s">
        <v>526</v>
      </c>
      <c r="L12" s="545" t="s">
        <v>526</v>
      </c>
      <c r="M12" s="545" t="s">
        <v>526</v>
      </c>
      <c r="N12" s="545" t="s">
        <v>526</v>
      </c>
      <c r="P12" s="547">
        <v>40242</v>
      </c>
      <c r="Q12" s="550">
        <v>0.18375</v>
      </c>
      <c r="R12" s="545">
        <v>0.22906000000000001</v>
      </c>
      <c r="S12" s="545">
        <v>0.23938000000000001</v>
      </c>
      <c r="T12" s="545">
        <v>0.25363000000000002</v>
      </c>
      <c r="U12" s="545">
        <v>0.28781000000000001</v>
      </c>
      <c r="V12" s="545">
        <v>0.32862999999999998</v>
      </c>
      <c r="W12" s="545">
        <v>0.39</v>
      </c>
      <c r="X12" s="545">
        <v>0.85063</v>
      </c>
    </row>
    <row r="13" spans="2:24">
      <c r="C13" s="547">
        <v>39082</v>
      </c>
      <c r="D13" s="548">
        <v>155.5</v>
      </c>
      <c r="F13" s="547">
        <v>40246</v>
      </c>
      <c r="G13" s="550">
        <v>4</v>
      </c>
      <c r="H13" s="545">
        <v>4.0599999999999996</v>
      </c>
      <c r="I13" s="545">
        <v>4.1550000000000002</v>
      </c>
      <c r="J13" s="545">
        <v>4.2766999999999999</v>
      </c>
      <c r="K13" s="545">
        <v>4.3483000000000001</v>
      </c>
      <c r="L13" s="545">
        <v>4.4333</v>
      </c>
      <c r="M13" s="545">
        <v>4.5416999999999996</v>
      </c>
      <c r="N13" s="545">
        <v>4.8512000000000004</v>
      </c>
      <c r="P13" s="547">
        <v>40245</v>
      </c>
      <c r="Q13" s="550">
        <v>0.1925</v>
      </c>
      <c r="R13" s="545">
        <v>0.23</v>
      </c>
      <c r="S13" s="545">
        <v>0.24</v>
      </c>
      <c r="T13" s="545">
        <v>0.25424999999999998</v>
      </c>
      <c r="U13" s="545">
        <v>0.28969</v>
      </c>
      <c r="V13" s="545">
        <v>0.33124999999999999</v>
      </c>
      <c r="W13" s="545">
        <v>0.39530999999999999</v>
      </c>
      <c r="X13" s="545">
        <v>0.86750000000000005</v>
      </c>
    </row>
    <row r="14" spans="2:24">
      <c r="C14" s="547">
        <v>39172</v>
      </c>
      <c r="D14" s="548">
        <v>155.60000600000001</v>
      </c>
      <c r="F14" s="547">
        <v>40247</v>
      </c>
      <c r="G14" s="550">
        <v>4</v>
      </c>
      <c r="H14" s="545">
        <v>4.07</v>
      </c>
      <c r="I14" s="545">
        <v>4.1733000000000002</v>
      </c>
      <c r="J14" s="545">
        <v>4.32</v>
      </c>
      <c r="K14" s="545">
        <v>4.3883000000000001</v>
      </c>
      <c r="L14" s="545">
        <v>4.4817</v>
      </c>
      <c r="M14" s="545">
        <v>4.6067</v>
      </c>
      <c r="N14" s="545">
        <v>4.8990999999999998</v>
      </c>
      <c r="P14" s="547">
        <v>40246</v>
      </c>
      <c r="Q14" s="550">
        <v>0.19219</v>
      </c>
      <c r="R14" s="545">
        <v>0.23</v>
      </c>
      <c r="S14" s="545">
        <v>0.24</v>
      </c>
      <c r="T14" s="545">
        <v>0.2555</v>
      </c>
      <c r="U14" s="545">
        <v>0.29093999999999998</v>
      </c>
      <c r="V14" s="545">
        <v>0.33124999999999999</v>
      </c>
      <c r="W14" s="545">
        <v>0.39438000000000001</v>
      </c>
      <c r="X14" s="545">
        <v>0.85875000000000001</v>
      </c>
    </row>
    <row r="15" spans="2:24">
      <c r="C15" s="547">
        <v>39263</v>
      </c>
      <c r="D15" s="548">
        <v>157.5</v>
      </c>
      <c r="F15" s="547">
        <v>40248</v>
      </c>
      <c r="G15" s="550">
        <v>4</v>
      </c>
      <c r="H15" s="545">
        <v>4.0617000000000001</v>
      </c>
      <c r="I15" s="545">
        <v>4.1817000000000002</v>
      </c>
      <c r="J15" s="545">
        <v>4.3666999999999998</v>
      </c>
      <c r="K15" s="545">
        <v>4.41</v>
      </c>
      <c r="L15" s="545">
        <v>4.51</v>
      </c>
      <c r="M15" s="545">
        <v>4.6632999999999996</v>
      </c>
      <c r="N15" s="545">
        <v>4.9234</v>
      </c>
      <c r="P15" s="547">
        <v>40247</v>
      </c>
      <c r="Q15" s="550">
        <v>0.18906000000000001</v>
      </c>
      <c r="R15" s="545">
        <v>0.23</v>
      </c>
      <c r="S15" s="545">
        <v>0.24</v>
      </c>
      <c r="T15" s="545">
        <v>0.25563000000000002</v>
      </c>
      <c r="U15" s="545">
        <v>0.29105999999999999</v>
      </c>
      <c r="V15" s="545">
        <v>0.33124999999999999</v>
      </c>
      <c r="W15" s="545">
        <v>0.39438000000000001</v>
      </c>
      <c r="X15" s="545">
        <v>0.85750000000000004</v>
      </c>
    </row>
    <row r="16" spans="2:24">
      <c r="C16" s="547">
        <v>39355</v>
      </c>
      <c r="D16" s="548">
        <v>158.60000600000001</v>
      </c>
      <c r="F16" s="547">
        <v>40249</v>
      </c>
      <c r="G16" s="550">
        <v>4</v>
      </c>
      <c r="H16" s="545">
        <v>4.0517000000000003</v>
      </c>
      <c r="I16" s="545">
        <v>4.2282999999999999</v>
      </c>
      <c r="J16" s="545">
        <v>4.47</v>
      </c>
      <c r="K16" s="545">
        <v>4.5083000000000002</v>
      </c>
      <c r="L16" s="545">
        <v>4.5999999999999996</v>
      </c>
      <c r="M16" s="545">
        <v>4.7117000000000004</v>
      </c>
      <c r="N16" s="545">
        <v>4.9874999999999998</v>
      </c>
      <c r="P16" s="547">
        <v>40248</v>
      </c>
      <c r="Q16" s="550">
        <v>0.18656</v>
      </c>
      <c r="R16" s="545">
        <v>0.23</v>
      </c>
      <c r="S16" s="545">
        <v>0.24124999999999999</v>
      </c>
      <c r="T16" s="545">
        <v>0.25702999999999998</v>
      </c>
      <c r="U16" s="545">
        <v>0.29231000000000001</v>
      </c>
      <c r="V16" s="545">
        <v>0.33124999999999999</v>
      </c>
      <c r="W16" s="545">
        <v>0.39344000000000001</v>
      </c>
      <c r="X16" s="545">
        <v>0.86124999999999996</v>
      </c>
    </row>
    <row r="17" spans="3:24">
      <c r="C17" s="547">
        <v>39447</v>
      </c>
      <c r="D17" s="548">
        <v>160.10000600000001</v>
      </c>
      <c r="F17" s="547">
        <v>40252</v>
      </c>
      <c r="G17" s="550">
        <v>4</v>
      </c>
      <c r="H17" s="545">
        <v>4.08</v>
      </c>
      <c r="I17" s="545">
        <v>4.2267000000000001</v>
      </c>
      <c r="J17" s="545">
        <v>4.43</v>
      </c>
      <c r="K17" s="545">
        <v>4.5133000000000001</v>
      </c>
      <c r="L17" s="545">
        <v>4.6082999999999998</v>
      </c>
      <c r="M17" s="545">
        <v>4.7300000000000004</v>
      </c>
      <c r="N17" s="545">
        <v>5.0114999999999998</v>
      </c>
      <c r="P17" s="547">
        <v>40249</v>
      </c>
      <c r="Q17" s="550">
        <v>0.18656</v>
      </c>
      <c r="R17" s="545">
        <v>0.23</v>
      </c>
      <c r="S17" s="545">
        <v>0.24138000000000001</v>
      </c>
      <c r="T17" s="545">
        <v>0.25718999999999997</v>
      </c>
      <c r="U17" s="545">
        <v>0.29231000000000001</v>
      </c>
      <c r="V17" s="545">
        <v>0.33250000000000002</v>
      </c>
      <c r="W17" s="545">
        <v>0.39781</v>
      </c>
      <c r="X17" s="545">
        <v>0.86838000000000004</v>
      </c>
    </row>
    <row r="18" spans="3:24">
      <c r="C18" s="547">
        <v>39538</v>
      </c>
      <c r="D18" s="548">
        <v>162.199997</v>
      </c>
      <c r="F18" s="547">
        <v>40253</v>
      </c>
      <c r="G18" s="550">
        <v>4</v>
      </c>
      <c r="H18" s="545">
        <v>4.08</v>
      </c>
      <c r="I18" s="545">
        <v>4.1882999999999999</v>
      </c>
      <c r="J18" s="545">
        <v>4.3282999999999996</v>
      </c>
      <c r="K18" s="545">
        <v>4.4249999999999998</v>
      </c>
      <c r="L18" s="545">
        <v>4.5149999999999997</v>
      </c>
      <c r="M18" s="545">
        <v>4.6150000000000002</v>
      </c>
      <c r="N18" s="545">
        <v>4.9386000000000001</v>
      </c>
      <c r="P18" s="547">
        <v>40252</v>
      </c>
      <c r="Q18" s="550">
        <v>0.19281000000000001</v>
      </c>
      <c r="R18" s="545">
        <v>0.23030999999999999</v>
      </c>
      <c r="S18" s="545">
        <v>0.24293999999999999</v>
      </c>
      <c r="T18" s="545">
        <v>0.25763000000000003</v>
      </c>
      <c r="U18" s="545">
        <v>0.29419000000000001</v>
      </c>
      <c r="V18" s="545">
        <v>0.33562999999999998</v>
      </c>
      <c r="W18" s="545">
        <v>0.40062999999999999</v>
      </c>
      <c r="X18" s="545">
        <v>0.86719000000000002</v>
      </c>
    </row>
    <row r="19" spans="3:24">
      <c r="C19" s="547">
        <v>39629</v>
      </c>
      <c r="D19" s="548">
        <v>164.60000600000001</v>
      </c>
      <c r="F19" s="547">
        <v>40254</v>
      </c>
      <c r="G19" s="550">
        <v>4</v>
      </c>
      <c r="H19" s="545">
        <v>4.08</v>
      </c>
      <c r="I19" s="545">
        <v>4.1849999999999996</v>
      </c>
      <c r="J19" s="545">
        <v>4.2832999999999997</v>
      </c>
      <c r="K19" s="545">
        <v>4.3849999999999998</v>
      </c>
      <c r="L19" s="545">
        <v>4.4832999999999998</v>
      </c>
      <c r="M19" s="545">
        <v>4.5883000000000003</v>
      </c>
      <c r="N19" s="545">
        <v>4.8925000000000001</v>
      </c>
      <c r="P19" s="547">
        <v>40253</v>
      </c>
      <c r="Q19" s="550">
        <v>0.22413</v>
      </c>
      <c r="R19" s="545">
        <v>0.23563000000000001</v>
      </c>
      <c r="S19" s="545">
        <v>0.2465</v>
      </c>
      <c r="T19" s="545">
        <v>0.26088</v>
      </c>
      <c r="U19" s="545">
        <v>0.29599999999999999</v>
      </c>
      <c r="V19" s="545">
        <v>0.33624999999999999</v>
      </c>
      <c r="W19" s="545">
        <v>0.40125</v>
      </c>
      <c r="X19" s="545">
        <v>0.87175000000000002</v>
      </c>
    </row>
    <row r="20" spans="3:24">
      <c r="C20" s="547">
        <v>39721</v>
      </c>
      <c r="D20" s="548">
        <v>166.5</v>
      </c>
      <c r="F20" s="547">
        <v>40255</v>
      </c>
      <c r="G20" s="550">
        <v>4</v>
      </c>
      <c r="H20" s="545">
        <v>4.08</v>
      </c>
      <c r="I20" s="545">
        <v>4.18</v>
      </c>
      <c r="J20" s="545">
        <v>4.2483000000000004</v>
      </c>
      <c r="K20" s="545">
        <v>4.38</v>
      </c>
      <c r="L20" s="545">
        <v>4.4817</v>
      </c>
      <c r="M20" s="545">
        <v>4.5816999999999997</v>
      </c>
      <c r="N20" s="545">
        <v>4.9260000000000002</v>
      </c>
      <c r="P20" s="547">
        <v>40254</v>
      </c>
      <c r="Q20" s="550">
        <v>0.22225</v>
      </c>
      <c r="R20" s="545">
        <v>0.23744000000000001</v>
      </c>
      <c r="S20" s="545">
        <v>0.24831</v>
      </c>
      <c r="T20" s="545">
        <v>0.26638000000000001</v>
      </c>
      <c r="U20" s="545">
        <v>0.30125000000000002</v>
      </c>
      <c r="V20" s="545">
        <v>0.33781</v>
      </c>
      <c r="W20" s="545">
        <v>0.40188000000000001</v>
      </c>
      <c r="X20" s="545">
        <v>0.85906000000000005</v>
      </c>
    </row>
    <row r="21" spans="3:24">
      <c r="C21" s="547">
        <v>39813</v>
      </c>
      <c r="D21" s="548">
        <v>166</v>
      </c>
      <c r="F21" s="547">
        <v>40256</v>
      </c>
      <c r="G21" s="550">
        <v>4</v>
      </c>
      <c r="H21" s="545">
        <v>4.09</v>
      </c>
      <c r="I21" s="545">
        <v>4.1950000000000003</v>
      </c>
      <c r="J21" s="545">
        <v>4.26</v>
      </c>
      <c r="K21" s="545">
        <v>4.375</v>
      </c>
      <c r="L21" s="545">
        <v>4.47</v>
      </c>
      <c r="M21" s="545">
        <v>4.5667</v>
      </c>
      <c r="N21" s="545">
        <v>4.9039000000000001</v>
      </c>
      <c r="P21" s="547">
        <v>40255</v>
      </c>
      <c r="Q21" s="550">
        <v>0.221</v>
      </c>
      <c r="R21" s="545">
        <v>0.23974999999999999</v>
      </c>
      <c r="S21" s="545">
        <v>0.252</v>
      </c>
      <c r="T21" s="545">
        <v>0.27100000000000002</v>
      </c>
      <c r="U21" s="545">
        <v>0.30543999999999999</v>
      </c>
      <c r="V21" s="545">
        <v>0.34094000000000002</v>
      </c>
      <c r="W21" s="545">
        <v>0.40766000000000002</v>
      </c>
      <c r="X21" s="545">
        <v>0.85687999999999998</v>
      </c>
    </row>
    <row r="22" spans="3:24">
      <c r="C22" s="547">
        <v>39903</v>
      </c>
      <c r="D22" s="548">
        <v>166.199997</v>
      </c>
      <c r="F22" s="547">
        <v>40259</v>
      </c>
      <c r="G22" s="550">
        <v>4</v>
      </c>
      <c r="H22" s="545">
        <v>4.08</v>
      </c>
      <c r="I22" s="545">
        <v>4.1950000000000003</v>
      </c>
      <c r="J22" s="545">
        <v>4.24</v>
      </c>
      <c r="K22" s="545">
        <v>4.3817000000000004</v>
      </c>
      <c r="L22" s="545">
        <v>4.4966999999999997</v>
      </c>
      <c r="M22" s="545">
        <v>4.6383000000000001</v>
      </c>
      <c r="N22" s="545">
        <v>4.9387999999999996</v>
      </c>
      <c r="P22" s="547">
        <v>40256</v>
      </c>
      <c r="Q22" s="550">
        <v>0.221</v>
      </c>
      <c r="R22" s="545">
        <v>0.24506</v>
      </c>
      <c r="S22" s="545">
        <v>0.25700000000000001</v>
      </c>
      <c r="T22" s="545">
        <v>0.27750000000000002</v>
      </c>
      <c r="U22" s="545">
        <v>0.314</v>
      </c>
      <c r="V22" s="545">
        <v>0.35243999999999998</v>
      </c>
      <c r="W22" s="545">
        <v>0.42325000000000002</v>
      </c>
      <c r="X22" s="545">
        <v>0.87563000000000002</v>
      </c>
    </row>
    <row r="23" spans="3:24">
      <c r="C23" s="547">
        <v>39994</v>
      </c>
      <c r="D23" s="548">
        <v>167</v>
      </c>
      <c r="F23" s="547">
        <v>40260</v>
      </c>
      <c r="G23" s="550">
        <v>4</v>
      </c>
      <c r="H23" s="545">
        <v>4.0999999999999996</v>
      </c>
      <c r="I23" s="545">
        <v>4.1882999999999999</v>
      </c>
      <c r="J23" s="545">
        <v>4.2732999999999999</v>
      </c>
      <c r="K23" s="545">
        <v>4.3883000000000001</v>
      </c>
      <c r="L23" s="545">
        <v>4.4966999999999997</v>
      </c>
      <c r="M23" s="545">
        <v>4.6216999999999997</v>
      </c>
      <c r="N23" s="545">
        <v>4.9409000000000001</v>
      </c>
      <c r="P23" s="547">
        <v>40259</v>
      </c>
      <c r="Q23" s="550">
        <v>0.21975</v>
      </c>
      <c r="R23" s="545">
        <v>0.24718999999999999</v>
      </c>
      <c r="S23" s="545">
        <v>0.26030999999999999</v>
      </c>
      <c r="T23" s="545">
        <v>0.28188000000000002</v>
      </c>
      <c r="U23" s="545">
        <v>0.31906000000000001</v>
      </c>
      <c r="V23" s="545">
        <v>0.36281000000000002</v>
      </c>
      <c r="W23" s="545">
        <v>0.43656</v>
      </c>
      <c r="X23" s="545">
        <v>0.89468999999999999</v>
      </c>
    </row>
    <row r="24" spans="3:24">
      <c r="C24" s="547">
        <v>40086</v>
      </c>
      <c r="D24" s="548">
        <v>168.60000600000001</v>
      </c>
      <c r="F24" s="547">
        <v>40261</v>
      </c>
      <c r="G24" s="550">
        <v>4</v>
      </c>
      <c r="H24" s="545">
        <v>4.1383000000000001</v>
      </c>
      <c r="I24" s="545">
        <v>4.2282999999999999</v>
      </c>
      <c r="J24" s="545">
        <v>4.3783000000000003</v>
      </c>
      <c r="K24" s="545">
        <v>4.4400000000000004</v>
      </c>
      <c r="L24" s="545">
        <v>4.5433000000000003</v>
      </c>
      <c r="M24" s="545">
        <v>4.6482999999999999</v>
      </c>
      <c r="N24" s="545">
        <v>4.9789000000000003</v>
      </c>
      <c r="P24" s="547">
        <v>40260</v>
      </c>
      <c r="Q24" s="550">
        <v>0.2185</v>
      </c>
      <c r="R24" s="545">
        <v>0.24606</v>
      </c>
      <c r="S24" s="545">
        <v>0.26180999999999999</v>
      </c>
      <c r="T24" s="545">
        <v>0.28353</v>
      </c>
      <c r="U24" s="545">
        <v>0.32106000000000001</v>
      </c>
      <c r="V24" s="545">
        <v>0.36375000000000002</v>
      </c>
      <c r="W24" s="545">
        <v>0.43375000000000002</v>
      </c>
      <c r="X24" s="545">
        <v>0.89124999999999999</v>
      </c>
    </row>
    <row r="25" spans="3:24">
      <c r="C25" s="547">
        <v>40178</v>
      </c>
      <c r="D25" s="548">
        <v>169.5</v>
      </c>
      <c r="F25" s="547">
        <v>40262</v>
      </c>
      <c r="G25" s="550">
        <v>4</v>
      </c>
      <c r="H25" s="545">
        <v>4.1500000000000004</v>
      </c>
      <c r="I25" s="545">
        <v>4.2416999999999998</v>
      </c>
      <c r="J25" s="545">
        <v>4.38</v>
      </c>
      <c r="K25" s="545">
        <v>4.4717000000000002</v>
      </c>
      <c r="L25" s="545">
        <v>4.5716999999999999</v>
      </c>
      <c r="M25" s="545">
        <v>4.6817000000000002</v>
      </c>
      <c r="N25" s="545">
        <v>5.0197000000000003</v>
      </c>
      <c r="P25" s="547">
        <v>40261</v>
      </c>
      <c r="Q25" s="550">
        <v>0.2185</v>
      </c>
      <c r="R25" s="545">
        <v>0.24618999999999999</v>
      </c>
      <c r="S25" s="545">
        <v>0.26162999999999997</v>
      </c>
      <c r="T25" s="545">
        <v>0.28491</v>
      </c>
      <c r="U25" s="545">
        <v>0.32418999999999998</v>
      </c>
      <c r="V25" s="545">
        <v>0.36599999999999999</v>
      </c>
      <c r="W25" s="545">
        <v>0.43530999999999997</v>
      </c>
      <c r="X25" s="545">
        <v>0.89375000000000004</v>
      </c>
    </row>
    <row r="26" spans="3:24">
      <c r="C26" s="547">
        <v>40268</v>
      </c>
      <c r="D26" s="548">
        <v>171</v>
      </c>
      <c r="F26" s="547">
        <v>40263</v>
      </c>
      <c r="G26" s="550">
        <v>4</v>
      </c>
      <c r="H26" s="545">
        <v>4.16</v>
      </c>
      <c r="I26" s="545">
        <v>4.2583000000000002</v>
      </c>
      <c r="J26" s="545">
        <v>4.3917000000000002</v>
      </c>
      <c r="K26" s="545">
        <v>4.4800000000000004</v>
      </c>
      <c r="L26" s="545">
        <v>4.5732999999999997</v>
      </c>
      <c r="M26" s="545">
        <v>4.67</v>
      </c>
      <c r="N26" s="545">
        <v>5.0179999999999998</v>
      </c>
      <c r="P26" s="547">
        <v>40262</v>
      </c>
      <c r="Q26" s="550">
        <v>0.21725</v>
      </c>
      <c r="R26" s="545">
        <v>0.24693999999999999</v>
      </c>
      <c r="S26" s="545">
        <v>0.26374999999999998</v>
      </c>
      <c r="T26" s="545">
        <v>0.28781000000000001</v>
      </c>
      <c r="U26" s="545">
        <v>0.32562999999999998</v>
      </c>
      <c r="V26" s="545">
        <v>0.36937999999999999</v>
      </c>
      <c r="W26" s="545">
        <v>0.43687999999999999</v>
      </c>
      <c r="X26" s="545">
        <v>0.90844000000000003</v>
      </c>
    </row>
    <row r="27" spans="3:24">
      <c r="C27" s="547">
        <v>40359</v>
      </c>
      <c r="D27" s="548">
        <v>172.10000600000001</v>
      </c>
      <c r="F27" s="547">
        <v>40266</v>
      </c>
      <c r="G27" s="550">
        <v>4</v>
      </c>
      <c r="H27" s="545">
        <v>4.1500000000000004</v>
      </c>
      <c r="I27" s="545">
        <v>4.28</v>
      </c>
      <c r="J27" s="545">
        <v>4.4916999999999998</v>
      </c>
      <c r="K27" s="545">
        <v>4.5467000000000004</v>
      </c>
      <c r="L27" s="545">
        <v>4.6150000000000002</v>
      </c>
      <c r="M27" s="545">
        <v>4.71</v>
      </c>
      <c r="N27" s="545">
        <v>5.0335999999999999</v>
      </c>
      <c r="P27" s="547">
        <v>40263</v>
      </c>
      <c r="Q27" s="550">
        <v>0.21812999999999999</v>
      </c>
      <c r="R27" s="545">
        <v>0.24687999999999999</v>
      </c>
      <c r="S27" s="545">
        <v>0.26468999999999998</v>
      </c>
      <c r="T27" s="545">
        <v>0.28875000000000001</v>
      </c>
      <c r="U27" s="545">
        <v>0.32656000000000002</v>
      </c>
      <c r="V27" s="545">
        <v>0.36937999999999999</v>
      </c>
      <c r="W27" s="545">
        <v>0.43937999999999999</v>
      </c>
      <c r="X27" s="545">
        <v>0.90969</v>
      </c>
    </row>
    <row r="28" spans="3:24">
      <c r="C28" s="547">
        <v>40451</v>
      </c>
      <c r="D28" s="548">
        <v>173.300003</v>
      </c>
      <c r="F28" s="547">
        <v>40267</v>
      </c>
      <c r="G28" s="550">
        <v>4</v>
      </c>
      <c r="H28" s="545">
        <v>4.1749999999999998</v>
      </c>
      <c r="I28" s="545">
        <v>4.3033000000000001</v>
      </c>
      <c r="J28" s="545">
        <v>4.5250000000000004</v>
      </c>
      <c r="K28" s="545">
        <v>4.5983000000000001</v>
      </c>
      <c r="L28" s="545">
        <v>4.6849999999999996</v>
      </c>
      <c r="M28" s="545">
        <v>4.8099999999999996</v>
      </c>
      <c r="N28" s="545">
        <v>5.1016000000000004</v>
      </c>
      <c r="P28" s="547">
        <v>40266</v>
      </c>
      <c r="Q28" s="550">
        <v>0.21687999999999999</v>
      </c>
      <c r="R28" s="545">
        <v>0.24787999999999999</v>
      </c>
      <c r="S28" s="545">
        <v>0.26562999999999998</v>
      </c>
      <c r="T28" s="545">
        <v>0.29013</v>
      </c>
      <c r="U28" s="545">
        <v>0.32824999999999999</v>
      </c>
      <c r="V28" s="545">
        <v>0.37125000000000002</v>
      </c>
      <c r="W28" s="545">
        <v>0.4425</v>
      </c>
      <c r="X28" s="545">
        <v>0.91469</v>
      </c>
    </row>
    <row r="29" spans="3:24">
      <c r="C29" s="547">
        <v>40543</v>
      </c>
      <c r="D29" s="548">
        <v>174</v>
      </c>
      <c r="F29" s="547">
        <v>40268</v>
      </c>
      <c r="G29" s="550">
        <v>4</v>
      </c>
      <c r="H29" s="545">
        <v>4.2066999999999997</v>
      </c>
      <c r="I29" s="545">
        <v>4.3150000000000004</v>
      </c>
      <c r="J29" s="545">
        <v>4.4932999999999996</v>
      </c>
      <c r="K29" s="545">
        <v>4.5816999999999997</v>
      </c>
      <c r="L29" s="545">
        <v>4.6666999999999996</v>
      </c>
      <c r="M29" s="545">
        <v>4.7633000000000001</v>
      </c>
      <c r="N29" s="545">
        <v>5.1017000000000001</v>
      </c>
      <c r="P29" s="547">
        <v>40267</v>
      </c>
      <c r="Q29" s="550">
        <v>0.21825</v>
      </c>
      <c r="R29" s="545">
        <v>0.24862999999999999</v>
      </c>
      <c r="S29" s="545">
        <v>0.26638000000000001</v>
      </c>
      <c r="T29" s="545">
        <v>0.29088000000000003</v>
      </c>
      <c r="U29" s="545">
        <v>0.32900000000000001</v>
      </c>
      <c r="V29" s="545">
        <v>0.37187999999999999</v>
      </c>
      <c r="W29" s="545">
        <v>0.44188</v>
      </c>
      <c r="X29" s="545">
        <v>0.91469</v>
      </c>
    </row>
    <row r="30" spans="3:24">
      <c r="C30" s="547">
        <v>40633</v>
      </c>
      <c r="D30" s="548">
        <v>176.699997</v>
      </c>
      <c r="F30" s="547">
        <v>40269</v>
      </c>
      <c r="G30" s="550">
        <v>4</v>
      </c>
      <c r="H30" s="545">
        <v>4.2432999999999996</v>
      </c>
      <c r="I30" s="545">
        <v>4.3917000000000002</v>
      </c>
      <c r="J30" s="545">
        <v>4.4183000000000003</v>
      </c>
      <c r="K30" s="545">
        <v>4.51</v>
      </c>
      <c r="L30" s="545">
        <v>4.5999999999999996</v>
      </c>
      <c r="M30" s="545">
        <v>4.665</v>
      </c>
      <c r="N30" s="545">
        <v>5.0199999999999996</v>
      </c>
      <c r="P30" s="547">
        <v>40268</v>
      </c>
      <c r="Q30" s="550">
        <v>0.22513</v>
      </c>
      <c r="R30" s="545">
        <v>0.24862999999999999</v>
      </c>
      <c r="S30" s="545">
        <v>0.26668999999999998</v>
      </c>
      <c r="T30" s="545">
        <v>0.29149999999999998</v>
      </c>
      <c r="U30" s="545">
        <v>0.33100000000000002</v>
      </c>
      <c r="V30" s="545">
        <v>0.37313000000000002</v>
      </c>
      <c r="W30" s="545">
        <v>0.44438</v>
      </c>
      <c r="X30" s="545">
        <v>0.92</v>
      </c>
    </row>
    <row r="31" spans="3:24">
      <c r="F31" s="547">
        <v>40274</v>
      </c>
      <c r="G31" s="550">
        <v>4</v>
      </c>
      <c r="H31" s="545">
        <v>4.2300000000000004</v>
      </c>
      <c r="I31" s="545">
        <v>4.4050000000000002</v>
      </c>
      <c r="J31" s="545">
        <v>4.4683000000000002</v>
      </c>
      <c r="K31" s="545">
        <v>4.5517000000000003</v>
      </c>
      <c r="L31" s="545">
        <v>4.63</v>
      </c>
      <c r="M31" s="545">
        <v>4.7016999999999998</v>
      </c>
      <c r="N31" s="545">
        <v>5.0458999999999996</v>
      </c>
      <c r="P31" s="547">
        <v>40269</v>
      </c>
      <c r="Q31" s="550">
        <v>0.2195</v>
      </c>
      <c r="R31" s="545">
        <v>0.24862999999999999</v>
      </c>
      <c r="S31" s="545">
        <v>0.26694000000000001</v>
      </c>
      <c r="T31" s="545">
        <v>0.29149999999999998</v>
      </c>
      <c r="U31" s="545">
        <v>0.32850000000000001</v>
      </c>
      <c r="V31" s="545">
        <v>0.37063000000000001</v>
      </c>
      <c r="W31" s="545">
        <v>0.44156000000000001</v>
      </c>
      <c r="X31" s="545">
        <v>0.91500000000000004</v>
      </c>
    </row>
    <row r="32" spans="3:24">
      <c r="F32" s="547">
        <v>40275</v>
      </c>
      <c r="G32" s="550">
        <v>4.25</v>
      </c>
      <c r="H32" s="545">
        <v>4.3499999999999996</v>
      </c>
      <c r="I32" s="545">
        <v>4.4432999999999998</v>
      </c>
      <c r="J32" s="545">
        <v>4.54</v>
      </c>
      <c r="K32" s="545">
        <v>4.6166999999999998</v>
      </c>
      <c r="L32" s="545">
        <v>4.7</v>
      </c>
      <c r="M32" s="545">
        <v>4.7949999999999999</v>
      </c>
      <c r="N32" s="545">
        <v>5.0648999999999997</v>
      </c>
      <c r="P32" s="547">
        <v>40274</v>
      </c>
      <c r="Q32" s="550">
        <v>0.222</v>
      </c>
      <c r="R32" s="545">
        <v>0.25074999999999997</v>
      </c>
      <c r="S32" s="545">
        <v>0.26924999999999999</v>
      </c>
      <c r="T32" s="545">
        <v>0.29487999999999998</v>
      </c>
      <c r="U32" s="545">
        <v>0.33500000000000002</v>
      </c>
      <c r="V32" s="545">
        <v>0.37719000000000003</v>
      </c>
      <c r="W32" s="545">
        <v>0.45438000000000001</v>
      </c>
      <c r="X32" s="545">
        <v>0.95</v>
      </c>
    </row>
    <row r="33" spans="6:24">
      <c r="F33" s="547">
        <v>40276</v>
      </c>
      <c r="G33" s="550">
        <v>4.25</v>
      </c>
      <c r="H33" s="545">
        <v>4.32</v>
      </c>
      <c r="I33" s="545">
        <v>4.4367000000000001</v>
      </c>
      <c r="J33" s="545">
        <v>4.5217000000000001</v>
      </c>
      <c r="K33" s="545">
        <v>4.5999999999999996</v>
      </c>
      <c r="L33" s="545">
        <v>4.6849999999999996</v>
      </c>
      <c r="M33" s="545">
        <v>4.7933000000000003</v>
      </c>
      <c r="N33" s="545">
        <v>5.0537999999999998</v>
      </c>
      <c r="P33" s="547">
        <v>40275</v>
      </c>
      <c r="Q33" s="550">
        <v>0.22575000000000001</v>
      </c>
      <c r="R33" s="545">
        <v>0.25137999999999999</v>
      </c>
      <c r="S33" s="545">
        <v>0.26980999999999999</v>
      </c>
      <c r="T33" s="545">
        <v>0.29525000000000001</v>
      </c>
      <c r="U33" s="545">
        <v>0.33688000000000001</v>
      </c>
      <c r="V33" s="545">
        <v>0.3775</v>
      </c>
      <c r="W33" s="545">
        <v>0.45250000000000001</v>
      </c>
      <c r="X33" s="545">
        <v>0.9425</v>
      </c>
    </row>
    <row r="34" spans="6:24">
      <c r="F34" s="547">
        <v>40277</v>
      </c>
      <c r="G34" s="550">
        <v>4.25</v>
      </c>
      <c r="H34" s="545">
        <v>4.3099999999999996</v>
      </c>
      <c r="I34" s="545">
        <v>4.4400000000000004</v>
      </c>
      <c r="J34" s="545">
        <v>4.5366999999999997</v>
      </c>
      <c r="K34" s="545">
        <v>4.5967000000000002</v>
      </c>
      <c r="L34" s="545">
        <v>4.6817000000000002</v>
      </c>
      <c r="M34" s="545">
        <v>4.78</v>
      </c>
      <c r="N34" s="545">
        <v>5.0433000000000003</v>
      </c>
      <c r="P34" s="547">
        <v>40276</v>
      </c>
      <c r="Q34" s="550">
        <v>0.22575000000000001</v>
      </c>
      <c r="R34" s="545">
        <v>0.25013000000000002</v>
      </c>
      <c r="S34" s="545">
        <v>0.26856000000000002</v>
      </c>
      <c r="T34" s="545">
        <v>0.29399999999999998</v>
      </c>
      <c r="U34" s="545">
        <v>0.33688000000000001</v>
      </c>
      <c r="V34" s="545">
        <v>0.3775</v>
      </c>
      <c r="W34" s="545">
        <v>0.45250000000000001</v>
      </c>
      <c r="X34" s="545">
        <v>0.93355999999999995</v>
      </c>
    </row>
    <row r="35" spans="6:24">
      <c r="F35" s="547">
        <v>40280</v>
      </c>
      <c r="G35" s="550">
        <v>4.25</v>
      </c>
      <c r="H35" s="545">
        <v>4.34</v>
      </c>
      <c r="I35" s="545">
        <v>4.45</v>
      </c>
      <c r="J35" s="545">
        <v>4.57</v>
      </c>
      <c r="K35" s="545">
        <v>4.6132999999999997</v>
      </c>
      <c r="L35" s="545">
        <v>4.6950000000000003</v>
      </c>
      <c r="M35" s="545">
        <v>4.79</v>
      </c>
      <c r="N35" s="545">
        <v>5.0663</v>
      </c>
      <c r="P35" s="547">
        <v>40277</v>
      </c>
      <c r="Q35" s="550">
        <v>0.22825000000000001</v>
      </c>
      <c r="R35" s="545">
        <v>0.25287999999999999</v>
      </c>
      <c r="S35" s="545">
        <v>0.27094000000000001</v>
      </c>
      <c r="T35" s="545">
        <v>0.29781000000000002</v>
      </c>
      <c r="U35" s="545">
        <v>0.33656000000000003</v>
      </c>
      <c r="V35" s="545">
        <v>0.38094</v>
      </c>
      <c r="W35" s="545">
        <v>0.45374999999999999</v>
      </c>
      <c r="X35" s="545">
        <v>0.93606</v>
      </c>
    </row>
    <row r="36" spans="6:24">
      <c r="F36" s="547">
        <v>40281</v>
      </c>
      <c r="G36" s="550">
        <v>4.25</v>
      </c>
      <c r="H36" s="545">
        <v>4.3600000000000003</v>
      </c>
      <c r="I36" s="545">
        <v>4.4532999999999996</v>
      </c>
      <c r="J36" s="545">
        <v>4.5983000000000001</v>
      </c>
      <c r="K36" s="545">
        <v>4.6349999999999998</v>
      </c>
      <c r="L36" s="545">
        <v>4.6932999999999998</v>
      </c>
      <c r="M36" s="545">
        <v>4.7617000000000003</v>
      </c>
      <c r="N36" s="545">
        <v>5.0045999999999999</v>
      </c>
      <c r="P36" s="547">
        <v>40280</v>
      </c>
      <c r="Q36" s="550">
        <v>0.22825000000000001</v>
      </c>
      <c r="R36" s="545">
        <v>0.25297999999999998</v>
      </c>
      <c r="S36" s="545">
        <v>0.27260000000000001</v>
      </c>
      <c r="T36" s="545">
        <v>0.30041000000000001</v>
      </c>
      <c r="U36" s="545">
        <v>0.33905999999999997</v>
      </c>
      <c r="V36" s="545">
        <v>0.38250000000000001</v>
      </c>
      <c r="W36" s="545">
        <v>0.45562999999999998</v>
      </c>
      <c r="X36" s="545">
        <v>0.94094</v>
      </c>
    </row>
    <row r="37" spans="6:24">
      <c r="F37" s="547">
        <v>40282</v>
      </c>
      <c r="G37" s="550">
        <v>4.25</v>
      </c>
      <c r="H37" s="545">
        <v>4.38</v>
      </c>
      <c r="I37" s="545">
        <v>4.4633000000000003</v>
      </c>
      <c r="J37" s="545">
        <v>4.59</v>
      </c>
      <c r="K37" s="545">
        <v>4.6500000000000004</v>
      </c>
      <c r="L37" s="545">
        <v>4.71</v>
      </c>
      <c r="M37" s="545">
        <v>4.7967000000000004</v>
      </c>
      <c r="N37" s="545">
        <v>5.0199999999999996</v>
      </c>
      <c r="P37" s="547">
        <v>40281</v>
      </c>
      <c r="Q37" s="550">
        <v>0.23263</v>
      </c>
      <c r="R37" s="545">
        <v>0.25438</v>
      </c>
      <c r="S37" s="545">
        <v>0.27506000000000003</v>
      </c>
      <c r="T37" s="545">
        <v>0.30281000000000002</v>
      </c>
      <c r="U37" s="545">
        <v>0.34062999999999999</v>
      </c>
      <c r="V37" s="545">
        <v>0.38406000000000001</v>
      </c>
      <c r="W37" s="545">
        <v>0.45562999999999998</v>
      </c>
      <c r="X37" s="545">
        <v>0.93593999999999999</v>
      </c>
    </row>
    <row r="38" spans="6:24">
      <c r="F38" s="547">
        <v>40283</v>
      </c>
      <c r="G38" s="550">
        <v>4.25</v>
      </c>
      <c r="H38" s="545">
        <v>4.3899999999999997</v>
      </c>
      <c r="I38" s="545">
        <v>4.4717000000000002</v>
      </c>
      <c r="J38" s="545">
        <v>4.6032999999999999</v>
      </c>
      <c r="K38" s="545">
        <v>4.6566999999999998</v>
      </c>
      <c r="L38" s="545">
        <v>4.7167000000000003</v>
      </c>
      <c r="M38" s="545">
        <v>4.8067000000000002</v>
      </c>
      <c r="N38" s="545">
        <v>5.0366</v>
      </c>
      <c r="P38" s="547">
        <v>40282</v>
      </c>
      <c r="Q38" s="550">
        <v>0.23513000000000001</v>
      </c>
      <c r="R38" s="545">
        <v>0.25594</v>
      </c>
      <c r="S38" s="545">
        <v>0.27768999999999999</v>
      </c>
      <c r="T38" s="545">
        <v>0.30375000000000002</v>
      </c>
      <c r="U38" s="545">
        <v>0.34499999999999997</v>
      </c>
      <c r="V38" s="545">
        <v>0.38780999999999999</v>
      </c>
      <c r="W38" s="545">
        <v>0.46250000000000002</v>
      </c>
      <c r="X38" s="545">
        <v>0.94655999999999996</v>
      </c>
    </row>
    <row r="39" spans="6:24">
      <c r="F39" s="547">
        <v>40284</v>
      </c>
      <c r="G39" s="550">
        <v>4.25</v>
      </c>
      <c r="H39" s="545">
        <v>4.3099999999999996</v>
      </c>
      <c r="I39" s="545">
        <v>4.43</v>
      </c>
      <c r="J39" s="545">
        <v>4.4832999999999998</v>
      </c>
      <c r="K39" s="545">
        <v>4.5599999999999996</v>
      </c>
      <c r="L39" s="545">
        <v>4.6500000000000004</v>
      </c>
      <c r="M39" s="545">
        <v>4.7317</v>
      </c>
      <c r="N39" s="545">
        <v>5.0221</v>
      </c>
      <c r="P39" s="547">
        <v>40283</v>
      </c>
      <c r="Q39" s="550">
        <v>0.2475</v>
      </c>
      <c r="R39" s="545">
        <v>0.25624999999999998</v>
      </c>
      <c r="S39" s="545">
        <v>0.28018999999999999</v>
      </c>
      <c r="T39" s="545">
        <v>0.30437999999999998</v>
      </c>
      <c r="U39" s="545">
        <v>0.34531000000000001</v>
      </c>
      <c r="V39" s="545">
        <v>0.38938</v>
      </c>
      <c r="W39" s="545">
        <v>0.46500000000000002</v>
      </c>
      <c r="X39" s="545">
        <v>0.94594</v>
      </c>
    </row>
    <row r="40" spans="6:24">
      <c r="F40" s="547">
        <v>40287</v>
      </c>
      <c r="G40" s="550">
        <v>4.25</v>
      </c>
      <c r="H40" s="545">
        <v>4.3250000000000002</v>
      </c>
      <c r="I40" s="545">
        <v>4.4400000000000004</v>
      </c>
      <c r="J40" s="545">
        <v>4.46</v>
      </c>
      <c r="K40" s="545">
        <v>4.5433000000000003</v>
      </c>
      <c r="L40" s="545">
        <v>4.6383000000000001</v>
      </c>
      <c r="M40" s="545">
        <v>4.7167000000000003</v>
      </c>
      <c r="N40" s="545">
        <v>4.9691000000000001</v>
      </c>
      <c r="P40" s="547">
        <v>40284</v>
      </c>
      <c r="Q40" s="550">
        <v>0.2465</v>
      </c>
      <c r="R40" s="545">
        <v>0.25563000000000002</v>
      </c>
      <c r="S40" s="545">
        <v>0.28000000000000003</v>
      </c>
      <c r="T40" s="545">
        <v>0.30531000000000003</v>
      </c>
      <c r="U40" s="545">
        <v>0.34594000000000003</v>
      </c>
      <c r="V40" s="545">
        <v>0.38874999999999998</v>
      </c>
      <c r="W40" s="545">
        <v>0.46438000000000001</v>
      </c>
      <c r="X40" s="545">
        <v>0.94438</v>
      </c>
    </row>
    <row r="41" spans="6:24">
      <c r="F41" s="547">
        <v>40288</v>
      </c>
      <c r="G41" s="550">
        <v>4.25</v>
      </c>
      <c r="H41" s="545">
        <v>4.32</v>
      </c>
      <c r="I41" s="545">
        <v>4.45</v>
      </c>
      <c r="J41" s="545">
        <v>4.4749999999999996</v>
      </c>
      <c r="K41" s="545">
        <v>4.55</v>
      </c>
      <c r="L41" s="545">
        <v>4.6399999999999997</v>
      </c>
      <c r="M41" s="545">
        <v>4.7133000000000003</v>
      </c>
      <c r="N41" s="545">
        <v>4.9916</v>
      </c>
      <c r="P41" s="547">
        <v>40287</v>
      </c>
      <c r="Q41" s="550">
        <v>0.249</v>
      </c>
      <c r="R41" s="545">
        <v>0.25750000000000001</v>
      </c>
      <c r="S41" s="545">
        <v>0.28155999999999998</v>
      </c>
      <c r="T41" s="545">
        <v>0.30531000000000003</v>
      </c>
      <c r="U41" s="545">
        <v>0.34719</v>
      </c>
      <c r="V41" s="545">
        <v>0.39124999999999999</v>
      </c>
      <c r="W41" s="545">
        <v>0.46062999999999998</v>
      </c>
      <c r="X41" s="545">
        <v>0.93313000000000001</v>
      </c>
    </row>
    <row r="42" spans="6:24">
      <c r="F42" s="547">
        <v>40289</v>
      </c>
      <c r="G42" s="550">
        <v>4.25</v>
      </c>
      <c r="H42" s="545">
        <v>4.3650000000000002</v>
      </c>
      <c r="I42" s="545">
        <v>4.4950000000000001</v>
      </c>
      <c r="J42" s="545">
        <v>4.4983000000000004</v>
      </c>
      <c r="K42" s="545">
        <v>4.59</v>
      </c>
      <c r="L42" s="545">
        <v>4.68</v>
      </c>
      <c r="M42" s="545">
        <v>4.7633000000000001</v>
      </c>
      <c r="N42" s="545">
        <v>5.0624000000000002</v>
      </c>
      <c r="P42" s="547">
        <v>40288</v>
      </c>
      <c r="Q42" s="550">
        <v>0.25024999999999997</v>
      </c>
      <c r="R42" s="545">
        <v>0.25874999999999998</v>
      </c>
      <c r="S42" s="545">
        <v>0.28312999999999999</v>
      </c>
      <c r="T42" s="545">
        <v>0.30719000000000002</v>
      </c>
      <c r="U42" s="545">
        <v>0.34938000000000002</v>
      </c>
      <c r="V42" s="545">
        <v>0.39656000000000002</v>
      </c>
      <c r="W42" s="545">
        <v>0.46500000000000002</v>
      </c>
      <c r="X42" s="545">
        <v>0.94094</v>
      </c>
    </row>
    <row r="43" spans="6:24">
      <c r="F43" s="547">
        <v>40290</v>
      </c>
      <c r="G43" s="550">
        <v>4.25</v>
      </c>
      <c r="H43" s="545">
        <v>4.3600000000000003</v>
      </c>
      <c r="I43" s="545">
        <v>4.4983000000000004</v>
      </c>
      <c r="J43" s="545">
        <v>4.4850000000000003</v>
      </c>
      <c r="K43" s="545">
        <v>4.5983000000000001</v>
      </c>
      <c r="L43" s="545">
        <v>4.6950000000000003</v>
      </c>
      <c r="M43" s="545">
        <v>4.8099999999999996</v>
      </c>
      <c r="N43" s="545">
        <v>5.0789999999999997</v>
      </c>
      <c r="P43" s="547">
        <v>40289</v>
      </c>
      <c r="Q43" s="550">
        <v>0.25024999999999997</v>
      </c>
      <c r="R43" s="545">
        <v>0.26062999999999997</v>
      </c>
      <c r="S43" s="545">
        <v>0.28438000000000002</v>
      </c>
      <c r="T43" s="545">
        <v>0.31280999999999998</v>
      </c>
      <c r="U43" s="545">
        <v>0.35563</v>
      </c>
      <c r="V43" s="545">
        <v>0.40500000000000003</v>
      </c>
      <c r="W43" s="545">
        <v>0.47249999999999998</v>
      </c>
      <c r="X43" s="545">
        <v>0.95250000000000001</v>
      </c>
    </row>
    <row r="44" spans="6:24">
      <c r="F44" s="547">
        <v>40291</v>
      </c>
      <c r="G44" s="550">
        <v>4.25</v>
      </c>
      <c r="H44" s="545">
        <v>4.3632999999999997</v>
      </c>
      <c r="I44" s="545">
        <v>4.5016999999999996</v>
      </c>
      <c r="J44" s="545">
        <v>4.5316999999999998</v>
      </c>
      <c r="K44" s="545">
        <v>4.6166999999999998</v>
      </c>
      <c r="L44" s="545">
        <v>4.7083000000000004</v>
      </c>
      <c r="M44" s="545">
        <v>4.8250000000000002</v>
      </c>
      <c r="N44" s="545">
        <v>5.0952000000000002</v>
      </c>
      <c r="P44" s="547">
        <v>40290</v>
      </c>
      <c r="Q44" s="550">
        <v>0.25024999999999997</v>
      </c>
      <c r="R44" s="545">
        <v>0.26250000000000001</v>
      </c>
      <c r="S44" s="545">
        <v>0.28749999999999998</v>
      </c>
      <c r="T44" s="545">
        <v>0.31578000000000001</v>
      </c>
      <c r="U44" s="545">
        <v>0.36</v>
      </c>
      <c r="V44" s="545">
        <v>0.41063</v>
      </c>
      <c r="W44" s="545">
        <v>0.48219000000000001</v>
      </c>
      <c r="X44" s="545">
        <v>0.96296999999999999</v>
      </c>
    </row>
    <row r="45" spans="6:24">
      <c r="F45" s="547">
        <v>40295</v>
      </c>
      <c r="G45" s="550">
        <v>4.25</v>
      </c>
      <c r="H45" s="545">
        <v>4.3483000000000001</v>
      </c>
      <c r="I45" s="545">
        <v>4.4832999999999998</v>
      </c>
      <c r="J45" s="545">
        <v>4.5433000000000003</v>
      </c>
      <c r="K45" s="545">
        <v>4.5967000000000002</v>
      </c>
      <c r="L45" s="545">
        <v>4.68</v>
      </c>
      <c r="M45" s="545">
        <v>4.7617000000000003</v>
      </c>
      <c r="N45" s="545">
        <v>5.0263999999999998</v>
      </c>
      <c r="P45" s="547">
        <v>40291</v>
      </c>
      <c r="Q45" s="550">
        <v>0.25056</v>
      </c>
      <c r="R45" s="545">
        <v>0.26438</v>
      </c>
      <c r="S45" s="545">
        <v>0.28999999999999998</v>
      </c>
      <c r="T45" s="545">
        <v>0.32063000000000003</v>
      </c>
      <c r="U45" s="545">
        <v>0.36563000000000001</v>
      </c>
      <c r="V45" s="545">
        <v>0.41687999999999997</v>
      </c>
      <c r="W45" s="545">
        <v>0.49281000000000003</v>
      </c>
      <c r="X45" s="545">
        <v>0.97875000000000001</v>
      </c>
    </row>
    <row r="46" spans="6:24">
      <c r="F46" s="547">
        <v>40296</v>
      </c>
      <c r="G46" s="550">
        <v>4.25</v>
      </c>
      <c r="H46" s="545">
        <v>4.3567</v>
      </c>
      <c r="I46" s="545">
        <v>4.4832999999999998</v>
      </c>
      <c r="J46" s="545">
        <v>4.5917000000000003</v>
      </c>
      <c r="K46" s="545">
        <v>4.6216999999999997</v>
      </c>
      <c r="L46" s="545">
        <v>4.6833</v>
      </c>
      <c r="M46" s="545">
        <v>4.7649999999999997</v>
      </c>
      <c r="N46" s="545">
        <v>5.0012999999999996</v>
      </c>
      <c r="P46" s="547">
        <v>40294</v>
      </c>
      <c r="Q46" s="550">
        <v>0.24962999999999999</v>
      </c>
      <c r="R46" s="545">
        <v>0.26468999999999998</v>
      </c>
      <c r="S46" s="545">
        <v>0.29313</v>
      </c>
      <c r="T46" s="545">
        <v>0.32374999999999998</v>
      </c>
      <c r="U46" s="545">
        <v>0.36969000000000002</v>
      </c>
      <c r="V46" s="545">
        <v>0.42031000000000002</v>
      </c>
      <c r="W46" s="545">
        <v>0.50031000000000003</v>
      </c>
      <c r="X46" s="545">
        <v>0.99312999999999996</v>
      </c>
    </row>
    <row r="47" spans="6:24">
      <c r="F47" s="547">
        <v>40297</v>
      </c>
      <c r="G47" s="550">
        <v>4.25</v>
      </c>
      <c r="H47" s="545">
        <v>4.37</v>
      </c>
      <c r="I47" s="545">
        <v>4.5567000000000002</v>
      </c>
      <c r="J47" s="545">
        <v>4.6399999999999997</v>
      </c>
      <c r="K47" s="545">
        <v>4.7016999999999998</v>
      </c>
      <c r="L47" s="545">
        <v>4.8017000000000003</v>
      </c>
      <c r="M47" s="545">
        <v>4.9132999999999996</v>
      </c>
      <c r="N47" s="545">
        <v>5.1319999999999997</v>
      </c>
      <c r="P47" s="547">
        <v>40295</v>
      </c>
      <c r="Q47" s="550">
        <v>0.25087999999999999</v>
      </c>
      <c r="R47" s="545">
        <v>0.26672000000000001</v>
      </c>
      <c r="S47" s="545">
        <v>0.29687999999999998</v>
      </c>
      <c r="T47" s="545">
        <v>0.32780999999999999</v>
      </c>
      <c r="U47" s="545">
        <v>0.37343999999999999</v>
      </c>
      <c r="V47" s="545">
        <v>0.42531000000000002</v>
      </c>
      <c r="W47" s="545">
        <v>0.50563000000000002</v>
      </c>
      <c r="X47" s="545">
        <v>0.99875000000000003</v>
      </c>
    </row>
    <row r="48" spans="6:24">
      <c r="F48" s="547">
        <v>40298</v>
      </c>
      <c r="G48" s="550">
        <v>4.25</v>
      </c>
      <c r="H48" s="545">
        <v>4.4450000000000003</v>
      </c>
      <c r="I48" s="545">
        <v>4.5567000000000002</v>
      </c>
      <c r="J48" s="545">
        <v>4.63</v>
      </c>
      <c r="K48" s="545">
        <v>4.7032999999999996</v>
      </c>
      <c r="L48" s="545">
        <v>4.8</v>
      </c>
      <c r="M48" s="545">
        <v>4.8666999999999998</v>
      </c>
      <c r="N48" s="545">
        <v>5.0945</v>
      </c>
      <c r="P48" s="547">
        <v>40296</v>
      </c>
      <c r="Q48" s="550">
        <v>0.25556000000000001</v>
      </c>
      <c r="R48" s="545">
        <v>0.27312999999999998</v>
      </c>
      <c r="S48" s="545">
        <v>0.30469000000000002</v>
      </c>
      <c r="T48" s="545">
        <v>0.33781</v>
      </c>
      <c r="U48" s="545">
        <v>0.38750000000000001</v>
      </c>
      <c r="V48" s="545">
        <v>0.44280999999999998</v>
      </c>
      <c r="W48" s="545">
        <v>0.52249999999999996</v>
      </c>
      <c r="X48" s="545">
        <v>1.0149999999999999</v>
      </c>
    </row>
    <row r="49" spans="6:24">
      <c r="F49" s="547">
        <v>40301</v>
      </c>
      <c r="G49" s="550">
        <v>4.25</v>
      </c>
      <c r="H49" s="545">
        <v>4.5232999999999999</v>
      </c>
      <c r="I49" s="545">
        <v>4.5750000000000002</v>
      </c>
      <c r="J49" s="545">
        <v>4.6317000000000004</v>
      </c>
      <c r="K49" s="545">
        <v>4.7149999999999999</v>
      </c>
      <c r="L49" s="545">
        <v>4.7983000000000002</v>
      </c>
      <c r="M49" s="545">
        <v>4.9000000000000004</v>
      </c>
      <c r="N49" s="545">
        <v>5.1525999999999996</v>
      </c>
      <c r="P49" s="547">
        <v>40297</v>
      </c>
      <c r="Q49" s="550">
        <v>0.25588</v>
      </c>
      <c r="R49" s="545">
        <v>0.27766000000000002</v>
      </c>
      <c r="S49" s="545">
        <v>0.31219000000000002</v>
      </c>
      <c r="T49" s="545">
        <v>0.34438000000000002</v>
      </c>
      <c r="U49" s="545">
        <v>0.39344000000000001</v>
      </c>
      <c r="V49" s="545">
        <v>0.45</v>
      </c>
      <c r="W49" s="545">
        <v>0.52719000000000005</v>
      </c>
      <c r="X49" s="545">
        <v>1.0143800000000001</v>
      </c>
    </row>
    <row r="50" spans="6:24">
      <c r="F50" s="547">
        <v>40302</v>
      </c>
      <c r="G50" s="550">
        <v>4.25</v>
      </c>
      <c r="H50" s="545">
        <v>4.55</v>
      </c>
      <c r="I50" s="545">
        <v>4.6032999999999999</v>
      </c>
      <c r="J50" s="545">
        <v>4.68</v>
      </c>
      <c r="K50" s="545">
        <v>4.7432999999999996</v>
      </c>
      <c r="L50" s="545">
        <v>4.835</v>
      </c>
      <c r="M50" s="545">
        <v>4.9382999999999999</v>
      </c>
      <c r="N50" s="545">
        <v>5.1890000000000001</v>
      </c>
      <c r="P50" s="547">
        <v>40298</v>
      </c>
      <c r="Q50" s="550">
        <v>0.26312999999999998</v>
      </c>
      <c r="R50" s="545">
        <v>0.28000000000000003</v>
      </c>
      <c r="S50" s="545">
        <v>0.31624999999999998</v>
      </c>
      <c r="T50" s="545">
        <v>0.34655999999999998</v>
      </c>
      <c r="U50" s="545">
        <v>0.39718999999999999</v>
      </c>
      <c r="V50" s="545">
        <v>0.45562999999999998</v>
      </c>
      <c r="W50" s="545">
        <v>0.53063000000000005</v>
      </c>
      <c r="X50" s="545">
        <v>1.01563</v>
      </c>
    </row>
    <row r="51" spans="6:24">
      <c r="F51" s="547">
        <v>40303</v>
      </c>
      <c r="G51" s="550">
        <v>4.5</v>
      </c>
      <c r="H51" s="545">
        <v>4.57</v>
      </c>
      <c r="I51" s="545">
        <v>4.6500000000000004</v>
      </c>
      <c r="J51" s="545">
        <v>4.7267000000000001</v>
      </c>
      <c r="K51" s="545">
        <v>4.7699999999999996</v>
      </c>
      <c r="L51" s="545">
        <v>4.8467000000000002</v>
      </c>
      <c r="M51" s="545">
        <v>4.9116999999999997</v>
      </c>
      <c r="N51" s="545">
        <v>5.1471</v>
      </c>
      <c r="P51" s="547">
        <v>40302</v>
      </c>
      <c r="Q51" s="550">
        <v>0.26588000000000001</v>
      </c>
      <c r="R51" s="545">
        <v>0.28469</v>
      </c>
      <c r="S51" s="545">
        <v>0.32124999999999998</v>
      </c>
      <c r="T51" s="545">
        <v>0.35313</v>
      </c>
      <c r="U51" s="545">
        <v>0.40500000000000003</v>
      </c>
      <c r="V51" s="545">
        <v>0.46375</v>
      </c>
      <c r="W51" s="545">
        <v>0.54578000000000004</v>
      </c>
      <c r="X51" s="545">
        <v>1.04</v>
      </c>
    </row>
    <row r="52" spans="6:24">
      <c r="F52" s="547">
        <v>40304</v>
      </c>
      <c r="G52" s="550">
        <v>4.5</v>
      </c>
      <c r="H52" s="545">
        <v>4.6116999999999999</v>
      </c>
      <c r="I52" s="545">
        <v>4.6817000000000002</v>
      </c>
      <c r="J52" s="545">
        <v>4.8232999999999997</v>
      </c>
      <c r="K52" s="545">
        <v>4.8532999999999999</v>
      </c>
      <c r="L52" s="545">
        <v>4.8982999999999999</v>
      </c>
      <c r="M52" s="545">
        <v>4.9550000000000001</v>
      </c>
      <c r="N52" s="545">
        <v>5.1395</v>
      </c>
      <c r="P52" s="547">
        <v>40303</v>
      </c>
      <c r="Q52" s="550">
        <v>0.27188000000000001</v>
      </c>
      <c r="R52" s="545">
        <v>0.29093999999999998</v>
      </c>
      <c r="S52" s="545">
        <v>0.32562999999999998</v>
      </c>
      <c r="T52" s="545">
        <v>0.36015999999999998</v>
      </c>
      <c r="U52" s="545">
        <v>0.41031000000000001</v>
      </c>
      <c r="V52" s="545">
        <v>0.47155999999999998</v>
      </c>
      <c r="W52" s="545">
        <v>0.55530999999999997</v>
      </c>
      <c r="X52" s="545">
        <v>1.05406</v>
      </c>
    </row>
    <row r="53" spans="6:24">
      <c r="F53" s="547">
        <v>40305</v>
      </c>
      <c r="G53" s="550">
        <v>4.5</v>
      </c>
      <c r="H53" s="545">
        <v>4.72</v>
      </c>
      <c r="I53" s="545">
        <v>4.8250000000000002</v>
      </c>
      <c r="J53" s="545">
        <v>4.8917000000000002</v>
      </c>
      <c r="K53" s="545">
        <v>4.92</v>
      </c>
      <c r="L53" s="545">
        <v>4.9317000000000002</v>
      </c>
      <c r="M53" s="545">
        <v>4.9450000000000003</v>
      </c>
      <c r="N53" s="545">
        <v>5.0109000000000004</v>
      </c>
      <c r="P53" s="547">
        <v>40304</v>
      </c>
      <c r="Q53" s="550">
        <v>0.27688000000000001</v>
      </c>
      <c r="R53" s="545">
        <v>0.29705999999999999</v>
      </c>
      <c r="S53" s="545">
        <v>0.33531</v>
      </c>
      <c r="T53" s="545">
        <v>0.37358999999999998</v>
      </c>
      <c r="U53" s="545">
        <v>0.42187999999999998</v>
      </c>
      <c r="V53" s="545">
        <v>0.48063</v>
      </c>
      <c r="W53" s="545">
        <v>0.56562999999999997</v>
      </c>
      <c r="X53" s="545">
        <v>1.0649999999999999</v>
      </c>
    </row>
    <row r="54" spans="6:24">
      <c r="F54" s="547">
        <v>40308</v>
      </c>
      <c r="G54" s="550">
        <v>4.5</v>
      </c>
      <c r="H54" s="545">
        <v>4.6717000000000004</v>
      </c>
      <c r="I54" s="545">
        <v>4.7699999999999996</v>
      </c>
      <c r="J54" s="545">
        <v>4.8499999999999996</v>
      </c>
      <c r="K54" s="545">
        <v>4.88</v>
      </c>
      <c r="L54" s="545">
        <v>4.9066999999999998</v>
      </c>
      <c r="M54" s="545">
        <v>4.9400000000000004</v>
      </c>
      <c r="N54" s="545">
        <v>5.1029999999999998</v>
      </c>
      <c r="P54" s="547">
        <v>40305</v>
      </c>
      <c r="Q54" s="550">
        <v>0.32124999999999998</v>
      </c>
      <c r="R54" s="545">
        <v>0.34875</v>
      </c>
      <c r="S54" s="545">
        <v>0.38562999999999997</v>
      </c>
      <c r="T54" s="545">
        <v>0.42813000000000001</v>
      </c>
      <c r="U54" s="545">
        <v>0.47875000000000001</v>
      </c>
      <c r="V54" s="545">
        <v>0.54249999999999998</v>
      </c>
      <c r="W54" s="545">
        <v>0.63688</v>
      </c>
      <c r="X54" s="545">
        <v>1.1299999999999999</v>
      </c>
    </row>
    <row r="55" spans="6:24">
      <c r="F55" s="547">
        <v>40309</v>
      </c>
      <c r="G55" s="550">
        <v>4.5</v>
      </c>
      <c r="H55" s="545">
        <v>4.6783000000000001</v>
      </c>
      <c r="I55" s="545">
        <v>4.7667000000000002</v>
      </c>
      <c r="J55" s="545">
        <v>4.8083</v>
      </c>
      <c r="K55" s="545">
        <v>4.8550000000000004</v>
      </c>
      <c r="L55" s="545">
        <v>4.8967000000000001</v>
      </c>
      <c r="M55" s="545">
        <v>4.9317000000000002</v>
      </c>
      <c r="N55" s="545">
        <v>5.0918999999999999</v>
      </c>
      <c r="P55" s="547">
        <v>40308</v>
      </c>
      <c r="Q55" s="550">
        <v>0.3125</v>
      </c>
      <c r="R55" s="545">
        <v>0.34</v>
      </c>
      <c r="S55" s="545">
        <v>0.38063000000000002</v>
      </c>
      <c r="T55" s="545">
        <v>0.42125000000000001</v>
      </c>
      <c r="U55" s="545">
        <v>0.47188000000000002</v>
      </c>
      <c r="V55" s="545">
        <v>0.53125</v>
      </c>
      <c r="W55" s="545">
        <v>0.62250000000000005</v>
      </c>
      <c r="X55" s="545">
        <v>1.0974999999999999</v>
      </c>
    </row>
    <row r="56" spans="6:24">
      <c r="F56" s="547">
        <v>40310</v>
      </c>
      <c r="G56" s="550">
        <v>4.5</v>
      </c>
      <c r="H56" s="545">
        <v>4.6932999999999998</v>
      </c>
      <c r="I56" s="545">
        <v>4.78</v>
      </c>
      <c r="J56" s="545">
        <v>4.8833000000000002</v>
      </c>
      <c r="K56" s="545">
        <v>4.9032999999999998</v>
      </c>
      <c r="L56" s="545">
        <v>4.93</v>
      </c>
      <c r="M56" s="545">
        <v>4.9717000000000002</v>
      </c>
      <c r="N56" s="545">
        <v>5.1036000000000001</v>
      </c>
      <c r="P56" s="547">
        <v>40309</v>
      </c>
      <c r="Q56" s="550">
        <v>0.30249999999999999</v>
      </c>
      <c r="R56" s="545">
        <v>0.33750000000000002</v>
      </c>
      <c r="S56" s="545">
        <v>0.38094</v>
      </c>
      <c r="T56" s="545">
        <v>0.42281000000000002</v>
      </c>
      <c r="U56" s="545">
        <v>0.47205999999999998</v>
      </c>
      <c r="V56" s="545">
        <v>0.53144000000000002</v>
      </c>
      <c r="W56" s="545">
        <v>0.61850000000000005</v>
      </c>
      <c r="X56" s="545">
        <v>1.0987499999999999</v>
      </c>
    </row>
    <row r="57" spans="6:24">
      <c r="F57" s="547">
        <v>40311</v>
      </c>
      <c r="G57" s="550">
        <v>4.5</v>
      </c>
      <c r="H57" s="545">
        <v>4.6950000000000003</v>
      </c>
      <c r="I57" s="545">
        <v>4.8</v>
      </c>
      <c r="J57" s="545">
        <v>4.8766999999999996</v>
      </c>
      <c r="K57" s="545">
        <v>4.9050000000000002</v>
      </c>
      <c r="L57" s="545">
        <v>4.9333</v>
      </c>
      <c r="M57" s="545">
        <v>4.9683000000000002</v>
      </c>
      <c r="N57" s="545">
        <v>5.1257000000000001</v>
      </c>
      <c r="P57" s="547">
        <v>40310</v>
      </c>
      <c r="Q57" s="550">
        <v>0.29875000000000002</v>
      </c>
      <c r="R57" s="545">
        <v>0.33812999999999999</v>
      </c>
      <c r="S57" s="545">
        <v>0.38218999999999997</v>
      </c>
      <c r="T57" s="545">
        <v>0.43019000000000002</v>
      </c>
      <c r="U57" s="545">
        <v>0.48025000000000001</v>
      </c>
      <c r="V57" s="545">
        <v>0.53869</v>
      </c>
      <c r="W57" s="545">
        <v>0.62231000000000003</v>
      </c>
      <c r="X57" s="545">
        <v>1.0974999999999999</v>
      </c>
    </row>
    <row r="58" spans="6:24">
      <c r="F58" s="547">
        <v>40312</v>
      </c>
      <c r="G58" s="550">
        <v>4.5</v>
      </c>
      <c r="H58" s="545">
        <v>4.7133000000000003</v>
      </c>
      <c r="I58" s="545">
        <v>4.8049999999999997</v>
      </c>
      <c r="J58" s="545">
        <v>4.875</v>
      </c>
      <c r="K58" s="545">
        <v>4.9000000000000004</v>
      </c>
      <c r="L58" s="545">
        <v>4.93</v>
      </c>
      <c r="M58" s="545">
        <v>4.9649999999999999</v>
      </c>
      <c r="N58" s="545">
        <v>5.1218000000000004</v>
      </c>
      <c r="P58" s="547">
        <v>40311</v>
      </c>
      <c r="Q58" s="550">
        <v>0.29625000000000001</v>
      </c>
      <c r="R58" s="545">
        <v>0.33688000000000001</v>
      </c>
      <c r="S58" s="545">
        <v>0.38338</v>
      </c>
      <c r="T58" s="545">
        <v>0.43587999999999999</v>
      </c>
      <c r="U58" s="545">
        <v>0.48499999999999999</v>
      </c>
      <c r="V58" s="545">
        <v>0.54118999999999995</v>
      </c>
      <c r="W58" s="545">
        <v>0.62263000000000002</v>
      </c>
      <c r="X58" s="545">
        <v>1.09219</v>
      </c>
    </row>
    <row r="59" spans="6:24">
      <c r="F59" s="547">
        <v>40315</v>
      </c>
      <c r="G59" s="550">
        <v>4.5</v>
      </c>
      <c r="H59" s="545">
        <v>4.7</v>
      </c>
      <c r="I59" s="545">
        <v>4.8083</v>
      </c>
      <c r="J59" s="545">
        <v>4.8499999999999996</v>
      </c>
      <c r="K59" s="545">
        <v>4.8917000000000002</v>
      </c>
      <c r="L59" s="545">
        <v>4.9233000000000002</v>
      </c>
      <c r="M59" s="545">
        <v>4.9649999999999999</v>
      </c>
      <c r="N59" s="545">
        <v>5.0960999999999999</v>
      </c>
      <c r="P59" s="547">
        <v>40312</v>
      </c>
      <c r="Q59" s="550">
        <v>0.29249999999999998</v>
      </c>
      <c r="R59" s="545">
        <v>0.33774999999999999</v>
      </c>
      <c r="S59" s="545">
        <v>0.38928000000000001</v>
      </c>
      <c r="T59" s="545">
        <v>0.44506000000000001</v>
      </c>
      <c r="U59" s="545">
        <v>0.49381000000000003</v>
      </c>
      <c r="V59" s="545">
        <v>0.54949999999999999</v>
      </c>
      <c r="W59" s="545">
        <v>0.63500000000000001</v>
      </c>
      <c r="X59" s="545">
        <v>1.1056299999999999</v>
      </c>
    </row>
    <row r="60" spans="6:24">
      <c r="F60" s="547">
        <v>40316</v>
      </c>
      <c r="G60" s="550">
        <v>4.5</v>
      </c>
      <c r="H60" s="545">
        <v>4.62</v>
      </c>
      <c r="I60" s="545">
        <v>4.7933000000000003</v>
      </c>
      <c r="J60" s="545">
        <v>4.835</v>
      </c>
      <c r="K60" s="545">
        <v>4.8733000000000004</v>
      </c>
      <c r="L60" s="545">
        <v>4.9032999999999998</v>
      </c>
      <c r="M60" s="545">
        <v>4.9400000000000004</v>
      </c>
      <c r="N60" s="545">
        <v>5.0885999999999996</v>
      </c>
      <c r="P60" s="547">
        <v>40315</v>
      </c>
      <c r="Q60" s="550">
        <v>0.3</v>
      </c>
      <c r="R60" s="545">
        <v>0.33894000000000002</v>
      </c>
      <c r="S60" s="545">
        <v>0.39612999999999998</v>
      </c>
      <c r="T60" s="545">
        <v>0.46</v>
      </c>
      <c r="U60" s="545">
        <v>0.50988</v>
      </c>
      <c r="V60" s="545">
        <v>0.56713000000000002</v>
      </c>
      <c r="W60" s="545">
        <v>0.65475000000000005</v>
      </c>
      <c r="X60" s="545">
        <v>1.11938</v>
      </c>
    </row>
    <row r="61" spans="6:24">
      <c r="F61" s="547">
        <v>40317</v>
      </c>
      <c r="G61" s="550">
        <v>4.5</v>
      </c>
      <c r="H61" s="545">
        <v>4.6216999999999997</v>
      </c>
      <c r="I61" s="545">
        <v>4.7683</v>
      </c>
      <c r="J61" s="545">
        <v>4.8049999999999997</v>
      </c>
      <c r="K61" s="545">
        <v>4.8449999999999998</v>
      </c>
      <c r="L61" s="545">
        <v>4.8682999999999996</v>
      </c>
      <c r="M61" s="545">
        <v>4.8933</v>
      </c>
      <c r="N61" s="545">
        <v>4.9939999999999998</v>
      </c>
      <c r="P61" s="547">
        <v>40316</v>
      </c>
      <c r="Q61" s="550">
        <v>0.29563</v>
      </c>
      <c r="R61" s="545">
        <v>0.33968999999999999</v>
      </c>
      <c r="S61" s="545">
        <v>0.39874999999999999</v>
      </c>
      <c r="T61" s="545">
        <v>0.46468999999999999</v>
      </c>
      <c r="U61" s="545">
        <v>0.51437999999999995</v>
      </c>
      <c r="V61" s="545">
        <v>0.57125000000000004</v>
      </c>
      <c r="W61" s="545">
        <v>0.65500000000000003</v>
      </c>
      <c r="X61" s="545">
        <v>1.115</v>
      </c>
    </row>
    <row r="62" spans="6:24">
      <c r="F62" s="547">
        <v>40318</v>
      </c>
      <c r="G62" s="550">
        <v>4.5</v>
      </c>
      <c r="H62" s="545">
        <v>4.63</v>
      </c>
      <c r="I62" s="545">
        <v>4.7066999999999997</v>
      </c>
      <c r="J62" s="545">
        <v>4.7083000000000004</v>
      </c>
      <c r="K62" s="545">
        <v>4.7717000000000001</v>
      </c>
      <c r="L62" s="545">
        <v>4.8232999999999997</v>
      </c>
      <c r="M62" s="545">
        <v>4.8666999999999998</v>
      </c>
      <c r="N62" s="545">
        <v>4.9680999999999997</v>
      </c>
      <c r="P62" s="547">
        <v>40317</v>
      </c>
      <c r="Q62" s="550">
        <v>0.29875000000000002</v>
      </c>
      <c r="R62" s="545">
        <v>0.34105999999999997</v>
      </c>
      <c r="S62" s="545">
        <v>0.40638000000000002</v>
      </c>
      <c r="T62" s="545">
        <v>0.47749999999999998</v>
      </c>
      <c r="U62" s="545">
        <v>0.52937999999999996</v>
      </c>
      <c r="V62" s="545">
        <v>0.58650000000000002</v>
      </c>
      <c r="W62" s="545">
        <v>0.67337999999999998</v>
      </c>
      <c r="X62" s="545">
        <v>1.1299999999999999</v>
      </c>
    </row>
    <row r="63" spans="6:24">
      <c r="F63" s="547">
        <v>40319</v>
      </c>
      <c r="G63" s="550">
        <v>4.5</v>
      </c>
      <c r="H63" s="545">
        <v>4.62</v>
      </c>
      <c r="I63" s="545">
        <v>4.6500000000000004</v>
      </c>
      <c r="J63" s="545">
        <v>4.67</v>
      </c>
      <c r="K63" s="545">
        <v>4.6882999999999999</v>
      </c>
      <c r="L63" s="545">
        <v>4.7083000000000004</v>
      </c>
      <c r="M63" s="545">
        <v>4.7233000000000001</v>
      </c>
      <c r="N63" s="545">
        <v>4.7760999999999996</v>
      </c>
      <c r="P63" s="547">
        <v>40318</v>
      </c>
      <c r="Q63" s="550">
        <v>0.29499999999999998</v>
      </c>
      <c r="R63" s="545">
        <v>0.34131</v>
      </c>
      <c r="S63" s="545">
        <v>0.40938000000000002</v>
      </c>
      <c r="T63" s="545">
        <v>0.48405999999999999</v>
      </c>
      <c r="U63" s="545">
        <v>0.53905999999999998</v>
      </c>
      <c r="V63" s="545">
        <v>0.59469000000000005</v>
      </c>
      <c r="W63" s="545">
        <v>0.67874999999999996</v>
      </c>
      <c r="X63" s="545">
        <v>1.135</v>
      </c>
    </row>
    <row r="64" spans="6:24">
      <c r="F64" s="547">
        <v>40322</v>
      </c>
      <c r="G64" s="550">
        <v>4.5</v>
      </c>
      <c r="H64" s="545">
        <v>4.6100000000000003</v>
      </c>
      <c r="I64" s="545">
        <v>4.6683000000000003</v>
      </c>
      <c r="J64" s="545">
        <v>4.75</v>
      </c>
      <c r="K64" s="545">
        <v>4.7633000000000001</v>
      </c>
      <c r="L64" s="545">
        <v>4.7732999999999999</v>
      </c>
      <c r="M64" s="545">
        <v>4.7933000000000003</v>
      </c>
      <c r="N64" s="545">
        <v>4.8234000000000004</v>
      </c>
      <c r="P64" s="547">
        <v>40319</v>
      </c>
      <c r="Q64" s="550">
        <v>0.29625000000000001</v>
      </c>
      <c r="R64" s="545">
        <v>0.34281</v>
      </c>
      <c r="S64" s="545">
        <v>0.41155999999999998</v>
      </c>
      <c r="T64" s="545">
        <v>0.49687999999999999</v>
      </c>
      <c r="U64" s="545">
        <v>0.55437999999999998</v>
      </c>
      <c r="V64" s="545">
        <v>0.61343999999999999</v>
      </c>
      <c r="W64" s="545">
        <v>0.69562999999999997</v>
      </c>
      <c r="X64" s="545">
        <v>1.15438</v>
      </c>
    </row>
    <row r="65" spans="6:24">
      <c r="F65" s="547">
        <v>40323</v>
      </c>
      <c r="G65" s="550">
        <v>4.5</v>
      </c>
      <c r="H65" s="545">
        <v>4.6749999999999998</v>
      </c>
      <c r="I65" s="545">
        <v>4.7450000000000001</v>
      </c>
      <c r="J65" s="545">
        <v>4.8532999999999999</v>
      </c>
      <c r="K65" s="545">
        <v>4.8849999999999998</v>
      </c>
      <c r="L65" s="545">
        <v>4.9132999999999996</v>
      </c>
      <c r="M65" s="545">
        <v>4.9550000000000001</v>
      </c>
      <c r="N65" s="545">
        <v>4.9260000000000002</v>
      </c>
      <c r="P65" s="547">
        <v>40322</v>
      </c>
      <c r="Q65" s="550">
        <v>0.29563</v>
      </c>
      <c r="R65" s="545">
        <v>0.34525</v>
      </c>
      <c r="S65" s="545">
        <v>0.41693999999999998</v>
      </c>
      <c r="T65" s="545">
        <v>0.50968999999999998</v>
      </c>
      <c r="U65" s="545">
        <v>0.57062999999999997</v>
      </c>
      <c r="V65" s="545">
        <v>0.63312999999999997</v>
      </c>
      <c r="W65" s="545">
        <v>0.71625000000000005</v>
      </c>
      <c r="X65" s="545">
        <v>1.1765600000000001</v>
      </c>
    </row>
    <row r="66" spans="6:24">
      <c r="F66" s="547">
        <v>40324</v>
      </c>
      <c r="G66" s="550">
        <v>4.5</v>
      </c>
      <c r="H66" s="545">
        <v>4.68</v>
      </c>
      <c r="I66" s="545">
        <v>4.7249999999999996</v>
      </c>
      <c r="J66" s="545">
        <v>4.8383000000000003</v>
      </c>
      <c r="K66" s="545">
        <v>4.8600000000000003</v>
      </c>
      <c r="L66" s="545">
        <v>4.8849999999999998</v>
      </c>
      <c r="M66" s="545">
        <v>4.91</v>
      </c>
      <c r="N66" s="545">
        <v>4.8696000000000002</v>
      </c>
      <c r="P66" s="547">
        <v>40323</v>
      </c>
      <c r="Q66" s="550">
        <v>0.29937999999999998</v>
      </c>
      <c r="R66" s="545">
        <v>0.35399999999999998</v>
      </c>
      <c r="S66" s="545">
        <v>0.432</v>
      </c>
      <c r="T66" s="545">
        <v>0.53625</v>
      </c>
      <c r="U66" s="545">
        <v>0.60375000000000001</v>
      </c>
      <c r="V66" s="545">
        <v>0.67181000000000002</v>
      </c>
      <c r="W66" s="545">
        <v>0.75912999999999997</v>
      </c>
      <c r="X66" s="545">
        <v>1.2241299999999999</v>
      </c>
    </row>
    <row r="67" spans="6:24">
      <c r="F67" s="547">
        <v>40325</v>
      </c>
      <c r="G67" s="550">
        <v>4.5</v>
      </c>
      <c r="H67" s="545">
        <v>4.6717000000000004</v>
      </c>
      <c r="I67" s="545">
        <v>4.7366999999999999</v>
      </c>
      <c r="J67" s="545">
        <v>4.8532999999999999</v>
      </c>
      <c r="K67" s="545">
        <v>4.8650000000000002</v>
      </c>
      <c r="L67" s="545">
        <v>4.8733000000000004</v>
      </c>
      <c r="M67" s="545">
        <v>4.8849999999999998</v>
      </c>
      <c r="N67" s="545">
        <v>4.8890000000000002</v>
      </c>
      <c r="P67" s="547">
        <v>40324</v>
      </c>
      <c r="Q67" s="550">
        <v>0.30063000000000001</v>
      </c>
      <c r="R67" s="545">
        <v>0.35405999999999999</v>
      </c>
      <c r="S67" s="545">
        <v>0.43406</v>
      </c>
      <c r="T67" s="545">
        <v>0.53781000000000001</v>
      </c>
      <c r="U67" s="545">
        <v>0.60563</v>
      </c>
      <c r="V67" s="545">
        <v>0.67181000000000002</v>
      </c>
      <c r="W67" s="545">
        <v>0.75788</v>
      </c>
      <c r="X67" s="545">
        <v>1.218</v>
      </c>
    </row>
    <row r="68" spans="6:24">
      <c r="F68" s="547">
        <v>40326</v>
      </c>
      <c r="G68" s="550">
        <v>4.5</v>
      </c>
      <c r="H68" s="545">
        <v>4.68</v>
      </c>
      <c r="I68" s="545">
        <v>4.7516999999999996</v>
      </c>
      <c r="J68" s="545">
        <v>4.8833000000000002</v>
      </c>
      <c r="K68" s="545">
        <v>4.9032999999999998</v>
      </c>
      <c r="L68" s="545">
        <v>4.9233000000000002</v>
      </c>
      <c r="M68" s="545">
        <v>4.96</v>
      </c>
      <c r="N68" s="545">
        <v>4.9847000000000001</v>
      </c>
      <c r="P68" s="547">
        <v>40325</v>
      </c>
      <c r="Q68" s="550">
        <v>0.30125000000000002</v>
      </c>
      <c r="R68" s="545">
        <v>0.35375000000000001</v>
      </c>
      <c r="S68" s="545">
        <v>0.43280999999999997</v>
      </c>
      <c r="T68" s="545">
        <v>0.53844000000000003</v>
      </c>
      <c r="U68" s="545">
        <v>0.60687999999999998</v>
      </c>
      <c r="V68" s="545">
        <v>0.67056000000000004</v>
      </c>
      <c r="W68" s="545">
        <v>0.75849999999999995</v>
      </c>
      <c r="X68" s="545">
        <v>1.2126300000000001</v>
      </c>
    </row>
    <row r="69" spans="6:24">
      <c r="F69" s="547">
        <v>40329</v>
      </c>
      <c r="G69" s="550">
        <v>4.5</v>
      </c>
      <c r="H69" s="545">
        <v>4.6817000000000002</v>
      </c>
      <c r="I69" s="545">
        <v>4.7816999999999998</v>
      </c>
      <c r="J69" s="545">
        <v>4.8666999999999998</v>
      </c>
      <c r="K69" s="545">
        <v>4.8917000000000002</v>
      </c>
      <c r="L69" s="545">
        <v>4.9166999999999996</v>
      </c>
      <c r="M69" s="545">
        <v>4.95</v>
      </c>
      <c r="N69" s="545">
        <v>4.9062000000000001</v>
      </c>
      <c r="P69" s="547">
        <v>40326</v>
      </c>
      <c r="Q69" s="550">
        <v>0.29875000000000002</v>
      </c>
      <c r="R69" s="545">
        <v>0.35125000000000001</v>
      </c>
      <c r="S69" s="545">
        <v>0.43375000000000002</v>
      </c>
      <c r="T69" s="545">
        <v>0.53625</v>
      </c>
      <c r="U69" s="545">
        <v>0.60313000000000005</v>
      </c>
      <c r="V69" s="545">
        <v>0.66593999999999998</v>
      </c>
      <c r="W69" s="545">
        <v>0.75187999999999999</v>
      </c>
      <c r="X69" s="545">
        <v>1.2040599999999999</v>
      </c>
    </row>
    <row r="70" spans="6:24">
      <c r="F70" s="547">
        <v>40330</v>
      </c>
      <c r="G70" s="550">
        <v>4.5</v>
      </c>
      <c r="H70" s="545">
        <v>4.68</v>
      </c>
      <c r="I70" s="545">
        <v>4.7233000000000001</v>
      </c>
      <c r="J70" s="545">
        <v>4.7816999999999998</v>
      </c>
      <c r="K70" s="545">
        <v>4.8232999999999997</v>
      </c>
      <c r="L70" s="545">
        <v>4.8582999999999998</v>
      </c>
      <c r="M70" s="545">
        <v>4.9000000000000004</v>
      </c>
      <c r="N70" s="545">
        <v>4.8997999999999999</v>
      </c>
      <c r="P70" s="547">
        <v>40330</v>
      </c>
      <c r="Q70" s="550">
        <v>0.30337999999999998</v>
      </c>
      <c r="R70" s="545">
        <v>0.35088000000000003</v>
      </c>
      <c r="S70" s="545">
        <v>0.43437999999999999</v>
      </c>
      <c r="T70" s="545">
        <v>0.53625</v>
      </c>
      <c r="U70" s="545">
        <v>0.60775000000000001</v>
      </c>
      <c r="V70" s="545">
        <v>0.67118999999999995</v>
      </c>
      <c r="W70" s="545">
        <v>0.76112999999999997</v>
      </c>
      <c r="X70" s="545">
        <v>1.20875</v>
      </c>
    </row>
    <row r="71" spans="6:24">
      <c r="F71" s="547">
        <v>40331</v>
      </c>
      <c r="G71" s="550">
        <v>4.5</v>
      </c>
      <c r="H71" s="545">
        <v>4.7083000000000004</v>
      </c>
      <c r="I71" s="545">
        <v>4.7416999999999998</v>
      </c>
      <c r="J71" s="545">
        <v>4.82</v>
      </c>
      <c r="K71" s="545">
        <v>4.84</v>
      </c>
      <c r="L71" s="545">
        <v>4.8650000000000002</v>
      </c>
      <c r="M71" s="545">
        <v>4.9000000000000004</v>
      </c>
      <c r="N71" s="545">
        <v>4.8902999999999999</v>
      </c>
      <c r="P71" s="547">
        <v>40331</v>
      </c>
      <c r="Q71" s="550">
        <v>0.30087999999999998</v>
      </c>
      <c r="R71" s="545">
        <v>0.35088000000000003</v>
      </c>
      <c r="S71" s="545">
        <v>0.43687999999999999</v>
      </c>
      <c r="T71" s="545">
        <v>0.53749999999999998</v>
      </c>
      <c r="U71" s="545">
        <v>0.60750000000000004</v>
      </c>
      <c r="V71" s="545">
        <v>0.67081000000000002</v>
      </c>
      <c r="W71" s="545">
        <v>0.75363000000000002</v>
      </c>
      <c r="X71" s="545">
        <v>1.20625</v>
      </c>
    </row>
    <row r="72" spans="6:24">
      <c r="F72" s="547">
        <v>40332</v>
      </c>
      <c r="G72" s="550">
        <v>4.5</v>
      </c>
      <c r="H72" s="545">
        <v>4.7149999999999999</v>
      </c>
      <c r="I72" s="545">
        <v>4.7617000000000003</v>
      </c>
      <c r="J72" s="545">
        <v>4.8150000000000004</v>
      </c>
      <c r="K72" s="545">
        <v>4.8550000000000004</v>
      </c>
      <c r="L72" s="545">
        <v>4.8883000000000001</v>
      </c>
      <c r="M72" s="545">
        <v>4.9400000000000004</v>
      </c>
      <c r="N72" s="545">
        <v>4.9508999999999999</v>
      </c>
      <c r="P72" s="547">
        <v>40332</v>
      </c>
      <c r="Q72" s="550">
        <v>0.30087999999999998</v>
      </c>
      <c r="R72" s="545">
        <v>0.35088000000000003</v>
      </c>
      <c r="S72" s="545">
        <v>0.43687999999999999</v>
      </c>
      <c r="T72" s="545">
        <v>0.53781000000000001</v>
      </c>
      <c r="U72" s="545">
        <v>0.60780999999999996</v>
      </c>
      <c r="V72" s="545">
        <v>0.67205999999999999</v>
      </c>
      <c r="W72" s="545">
        <v>0.753</v>
      </c>
      <c r="X72" s="545">
        <v>1.2050000000000001</v>
      </c>
    </row>
    <row r="73" spans="6:24">
      <c r="F73" s="547">
        <v>40333</v>
      </c>
      <c r="G73" s="550">
        <v>4.5</v>
      </c>
      <c r="H73" s="545">
        <v>4.7032999999999996</v>
      </c>
      <c r="I73" s="545">
        <v>4.7717000000000001</v>
      </c>
      <c r="J73" s="545">
        <v>4.8250000000000002</v>
      </c>
      <c r="K73" s="545">
        <v>4.8650000000000002</v>
      </c>
      <c r="L73" s="545">
        <v>4.91</v>
      </c>
      <c r="M73" s="545">
        <v>4.9733000000000001</v>
      </c>
      <c r="N73" s="545">
        <v>4.9913999999999996</v>
      </c>
      <c r="P73" s="547">
        <v>40333</v>
      </c>
      <c r="Q73" s="550">
        <v>0.30087999999999998</v>
      </c>
      <c r="R73" s="545">
        <v>0.35</v>
      </c>
      <c r="S73" s="545">
        <v>0.43563000000000002</v>
      </c>
      <c r="T73" s="545">
        <v>0.53656000000000004</v>
      </c>
      <c r="U73" s="545">
        <v>0.60655999999999999</v>
      </c>
      <c r="V73" s="545">
        <v>0.66900000000000004</v>
      </c>
      <c r="W73" s="545">
        <v>0.74919000000000002</v>
      </c>
      <c r="X73" s="545">
        <v>1.1965600000000001</v>
      </c>
    </row>
    <row r="74" spans="6:24">
      <c r="F74" s="547">
        <v>40336</v>
      </c>
      <c r="G74" s="550">
        <v>4.5</v>
      </c>
      <c r="H74" s="545">
        <v>4.6833</v>
      </c>
      <c r="I74" s="545">
        <v>4.7683</v>
      </c>
      <c r="J74" s="545">
        <v>4.8567</v>
      </c>
      <c r="K74" s="545">
        <v>4.8883000000000001</v>
      </c>
      <c r="L74" s="545">
        <v>4.9267000000000003</v>
      </c>
      <c r="M74" s="545">
        <v>4.9800000000000004</v>
      </c>
      <c r="N74" s="545">
        <v>4.9268999999999998</v>
      </c>
      <c r="P74" s="547">
        <v>40336</v>
      </c>
      <c r="Q74" s="550">
        <v>0.30087999999999998</v>
      </c>
      <c r="R74" s="545">
        <v>0.35</v>
      </c>
      <c r="S74" s="545">
        <v>0.43530999999999997</v>
      </c>
      <c r="T74" s="545">
        <v>0.53718999999999995</v>
      </c>
      <c r="U74" s="545">
        <v>0.60787999999999998</v>
      </c>
      <c r="V74" s="545">
        <v>0.67256000000000005</v>
      </c>
      <c r="W74" s="545">
        <v>0.75731000000000004</v>
      </c>
      <c r="X74" s="545">
        <v>1.20625</v>
      </c>
    </row>
    <row r="75" spans="6:24">
      <c r="F75" s="547">
        <v>40337</v>
      </c>
      <c r="G75" s="550">
        <v>4.5</v>
      </c>
      <c r="H75" s="545">
        <v>4.6982999999999997</v>
      </c>
      <c r="I75" s="545">
        <v>4.7750000000000004</v>
      </c>
      <c r="J75" s="545">
        <v>4.8817000000000004</v>
      </c>
      <c r="K75" s="545">
        <v>4.9166999999999996</v>
      </c>
      <c r="L75" s="545">
        <v>4.9466999999999999</v>
      </c>
      <c r="M75" s="545">
        <v>4.99</v>
      </c>
      <c r="N75" s="545">
        <v>4.9282000000000004</v>
      </c>
      <c r="P75" s="547">
        <v>40337</v>
      </c>
      <c r="Q75" s="550">
        <v>0.29963000000000001</v>
      </c>
      <c r="R75" s="545">
        <v>0.35</v>
      </c>
      <c r="S75" s="545">
        <v>0.43530999999999997</v>
      </c>
      <c r="T75" s="545">
        <v>0.53688000000000002</v>
      </c>
      <c r="U75" s="545">
        <v>0.60650000000000004</v>
      </c>
      <c r="V75" s="545">
        <v>0.67293999999999998</v>
      </c>
      <c r="W75" s="545">
        <v>0.75363000000000002</v>
      </c>
      <c r="X75" s="545">
        <v>1.1965600000000001</v>
      </c>
    </row>
    <row r="76" spans="6:24">
      <c r="F76" s="547">
        <v>40338</v>
      </c>
      <c r="G76" s="550">
        <v>4.5</v>
      </c>
      <c r="H76" s="545">
        <v>4.7050000000000001</v>
      </c>
      <c r="I76" s="545">
        <v>4.7850000000000001</v>
      </c>
      <c r="J76" s="545">
        <v>4.9000000000000004</v>
      </c>
      <c r="K76" s="545">
        <v>4.9317000000000002</v>
      </c>
      <c r="L76" s="545">
        <v>4.9633000000000003</v>
      </c>
      <c r="M76" s="545">
        <v>5.0016999999999996</v>
      </c>
      <c r="N76" s="545">
        <v>4.9729999999999999</v>
      </c>
      <c r="P76" s="547">
        <v>40338</v>
      </c>
      <c r="Q76" s="550">
        <v>0.29963000000000001</v>
      </c>
      <c r="R76" s="545">
        <v>0.35031000000000001</v>
      </c>
      <c r="S76" s="545">
        <v>0.435</v>
      </c>
      <c r="T76" s="545">
        <v>0.53656000000000004</v>
      </c>
      <c r="U76" s="545">
        <v>0.60572000000000004</v>
      </c>
      <c r="V76" s="545">
        <v>0.67161000000000004</v>
      </c>
      <c r="W76" s="545">
        <v>0.75080999999999998</v>
      </c>
      <c r="X76" s="545">
        <v>1.1906300000000001</v>
      </c>
    </row>
    <row r="77" spans="6:24">
      <c r="F77" s="547">
        <v>40339</v>
      </c>
      <c r="G77" s="550">
        <v>4.5</v>
      </c>
      <c r="H77" s="545">
        <v>4.71</v>
      </c>
      <c r="I77" s="545">
        <v>4.7866999999999997</v>
      </c>
      <c r="J77" s="545">
        <v>4.9267000000000003</v>
      </c>
      <c r="K77" s="545">
        <v>4.9432999999999998</v>
      </c>
      <c r="L77" s="545">
        <v>4.9617000000000004</v>
      </c>
      <c r="M77" s="545">
        <v>4.9667000000000003</v>
      </c>
      <c r="N77" s="545">
        <v>4.9714999999999998</v>
      </c>
      <c r="P77" s="547">
        <v>40339</v>
      </c>
      <c r="Q77" s="550">
        <v>0.29963000000000001</v>
      </c>
      <c r="R77" s="545">
        <v>0.34969</v>
      </c>
      <c r="S77" s="545">
        <v>0.435</v>
      </c>
      <c r="T77" s="545">
        <v>0.53644000000000003</v>
      </c>
      <c r="U77" s="545">
        <v>0.60558999999999996</v>
      </c>
      <c r="V77" s="545">
        <v>0.67135999999999996</v>
      </c>
      <c r="W77" s="545">
        <v>0.74938000000000005</v>
      </c>
      <c r="X77" s="545">
        <v>1.1825000000000001</v>
      </c>
    </row>
    <row r="78" spans="6:24">
      <c r="F78" s="547">
        <v>40340</v>
      </c>
      <c r="G78" s="550">
        <v>4.5</v>
      </c>
      <c r="H78" s="545">
        <v>4.6900000000000004</v>
      </c>
      <c r="I78" s="545">
        <v>4.79</v>
      </c>
      <c r="J78" s="545">
        <v>4.9482999999999997</v>
      </c>
      <c r="K78" s="545">
        <v>4.9717000000000002</v>
      </c>
      <c r="L78" s="545">
        <v>4.9966999999999997</v>
      </c>
      <c r="M78" s="545">
        <v>5.0350000000000001</v>
      </c>
      <c r="N78" s="545">
        <v>5.0568999999999997</v>
      </c>
      <c r="P78" s="547">
        <v>40340</v>
      </c>
      <c r="Q78" s="550">
        <v>0.29899999999999999</v>
      </c>
      <c r="R78" s="545">
        <v>0.34969</v>
      </c>
      <c r="S78" s="545">
        <v>0.435</v>
      </c>
      <c r="T78" s="545">
        <v>0.53705999999999998</v>
      </c>
      <c r="U78" s="545">
        <v>0.60497000000000001</v>
      </c>
      <c r="V78" s="545">
        <v>0.66974999999999996</v>
      </c>
      <c r="W78" s="545">
        <v>0.74612999999999996</v>
      </c>
      <c r="X78" s="545">
        <v>1.18031</v>
      </c>
    </row>
    <row r="79" spans="6:24">
      <c r="F79" s="547">
        <v>40344</v>
      </c>
      <c r="G79" s="550">
        <v>4.5</v>
      </c>
      <c r="H79" s="545">
        <v>4.6900000000000004</v>
      </c>
      <c r="I79" s="545">
        <v>4.7882999999999996</v>
      </c>
      <c r="J79" s="545">
        <v>4.9082999999999997</v>
      </c>
      <c r="K79" s="545">
        <v>4.9516999999999998</v>
      </c>
      <c r="L79" s="545">
        <v>4.99</v>
      </c>
      <c r="M79" s="545">
        <v>5.0266999999999999</v>
      </c>
      <c r="N79" s="545">
        <v>5.0331999999999999</v>
      </c>
      <c r="P79" s="547">
        <v>40343</v>
      </c>
      <c r="Q79" s="550">
        <v>0.29775000000000001</v>
      </c>
      <c r="R79" s="545">
        <v>0.34969</v>
      </c>
      <c r="S79" s="545">
        <v>0.435</v>
      </c>
      <c r="T79" s="545">
        <v>0.53705999999999998</v>
      </c>
      <c r="U79" s="545">
        <v>0.60497000000000001</v>
      </c>
      <c r="V79" s="545">
        <v>0.66944000000000004</v>
      </c>
      <c r="W79" s="545">
        <v>0.75031000000000003</v>
      </c>
      <c r="X79" s="545">
        <v>1.18563</v>
      </c>
    </row>
    <row r="80" spans="6:24">
      <c r="F80" s="547">
        <v>40345</v>
      </c>
      <c r="G80" s="550">
        <v>4.5</v>
      </c>
      <c r="H80" s="545">
        <v>4.7050000000000001</v>
      </c>
      <c r="I80" s="545">
        <v>4.7882999999999996</v>
      </c>
      <c r="J80" s="545">
        <v>4.88</v>
      </c>
      <c r="K80" s="545">
        <v>4.9183000000000003</v>
      </c>
      <c r="L80" s="545">
        <v>4.9550000000000001</v>
      </c>
      <c r="M80" s="545">
        <v>5.0067000000000004</v>
      </c>
      <c r="N80" s="545">
        <v>5.0419</v>
      </c>
      <c r="P80" s="547">
        <v>40344</v>
      </c>
      <c r="Q80" s="550">
        <v>0.29649999999999999</v>
      </c>
      <c r="R80" s="545">
        <v>0.34969</v>
      </c>
      <c r="S80" s="545">
        <v>0.43313000000000001</v>
      </c>
      <c r="T80" s="545">
        <v>0.53893999999999997</v>
      </c>
      <c r="U80" s="545">
        <v>0.60653000000000001</v>
      </c>
      <c r="V80" s="545">
        <v>0.67100000000000004</v>
      </c>
      <c r="W80" s="545">
        <v>0.75480999999999998</v>
      </c>
      <c r="X80" s="545">
        <v>1.19156</v>
      </c>
    </row>
    <row r="81" spans="6:24">
      <c r="F81" s="547">
        <v>40346</v>
      </c>
      <c r="G81" s="550">
        <v>4.5</v>
      </c>
      <c r="H81" s="545">
        <v>4.7</v>
      </c>
      <c r="I81" s="545">
        <v>4.8</v>
      </c>
      <c r="J81" s="545">
        <v>4.8650000000000002</v>
      </c>
      <c r="K81" s="545">
        <v>4.91</v>
      </c>
      <c r="L81" s="545">
        <v>4.95</v>
      </c>
      <c r="M81" s="545">
        <v>5</v>
      </c>
      <c r="N81" s="545">
        <v>5.0362</v>
      </c>
      <c r="P81" s="547">
        <v>40345</v>
      </c>
      <c r="Q81" s="550">
        <v>0.29649999999999999</v>
      </c>
      <c r="R81" s="545">
        <v>0.34844000000000003</v>
      </c>
      <c r="S81" s="545">
        <v>0.43313000000000001</v>
      </c>
      <c r="T81" s="545">
        <v>0.53893999999999997</v>
      </c>
      <c r="U81" s="545">
        <v>0.60653000000000001</v>
      </c>
      <c r="V81" s="545">
        <v>0.67088000000000003</v>
      </c>
      <c r="W81" s="545">
        <v>0.75456000000000001</v>
      </c>
      <c r="X81" s="545">
        <v>1.18875</v>
      </c>
    </row>
    <row r="82" spans="6:24">
      <c r="F82" s="547">
        <v>40347</v>
      </c>
      <c r="G82" s="550">
        <v>4.5</v>
      </c>
      <c r="H82" s="545">
        <v>4.7117000000000004</v>
      </c>
      <c r="I82" s="545">
        <v>4.8049999999999997</v>
      </c>
      <c r="J82" s="545">
        <v>4.92</v>
      </c>
      <c r="K82" s="545">
        <v>4.9466999999999999</v>
      </c>
      <c r="L82" s="545">
        <v>4.9749999999999996</v>
      </c>
      <c r="M82" s="545">
        <v>5.0117000000000003</v>
      </c>
      <c r="N82" s="545">
        <v>5.0556000000000001</v>
      </c>
      <c r="P82" s="547">
        <v>40346</v>
      </c>
      <c r="Q82" s="550">
        <v>0.29525000000000001</v>
      </c>
      <c r="R82" s="545">
        <v>0.34749999999999998</v>
      </c>
      <c r="S82" s="545">
        <v>0.43343999999999999</v>
      </c>
      <c r="T82" s="545">
        <v>0.53925000000000001</v>
      </c>
      <c r="U82" s="545">
        <v>0.60668999999999995</v>
      </c>
      <c r="V82" s="545">
        <v>0.67105999999999999</v>
      </c>
      <c r="W82" s="545">
        <v>0.75475000000000003</v>
      </c>
      <c r="X82" s="545">
        <v>1.19</v>
      </c>
    </row>
    <row r="83" spans="6:24">
      <c r="F83" s="547">
        <v>40350</v>
      </c>
      <c r="G83" s="550">
        <v>4.5</v>
      </c>
      <c r="H83" s="545">
        <v>4.74</v>
      </c>
      <c r="I83" s="545">
        <v>4.8232999999999997</v>
      </c>
      <c r="J83" s="545">
        <v>4.9000000000000004</v>
      </c>
      <c r="K83" s="545">
        <v>4.9516999999999998</v>
      </c>
      <c r="L83" s="545">
        <v>4.99</v>
      </c>
      <c r="M83" s="545">
        <v>5.0416999999999996</v>
      </c>
      <c r="N83" s="545">
        <v>5.1212</v>
      </c>
      <c r="P83" s="547">
        <v>40347</v>
      </c>
      <c r="Q83" s="550">
        <v>0.29587999999999998</v>
      </c>
      <c r="R83" s="545">
        <v>0.34733999999999998</v>
      </c>
      <c r="S83" s="545">
        <v>0.4325</v>
      </c>
      <c r="T83" s="545">
        <v>0.53818999999999995</v>
      </c>
      <c r="U83" s="545">
        <v>0.60531000000000001</v>
      </c>
      <c r="V83" s="545">
        <v>0.66862999999999995</v>
      </c>
      <c r="W83" s="545">
        <v>0.75063000000000002</v>
      </c>
      <c r="X83" s="545">
        <v>1.18313</v>
      </c>
    </row>
    <row r="84" spans="6:24">
      <c r="F84" s="547">
        <v>40351</v>
      </c>
      <c r="G84" s="550">
        <v>4.5</v>
      </c>
      <c r="H84" s="545">
        <v>4.7083000000000004</v>
      </c>
      <c r="I84" s="545">
        <v>4.8033000000000001</v>
      </c>
      <c r="J84" s="545">
        <v>4.9000000000000004</v>
      </c>
      <c r="K84" s="545">
        <v>4.96</v>
      </c>
      <c r="L84" s="545">
        <v>5.0083000000000002</v>
      </c>
      <c r="M84" s="545">
        <v>5.0883000000000003</v>
      </c>
      <c r="N84" s="545">
        <v>5.1153000000000004</v>
      </c>
      <c r="P84" s="547">
        <v>40350</v>
      </c>
      <c r="Q84" s="550">
        <v>0.29813000000000001</v>
      </c>
      <c r="R84" s="545">
        <v>0.34719</v>
      </c>
      <c r="S84" s="545">
        <v>0.43280999999999997</v>
      </c>
      <c r="T84" s="545">
        <v>0.53837999999999997</v>
      </c>
      <c r="U84" s="545">
        <v>0.60519000000000001</v>
      </c>
      <c r="V84" s="545">
        <v>0.67100000000000004</v>
      </c>
      <c r="W84" s="545">
        <v>0.74956</v>
      </c>
      <c r="X84" s="545">
        <v>1.1837500000000001</v>
      </c>
    </row>
    <row r="85" spans="6:24">
      <c r="F85" s="547">
        <v>40352</v>
      </c>
      <c r="G85" s="550">
        <v>4.5</v>
      </c>
      <c r="H85" s="545">
        <v>4.72</v>
      </c>
      <c r="I85" s="545">
        <v>4.8067000000000002</v>
      </c>
      <c r="J85" s="545">
        <v>4.9417</v>
      </c>
      <c r="K85" s="545">
        <v>4.9733000000000001</v>
      </c>
      <c r="L85" s="545">
        <v>5.0250000000000004</v>
      </c>
      <c r="M85" s="545">
        <v>5.09</v>
      </c>
      <c r="N85" s="545">
        <v>5.0906000000000002</v>
      </c>
      <c r="P85" s="547">
        <v>40351</v>
      </c>
      <c r="Q85" s="550">
        <v>0.29813000000000001</v>
      </c>
      <c r="R85" s="545">
        <v>0.34719</v>
      </c>
      <c r="S85" s="545">
        <v>0.43280999999999997</v>
      </c>
      <c r="T85" s="545">
        <v>0.53825000000000001</v>
      </c>
      <c r="U85" s="545">
        <v>0.60506000000000004</v>
      </c>
      <c r="V85" s="545">
        <v>0.66949999999999998</v>
      </c>
      <c r="W85" s="545">
        <v>0.747</v>
      </c>
      <c r="X85" s="545">
        <v>1.175</v>
      </c>
    </row>
    <row r="86" spans="6:24">
      <c r="F86" s="547">
        <v>40353</v>
      </c>
      <c r="G86" s="550">
        <v>4.5</v>
      </c>
      <c r="H86" s="545">
        <v>4.71</v>
      </c>
      <c r="I86" s="545">
        <v>4.8182999999999998</v>
      </c>
      <c r="J86" s="545">
        <v>4.96</v>
      </c>
      <c r="K86" s="545">
        <v>4.9882999999999997</v>
      </c>
      <c r="L86" s="545">
        <v>5.03</v>
      </c>
      <c r="M86" s="545">
        <v>5.0766999999999998</v>
      </c>
      <c r="N86" s="545">
        <v>5.0890000000000004</v>
      </c>
      <c r="P86" s="547">
        <v>40352</v>
      </c>
      <c r="Q86" s="550">
        <v>0.29813000000000001</v>
      </c>
      <c r="R86" s="545">
        <v>0.34719</v>
      </c>
      <c r="S86" s="545">
        <v>0.43280999999999997</v>
      </c>
      <c r="T86" s="545">
        <v>0.53825000000000001</v>
      </c>
      <c r="U86" s="545">
        <v>0.60538000000000003</v>
      </c>
      <c r="V86" s="545">
        <v>0.67105999999999999</v>
      </c>
      <c r="W86" s="545">
        <v>0.74868999999999997</v>
      </c>
      <c r="X86" s="545">
        <v>1.17875</v>
      </c>
    </row>
    <row r="87" spans="6:24">
      <c r="F87" s="547">
        <v>40354</v>
      </c>
      <c r="G87" s="550">
        <v>4.5</v>
      </c>
      <c r="H87" s="545">
        <v>4.7149999999999999</v>
      </c>
      <c r="I87" s="545">
        <v>4.82</v>
      </c>
      <c r="J87" s="545">
        <v>4.9566999999999997</v>
      </c>
      <c r="K87" s="545">
        <v>4.99</v>
      </c>
      <c r="L87" s="545">
        <v>5.0433000000000003</v>
      </c>
      <c r="M87" s="545">
        <v>5.1050000000000004</v>
      </c>
      <c r="N87" s="545">
        <v>5.0952999999999999</v>
      </c>
      <c r="P87" s="547">
        <v>40353</v>
      </c>
      <c r="Q87" s="550">
        <v>0.29563</v>
      </c>
      <c r="R87" s="545">
        <v>0.34719</v>
      </c>
      <c r="S87" s="545">
        <v>0.43187999999999999</v>
      </c>
      <c r="T87" s="545">
        <v>0.53718999999999995</v>
      </c>
      <c r="U87" s="545">
        <v>0.60431000000000001</v>
      </c>
      <c r="V87" s="545">
        <v>0.67125000000000001</v>
      </c>
      <c r="W87" s="545">
        <v>0.75194000000000005</v>
      </c>
      <c r="X87" s="545">
        <v>1.1793800000000001</v>
      </c>
    </row>
    <row r="88" spans="6:24">
      <c r="F88" s="547">
        <v>40357</v>
      </c>
      <c r="G88" s="550">
        <v>4.5</v>
      </c>
      <c r="H88" s="545">
        <v>4.71</v>
      </c>
      <c r="I88" s="545">
        <v>4.835</v>
      </c>
      <c r="J88" s="545">
        <v>4.9683000000000002</v>
      </c>
      <c r="K88" s="545">
        <v>4.9983000000000004</v>
      </c>
      <c r="L88" s="545">
        <v>5.0433000000000003</v>
      </c>
      <c r="M88" s="545">
        <v>5.0999999999999996</v>
      </c>
      <c r="N88" s="545">
        <v>5.0749000000000004</v>
      </c>
      <c r="P88" s="547">
        <v>40354</v>
      </c>
      <c r="Q88" s="550">
        <v>0.29563</v>
      </c>
      <c r="R88" s="545">
        <v>0.34719</v>
      </c>
      <c r="S88" s="545">
        <v>0.43063000000000001</v>
      </c>
      <c r="T88" s="545">
        <v>0.53469</v>
      </c>
      <c r="U88" s="545">
        <v>0.60431000000000001</v>
      </c>
      <c r="V88" s="545">
        <v>0.67249999999999999</v>
      </c>
      <c r="W88" s="545">
        <v>0.75319000000000003</v>
      </c>
      <c r="X88" s="545">
        <v>1.18313</v>
      </c>
    </row>
    <row r="89" spans="6:24">
      <c r="F89" s="547">
        <v>40358</v>
      </c>
      <c r="G89" s="550">
        <v>4.5</v>
      </c>
      <c r="H89" s="545">
        <v>4.7267000000000001</v>
      </c>
      <c r="I89" s="545">
        <v>4.8367000000000004</v>
      </c>
      <c r="J89" s="545">
        <v>4.9817</v>
      </c>
      <c r="K89" s="545">
        <v>5.0033000000000003</v>
      </c>
      <c r="L89" s="545">
        <v>5.0316999999999998</v>
      </c>
      <c r="M89" s="545">
        <v>5.0650000000000004</v>
      </c>
      <c r="N89" s="545">
        <v>5.0430000000000001</v>
      </c>
      <c r="P89" s="547">
        <v>40357</v>
      </c>
      <c r="Q89" s="550">
        <v>0.29313</v>
      </c>
      <c r="R89" s="545">
        <v>0.34719</v>
      </c>
      <c r="S89" s="545">
        <v>0.43063000000000001</v>
      </c>
      <c r="T89" s="545">
        <v>0.53344000000000003</v>
      </c>
      <c r="U89" s="545">
        <v>0.60250000000000004</v>
      </c>
      <c r="V89" s="545">
        <v>0.66913</v>
      </c>
      <c r="W89" s="545">
        <v>0.74719000000000002</v>
      </c>
      <c r="X89" s="545">
        <v>1.17563</v>
      </c>
    </row>
    <row r="90" spans="6:24">
      <c r="F90" s="547">
        <v>40359</v>
      </c>
      <c r="G90" s="550">
        <v>4.5</v>
      </c>
      <c r="H90" s="545">
        <v>4.75</v>
      </c>
      <c r="I90" s="545">
        <v>4.8417000000000003</v>
      </c>
      <c r="J90" s="545">
        <v>4.92</v>
      </c>
      <c r="K90" s="545">
        <v>4.96</v>
      </c>
      <c r="L90" s="545">
        <v>4.9800000000000004</v>
      </c>
      <c r="M90" s="545">
        <v>5</v>
      </c>
      <c r="N90" s="545">
        <v>4.9200999999999997</v>
      </c>
      <c r="P90" s="547">
        <v>40358</v>
      </c>
      <c r="Q90" s="550">
        <v>0.29375000000000001</v>
      </c>
      <c r="R90" s="545">
        <v>0.34562999999999999</v>
      </c>
      <c r="S90" s="545">
        <v>0.43125000000000002</v>
      </c>
      <c r="T90" s="545">
        <v>0.53300000000000003</v>
      </c>
      <c r="U90" s="545">
        <v>0.60224999999999995</v>
      </c>
      <c r="V90" s="545">
        <v>0.67137999999999998</v>
      </c>
      <c r="W90" s="545">
        <v>0.75068999999999997</v>
      </c>
      <c r="X90" s="545">
        <v>1.17438</v>
      </c>
    </row>
    <row r="91" spans="6:24">
      <c r="F91" s="547">
        <v>40360</v>
      </c>
      <c r="G91" s="550">
        <v>4.5</v>
      </c>
      <c r="H91" s="545">
        <v>4.7</v>
      </c>
      <c r="I91" s="545">
        <v>4.8433000000000002</v>
      </c>
      <c r="J91" s="545">
        <v>4.84</v>
      </c>
      <c r="K91" s="545">
        <v>4.8949999999999996</v>
      </c>
      <c r="L91" s="545">
        <v>4.9283000000000001</v>
      </c>
      <c r="M91" s="545">
        <v>4.9649999999999999</v>
      </c>
      <c r="N91" s="545">
        <v>4.9077999999999999</v>
      </c>
      <c r="P91" s="547">
        <v>40359</v>
      </c>
      <c r="Q91" s="550">
        <v>0.30563000000000001</v>
      </c>
      <c r="R91" s="545">
        <v>0.34844000000000003</v>
      </c>
      <c r="S91" s="545">
        <v>0.43187999999999999</v>
      </c>
      <c r="T91" s="545">
        <v>0.53393999999999997</v>
      </c>
      <c r="U91" s="545">
        <v>0.60350000000000004</v>
      </c>
      <c r="V91" s="545">
        <v>0.67188000000000003</v>
      </c>
      <c r="W91" s="545">
        <v>0.75249999999999995</v>
      </c>
      <c r="X91" s="545">
        <v>1.17313</v>
      </c>
    </row>
    <row r="92" spans="6:24">
      <c r="F92" s="547">
        <v>40361</v>
      </c>
      <c r="G92" s="550">
        <v>4.5</v>
      </c>
      <c r="H92" s="545">
        <v>4.7450000000000001</v>
      </c>
      <c r="I92" s="545">
        <v>4.8433000000000002</v>
      </c>
      <c r="J92" s="545">
        <v>4.8650000000000002</v>
      </c>
      <c r="K92" s="545">
        <v>4.9032999999999998</v>
      </c>
      <c r="L92" s="545">
        <v>4.9450000000000003</v>
      </c>
      <c r="M92" s="545">
        <v>4.9800000000000004</v>
      </c>
      <c r="N92" s="545">
        <v>4.9226999999999999</v>
      </c>
      <c r="P92" s="547">
        <v>40360</v>
      </c>
      <c r="Q92" s="550">
        <v>0.30063000000000001</v>
      </c>
      <c r="R92" s="545">
        <v>0.34719</v>
      </c>
      <c r="S92" s="545">
        <v>0.43063000000000001</v>
      </c>
      <c r="T92" s="545">
        <v>0.53330999999999995</v>
      </c>
      <c r="U92" s="545">
        <v>0.60338000000000003</v>
      </c>
      <c r="V92" s="545">
        <v>0.67162999999999995</v>
      </c>
      <c r="W92" s="545">
        <v>0.751</v>
      </c>
      <c r="X92" s="545">
        <v>1.17313</v>
      </c>
    </row>
    <row r="93" spans="6:24">
      <c r="F93" s="547">
        <v>40364</v>
      </c>
      <c r="G93" s="550">
        <v>4.5</v>
      </c>
      <c r="H93" s="545">
        <v>4.7317</v>
      </c>
      <c r="I93" s="545">
        <v>4.8417000000000003</v>
      </c>
      <c r="J93" s="545">
        <v>4.8517000000000001</v>
      </c>
      <c r="K93" s="545">
        <v>4.8883000000000001</v>
      </c>
      <c r="L93" s="545">
        <v>4.9233000000000002</v>
      </c>
      <c r="M93" s="545">
        <v>4.95</v>
      </c>
      <c r="N93" s="545">
        <v>4.8666999999999998</v>
      </c>
      <c r="P93" s="547">
        <v>40361</v>
      </c>
      <c r="Q93" s="550">
        <v>0.29499999999999998</v>
      </c>
      <c r="R93" s="545">
        <v>0.34749999999999998</v>
      </c>
      <c r="S93" s="545">
        <v>0.43063000000000001</v>
      </c>
      <c r="T93" s="545">
        <v>0.53363000000000005</v>
      </c>
      <c r="U93" s="545">
        <v>0.60338000000000003</v>
      </c>
      <c r="V93" s="545">
        <v>0.67225000000000001</v>
      </c>
      <c r="W93" s="545">
        <v>0.75005999999999995</v>
      </c>
      <c r="X93" s="545">
        <v>1.17188</v>
      </c>
    </row>
    <row r="94" spans="6:24">
      <c r="F94" s="547">
        <v>40365</v>
      </c>
      <c r="G94" s="550">
        <v>4.5</v>
      </c>
      <c r="H94" s="545">
        <v>4.7300000000000004</v>
      </c>
      <c r="I94" s="545">
        <v>4.8333000000000004</v>
      </c>
      <c r="J94" s="545">
        <v>4.82</v>
      </c>
      <c r="K94" s="545">
        <v>4.8650000000000002</v>
      </c>
      <c r="L94" s="545">
        <v>4.9000000000000004</v>
      </c>
      <c r="M94" s="545">
        <v>4.93</v>
      </c>
      <c r="N94" s="545">
        <v>4.8327</v>
      </c>
      <c r="P94" s="547">
        <v>40364</v>
      </c>
      <c r="Q94" s="550">
        <v>0.29499999999999998</v>
      </c>
      <c r="R94" s="545">
        <v>0.34625</v>
      </c>
      <c r="S94" s="545">
        <v>0.42937999999999998</v>
      </c>
      <c r="T94" s="545">
        <v>0.53125</v>
      </c>
      <c r="U94" s="545">
        <v>0.60124999999999995</v>
      </c>
      <c r="V94" s="545">
        <v>0.66937999999999998</v>
      </c>
      <c r="W94" s="545">
        <v>0.74343999999999999</v>
      </c>
      <c r="X94" s="545">
        <v>1.1637500000000001</v>
      </c>
    </row>
    <row r="95" spans="6:24">
      <c r="F95" s="547">
        <v>40366</v>
      </c>
      <c r="G95" s="550">
        <v>4.5</v>
      </c>
      <c r="H95" s="545">
        <v>4.74</v>
      </c>
      <c r="I95" s="545">
        <v>4.84</v>
      </c>
      <c r="J95" s="545">
        <v>4.8499999999999996</v>
      </c>
      <c r="K95" s="545">
        <v>4.87</v>
      </c>
      <c r="L95" s="545">
        <v>4.9000000000000004</v>
      </c>
      <c r="M95" s="545">
        <v>4.91</v>
      </c>
      <c r="N95" s="545">
        <v>4.8882000000000003</v>
      </c>
      <c r="P95" s="547">
        <v>40365</v>
      </c>
      <c r="Q95" s="550">
        <v>0.28875000000000001</v>
      </c>
      <c r="R95" s="545">
        <v>0.34625</v>
      </c>
      <c r="S95" s="545">
        <v>0.42937999999999998</v>
      </c>
      <c r="T95" s="545">
        <v>0.53112999999999999</v>
      </c>
      <c r="U95" s="545">
        <v>0.60113000000000005</v>
      </c>
      <c r="V95" s="545">
        <v>0.66937999999999998</v>
      </c>
      <c r="W95" s="545">
        <v>0.74243999999999999</v>
      </c>
      <c r="X95" s="545">
        <v>1.16313</v>
      </c>
    </row>
    <row r="96" spans="6:24">
      <c r="F96" s="547">
        <v>40367</v>
      </c>
      <c r="G96" s="550">
        <v>4.5</v>
      </c>
      <c r="H96" s="545">
        <v>4.7350000000000003</v>
      </c>
      <c r="I96" s="545">
        <v>4.8433000000000002</v>
      </c>
      <c r="J96" s="545">
        <v>4.8650000000000002</v>
      </c>
      <c r="K96" s="545">
        <v>4.8917000000000002</v>
      </c>
      <c r="L96" s="545">
        <v>4.9217000000000004</v>
      </c>
      <c r="M96" s="545">
        <v>4.9532999999999996</v>
      </c>
      <c r="N96" s="545">
        <v>4.9157999999999999</v>
      </c>
      <c r="P96" s="547">
        <v>40366</v>
      </c>
      <c r="Q96" s="550">
        <v>0.28499999999999998</v>
      </c>
      <c r="R96" s="545">
        <v>0.34499999999999997</v>
      </c>
      <c r="S96" s="545">
        <v>0.42813000000000001</v>
      </c>
      <c r="T96" s="545">
        <v>0.52988000000000002</v>
      </c>
      <c r="U96" s="545">
        <v>0.59987999999999997</v>
      </c>
      <c r="V96" s="545">
        <v>0.66688000000000003</v>
      </c>
      <c r="W96" s="545">
        <v>0.74243999999999999</v>
      </c>
      <c r="X96" s="545">
        <v>1.16188</v>
      </c>
    </row>
    <row r="97" spans="6:24">
      <c r="F97" s="547">
        <v>40368</v>
      </c>
      <c r="G97" s="550">
        <v>4.5</v>
      </c>
      <c r="H97" s="545">
        <v>4.7300000000000004</v>
      </c>
      <c r="I97" s="545">
        <v>4.8517000000000001</v>
      </c>
      <c r="J97" s="545">
        <v>4.8867000000000003</v>
      </c>
      <c r="K97" s="545">
        <v>4.9466999999999999</v>
      </c>
      <c r="L97" s="545">
        <v>4.9983000000000004</v>
      </c>
      <c r="M97" s="545">
        <v>5.0650000000000004</v>
      </c>
      <c r="N97" s="545">
        <v>5.0069999999999997</v>
      </c>
      <c r="P97" s="547">
        <v>40367</v>
      </c>
      <c r="Q97" s="550">
        <v>0.28125</v>
      </c>
      <c r="R97" s="545">
        <v>0.34250000000000003</v>
      </c>
      <c r="S97" s="545">
        <v>0.42563000000000001</v>
      </c>
      <c r="T97" s="545">
        <v>0.52749999999999997</v>
      </c>
      <c r="U97" s="545">
        <v>0.59499999999999997</v>
      </c>
      <c r="V97" s="545">
        <v>0.66249999999999998</v>
      </c>
      <c r="W97" s="545">
        <v>0.73719000000000001</v>
      </c>
      <c r="X97" s="545">
        <v>1.15438</v>
      </c>
    </row>
    <row r="98" spans="6:24">
      <c r="F98" s="547">
        <v>40371</v>
      </c>
      <c r="G98" s="550">
        <v>4.5</v>
      </c>
      <c r="H98" s="545">
        <v>4.7350000000000003</v>
      </c>
      <c r="I98" s="545">
        <v>4.8600000000000003</v>
      </c>
      <c r="J98" s="545">
        <v>4.8467000000000002</v>
      </c>
      <c r="K98" s="545">
        <v>4.9367000000000001</v>
      </c>
      <c r="L98" s="545">
        <v>5</v>
      </c>
      <c r="M98" s="545">
        <v>5.05</v>
      </c>
      <c r="N98" s="545">
        <v>5.0218999999999996</v>
      </c>
      <c r="P98" s="547">
        <v>40368</v>
      </c>
      <c r="Q98" s="550">
        <v>0.27500000000000002</v>
      </c>
      <c r="R98" s="545">
        <v>0.34094000000000002</v>
      </c>
      <c r="S98" s="545">
        <v>0.42531000000000002</v>
      </c>
      <c r="T98" s="545">
        <v>0.52681</v>
      </c>
      <c r="U98" s="545">
        <v>0.59343999999999997</v>
      </c>
      <c r="V98" s="545">
        <v>0.65874999999999995</v>
      </c>
      <c r="W98" s="545">
        <v>0.73319000000000001</v>
      </c>
      <c r="X98" s="545">
        <v>1.14625</v>
      </c>
    </row>
    <row r="99" spans="6:24">
      <c r="F99" s="547">
        <v>40372</v>
      </c>
      <c r="G99" s="550">
        <v>4.5</v>
      </c>
      <c r="H99" s="545">
        <v>4.74</v>
      </c>
      <c r="I99" s="545">
        <v>4.8367000000000004</v>
      </c>
      <c r="J99" s="545">
        <v>4.88</v>
      </c>
      <c r="K99" s="545">
        <v>4.9317000000000002</v>
      </c>
      <c r="L99" s="545">
        <v>4.99</v>
      </c>
      <c r="M99" s="545">
        <v>5.0449999999999999</v>
      </c>
      <c r="N99" s="545">
        <v>5.0018000000000002</v>
      </c>
      <c r="P99" s="547">
        <v>40371</v>
      </c>
      <c r="Q99" s="550">
        <v>0.27374999999999999</v>
      </c>
      <c r="R99" s="545">
        <v>0.34094000000000002</v>
      </c>
      <c r="S99" s="545">
        <v>0.42531000000000002</v>
      </c>
      <c r="T99" s="545">
        <v>0.52556000000000003</v>
      </c>
      <c r="U99" s="545">
        <v>0.59343999999999997</v>
      </c>
      <c r="V99" s="545">
        <v>0.65749999999999997</v>
      </c>
      <c r="W99" s="545">
        <v>0.73163</v>
      </c>
      <c r="X99" s="545">
        <v>1.14375</v>
      </c>
    </row>
    <row r="100" spans="6:24">
      <c r="F100" s="547">
        <v>40373</v>
      </c>
      <c r="G100" s="550">
        <v>4.5</v>
      </c>
      <c r="H100" s="545">
        <v>4.7300000000000004</v>
      </c>
      <c r="I100" s="545">
        <v>4.84</v>
      </c>
      <c r="J100" s="545">
        <v>4.8899999999999997</v>
      </c>
      <c r="K100" s="545">
        <v>4.9450000000000003</v>
      </c>
      <c r="L100" s="545">
        <v>5.0067000000000004</v>
      </c>
      <c r="M100" s="545">
        <v>5.0732999999999997</v>
      </c>
      <c r="N100" s="545">
        <v>5.0369999999999999</v>
      </c>
      <c r="P100" s="547">
        <v>40372</v>
      </c>
      <c r="Q100" s="550">
        <v>0.27344000000000002</v>
      </c>
      <c r="R100" s="545">
        <v>0.34094000000000002</v>
      </c>
      <c r="S100" s="545">
        <v>0.42531000000000002</v>
      </c>
      <c r="T100" s="545">
        <v>0.52593999999999996</v>
      </c>
      <c r="U100" s="545">
        <v>0.59438000000000002</v>
      </c>
      <c r="V100" s="545">
        <v>0.65749999999999997</v>
      </c>
      <c r="W100" s="545">
        <v>0.73312999999999995</v>
      </c>
      <c r="X100" s="545">
        <v>1.145</v>
      </c>
    </row>
    <row r="101" spans="6:24">
      <c r="F101" s="547">
        <v>40374</v>
      </c>
      <c r="G101" s="550">
        <v>4.5</v>
      </c>
      <c r="H101" s="545">
        <v>4.76</v>
      </c>
      <c r="I101" s="545">
        <v>4.8333000000000004</v>
      </c>
      <c r="J101" s="545">
        <v>4.8982999999999999</v>
      </c>
      <c r="K101" s="545">
        <v>4.95</v>
      </c>
      <c r="L101" s="545">
        <v>5.0049999999999999</v>
      </c>
      <c r="M101" s="545">
        <v>5.0650000000000004</v>
      </c>
      <c r="N101" s="545">
        <v>5.0167000000000002</v>
      </c>
      <c r="P101" s="547">
        <v>40373</v>
      </c>
      <c r="Q101" s="550">
        <v>0.27124999999999999</v>
      </c>
      <c r="R101" s="545">
        <v>0.34094000000000002</v>
      </c>
      <c r="S101" s="545">
        <v>0.42531000000000002</v>
      </c>
      <c r="T101" s="545">
        <v>0.52563000000000004</v>
      </c>
      <c r="U101" s="545">
        <v>0.59280999999999995</v>
      </c>
      <c r="V101" s="545">
        <v>0.65488000000000002</v>
      </c>
      <c r="W101" s="545">
        <v>0.73131000000000002</v>
      </c>
      <c r="X101" s="545">
        <v>1.14063</v>
      </c>
    </row>
    <row r="102" spans="6:24">
      <c r="F102" s="547">
        <v>40375</v>
      </c>
      <c r="G102" s="550">
        <v>4.5</v>
      </c>
      <c r="H102" s="545">
        <v>4.74</v>
      </c>
      <c r="I102" s="545">
        <v>4.82</v>
      </c>
      <c r="J102" s="545">
        <v>4.82</v>
      </c>
      <c r="K102" s="545">
        <v>4.87</v>
      </c>
      <c r="L102" s="545">
        <v>4.9249999999999998</v>
      </c>
      <c r="M102" s="545">
        <v>4.97</v>
      </c>
      <c r="N102" s="545">
        <v>5.0114999999999998</v>
      </c>
      <c r="P102" s="547">
        <v>40374</v>
      </c>
      <c r="Q102" s="550">
        <v>0.27</v>
      </c>
      <c r="R102" s="545">
        <v>0.34062999999999999</v>
      </c>
      <c r="S102" s="545">
        <v>0.42405999999999999</v>
      </c>
      <c r="T102" s="545">
        <v>0.52468999999999999</v>
      </c>
      <c r="U102" s="545">
        <v>0.59180999999999995</v>
      </c>
      <c r="V102" s="545">
        <v>0.65449999999999997</v>
      </c>
      <c r="W102" s="545">
        <v>0.72987999999999997</v>
      </c>
      <c r="X102" s="545">
        <v>1.13375</v>
      </c>
    </row>
    <row r="103" spans="6:24">
      <c r="F103" s="547">
        <v>40378</v>
      </c>
      <c r="G103" s="550">
        <v>4.5</v>
      </c>
      <c r="H103" s="545">
        <v>4.7300000000000004</v>
      </c>
      <c r="I103" s="545">
        <v>4.8067000000000002</v>
      </c>
      <c r="J103" s="545">
        <v>4.7949999999999999</v>
      </c>
      <c r="K103" s="545">
        <v>4.8383000000000003</v>
      </c>
      <c r="L103" s="545">
        <v>4.8783000000000003</v>
      </c>
      <c r="M103" s="545">
        <v>4.9132999999999996</v>
      </c>
      <c r="N103" s="545">
        <v>4.9577</v>
      </c>
      <c r="P103" s="547">
        <v>40375</v>
      </c>
      <c r="Q103" s="550">
        <v>0.26874999999999999</v>
      </c>
      <c r="R103" s="545">
        <v>0.33812999999999999</v>
      </c>
      <c r="S103" s="545">
        <v>0.42375000000000002</v>
      </c>
      <c r="T103" s="545">
        <v>0.52124999999999999</v>
      </c>
      <c r="U103" s="545">
        <v>0.58906000000000003</v>
      </c>
      <c r="V103" s="545">
        <v>0.65215999999999996</v>
      </c>
      <c r="W103" s="545">
        <v>0.72655999999999998</v>
      </c>
      <c r="X103" s="545">
        <v>1.1268800000000001</v>
      </c>
    </row>
    <row r="104" spans="6:24">
      <c r="F104" s="547">
        <v>40379</v>
      </c>
      <c r="G104" s="550">
        <v>4.5</v>
      </c>
      <c r="H104" s="545">
        <v>4.7300000000000004</v>
      </c>
      <c r="I104" s="545">
        <v>4.82</v>
      </c>
      <c r="J104" s="545">
        <v>4.8083</v>
      </c>
      <c r="K104" s="545">
        <v>4.8550000000000004</v>
      </c>
      <c r="L104" s="545">
        <v>4.9050000000000002</v>
      </c>
      <c r="M104" s="545">
        <v>4.9432999999999998</v>
      </c>
      <c r="N104" s="545">
        <v>5.0270999999999999</v>
      </c>
      <c r="P104" s="547">
        <v>40378</v>
      </c>
      <c r="Q104" s="550">
        <v>0.26374999999999998</v>
      </c>
      <c r="R104" s="545">
        <v>0.33688000000000001</v>
      </c>
      <c r="S104" s="545">
        <v>0.42187999999999998</v>
      </c>
      <c r="T104" s="545">
        <v>0.51780999999999999</v>
      </c>
      <c r="U104" s="545">
        <v>0.58313000000000004</v>
      </c>
      <c r="V104" s="545">
        <v>0.64463000000000004</v>
      </c>
      <c r="W104" s="545">
        <v>0.71813000000000005</v>
      </c>
      <c r="X104" s="545">
        <v>1.11656</v>
      </c>
    </row>
    <row r="105" spans="6:24">
      <c r="F105" s="547">
        <v>40380</v>
      </c>
      <c r="G105" s="550">
        <v>4.5</v>
      </c>
      <c r="H105" s="545">
        <v>4.74</v>
      </c>
      <c r="I105" s="545">
        <v>4.8266999999999998</v>
      </c>
      <c r="J105" s="545">
        <v>4.82</v>
      </c>
      <c r="K105" s="545">
        <v>4.88</v>
      </c>
      <c r="L105" s="545">
        <v>4.9466999999999999</v>
      </c>
      <c r="M105" s="545">
        <v>5.0117000000000003</v>
      </c>
      <c r="N105" s="545">
        <v>5.0647000000000002</v>
      </c>
      <c r="P105" s="547">
        <v>40379</v>
      </c>
      <c r="Q105" s="550">
        <v>0.26094000000000001</v>
      </c>
      <c r="R105" s="545">
        <v>0.33250000000000002</v>
      </c>
      <c r="S105" s="545">
        <v>0.41749999999999998</v>
      </c>
      <c r="T105" s="545">
        <v>0.51249999999999996</v>
      </c>
      <c r="U105" s="545">
        <v>0.57962999999999998</v>
      </c>
      <c r="V105" s="545">
        <v>0.63993999999999995</v>
      </c>
      <c r="W105" s="545">
        <v>0.71087999999999996</v>
      </c>
      <c r="X105" s="545">
        <v>1.10188</v>
      </c>
    </row>
    <row r="106" spans="6:24">
      <c r="F106" s="547">
        <v>40381</v>
      </c>
      <c r="G106" s="550">
        <v>4.5</v>
      </c>
      <c r="H106" s="545">
        <v>4.6849999999999996</v>
      </c>
      <c r="I106" s="545">
        <v>4.8017000000000003</v>
      </c>
      <c r="J106" s="545">
        <v>4.7832999999999997</v>
      </c>
      <c r="K106" s="545">
        <v>4.8616999999999999</v>
      </c>
      <c r="L106" s="545">
        <v>4.9450000000000003</v>
      </c>
      <c r="M106" s="545">
        <v>5.0133000000000001</v>
      </c>
      <c r="N106" s="545">
        <v>5.0400999999999998</v>
      </c>
      <c r="P106" s="547">
        <v>40380</v>
      </c>
      <c r="Q106" s="550">
        <v>0.25718999999999997</v>
      </c>
      <c r="R106" s="545">
        <v>0.33062999999999998</v>
      </c>
      <c r="S106" s="545">
        <v>0.41343999999999997</v>
      </c>
      <c r="T106" s="545">
        <v>0.50624999999999998</v>
      </c>
      <c r="U106" s="545">
        <v>0.56974999999999998</v>
      </c>
      <c r="V106" s="545">
        <v>0.63275000000000003</v>
      </c>
      <c r="W106" s="545">
        <v>0.70262999999999998</v>
      </c>
      <c r="X106" s="545">
        <v>1.0874999999999999</v>
      </c>
    </row>
    <row r="107" spans="6:24">
      <c r="F107" s="547">
        <v>40382</v>
      </c>
      <c r="G107" s="550">
        <v>4.5</v>
      </c>
      <c r="H107" s="545">
        <v>4.7133000000000003</v>
      </c>
      <c r="I107" s="545">
        <v>4.8</v>
      </c>
      <c r="J107" s="545">
        <v>4.83</v>
      </c>
      <c r="K107" s="545">
        <v>4.8883000000000001</v>
      </c>
      <c r="L107" s="545">
        <v>4.9850000000000003</v>
      </c>
      <c r="M107" s="545">
        <v>5.09</v>
      </c>
      <c r="N107" s="545">
        <v>5.0724999999999998</v>
      </c>
      <c r="P107" s="547">
        <v>40381</v>
      </c>
      <c r="Q107" s="550">
        <v>0.25124999999999997</v>
      </c>
      <c r="R107" s="545">
        <v>0.32874999999999999</v>
      </c>
      <c r="S107" s="545">
        <v>0.40938000000000002</v>
      </c>
      <c r="T107" s="545">
        <v>0.49780999999999997</v>
      </c>
      <c r="U107" s="545">
        <v>0.56630999999999998</v>
      </c>
      <c r="V107" s="545">
        <v>0.62963000000000002</v>
      </c>
      <c r="W107" s="545">
        <v>0.70074999999999998</v>
      </c>
      <c r="X107" s="545">
        <v>1.08</v>
      </c>
    </row>
    <row r="108" spans="6:24">
      <c r="F108" s="547">
        <v>40385</v>
      </c>
      <c r="G108" s="550">
        <v>4.5</v>
      </c>
      <c r="H108" s="545">
        <v>4.72</v>
      </c>
      <c r="I108" s="545">
        <v>4.8067000000000002</v>
      </c>
      <c r="J108" s="545">
        <v>4.82</v>
      </c>
      <c r="K108" s="545">
        <v>4.8867000000000003</v>
      </c>
      <c r="L108" s="545">
        <v>4.9733000000000001</v>
      </c>
      <c r="M108" s="545">
        <v>5.0632999999999999</v>
      </c>
      <c r="N108" s="545">
        <v>5.1108000000000002</v>
      </c>
      <c r="P108" s="547">
        <v>40382</v>
      </c>
      <c r="Q108" s="550">
        <v>0.24781</v>
      </c>
      <c r="R108" s="545">
        <v>0.32688</v>
      </c>
      <c r="S108" s="545">
        <v>0.40562999999999999</v>
      </c>
      <c r="T108" s="545">
        <v>0.49313000000000001</v>
      </c>
      <c r="U108" s="545">
        <v>0.55869000000000002</v>
      </c>
      <c r="V108" s="545">
        <v>0.62338000000000005</v>
      </c>
      <c r="W108" s="545">
        <v>0.69699999999999995</v>
      </c>
      <c r="X108" s="545">
        <v>1.0746899999999999</v>
      </c>
    </row>
    <row r="109" spans="6:24">
      <c r="F109" s="547">
        <v>40386</v>
      </c>
      <c r="G109" s="550">
        <v>4.5</v>
      </c>
      <c r="H109" s="545">
        <v>4.7300000000000004</v>
      </c>
      <c r="I109" s="545">
        <v>4.8</v>
      </c>
      <c r="J109" s="545">
        <v>4.82</v>
      </c>
      <c r="K109" s="545">
        <v>4.8967000000000001</v>
      </c>
      <c r="L109" s="545">
        <v>4.9850000000000003</v>
      </c>
      <c r="M109" s="545">
        <v>5.0782999999999996</v>
      </c>
      <c r="N109" s="545">
        <v>5.0919999999999996</v>
      </c>
      <c r="P109" s="547">
        <v>40385</v>
      </c>
      <c r="Q109" s="550">
        <v>0.24593999999999999</v>
      </c>
      <c r="R109" s="545">
        <v>0.32500000000000001</v>
      </c>
      <c r="S109" s="545">
        <v>0.40125</v>
      </c>
      <c r="T109" s="545">
        <v>0.48749999999999999</v>
      </c>
      <c r="U109" s="545">
        <v>0.55549999999999999</v>
      </c>
      <c r="V109" s="545">
        <v>0.62175000000000002</v>
      </c>
      <c r="W109" s="545">
        <v>0.69769000000000003</v>
      </c>
      <c r="X109" s="545">
        <v>1.0803100000000001</v>
      </c>
    </row>
    <row r="110" spans="6:24">
      <c r="F110" s="547">
        <v>40387</v>
      </c>
      <c r="G110" s="550">
        <v>4.5</v>
      </c>
      <c r="H110" s="545">
        <v>4.74</v>
      </c>
      <c r="I110" s="545">
        <v>4.8117000000000001</v>
      </c>
      <c r="J110" s="545">
        <v>4.8483000000000001</v>
      </c>
      <c r="K110" s="545">
        <v>4.915</v>
      </c>
      <c r="L110" s="545">
        <v>5.01</v>
      </c>
      <c r="M110" s="545">
        <v>5.1032999999999999</v>
      </c>
      <c r="N110" s="545">
        <v>5.1040000000000001</v>
      </c>
      <c r="P110" s="547">
        <v>40386</v>
      </c>
      <c r="Q110" s="550">
        <v>0.24562999999999999</v>
      </c>
      <c r="R110" s="545">
        <v>0.32063000000000003</v>
      </c>
      <c r="S110" s="545">
        <v>0.39280999999999999</v>
      </c>
      <c r="T110" s="545">
        <v>0.48125000000000001</v>
      </c>
      <c r="U110" s="545">
        <v>0.54874999999999996</v>
      </c>
      <c r="V110" s="545">
        <v>0.61756</v>
      </c>
      <c r="W110" s="545">
        <v>0.69430999999999998</v>
      </c>
      <c r="X110" s="545">
        <v>1.0746899999999999</v>
      </c>
    </row>
    <row r="111" spans="6:24">
      <c r="F111" s="547">
        <v>40388</v>
      </c>
      <c r="G111" s="550">
        <v>4.5</v>
      </c>
      <c r="H111" s="545">
        <v>4.66</v>
      </c>
      <c r="I111" s="545">
        <v>4.7317</v>
      </c>
      <c r="J111" s="545">
        <v>4.78</v>
      </c>
      <c r="K111" s="545">
        <v>4.8567</v>
      </c>
      <c r="L111" s="545">
        <v>4.9116999999999997</v>
      </c>
      <c r="M111" s="545">
        <v>4.9516999999999998</v>
      </c>
      <c r="N111" s="545">
        <v>4.9725999999999999</v>
      </c>
      <c r="P111" s="547">
        <v>40387</v>
      </c>
      <c r="Q111" s="550">
        <v>0.24313000000000001</v>
      </c>
      <c r="R111" s="545">
        <v>0.31563000000000002</v>
      </c>
      <c r="S111" s="545">
        <v>0.38906000000000002</v>
      </c>
      <c r="T111" s="545">
        <v>0.47499999999999998</v>
      </c>
      <c r="U111" s="545">
        <v>0.54125000000000001</v>
      </c>
      <c r="V111" s="545">
        <v>0.60812999999999995</v>
      </c>
      <c r="W111" s="545">
        <v>0.68794</v>
      </c>
      <c r="X111" s="545">
        <v>1.0643800000000001</v>
      </c>
    </row>
    <row r="112" spans="6:24">
      <c r="F112" s="547">
        <v>40389</v>
      </c>
      <c r="G112" s="550">
        <v>4.5</v>
      </c>
      <c r="H112" s="545">
        <v>4.68</v>
      </c>
      <c r="I112" s="545">
        <v>4.7217000000000002</v>
      </c>
      <c r="J112" s="545">
        <v>4.7750000000000004</v>
      </c>
      <c r="K112" s="545">
        <v>4.8449999999999998</v>
      </c>
      <c r="L112" s="545">
        <v>4.8833000000000002</v>
      </c>
      <c r="M112" s="545">
        <v>4.9367000000000001</v>
      </c>
      <c r="N112" s="545">
        <v>4.9545000000000003</v>
      </c>
      <c r="P112" s="547">
        <v>40388</v>
      </c>
      <c r="Q112" s="550">
        <v>0.24213000000000001</v>
      </c>
      <c r="R112" s="545">
        <v>0.31156</v>
      </c>
      <c r="S112" s="545">
        <v>0.38094</v>
      </c>
      <c r="T112" s="545">
        <v>0.46562999999999999</v>
      </c>
      <c r="U112" s="545">
        <v>0.53188000000000002</v>
      </c>
      <c r="V112" s="545">
        <v>0.59743999999999997</v>
      </c>
      <c r="W112" s="545">
        <v>0.67769000000000001</v>
      </c>
      <c r="X112" s="545">
        <v>1.05044</v>
      </c>
    </row>
    <row r="113" spans="6:24">
      <c r="F113" s="547">
        <v>40392</v>
      </c>
      <c r="G113" s="550">
        <v>4.5</v>
      </c>
      <c r="H113" s="545">
        <v>4.68</v>
      </c>
      <c r="I113" s="545">
        <v>4.7217000000000002</v>
      </c>
      <c r="J113" s="545">
        <v>4.7750000000000004</v>
      </c>
      <c r="K113" s="545">
        <v>4.8449999999999998</v>
      </c>
      <c r="L113" s="545">
        <v>4.8833000000000002</v>
      </c>
      <c r="M113" s="545">
        <v>4.9367000000000001</v>
      </c>
      <c r="N113" s="545">
        <v>4.9545000000000003</v>
      </c>
      <c r="P113" s="547">
        <v>40389</v>
      </c>
      <c r="Q113" s="550">
        <v>0.24093999999999999</v>
      </c>
      <c r="R113" s="545">
        <v>0.30499999999999999</v>
      </c>
      <c r="S113" s="545">
        <v>0.37093999999999999</v>
      </c>
      <c r="T113" s="545">
        <v>0.45374999999999999</v>
      </c>
      <c r="U113" s="545">
        <v>0.52137999999999995</v>
      </c>
      <c r="V113" s="545">
        <v>0.58787999999999996</v>
      </c>
      <c r="W113" s="545">
        <v>0.66781000000000001</v>
      </c>
      <c r="X113" s="545">
        <v>1.0366899999999999</v>
      </c>
    </row>
    <row r="114" spans="6:24">
      <c r="F114" s="547">
        <v>40393</v>
      </c>
      <c r="G114" s="550">
        <v>4.5</v>
      </c>
      <c r="H114" s="545">
        <v>4.6399999999999997</v>
      </c>
      <c r="I114" s="545">
        <v>4.7083000000000004</v>
      </c>
      <c r="J114" s="545">
        <v>4.7282999999999999</v>
      </c>
      <c r="K114" s="545">
        <v>4.8</v>
      </c>
      <c r="L114" s="545">
        <v>4.8433000000000002</v>
      </c>
      <c r="M114" s="545">
        <v>4.8833000000000002</v>
      </c>
      <c r="N114" s="545">
        <v>4.9307999999999996</v>
      </c>
      <c r="P114" s="547">
        <v>40392</v>
      </c>
      <c r="Q114" s="550">
        <v>0.24031</v>
      </c>
      <c r="R114" s="545">
        <v>0.30281000000000002</v>
      </c>
      <c r="S114" s="545">
        <v>0.36093999999999998</v>
      </c>
      <c r="T114" s="545">
        <v>0.44468999999999997</v>
      </c>
      <c r="U114" s="545">
        <v>0.51212999999999997</v>
      </c>
      <c r="V114" s="545">
        <v>0.58125000000000004</v>
      </c>
      <c r="W114" s="545">
        <v>0.65993999999999997</v>
      </c>
      <c r="X114" s="545">
        <v>1.0297499999999999</v>
      </c>
    </row>
    <row r="115" spans="6:24">
      <c r="F115" s="547">
        <v>40394</v>
      </c>
      <c r="G115" s="550">
        <v>4.5</v>
      </c>
      <c r="H115" s="545">
        <v>4.6399999999999997</v>
      </c>
      <c r="I115" s="545">
        <v>4.6982999999999997</v>
      </c>
      <c r="J115" s="545">
        <v>4.7300000000000004</v>
      </c>
      <c r="K115" s="545">
        <v>4.79</v>
      </c>
      <c r="L115" s="545">
        <v>4.835</v>
      </c>
      <c r="M115" s="545">
        <v>4.8867000000000003</v>
      </c>
      <c r="N115" s="545">
        <v>4.9233000000000002</v>
      </c>
      <c r="P115" s="547">
        <v>40393</v>
      </c>
      <c r="Q115" s="550">
        <v>0.24031</v>
      </c>
      <c r="R115" s="545">
        <v>0.3</v>
      </c>
      <c r="S115" s="545">
        <v>0.35313</v>
      </c>
      <c r="T115" s="545">
        <v>0.43469000000000002</v>
      </c>
      <c r="U115" s="545">
        <v>0.50231000000000003</v>
      </c>
      <c r="V115" s="545">
        <v>0.57350000000000001</v>
      </c>
      <c r="W115" s="545">
        <v>0.64956000000000003</v>
      </c>
      <c r="X115" s="545">
        <v>1.0150600000000001</v>
      </c>
    </row>
    <row r="116" spans="6:24">
      <c r="F116" s="547">
        <v>40395</v>
      </c>
      <c r="G116" s="550">
        <v>4.5</v>
      </c>
      <c r="H116" s="545">
        <v>4.6100000000000003</v>
      </c>
      <c r="I116" s="545">
        <v>4.7</v>
      </c>
      <c r="J116" s="545">
        <v>4.7416999999999998</v>
      </c>
      <c r="K116" s="545">
        <v>4.7949999999999999</v>
      </c>
      <c r="L116" s="545">
        <v>4.8433000000000002</v>
      </c>
      <c r="M116" s="545">
        <v>4.9000000000000004</v>
      </c>
      <c r="N116" s="545">
        <v>4.9337</v>
      </c>
      <c r="P116" s="547">
        <v>40394</v>
      </c>
      <c r="Q116" s="550">
        <v>0.24031</v>
      </c>
      <c r="R116" s="545">
        <v>0.29531000000000002</v>
      </c>
      <c r="S116" s="545">
        <v>0.34688000000000002</v>
      </c>
      <c r="T116" s="545">
        <v>0.42405999999999999</v>
      </c>
      <c r="U116" s="545">
        <v>0.49419000000000002</v>
      </c>
      <c r="V116" s="545">
        <v>0.5635</v>
      </c>
      <c r="W116" s="545">
        <v>0.63831000000000004</v>
      </c>
      <c r="X116" s="545">
        <v>1.00156</v>
      </c>
    </row>
    <row r="117" spans="6:24">
      <c r="F117" s="547">
        <v>40396</v>
      </c>
      <c r="G117" s="550">
        <v>4.5</v>
      </c>
      <c r="H117" s="545">
        <v>4.6132999999999997</v>
      </c>
      <c r="I117" s="545">
        <v>4.6982999999999997</v>
      </c>
      <c r="J117" s="545">
        <v>4.75</v>
      </c>
      <c r="K117" s="545">
        <v>4.79</v>
      </c>
      <c r="L117" s="545">
        <v>4.8383000000000003</v>
      </c>
      <c r="M117" s="545">
        <v>4.8666999999999998</v>
      </c>
      <c r="N117" s="545">
        <v>4.9360999999999997</v>
      </c>
      <c r="P117" s="547">
        <v>40395</v>
      </c>
      <c r="Q117" s="550">
        <v>0.23780999999999999</v>
      </c>
      <c r="R117" s="545">
        <v>0.29469000000000001</v>
      </c>
      <c r="S117" s="545">
        <v>0.34499999999999997</v>
      </c>
      <c r="T117" s="545">
        <v>0.41813</v>
      </c>
      <c r="U117" s="545">
        <v>0.49006</v>
      </c>
      <c r="V117" s="545">
        <v>0.5615</v>
      </c>
      <c r="W117" s="545">
        <v>0.63893999999999995</v>
      </c>
      <c r="X117" s="545">
        <v>1.00969</v>
      </c>
    </row>
    <row r="118" spans="6:24">
      <c r="F118" s="547">
        <v>40399</v>
      </c>
      <c r="G118" s="550">
        <v>4.5</v>
      </c>
      <c r="H118" s="545">
        <v>4.5999999999999996</v>
      </c>
      <c r="I118" s="545">
        <v>4.7</v>
      </c>
      <c r="J118" s="545">
        <v>4.76</v>
      </c>
      <c r="K118" s="545">
        <v>4.8083</v>
      </c>
      <c r="L118" s="545">
        <v>4.87</v>
      </c>
      <c r="M118" s="545">
        <v>4.96</v>
      </c>
      <c r="N118" s="545">
        <v>4.9596999999999998</v>
      </c>
      <c r="P118" s="547">
        <v>40396</v>
      </c>
      <c r="Q118" s="550">
        <v>0.23780999999999999</v>
      </c>
      <c r="R118" s="545">
        <v>0.29343999999999998</v>
      </c>
      <c r="S118" s="545">
        <v>0.34155999999999997</v>
      </c>
      <c r="T118" s="545">
        <v>0.41125</v>
      </c>
      <c r="U118" s="545">
        <v>0.48425000000000001</v>
      </c>
      <c r="V118" s="545">
        <v>0.55755999999999994</v>
      </c>
      <c r="W118" s="545">
        <v>0.63375000000000004</v>
      </c>
      <c r="X118" s="545">
        <v>1.0031300000000001</v>
      </c>
    </row>
    <row r="119" spans="6:24">
      <c r="F119" s="547">
        <v>40400</v>
      </c>
      <c r="G119" s="550">
        <v>4.5</v>
      </c>
      <c r="H119" s="545">
        <v>4.62</v>
      </c>
      <c r="I119" s="545">
        <v>4.7016999999999998</v>
      </c>
      <c r="J119" s="545">
        <v>4.7699999999999996</v>
      </c>
      <c r="K119" s="545">
        <v>4.8132999999999999</v>
      </c>
      <c r="L119" s="545">
        <v>4.8766999999999996</v>
      </c>
      <c r="M119" s="545">
        <v>4.9466999999999999</v>
      </c>
      <c r="N119" s="545">
        <v>4.9744999999999999</v>
      </c>
      <c r="P119" s="547">
        <v>40399</v>
      </c>
      <c r="Q119" s="550">
        <v>0.23655999999999999</v>
      </c>
      <c r="R119" s="545">
        <v>0.28999999999999998</v>
      </c>
      <c r="S119" s="545">
        <v>0.33750000000000002</v>
      </c>
      <c r="T119" s="545">
        <v>0.40438000000000002</v>
      </c>
      <c r="U119" s="545">
        <v>0.47799999999999998</v>
      </c>
      <c r="V119" s="545">
        <v>0.55130999999999997</v>
      </c>
      <c r="W119" s="545">
        <v>0.62749999999999995</v>
      </c>
      <c r="X119" s="545">
        <v>0.995</v>
      </c>
    </row>
    <row r="120" spans="6:24">
      <c r="F120" s="547">
        <v>40401</v>
      </c>
      <c r="G120" s="550">
        <v>4.5</v>
      </c>
      <c r="H120" s="545">
        <v>4.5967000000000002</v>
      </c>
      <c r="I120" s="545">
        <v>4.7</v>
      </c>
      <c r="J120" s="545">
        <v>4.75</v>
      </c>
      <c r="K120" s="545">
        <v>4.8049999999999997</v>
      </c>
      <c r="L120" s="545">
        <v>4.8666999999999998</v>
      </c>
      <c r="M120" s="545">
        <v>4.95</v>
      </c>
      <c r="N120" s="545">
        <v>4.9371999999999998</v>
      </c>
      <c r="P120" s="547">
        <v>40400</v>
      </c>
      <c r="Q120" s="550">
        <v>0.23594000000000001</v>
      </c>
      <c r="R120" s="545">
        <v>0.28563</v>
      </c>
      <c r="S120" s="545">
        <v>0.33312999999999998</v>
      </c>
      <c r="T120" s="545">
        <v>0.39781</v>
      </c>
      <c r="U120" s="545">
        <v>0.47</v>
      </c>
      <c r="V120" s="545">
        <v>0.54413</v>
      </c>
      <c r="W120" s="545">
        <v>0.62031000000000003</v>
      </c>
      <c r="X120" s="545">
        <v>0.99375000000000002</v>
      </c>
    </row>
    <row r="121" spans="6:24">
      <c r="F121" s="547">
        <v>40402</v>
      </c>
      <c r="G121" s="550">
        <v>4.5</v>
      </c>
      <c r="H121" s="545">
        <v>4.59</v>
      </c>
      <c r="I121" s="545">
        <v>4.7</v>
      </c>
      <c r="J121" s="545">
        <v>4.7832999999999997</v>
      </c>
      <c r="K121" s="545">
        <v>4.8182999999999998</v>
      </c>
      <c r="L121" s="545">
        <v>4.8666999999999998</v>
      </c>
      <c r="M121" s="545">
        <v>4.8982999999999999</v>
      </c>
      <c r="N121" s="545">
        <v>4.9103000000000003</v>
      </c>
      <c r="P121" s="547">
        <v>40401</v>
      </c>
      <c r="Q121" s="550">
        <v>0.23313</v>
      </c>
      <c r="R121" s="545">
        <v>0.27938000000000002</v>
      </c>
      <c r="S121" s="545">
        <v>0.32468999999999998</v>
      </c>
      <c r="T121" s="545">
        <v>0.38438</v>
      </c>
      <c r="U121" s="545">
        <v>0.45744000000000001</v>
      </c>
      <c r="V121" s="545">
        <v>0.52793999999999996</v>
      </c>
      <c r="W121" s="545">
        <v>0.60250000000000004</v>
      </c>
      <c r="X121" s="545">
        <v>0.97075</v>
      </c>
    </row>
    <row r="122" spans="6:24">
      <c r="F122" s="547">
        <v>40403</v>
      </c>
      <c r="G122" s="550">
        <v>4.5</v>
      </c>
      <c r="H122" s="545">
        <v>4.6100000000000003</v>
      </c>
      <c r="I122" s="545">
        <v>4.7016999999999998</v>
      </c>
      <c r="J122" s="545">
        <v>4.75</v>
      </c>
      <c r="K122" s="545">
        <v>4.8150000000000004</v>
      </c>
      <c r="L122" s="545">
        <v>4.8682999999999996</v>
      </c>
      <c r="M122" s="545">
        <v>4.9432999999999998</v>
      </c>
      <c r="N122" s="545">
        <v>4.9280999999999997</v>
      </c>
      <c r="P122" s="547">
        <v>40402</v>
      </c>
      <c r="Q122" s="550">
        <v>0.23125000000000001</v>
      </c>
      <c r="R122" s="545">
        <v>0.27594000000000002</v>
      </c>
      <c r="S122" s="545">
        <v>0.3175</v>
      </c>
      <c r="T122" s="545">
        <v>0.37624999999999997</v>
      </c>
      <c r="U122" s="545">
        <v>0.44938</v>
      </c>
      <c r="V122" s="545">
        <v>0.51763000000000003</v>
      </c>
      <c r="W122" s="545">
        <v>0.59406000000000003</v>
      </c>
      <c r="X122" s="545">
        <v>0.96062999999999998</v>
      </c>
    </row>
    <row r="123" spans="6:24">
      <c r="F123" s="547">
        <v>40406</v>
      </c>
      <c r="G123" s="550">
        <v>4.5</v>
      </c>
      <c r="H123" s="545">
        <v>4.6100000000000003</v>
      </c>
      <c r="I123" s="545">
        <v>4.6966999999999999</v>
      </c>
      <c r="J123" s="545">
        <v>4.74</v>
      </c>
      <c r="K123" s="545">
        <v>4.7949999999999999</v>
      </c>
      <c r="L123" s="545">
        <v>4.8499999999999996</v>
      </c>
      <c r="M123" s="545">
        <v>4.8949999999999996</v>
      </c>
      <c r="N123" s="545">
        <v>4.9043000000000001</v>
      </c>
      <c r="P123" s="547">
        <v>40403</v>
      </c>
      <c r="Q123" s="550">
        <v>0.22938</v>
      </c>
      <c r="R123" s="545">
        <v>0.27188000000000001</v>
      </c>
      <c r="S123" s="545">
        <v>0.31313000000000002</v>
      </c>
      <c r="T123" s="545">
        <v>0.36937999999999999</v>
      </c>
      <c r="U123" s="545">
        <v>0.44263000000000002</v>
      </c>
      <c r="V123" s="545">
        <v>0.51356000000000002</v>
      </c>
      <c r="W123" s="545">
        <v>0.59187999999999996</v>
      </c>
      <c r="X123" s="545">
        <v>0.96531</v>
      </c>
    </row>
    <row r="124" spans="6:24">
      <c r="F124" s="547">
        <v>40407</v>
      </c>
      <c r="G124" s="550">
        <v>4.5</v>
      </c>
      <c r="H124" s="545">
        <v>4.6166999999999998</v>
      </c>
      <c r="I124" s="545">
        <v>4.7</v>
      </c>
      <c r="J124" s="545">
        <v>4.74</v>
      </c>
      <c r="K124" s="545">
        <v>4.7983000000000002</v>
      </c>
      <c r="L124" s="545">
        <v>4.8600000000000003</v>
      </c>
      <c r="M124" s="545">
        <v>4.9217000000000004</v>
      </c>
      <c r="N124" s="545">
        <v>4.8890000000000002</v>
      </c>
      <c r="P124" s="547">
        <v>40406</v>
      </c>
      <c r="Q124" s="550">
        <v>0.22875000000000001</v>
      </c>
      <c r="R124" s="545">
        <v>0.26938000000000001</v>
      </c>
      <c r="S124" s="545">
        <v>0.30875000000000002</v>
      </c>
      <c r="T124" s="545">
        <v>0.36187999999999998</v>
      </c>
      <c r="U124" s="545">
        <v>0.43713000000000002</v>
      </c>
      <c r="V124" s="545">
        <v>0.50868999999999998</v>
      </c>
      <c r="W124" s="545">
        <v>0.58731</v>
      </c>
      <c r="X124" s="545">
        <v>0.96094000000000002</v>
      </c>
    </row>
    <row r="125" spans="6:24">
      <c r="F125" s="547">
        <v>40408</v>
      </c>
      <c r="G125" s="550">
        <v>4.5</v>
      </c>
      <c r="H125" s="545">
        <v>4.6100000000000003</v>
      </c>
      <c r="I125" s="545">
        <v>4.7016999999999998</v>
      </c>
      <c r="J125" s="545">
        <v>4.74</v>
      </c>
      <c r="K125" s="545">
        <v>4.7933000000000003</v>
      </c>
      <c r="L125" s="545">
        <v>4.8532999999999999</v>
      </c>
      <c r="M125" s="545">
        <v>4.88</v>
      </c>
      <c r="N125" s="545">
        <v>4.9135</v>
      </c>
      <c r="P125" s="547">
        <v>40407</v>
      </c>
      <c r="Q125" s="550">
        <v>0.22663</v>
      </c>
      <c r="R125" s="545">
        <v>0.26656000000000002</v>
      </c>
      <c r="S125" s="545">
        <v>0.30343999999999999</v>
      </c>
      <c r="T125" s="545">
        <v>0.35219</v>
      </c>
      <c r="U125" s="545">
        <v>0.42563000000000001</v>
      </c>
      <c r="V125" s="545">
        <v>0.49756</v>
      </c>
      <c r="W125" s="545">
        <v>0.57650000000000001</v>
      </c>
      <c r="X125" s="545">
        <v>0.94618999999999998</v>
      </c>
    </row>
    <row r="126" spans="6:24">
      <c r="F126" s="547">
        <v>40409</v>
      </c>
      <c r="G126" s="550">
        <v>4.5</v>
      </c>
      <c r="H126" s="545">
        <v>4.6116999999999999</v>
      </c>
      <c r="I126" s="545">
        <v>4.6817000000000002</v>
      </c>
      <c r="J126" s="545">
        <v>4.7117000000000004</v>
      </c>
      <c r="K126" s="545">
        <v>4.7717000000000001</v>
      </c>
      <c r="L126" s="545">
        <v>4.8250000000000002</v>
      </c>
      <c r="M126" s="545">
        <v>4.8433000000000002</v>
      </c>
      <c r="N126" s="545">
        <v>4.8494999999999999</v>
      </c>
      <c r="P126" s="547">
        <v>40408</v>
      </c>
      <c r="Q126" s="550">
        <v>0.22600000000000001</v>
      </c>
      <c r="R126" s="545">
        <v>0.26624999999999999</v>
      </c>
      <c r="S126" s="545">
        <v>0.3</v>
      </c>
      <c r="T126" s="545">
        <v>0.34547</v>
      </c>
      <c r="U126" s="545">
        <v>0.41737999999999997</v>
      </c>
      <c r="V126" s="545">
        <v>0.48963000000000001</v>
      </c>
      <c r="W126" s="545">
        <v>0.56843999999999995</v>
      </c>
      <c r="X126" s="545">
        <v>0.93093999999999999</v>
      </c>
    </row>
    <row r="127" spans="6:24">
      <c r="F127" s="547">
        <v>40410</v>
      </c>
      <c r="G127" s="550">
        <v>4.5</v>
      </c>
      <c r="H127" s="545">
        <v>4.6017000000000001</v>
      </c>
      <c r="I127" s="545">
        <v>4.6849999999999996</v>
      </c>
      <c r="J127" s="545">
        <v>4.7032999999999996</v>
      </c>
      <c r="K127" s="545">
        <v>4.7633000000000001</v>
      </c>
      <c r="L127" s="545">
        <v>4.8232999999999997</v>
      </c>
      <c r="M127" s="545">
        <v>4.8716999999999997</v>
      </c>
      <c r="N127" s="545">
        <v>4.8293999999999997</v>
      </c>
      <c r="P127" s="547">
        <v>40409</v>
      </c>
      <c r="Q127" s="550">
        <v>0.22725000000000001</v>
      </c>
      <c r="R127" s="545">
        <v>0.26468999999999998</v>
      </c>
      <c r="S127" s="545">
        <v>0.29969000000000001</v>
      </c>
      <c r="T127" s="545">
        <v>0.33905999999999997</v>
      </c>
      <c r="U127" s="545">
        <v>0.40931000000000001</v>
      </c>
      <c r="V127" s="545">
        <v>0.48031000000000001</v>
      </c>
      <c r="W127" s="545">
        <v>0.55593999999999999</v>
      </c>
      <c r="X127" s="545">
        <v>0.91918999999999995</v>
      </c>
    </row>
    <row r="128" spans="6:24">
      <c r="F128" s="547">
        <v>40413</v>
      </c>
      <c r="G128" s="550">
        <v>4.5</v>
      </c>
      <c r="H128" s="545">
        <v>4.5967000000000002</v>
      </c>
      <c r="I128" s="545">
        <v>4.6767000000000003</v>
      </c>
      <c r="J128" s="545">
        <v>4.72</v>
      </c>
      <c r="K128" s="545">
        <v>4.7717000000000001</v>
      </c>
      <c r="L128" s="545">
        <v>4.8232999999999997</v>
      </c>
      <c r="M128" s="545">
        <v>4.88</v>
      </c>
      <c r="N128" s="545">
        <v>4.8456999999999999</v>
      </c>
      <c r="P128" s="547">
        <v>40410</v>
      </c>
      <c r="Q128" s="550">
        <v>0.22725000000000001</v>
      </c>
      <c r="R128" s="545">
        <v>0.26438</v>
      </c>
      <c r="S128" s="545">
        <v>0.29593999999999998</v>
      </c>
      <c r="T128" s="545">
        <v>0.32922000000000001</v>
      </c>
      <c r="U128" s="545">
        <v>0.40150000000000002</v>
      </c>
      <c r="V128" s="545">
        <v>0.47249999999999998</v>
      </c>
      <c r="W128" s="545">
        <v>0.54562999999999995</v>
      </c>
      <c r="X128" s="545">
        <v>0.90637999999999996</v>
      </c>
    </row>
    <row r="129" spans="6:24">
      <c r="F129" s="547">
        <v>40414</v>
      </c>
      <c r="G129" s="550">
        <v>4.5</v>
      </c>
      <c r="H129" s="545">
        <v>4.5999999999999996</v>
      </c>
      <c r="I129" s="545">
        <v>4.6882999999999999</v>
      </c>
      <c r="J129" s="545">
        <v>4.7317</v>
      </c>
      <c r="K129" s="545">
        <v>4.7750000000000004</v>
      </c>
      <c r="L129" s="545">
        <v>4.8250000000000002</v>
      </c>
      <c r="M129" s="545">
        <v>4.8766999999999996</v>
      </c>
      <c r="N129" s="545">
        <v>4.8141999999999996</v>
      </c>
      <c r="P129" s="547">
        <v>40413</v>
      </c>
      <c r="Q129" s="550">
        <v>0.22538</v>
      </c>
      <c r="R129" s="545">
        <v>0.26374999999999998</v>
      </c>
      <c r="S129" s="545">
        <v>0.28905999999999998</v>
      </c>
      <c r="T129" s="545">
        <v>0.3175</v>
      </c>
      <c r="U129" s="545">
        <v>0.39024999999999999</v>
      </c>
      <c r="V129" s="545">
        <v>0.46031</v>
      </c>
      <c r="W129" s="545">
        <v>0.53374999999999995</v>
      </c>
      <c r="X129" s="545">
        <v>0.89424999999999999</v>
      </c>
    </row>
    <row r="130" spans="6:24">
      <c r="F130" s="547">
        <v>40415</v>
      </c>
      <c r="G130" s="550">
        <v>4.5</v>
      </c>
      <c r="H130" s="545">
        <v>4.59</v>
      </c>
      <c r="I130" s="545">
        <v>4.6767000000000003</v>
      </c>
      <c r="J130" s="545">
        <v>4.7</v>
      </c>
      <c r="K130" s="545">
        <v>4.75</v>
      </c>
      <c r="L130" s="545">
        <v>4.8</v>
      </c>
      <c r="M130" s="545">
        <v>4.82</v>
      </c>
      <c r="N130" s="545">
        <v>4.7601000000000004</v>
      </c>
      <c r="P130" s="547">
        <v>40414</v>
      </c>
      <c r="Q130" s="550">
        <v>0.22538</v>
      </c>
      <c r="R130" s="545">
        <v>0.26156000000000001</v>
      </c>
      <c r="S130" s="545">
        <v>0.28312999999999999</v>
      </c>
      <c r="T130" s="545">
        <v>0.3075</v>
      </c>
      <c r="U130" s="545">
        <v>0.37663000000000002</v>
      </c>
      <c r="V130" s="545">
        <v>0.44700000000000001</v>
      </c>
      <c r="W130" s="545">
        <v>0.51831000000000005</v>
      </c>
      <c r="X130" s="545">
        <v>0.87594000000000005</v>
      </c>
    </row>
    <row r="131" spans="6:24">
      <c r="F131" s="547">
        <v>40416</v>
      </c>
      <c r="G131" s="550">
        <v>4.5</v>
      </c>
      <c r="H131" s="545">
        <v>4.5917000000000003</v>
      </c>
      <c r="I131" s="545">
        <v>4.6683000000000003</v>
      </c>
      <c r="J131" s="545">
        <v>4.71</v>
      </c>
      <c r="K131" s="545">
        <v>4.74</v>
      </c>
      <c r="L131" s="545">
        <v>4.78</v>
      </c>
      <c r="M131" s="545">
        <v>4.8033000000000001</v>
      </c>
      <c r="N131" s="545">
        <v>4.7709999999999999</v>
      </c>
      <c r="P131" s="547">
        <v>40415</v>
      </c>
      <c r="Q131" s="550">
        <v>0.22438</v>
      </c>
      <c r="R131" s="545">
        <v>0.26156000000000001</v>
      </c>
      <c r="S131" s="545">
        <v>0.27968999999999999</v>
      </c>
      <c r="T131" s="545">
        <v>0.30375000000000002</v>
      </c>
      <c r="U131" s="545">
        <v>0.36906</v>
      </c>
      <c r="V131" s="545">
        <v>0.44063000000000002</v>
      </c>
      <c r="W131" s="545">
        <v>0.51124999999999998</v>
      </c>
      <c r="X131" s="545">
        <v>0.87</v>
      </c>
    </row>
    <row r="132" spans="6:24">
      <c r="F132" s="547">
        <v>40417</v>
      </c>
      <c r="G132" s="550">
        <v>4.5</v>
      </c>
      <c r="H132" s="545">
        <v>4.6082999999999998</v>
      </c>
      <c r="I132" s="545">
        <v>4.6833</v>
      </c>
      <c r="J132" s="545">
        <v>4.75</v>
      </c>
      <c r="K132" s="545">
        <v>4.7732999999999999</v>
      </c>
      <c r="L132" s="545">
        <v>4.7949999999999999</v>
      </c>
      <c r="M132" s="545">
        <v>4.83</v>
      </c>
      <c r="N132" s="545">
        <v>4.7622999999999998</v>
      </c>
      <c r="P132" s="547">
        <v>40416</v>
      </c>
      <c r="Q132" s="550">
        <v>0.22438</v>
      </c>
      <c r="R132" s="545">
        <v>0.26030999999999999</v>
      </c>
      <c r="S132" s="545">
        <v>0.27531</v>
      </c>
      <c r="T132" s="545">
        <v>0.29937999999999998</v>
      </c>
      <c r="U132" s="545">
        <v>0.36349999999999999</v>
      </c>
      <c r="V132" s="545">
        <v>0.43593999999999999</v>
      </c>
      <c r="W132" s="545">
        <v>0.50724999999999998</v>
      </c>
      <c r="X132" s="545">
        <v>0.86531000000000002</v>
      </c>
    </row>
    <row r="133" spans="6:24">
      <c r="F133" s="547">
        <v>40420</v>
      </c>
      <c r="G133" s="550">
        <v>4.5</v>
      </c>
      <c r="H133" s="545">
        <v>4.6032999999999999</v>
      </c>
      <c r="I133" s="545">
        <v>4.6833</v>
      </c>
      <c r="J133" s="545">
        <v>4.76</v>
      </c>
      <c r="K133" s="545">
        <v>4.7983000000000002</v>
      </c>
      <c r="L133" s="545">
        <v>4.8449999999999998</v>
      </c>
      <c r="M133" s="545">
        <v>4.9000000000000004</v>
      </c>
      <c r="N133" s="545">
        <v>4.7998000000000003</v>
      </c>
      <c r="P133" s="547">
        <v>40417</v>
      </c>
      <c r="Q133" s="550">
        <v>0.22500000000000001</v>
      </c>
      <c r="R133" s="545">
        <v>0.25938</v>
      </c>
      <c r="S133" s="545">
        <v>0.27531</v>
      </c>
      <c r="T133" s="545">
        <v>0.29687999999999998</v>
      </c>
      <c r="U133" s="545">
        <v>0.36005999999999999</v>
      </c>
      <c r="V133" s="545">
        <v>0.43219000000000002</v>
      </c>
      <c r="W133" s="545">
        <v>0.50319000000000003</v>
      </c>
      <c r="X133" s="545">
        <v>0.85831000000000002</v>
      </c>
    </row>
    <row r="134" spans="6:24">
      <c r="F134" s="547">
        <v>40421</v>
      </c>
      <c r="G134" s="550">
        <v>4.5</v>
      </c>
      <c r="H134" s="545">
        <v>4.6383000000000001</v>
      </c>
      <c r="I134" s="545">
        <v>4.6932999999999998</v>
      </c>
      <c r="J134" s="545">
        <v>4.7516999999999996</v>
      </c>
      <c r="K134" s="545">
        <v>4.7967000000000004</v>
      </c>
      <c r="L134" s="545">
        <v>4.8282999999999996</v>
      </c>
      <c r="M134" s="545">
        <v>4.8632999999999997</v>
      </c>
      <c r="N134" s="545">
        <v>4.7287999999999997</v>
      </c>
      <c r="P134" s="547">
        <v>40421</v>
      </c>
      <c r="Q134" s="550">
        <v>0.22813</v>
      </c>
      <c r="R134" s="545">
        <v>0.25780999999999998</v>
      </c>
      <c r="S134" s="545">
        <v>0.27468999999999999</v>
      </c>
      <c r="T134" s="545">
        <v>0.29563</v>
      </c>
      <c r="U134" s="545">
        <v>0.35631000000000002</v>
      </c>
      <c r="V134" s="545">
        <v>0.42856</v>
      </c>
      <c r="W134" s="545">
        <v>0.49669000000000002</v>
      </c>
      <c r="X134" s="545">
        <v>0.84306000000000003</v>
      </c>
    </row>
    <row r="135" spans="6:24">
      <c r="F135" s="547">
        <v>40422</v>
      </c>
      <c r="G135" s="550">
        <v>4.5</v>
      </c>
      <c r="H135" s="545">
        <v>4.6132999999999997</v>
      </c>
      <c r="I135" s="545">
        <v>4.6566999999999998</v>
      </c>
      <c r="J135" s="545">
        <v>4.7</v>
      </c>
      <c r="K135" s="545">
        <v>4.7350000000000003</v>
      </c>
      <c r="L135" s="545">
        <v>4.7699999999999996</v>
      </c>
      <c r="M135" s="545">
        <v>4.8</v>
      </c>
      <c r="N135" s="545">
        <v>4.7317</v>
      </c>
      <c r="P135" s="547">
        <v>40422</v>
      </c>
      <c r="Q135" s="550">
        <v>0.22625000000000001</v>
      </c>
      <c r="R135" s="545">
        <v>0.25780999999999998</v>
      </c>
      <c r="S135" s="545">
        <v>0.27468999999999999</v>
      </c>
      <c r="T135" s="545">
        <v>0.29563</v>
      </c>
      <c r="U135" s="545">
        <v>0.35593999999999998</v>
      </c>
      <c r="V135" s="545">
        <v>0.42819000000000002</v>
      </c>
      <c r="W135" s="545">
        <v>0.49625000000000002</v>
      </c>
      <c r="X135" s="545">
        <v>0.83987999999999996</v>
      </c>
    </row>
    <row r="136" spans="6:24">
      <c r="F136" s="547">
        <v>40423</v>
      </c>
      <c r="G136" s="550">
        <v>4.5</v>
      </c>
      <c r="H136" s="545">
        <v>4.6216999999999997</v>
      </c>
      <c r="I136" s="545">
        <v>4.68</v>
      </c>
      <c r="J136" s="545">
        <v>4.7317</v>
      </c>
      <c r="K136" s="545">
        <v>4.78</v>
      </c>
      <c r="L136" s="545">
        <v>4.8266999999999998</v>
      </c>
      <c r="M136" s="545">
        <v>4.8733000000000004</v>
      </c>
      <c r="N136" s="545">
        <v>4.8246000000000002</v>
      </c>
      <c r="P136" s="547">
        <v>40423</v>
      </c>
      <c r="Q136" s="550">
        <v>0.22625000000000001</v>
      </c>
      <c r="R136" s="545">
        <v>0.25780999999999998</v>
      </c>
      <c r="S136" s="545">
        <v>0.27468999999999999</v>
      </c>
      <c r="T136" s="545">
        <v>0.29437999999999998</v>
      </c>
      <c r="U136" s="545">
        <v>0.35581000000000002</v>
      </c>
      <c r="V136" s="545">
        <v>0.42806</v>
      </c>
      <c r="W136" s="545">
        <v>0.49563000000000001</v>
      </c>
      <c r="X136" s="545">
        <v>0.83913000000000004</v>
      </c>
    </row>
    <row r="137" spans="6:24">
      <c r="F137" s="547">
        <v>40424</v>
      </c>
      <c r="G137" s="550">
        <v>4.5</v>
      </c>
      <c r="H137" s="545">
        <v>4.6100000000000003</v>
      </c>
      <c r="I137" s="545">
        <v>4.67</v>
      </c>
      <c r="J137" s="545">
        <v>4.72</v>
      </c>
      <c r="K137" s="545">
        <v>4.7649999999999997</v>
      </c>
      <c r="L137" s="545">
        <v>4.8049999999999997</v>
      </c>
      <c r="M137" s="545">
        <v>4.8367000000000004</v>
      </c>
      <c r="N137" s="545">
        <v>4.8151000000000002</v>
      </c>
      <c r="P137" s="547">
        <v>40424</v>
      </c>
      <c r="Q137" s="550">
        <v>0.22625000000000001</v>
      </c>
      <c r="R137" s="545">
        <v>0.25780999999999998</v>
      </c>
      <c r="S137" s="545">
        <v>0.27468999999999999</v>
      </c>
      <c r="T137" s="545">
        <v>0.29281000000000001</v>
      </c>
      <c r="U137" s="545">
        <v>0.35443999999999998</v>
      </c>
      <c r="V137" s="545">
        <v>0.42669000000000001</v>
      </c>
      <c r="W137" s="545">
        <v>0.49363000000000001</v>
      </c>
      <c r="X137" s="545">
        <v>0.83487999999999996</v>
      </c>
    </row>
    <row r="138" spans="6:24">
      <c r="F138" s="547">
        <v>40427</v>
      </c>
      <c r="G138" s="550">
        <v>4.5</v>
      </c>
      <c r="H138" s="545">
        <v>4.59</v>
      </c>
      <c r="I138" s="545">
        <v>4.6749999999999998</v>
      </c>
      <c r="J138" s="545">
        <v>4.7350000000000003</v>
      </c>
      <c r="K138" s="545">
        <v>4.79</v>
      </c>
      <c r="L138" s="545">
        <v>4.835</v>
      </c>
      <c r="M138" s="545">
        <v>4.875</v>
      </c>
      <c r="N138" s="545">
        <v>4.8926999999999996</v>
      </c>
      <c r="P138" s="547">
        <v>40427</v>
      </c>
      <c r="Q138" s="550">
        <v>0.22625000000000001</v>
      </c>
      <c r="R138" s="545">
        <v>0.25766</v>
      </c>
      <c r="S138" s="545">
        <v>0.27438000000000001</v>
      </c>
      <c r="T138" s="545">
        <v>0.29219000000000001</v>
      </c>
      <c r="U138" s="545">
        <v>0.35125000000000001</v>
      </c>
      <c r="V138" s="545">
        <v>0.42293999999999998</v>
      </c>
      <c r="W138" s="545">
        <v>0.48921999999999999</v>
      </c>
      <c r="X138" s="545">
        <v>0.83006000000000002</v>
      </c>
    </row>
    <row r="139" spans="6:24">
      <c r="F139" s="547">
        <v>40428</v>
      </c>
      <c r="G139" s="550">
        <v>4.5</v>
      </c>
      <c r="H139" s="545">
        <v>4.59</v>
      </c>
      <c r="I139" s="545">
        <v>4.6783000000000001</v>
      </c>
      <c r="J139" s="545">
        <v>4.75</v>
      </c>
      <c r="K139" s="545">
        <v>4.7916999999999996</v>
      </c>
      <c r="L139" s="545">
        <v>4.8333000000000004</v>
      </c>
      <c r="M139" s="545">
        <v>4.8716999999999997</v>
      </c>
      <c r="N139" s="545">
        <v>4.9024000000000001</v>
      </c>
      <c r="P139" s="547">
        <v>40428</v>
      </c>
      <c r="Q139" s="550">
        <v>0.22688</v>
      </c>
      <c r="R139" s="545">
        <v>0.25766</v>
      </c>
      <c r="S139" s="545">
        <v>0.27438000000000001</v>
      </c>
      <c r="T139" s="545">
        <v>0.29187999999999997</v>
      </c>
      <c r="U139" s="545">
        <v>0.35188000000000003</v>
      </c>
      <c r="V139" s="545">
        <v>0.42187999999999998</v>
      </c>
      <c r="W139" s="545">
        <v>0.48875000000000002</v>
      </c>
      <c r="X139" s="545">
        <v>0.82594000000000001</v>
      </c>
    </row>
    <row r="140" spans="6:24">
      <c r="F140" s="547">
        <v>40429</v>
      </c>
      <c r="G140" s="550">
        <v>4.5</v>
      </c>
      <c r="H140" s="545">
        <v>4.5933000000000002</v>
      </c>
      <c r="I140" s="545">
        <v>4.6917</v>
      </c>
      <c r="J140" s="545">
        <v>4.7382999999999997</v>
      </c>
      <c r="K140" s="545">
        <v>4.7949999999999999</v>
      </c>
      <c r="L140" s="545">
        <v>4.8499999999999996</v>
      </c>
      <c r="M140" s="545">
        <v>4.91</v>
      </c>
      <c r="N140" s="545">
        <v>4.8913000000000002</v>
      </c>
      <c r="P140" s="547">
        <v>40429</v>
      </c>
      <c r="Q140" s="550">
        <v>0.22688</v>
      </c>
      <c r="R140" s="545">
        <v>0.25734000000000001</v>
      </c>
      <c r="S140" s="545">
        <v>0.27438000000000001</v>
      </c>
      <c r="T140" s="545">
        <v>0.29249999999999998</v>
      </c>
      <c r="U140" s="545">
        <v>0.35249999999999998</v>
      </c>
      <c r="V140" s="545">
        <v>0.42187999999999998</v>
      </c>
      <c r="W140" s="545">
        <v>0.48953000000000002</v>
      </c>
      <c r="X140" s="545">
        <v>0.82330999999999999</v>
      </c>
    </row>
    <row r="141" spans="6:24">
      <c r="F141" s="547">
        <v>40430</v>
      </c>
      <c r="G141" s="550">
        <v>4.5</v>
      </c>
      <c r="H141" s="545">
        <v>4.58</v>
      </c>
      <c r="I141" s="545">
        <v>4.6900000000000004</v>
      </c>
      <c r="J141" s="545">
        <v>4.79</v>
      </c>
      <c r="K141" s="545">
        <v>4.82</v>
      </c>
      <c r="L141" s="545">
        <v>4.8666999999999998</v>
      </c>
      <c r="M141" s="545">
        <v>4.91</v>
      </c>
      <c r="N141" s="545">
        <v>4.9450000000000003</v>
      </c>
      <c r="P141" s="547">
        <v>40430</v>
      </c>
      <c r="Q141" s="550">
        <v>0.22688</v>
      </c>
      <c r="R141" s="545">
        <v>0.25734000000000001</v>
      </c>
      <c r="S141" s="545">
        <v>0.27438000000000001</v>
      </c>
      <c r="T141" s="545">
        <v>0.29249999999999998</v>
      </c>
      <c r="U141" s="545">
        <v>0.35188000000000003</v>
      </c>
      <c r="V141" s="545">
        <v>0.42187999999999998</v>
      </c>
      <c r="W141" s="545">
        <v>0.49</v>
      </c>
      <c r="X141" s="545">
        <v>0.82425000000000004</v>
      </c>
    </row>
    <row r="142" spans="6:24">
      <c r="F142" s="547">
        <v>40431</v>
      </c>
      <c r="G142" s="550">
        <v>4.5</v>
      </c>
      <c r="H142" s="545">
        <v>4.5867000000000004</v>
      </c>
      <c r="I142" s="545">
        <v>4.6982999999999997</v>
      </c>
      <c r="J142" s="545">
        <v>4.7916999999999996</v>
      </c>
      <c r="K142" s="545">
        <v>4.8632999999999997</v>
      </c>
      <c r="L142" s="545">
        <v>4.9283000000000001</v>
      </c>
      <c r="M142" s="545">
        <v>4.9950000000000001</v>
      </c>
      <c r="N142" s="545">
        <v>5.0475000000000003</v>
      </c>
      <c r="P142" s="547">
        <v>40431</v>
      </c>
      <c r="Q142" s="550">
        <v>0.22688</v>
      </c>
      <c r="R142" s="545">
        <v>0.25734000000000001</v>
      </c>
      <c r="S142" s="545">
        <v>0.27438000000000001</v>
      </c>
      <c r="T142" s="545">
        <v>0.29219000000000001</v>
      </c>
      <c r="U142" s="545">
        <v>0.35155999999999998</v>
      </c>
      <c r="V142" s="545">
        <v>0.42155999999999999</v>
      </c>
      <c r="W142" s="545">
        <v>0.48969000000000001</v>
      </c>
      <c r="X142" s="545">
        <v>0.82218999999999998</v>
      </c>
    </row>
    <row r="143" spans="6:24">
      <c r="F143" s="547">
        <v>40434</v>
      </c>
      <c r="G143" s="550">
        <v>4.5</v>
      </c>
      <c r="H143" s="545">
        <v>4.5933000000000002</v>
      </c>
      <c r="I143" s="545">
        <v>4.7249999999999996</v>
      </c>
      <c r="J143" s="545">
        <v>4.8266999999999998</v>
      </c>
      <c r="K143" s="545">
        <v>4.88</v>
      </c>
      <c r="L143" s="545">
        <v>4.9466999999999999</v>
      </c>
      <c r="M143" s="545">
        <v>4.9800000000000004</v>
      </c>
      <c r="N143" s="545">
        <v>5.0819000000000001</v>
      </c>
      <c r="P143" s="547">
        <v>40434</v>
      </c>
      <c r="Q143" s="550">
        <v>0.22688</v>
      </c>
      <c r="R143" s="545">
        <v>0.25734000000000001</v>
      </c>
      <c r="S143" s="545">
        <v>0.27438000000000001</v>
      </c>
      <c r="T143" s="545">
        <v>0.29219000000000001</v>
      </c>
      <c r="U143" s="545">
        <v>0.35155999999999998</v>
      </c>
      <c r="V143" s="545">
        <v>0.42031000000000002</v>
      </c>
      <c r="W143" s="545">
        <v>0.48719000000000001</v>
      </c>
      <c r="X143" s="545">
        <v>0.81988000000000005</v>
      </c>
    </row>
    <row r="144" spans="6:24">
      <c r="F144" s="547">
        <v>40435</v>
      </c>
      <c r="G144" s="550">
        <v>4.5</v>
      </c>
      <c r="H144" s="545">
        <v>4.6100000000000003</v>
      </c>
      <c r="I144" s="545">
        <v>4.7317</v>
      </c>
      <c r="J144" s="545">
        <v>4.82</v>
      </c>
      <c r="K144" s="545">
        <v>4.8833000000000002</v>
      </c>
      <c r="L144" s="545">
        <v>4.95</v>
      </c>
      <c r="M144" s="545">
        <v>5.03</v>
      </c>
      <c r="N144" s="545">
        <v>5.0666000000000002</v>
      </c>
      <c r="P144" s="547">
        <v>40435</v>
      </c>
      <c r="Q144" s="550">
        <v>0.22688</v>
      </c>
      <c r="R144" s="545">
        <v>0.25734000000000001</v>
      </c>
      <c r="S144" s="545">
        <v>0.27406000000000003</v>
      </c>
      <c r="T144" s="545">
        <v>0.29187999999999997</v>
      </c>
      <c r="U144" s="545">
        <v>0.34953000000000001</v>
      </c>
      <c r="V144" s="545">
        <v>0.41655999999999999</v>
      </c>
      <c r="W144" s="545">
        <v>0.48187999999999998</v>
      </c>
      <c r="X144" s="545">
        <v>0.80788000000000004</v>
      </c>
    </row>
    <row r="145" spans="6:24">
      <c r="F145" s="547">
        <v>40436</v>
      </c>
      <c r="G145" s="550">
        <v>4.5</v>
      </c>
      <c r="H145" s="545">
        <v>4.6399999999999997</v>
      </c>
      <c r="I145" s="545">
        <v>4.7466999999999997</v>
      </c>
      <c r="J145" s="545">
        <v>4.8550000000000004</v>
      </c>
      <c r="K145" s="545">
        <v>4.9000000000000004</v>
      </c>
      <c r="L145" s="545">
        <v>4.9532999999999996</v>
      </c>
      <c r="M145" s="545">
        <v>5.0266999999999999</v>
      </c>
      <c r="N145" s="545">
        <v>5.0768000000000004</v>
      </c>
      <c r="P145" s="547">
        <v>40436</v>
      </c>
      <c r="Q145" s="550">
        <v>0.22688</v>
      </c>
      <c r="R145" s="545">
        <v>0.25734000000000001</v>
      </c>
      <c r="S145" s="545">
        <v>0.27406000000000003</v>
      </c>
      <c r="T145" s="545">
        <v>0.29203000000000001</v>
      </c>
      <c r="U145" s="545">
        <v>0.34641</v>
      </c>
      <c r="V145" s="545">
        <v>0.41343999999999997</v>
      </c>
      <c r="W145" s="545">
        <v>0.47453000000000001</v>
      </c>
      <c r="X145" s="545">
        <v>0.79749999999999999</v>
      </c>
    </row>
    <row r="146" spans="6:24">
      <c r="F146" s="547">
        <v>40437</v>
      </c>
      <c r="G146" s="550">
        <v>4.5</v>
      </c>
      <c r="H146" s="545">
        <v>4.58</v>
      </c>
      <c r="I146" s="545">
        <v>4.71</v>
      </c>
      <c r="J146" s="545">
        <v>4.7866999999999997</v>
      </c>
      <c r="K146" s="545">
        <v>4.8532999999999999</v>
      </c>
      <c r="L146" s="545">
        <v>4.9166999999999996</v>
      </c>
      <c r="M146" s="545">
        <v>4.9832999999999998</v>
      </c>
      <c r="N146" s="545">
        <v>5.0648999999999997</v>
      </c>
      <c r="P146" s="547">
        <v>40437</v>
      </c>
      <c r="Q146" s="550">
        <v>0.22750000000000001</v>
      </c>
      <c r="R146" s="545">
        <v>0.25734000000000001</v>
      </c>
      <c r="S146" s="545">
        <v>0.27406000000000003</v>
      </c>
      <c r="T146" s="545">
        <v>0.29141</v>
      </c>
      <c r="U146" s="545">
        <v>0.34625</v>
      </c>
      <c r="V146" s="545">
        <v>0.41297</v>
      </c>
      <c r="W146" s="545">
        <v>0.47438000000000002</v>
      </c>
      <c r="X146" s="545">
        <v>0.79400000000000004</v>
      </c>
    </row>
    <row r="147" spans="6:24">
      <c r="F147" s="547">
        <v>40438</v>
      </c>
      <c r="G147" s="550">
        <v>4.5</v>
      </c>
      <c r="H147" s="545">
        <v>4.58</v>
      </c>
      <c r="I147" s="545">
        <v>4.72</v>
      </c>
      <c r="J147" s="545">
        <v>4.78</v>
      </c>
      <c r="K147" s="545">
        <v>4.8499999999999996</v>
      </c>
      <c r="L147" s="545">
        <v>4.915</v>
      </c>
      <c r="M147" s="545">
        <v>4.9733000000000001</v>
      </c>
      <c r="N147" s="545">
        <v>5.0754999999999999</v>
      </c>
      <c r="P147" s="547">
        <v>40438</v>
      </c>
      <c r="Q147" s="550">
        <v>0.22788</v>
      </c>
      <c r="R147" s="545">
        <v>0.25750000000000001</v>
      </c>
      <c r="S147" s="545">
        <v>0.27438000000000001</v>
      </c>
      <c r="T147" s="545">
        <v>0.29155999999999999</v>
      </c>
      <c r="U147" s="545">
        <v>0.34625</v>
      </c>
      <c r="V147" s="545">
        <v>0.41297</v>
      </c>
      <c r="W147" s="545">
        <v>0.47313</v>
      </c>
      <c r="X147" s="545">
        <v>0.79362999999999995</v>
      </c>
    </row>
    <row r="148" spans="6:24">
      <c r="F148" s="547">
        <v>40441</v>
      </c>
      <c r="G148" s="550">
        <v>4.5</v>
      </c>
      <c r="H148" s="545">
        <v>4.5732999999999997</v>
      </c>
      <c r="I148" s="545">
        <v>4.7</v>
      </c>
      <c r="J148" s="545">
        <v>4.74</v>
      </c>
      <c r="K148" s="545">
        <v>4.835</v>
      </c>
      <c r="L148" s="545">
        <v>4.9050000000000002</v>
      </c>
      <c r="M148" s="545">
        <v>4.9800000000000004</v>
      </c>
      <c r="N148" s="545">
        <v>5.0609000000000002</v>
      </c>
      <c r="P148" s="547">
        <v>40441</v>
      </c>
      <c r="Q148" s="550">
        <v>0.22788</v>
      </c>
      <c r="R148" s="545">
        <v>0.25624999999999998</v>
      </c>
      <c r="S148" s="545">
        <v>0.27312999999999998</v>
      </c>
      <c r="T148" s="545">
        <v>0.29031000000000001</v>
      </c>
      <c r="U148" s="545">
        <v>0.34625</v>
      </c>
      <c r="V148" s="545">
        <v>0.41313</v>
      </c>
      <c r="W148" s="545">
        <v>0.47313</v>
      </c>
      <c r="X148" s="545">
        <v>0.79362999999999995</v>
      </c>
    </row>
    <row r="149" spans="6:24">
      <c r="F149" s="547">
        <v>40442</v>
      </c>
      <c r="G149" s="550">
        <v>4.5</v>
      </c>
      <c r="H149" s="545">
        <v>4.6067</v>
      </c>
      <c r="I149" s="545">
        <v>4.7317</v>
      </c>
      <c r="J149" s="545">
        <v>4.79</v>
      </c>
      <c r="K149" s="545">
        <v>4.8982999999999999</v>
      </c>
      <c r="L149" s="545">
        <v>4.9882999999999997</v>
      </c>
      <c r="M149" s="545">
        <v>5.0816999999999997</v>
      </c>
      <c r="N149" s="545">
        <v>5.1836000000000002</v>
      </c>
      <c r="P149" s="547">
        <v>40442</v>
      </c>
      <c r="Q149" s="550">
        <v>0.22788</v>
      </c>
      <c r="R149" s="545">
        <v>0.25624999999999998</v>
      </c>
      <c r="S149" s="545">
        <v>0.27312999999999998</v>
      </c>
      <c r="T149" s="545">
        <v>0.28969</v>
      </c>
      <c r="U149" s="545">
        <v>0.34625</v>
      </c>
      <c r="V149" s="545">
        <v>0.41313</v>
      </c>
      <c r="W149" s="545">
        <v>0.47313</v>
      </c>
      <c r="X149" s="545">
        <v>0.79337999999999997</v>
      </c>
    </row>
    <row r="150" spans="6:24">
      <c r="F150" s="547">
        <v>40443</v>
      </c>
      <c r="G150" s="550">
        <v>4.5</v>
      </c>
      <c r="H150" s="545">
        <v>4.6116999999999999</v>
      </c>
      <c r="I150" s="545">
        <v>4.7350000000000003</v>
      </c>
      <c r="J150" s="545">
        <v>4.83</v>
      </c>
      <c r="K150" s="545">
        <v>4.9283000000000001</v>
      </c>
      <c r="L150" s="545">
        <v>5.0266999999999999</v>
      </c>
      <c r="M150" s="545">
        <v>5.15</v>
      </c>
      <c r="N150" s="545">
        <v>5.2137000000000002</v>
      </c>
      <c r="P150" s="547">
        <v>40443</v>
      </c>
      <c r="Q150" s="550">
        <v>0.22663</v>
      </c>
      <c r="R150" s="545">
        <v>0.25624999999999998</v>
      </c>
      <c r="S150" s="545">
        <v>0.27296999999999999</v>
      </c>
      <c r="T150" s="545">
        <v>0.28938000000000003</v>
      </c>
      <c r="U150" s="545">
        <v>0.34312999999999999</v>
      </c>
      <c r="V150" s="545">
        <v>0.40688000000000002</v>
      </c>
      <c r="W150" s="545">
        <v>0.46405999999999997</v>
      </c>
      <c r="X150" s="545">
        <v>0.78169</v>
      </c>
    </row>
    <row r="151" spans="6:24">
      <c r="F151" s="547">
        <v>40444</v>
      </c>
      <c r="G151" s="550">
        <v>4.5</v>
      </c>
      <c r="H151" s="545">
        <v>4.6500000000000004</v>
      </c>
      <c r="I151" s="545">
        <v>4.7450000000000001</v>
      </c>
      <c r="J151" s="545">
        <v>4.8333000000000004</v>
      </c>
      <c r="K151" s="545">
        <v>4.9249999999999998</v>
      </c>
      <c r="L151" s="545">
        <v>5.0232999999999999</v>
      </c>
      <c r="M151" s="545">
        <v>5.1132999999999997</v>
      </c>
      <c r="N151" s="545">
        <v>5.1963999999999997</v>
      </c>
      <c r="P151" s="547">
        <v>40444</v>
      </c>
      <c r="Q151" s="550">
        <v>0.22663</v>
      </c>
      <c r="R151" s="545">
        <v>0.25624999999999998</v>
      </c>
      <c r="S151" s="545">
        <v>0.27296999999999999</v>
      </c>
      <c r="T151" s="545">
        <v>0.28938000000000003</v>
      </c>
      <c r="U151" s="545">
        <v>0.34281</v>
      </c>
      <c r="V151" s="545">
        <v>0.40625</v>
      </c>
      <c r="W151" s="545">
        <v>0.46281</v>
      </c>
      <c r="X151" s="545">
        <v>0.78125</v>
      </c>
    </row>
    <row r="152" spans="6:24">
      <c r="F152" s="547">
        <v>40445</v>
      </c>
      <c r="G152" s="550">
        <v>4.5</v>
      </c>
      <c r="H152" s="545">
        <v>4.6399999999999997</v>
      </c>
      <c r="I152" s="545">
        <v>4.7516999999999996</v>
      </c>
      <c r="J152" s="545">
        <v>4.83</v>
      </c>
      <c r="K152" s="545">
        <v>4.9267000000000003</v>
      </c>
      <c r="L152" s="545">
        <v>5.0199999999999996</v>
      </c>
      <c r="M152" s="545">
        <v>5.12</v>
      </c>
      <c r="N152" s="545">
        <v>5.181</v>
      </c>
      <c r="P152" s="547">
        <v>40445</v>
      </c>
      <c r="Q152" s="550">
        <v>0.22538</v>
      </c>
      <c r="R152" s="545">
        <v>0.25624999999999998</v>
      </c>
      <c r="S152" s="545">
        <v>0.27296999999999999</v>
      </c>
      <c r="T152" s="545">
        <v>0.28938000000000003</v>
      </c>
      <c r="U152" s="545">
        <v>0.34281</v>
      </c>
      <c r="V152" s="545">
        <v>0.40625</v>
      </c>
      <c r="W152" s="545">
        <v>0.46405999999999997</v>
      </c>
      <c r="X152" s="545">
        <v>0.78063000000000005</v>
      </c>
    </row>
    <row r="153" spans="6:24">
      <c r="F153" s="547">
        <v>40448</v>
      </c>
      <c r="G153" s="550">
        <v>4.5</v>
      </c>
      <c r="H153" s="545">
        <v>4.66</v>
      </c>
      <c r="I153" s="545">
        <v>4.7949999999999999</v>
      </c>
      <c r="J153" s="545">
        <v>4.9550000000000001</v>
      </c>
      <c r="K153" s="545">
        <v>4.9966999999999997</v>
      </c>
      <c r="L153" s="545">
        <v>5.0433000000000003</v>
      </c>
      <c r="M153" s="545">
        <v>5.08</v>
      </c>
      <c r="N153" s="545">
        <v>5.2445000000000004</v>
      </c>
      <c r="P153" s="547">
        <v>40448</v>
      </c>
      <c r="Q153" s="550">
        <v>0.22538</v>
      </c>
      <c r="R153" s="545">
        <v>0.25624999999999998</v>
      </c>
      <c r="S153" s="545">
        <v>0.27296999999999999</v>
      </c>
      <c r="T153" s="545">
        <v>0.28938000000000003</v>
      </c>
      <c r="U153" s="545">
        <v>0.34281</v>
      </c>
      <c r="V153" s="545">
        <v>0.40625</v>
      </c>
      <c r="W153" s="545">
        <v>0.46250000000000002</v>
      </c>
      <c r="X153" s="545">
        <v>0.77863000000000004</v>
      </c>
    </row>
    <row r="154" spans="6:24">
      <c r="F154" s="547">
        <v>40449</v>
      </c>
      <c r="G154" s="550">
        <v>4.5</v>
      </c>
      <c r="H154" s="545">
        <v>4.66</v>
      </c>
      <c r="I154" s="545">
        <v>4.8049999999999997</v>
      </c>
      <c r="J154" s="545">
        <v>4.9333</v>
      </c>
      <c r="K154" s="545">
        <v>4.9966999999999997</v>
      </c>
      <c r="L154" s="545">
        <v>5.0533000000000001</v>
      </c>
      <c r="M154" s="545">
        <v>5.12</v>
      </c>
      <c r="N154" s="545">
        <v>5.2419000000000002</v>
      </c>
      <c r="P154" s="547">
        <v>40449</v>
      </c>
      <c r="Q154" s="550">
        <v>0.22500000000000001</v>
      </c>
      <c r="R154" s="545">
        <v>0.25624999999999998</v>
      </c>
      <c r="S154" s="545">
        <v>0.27296999999999999</v>
      </c>
      <c r="T154" s="545">
        <v>0.28938000000000003</v>
      </c>
      <c r="U154" s="545">
        <v>0.34281</v>
      </c>
      <c r="V154" s="545">
        <v>0.40625</v>
      </c>
      <c r="W154" s="545">
        <v>0.46250000000000002</v>
      </c>
      <c r="X154" s="545">
        <v>0.77849999999999997</v>
      </c>
    </row>
    <row r="155" spans="6:24">
      <c r="F155" s="547">
        <v>40450</v>
      </c>
      <c r="G155" s="550">
        <v>4.5</v>
      </c>
      <c r="H155" s="545">
        <v>4.68</v>
      </c>
      <c r="I155" s="545">
        <v>4.8132999999999999</v>
      </c>
      <c r="J155" s="545">
        <v>4.9733000000000001</v>
      </c>
      <c r="K155" s="545">
        <v>5.0199999999999996</v>
      </c>
      <c r="L155" s="545">
        <v>5.085</v>
      </c>
      <c r="M155" s="545">
        <v>5.165</v>
      </c>
      <c r="N155" s="545">
        <v>5.2405999999999997</v>
      </c>
      <c r="P155" s="547">
        <v>40450</v>
      </c>
      <c r="Q155" s="550">
        <v>0.22500000000000001</v>
      </c>
      <c r="R155" s="545">
        <v>0.25624999999999998</v>
      </c>
      <c r="S155" s="545">
        <v>0.27296999999999999</v>
      </c>
      <c r="T155" s="545">
        <v>0.28999999999999998</v>
      </c>
      <c r="U155" s="545">
        <v>0.34405999999999998</v>
      </c>
      <c r="V155" s="545">
        <v>0.40749999999999997</v>
      </c>
      <c r="W155" s="545">
        <v>0.46250000000000002</v>
      </c>
      <c r="X155" s="545">
        <v>0.77825</v>
      </c>
    </row>
    <row r="156" spans="6:24">
      <c r="F156" s="547">
        <v>40451</v>
      </c>
      <c r="G156" s="550">
        <v>4.5</v>
      </c>
      <c r="H156" s="545">
        <v>4.7016999999999998</v>
      </c>
      <c r="I156" s="545">
        <v>4.8499999999999996</v>
      </c>
      <c r="J156" s="545">
        <v>5.0117000000000003</v>
      </c>
      <c r="K156" s="545">
        <v>5.0583</v>
      </c>
      <c r="L156" s="545">
        <v>5.1166999999999998</v>
      </c>
      <c r="M156" s="545">
        <v>5.1966999999999999</v>
      </c>
      <c r="N156" s="545">
        <v>5.2256</v>
      </c>
      <c r="P156" s="547">
        <v>40451</v>
      </c>
      <c r="Q156" s="550">
        <v>0.22625000000000001</v>
      </c>
      <c r="R156" s="545">
        <v>0.25624999999999998</v>
      </c>
      <c r="S156" s="545">
        <v>0.27296999999999999</v>
      </c>
      <c r="T156" s="545">
        <v>0.28999999999999998</v>
      </c>
      <c r="U156" s="545">
        <v>0.34405999999999998</v>
      </c>
      <c r="V156" s="545">
        <v>0.40749999999999997</v>
      </c>
      <c r="W156" s="545">
        <v>0.46250000000000002</v>
      </c>
      <c r="X156" s="545">
        <v>0.77775000000000005</v>
      </c>
    </row>
    <row r="157" spans="6:24">
      <c r="F157" s="547">
        <v>40452</v>
      </c>
      <c r="G157" s="550">
        <v>4.5</v>
      </c>
      <c r="H157" s="545">
        <v>4.6833</v>
      </c>
      <c r="I157" s="545">
        <v>4.7949999999999999</v>
      </c>
      <c r="J157" s="545">
        <v>4.88</v>
      </c>
      <c r="K157" s="545">
        <v>4.9516999999999998</v>
      </c>
      <c r="L157" s="545">
        <v>5.0199999999999996</v>
      </c>
      <c r="M157" s="545">
        <v>5.0833000000000004</v>
      </c>
      <c r="N157" s="545">
        <v>5.2095000000000002</v>
      </c>
      <c r="P157" s="547">
        <v>40452</v>
      </c>
      <c r="Q157" s="550">
        <v>0.22813</v>
      </c>
      <c r="R157" s="545">
        <v>0.25688</v>
      </c>
      <c r="S157" s="545">
        <v>0.27359</v>
      </c>
      <c r="T157" s="545">
        <v>0.29063</v>
      </c>
      <c r="U157" s="545">
        <v>0.34469</v>
      </c>
      <c r="V157" s="545">
        <v>0.40812999999999999</v>
      </c>
      <c r="W157" s="545">
        <v>0.46312999999999999</v>
      </c>
      <c r="X157" s="545">
        <v>0.77837999999999996</v>
      </c>
    </row>
    <row r="158" spans="6:24">
      <c r="F158" s="547">
        <v>40455</v>
      </c>
      <c r="G158" s="550">
        <v>4.5</v>
      </c>
      <c r="H158" s="545">
        <v>4.6833</v>
      </c>
      <c r="I158" s="545">
        <v>4.7949999999999999</v>
      </c>
      <c r="J158" s="545">
        <v>4.88</v>
      </c>
      <c r="K158" s="545">
        <v>4.9516999999999998</v>
      </c>
      <c r="L158" s="545">
        <v>5.0199999999999996</v>
      </c>
      <c r="M158" s="545">
        <v>5.0833000000000004</v>
      </c>
      <c r="N158" s="545">
        <v>5.2095000000000002</v>
      </c>
      <c r="P158" s="547">
        <v>40455</v>
      </c>
      <c r="Q158" s="550">
        <v>0.22563</v>
      </c>
      <c r="R158" s="545">
        <v>0.25688</v>
      </c>
      <c r="S158" s="545">
        <v>0.27359</v>
      </c>
      <c r="T158" s="545">
        <v>0.29063</v>
      </c>
      <c r="U158" s="545">
        <v>0.34469</v>
      </c>
      <c r="V158" s="545">
        <v>0.40812999999999999</v>
      </c>
      <c r="W158" s="545">
        <v>0.46312999999999999</v>
      </c>
      <c r="X158" s="545">
        <v>0.77700000000000002</v>
      </c>
    </row>
    <row r="159" spans="6:24">
      <c r="F159" s="547">
        <v>40456</v>
      </c>
      <c r="G159" s="550">
        <v>4.5</v>
      </c>
      <c r="H159" s="545">
        <v>4.7567000000000004</v>
      </c>
      <c r="I159" s="545">
        <v>4.8449999999999998</v>
      </c>
      <c r="J159" s="545">
        <v>4.9267000000000003</v>
      </c>
      <c r="K159" s="545">
        <v>5.0016999999999996</v>
      </c>
      <c r="L159" s="545">
        <v>5.0750000000000002</v>
      </c>
      <c r="M159" s="545">
        <v>5.15</v>
      </c>
      <c r="N159" s="545">
        <v>5.2659000000000002</v>
      </c>
      <c r="P159" s="547">
        <v>40456</v>
      </c>
      <c r="Q159" s="550">
        <v>0.22563</v>
      </c>
      <c r="R159" s="545">
        <v>0.25688</v>
      </c>
      <c r="S159" s="545">
        <v>0.27359</v>
      </c>
      <c r="T159" s="545">
        <v>0.28999999999999998</v>
      </c>
      <c r="U159" s="545">
        <v>0.34469</v>
      </c>
      <c r="V159" s="545">
        <v>0.40812999999999999</v>
      </c>
      <c r="W159" s="545">
        <v>0.46188000000000001</v>
      </c>
      <c r="X159" s="545">
        <v>0.77675000000000005</v>
      </c>
    </row>
    <row r="160" spans="6:24">
      <c r="F160" s="547">
        <v>40457</v>
      </c>
      <c r="G160" s="550">
        <v>4.5</v>
      </c>
      <c r="H160" s="545">
        <v>4.5933000000000002</v>
      </c>
      <c r="I160" s="545">
        <v>4.7066999999999997</v>
      </c>
      <c r="J160" s="545">
        <v>4.83</v>
      </c>
      <c r="K160" s="545">
        <v>4.8867000000000003</v>
      </c>
      <c r="L160" s="545">
        <v>4.95</v>
      </c>
      <c r="M160" s="545">
        <v>5.0599999999999996</v>
      </c>
      <c r="N160" s="545">
        <v>5.133</v>
      </c>
      <c r="P160" s="547">
        <v>40457</v>
      </c>
      <c r="Q160" s="550">
        <v>0.22563</v>
      </c>
      <c r="R160" s="545">
        <v>0.25688</v>
      </c>
      <c r="S160" s="545">
        <v>0.27359</v>
      </c>
      <c r="T160" s="545">
        <v>0.28969</v>
      </c>
      <c r="U160" s="545">
        <v>0.34438000000000002</v>
      </c>
      <c r="V160" s="545">
        <v>0.40781000000000001</v>
      </c>
      <c r="W160" s="545">
        <v>0.46156000000000003</v>
      </c>
      <c r="X160" s="545">
        <v>0.77412999999999998</v>
      </c>
    </row>
    <row r="161" spans="6:24">
      <c r="F161" s="547">
        <v>40458</v>
      </c>
      <c r="G161" s="550">
        <v>4.5</v>
      </c>
      <c r="H161" s="545">
        <v>4.6100000000000003</v>
      </c>
      <c r="I161" s="545">
        <v>4.7149999999999999</v>
      </c>
      <c r="J161" s="545">
        <v>4.83</v>
      </c>
      <c r="K161" s="545">
        <v>4.8867000000000003</v>
      </c>
      <c r="L161" s="545">
        <v>4.96</v>
      </c>
      <c r="M161" s="545">
        <v>5.04</v>
      </c>
      <c r="N161" s="545">
        <v>5.1327999999999996</v>
      </c>
      <c r="P161" s="547">
        <v>40458</v>
      </c>
      <c r="Q161" s="550">
        <v>0.22500000000000001</v>
      </c>
      <c r="R161" s="545">
        <v>0.25624999999999998</v>
      </c>
      <c r="S161" s="545">
        <v>0.27296999999999999</v>
      </c>
      <c r="T161" s="545">
        <v>0.28905999999999998</v>
      </c>
      <c r="U161" s="545">
        <v>0.34375</v>
      </c>
      <c r="V161" s="545">
        <v>0.40719</v>
      </c>
      <c r="W161" s="545">
        <v>0.45874999999999999</v>
      </c>
      <c r="X161" s="545">
        <v>0.77149999999999996</v>
      </c>
    </row>
    <row r="162" spans="6:24">
      <c r="F162" s="547">
        <v>40459</v>
      </c>
      <c r="G162" s="550">
        <v>4.5</v>
      </c>
      <c r="H162" s="545">
        <v>4.6399999999999997</v>
      </c>
      <c r="I162" s="545">
        <v>4.7483000000000004</v>
      </c>
      <c r="J162" s="545">
        <v>4.8383000000000003</v>
      </c>
      <c r="K162" s="545">
        <v>4.9267000000000003</v>
      </c>
      <c r="L162" s="545">
        <v>5.0133000000000001</v>
      </c>
      <c r="M162" s="545">
        <v>5.1017000000000001</v>
      </c>
      <c r="N162" s="545">
        <v>5.2321</v>
      </c>
      <c r="P162" s="547">
        <v>40459</v>
      </c>
      <c r="Q162" s="550">
        <v>0.22500000000000001</v>
      </c>
      <c r="R162" s="545">
        <v>0.25624999999999998</v>
      </c>
      <c r="S162" s="545">
        <v>0.27296999999999999</v>
      </c>
      <c r="T162" s="545">
        <v>0.28905999999999998</v>
      </c>
      <c r="U162" s="545">
        <v>0.34344000000000002</v>
      </c>
      <c r="V162" s="545">
        <v>0.40688000000000002</v>
      </c>
      <c r="W162" s="545">
        <v>0.45750000000000002</v>
      </c>
      <c r="X162" s="545">
        <v>0.76956000000000002</v>
      </c>
    </row>
    <row r="163" spans="6:24">
      <c r="F163" s="547">
        <v>40462</v>
      </c>
      <c r="G163" s="550">
        <v>4.5</v>
      </c>
      <c r="H163" s="545">
        <v>4.62</v>
      </c>
      <c r="I163" s="545">
        <v>4.7366999999999999</v>
      </c>
      <c r="J163" s="545">
        <v>4.8266999999999998</v>
      </c>
      <c r="K163" s="545">
        <v>4.9082999999999997</v>
      </c>
      <c r="L163" s="545">
        <v>4.9950000000000001</v>
      </c>
      <c r="M163" s="545">
        <v>5.07</v>
      </c>
      <c r="N163" s="545">
        <v>5.1981000000000002</v>
      </c>
      <c r="P163" s="547">
        <v>40462</v>
      </c>
      <c r="Q163" s="550">
        <v>0.22500000000000001</v>
      </c>
      <c r="R163" s="545">
        <v>0.25624999999999998</v>
      </c>
      <c r="S163" s="545">
        <v>0.27296999999999999</v>
      </c>
      <c r="T163" s="545">
        <v>0.28905999999999998</v>
      </c>
      <c r="U163" s="545">
        <v>0.34344000000000002</v>
      </c>
      <c r="V163" s="545">
        <v>0.40562999999999999</v>
      </c>
      <c r="W163" s="545">
        <v>0.45656000000000002</v>
      </c>
      <c r="X163" s="545">
        <v>0.76693999999999996</v>
      </c>
    </row>
    <row r="164" spans="6:24">
      <c r="F164" s="547">
        <v>40463</v>
      </c>
      <c r="G164" s="550">
        <v>4.5</v>
      </c>
      <c r="H164" s="545">
        <v>4.62</v>
      </c>
      <c r="I164" s="545">
        <v>4.7366999999999999</v>
      </c>
      <c r="J164" s="545">
        <v>4.8033000000000001</v>
      </c>
      <c r="K164" s="545">
        <v>4.8982999999999999</v>
      </c>
      <c r="L164" s="545">
        <v>4.9817</v>
      </c>
      <c r="M164" s="545">
        <v>5.0583</v>
      </c>
      <c r="N164" s="545">
        <v>5.1581000000000001</v>
      </c>
      <c r="P164" s="547">
        <v>40463</v>
      </c>
      <c r="Q164" s="550">
        <v>0.22563</v>
      </c>
      <c r="R164" s="545">
        <v>0.25624999999999998</v>
      </c>
      <c r="S164" s="545">
        <v>0.27296999999999999</v>
      </c>
      <c r="T164" s="545">
        <v>0.28905999999999998</v>
      </c>
      <c r="U164" s="545">
        <v>0.34344000000000002</v>
      </c>
      <c r="V164" s="545">
        <v>0.40531</v>
      </c>
      <c r="W164" s="545">
        <v>0.45500000000000002</v>
      </c>
      <c r="X164" s="545">
        <v>0.76649999999999996</v>
      </c>
    </row>
    <row r="165" spans="6:24">
      <c r="F165" s="547">
        <v>40464</v>
      </c>
      <c r="G165" s="550">
        <v>4.5</v>
      </c>
      <c r="H165" s="545">
        <v>4.62</v>
      </c>
      <c r="I165" s="545">
        <v>4.7466999999999997</v>
      </c>
      <c r="J165" s="545">
        <v>4.8499999999999996</v>
      </c>
      <c r="K165" s="545">
        <v>4.9116999999999997</v>
      </c>
      <c r="L165" s="545">
        <v>4.9950000000000001</v>
      </c>
      <c r="M165" s="545">
        <v>5.08</v>
      </c>
      <c r="N165" s="545">
        <v>5.1872999999999996</v>
      </c>
      <c r="P165" s="547">
        <v>40464</v>
      </c>
      <c r="Q165" s="550">
        <v>0.22563</v>
      </c>
      <c r="R165" s="545">
        <v>0.25624999999999998</v>
      </c>
      <c r="S165" s="545">
        <v>0.27296999999999999</v>
      </c>
      <c r="T165" s="545">
        <v>0.28905999999999998</v>
      </c>
      <c r="U165" s="545">
        <v>0.34344000000000002</v>
      </c>
      <c r="V165" s="545">
        <v>0.40531</v>
      </c>
      <c r="W165" s="545">
        <v>0.45500000000000002</v>
      </c>
      <c r="X165" s="545">
        <v>0.76680999999999999</v>
      </c>
    </row>
    <row r="166" spans="6:24">
      <c r="F166" s="547">
        <v>40465</v>
      </c>
      <c r="G166" s="550">
        <v>4.5</v>
      </c>
      <c r="H166" s="545">
        <v>4.6266999999999996</v>
      </c>
      <c r="I166" s="545">
        <v>4.7350000000000003</v>
      </c>
      <c r="J166" s="545">
        <v>4.8</v>
      </c>
      <c r="K166" s="545">
        <v>4.87</v>
      </c>
      <c r="L166" s="545">
        <v>4.9400000000000004</v>
      </c>
      <c r="M166" s="545">
        <v>5</v>
      </c>
      <c r="N166" s="545">
        <v>5.1124000000000001</v>
      </c>
      <c r="P166" s="547">
        <v>40465</v>
      </c>
      <c r="Q166" s="550">
        <v>0.22688</v>
      </c>
      <c r="R166" s="545">
        <v>0.25624999999999998</v>
      </c>
      <c r="S166" s="545">
        <v>0.27296999999999999</v>
      </c>
      <c r="T166" s="545">
        <v>0.28905999999999998</v>
      </c>
      <c r="U166" s="545">
        <v>0.34344000000000002</v>
      </c>
      <c r="V166" s="545">
        <v>0.40531</v>
      </c>
      <c r="W166" s="545">
        <v>0.45374999999999999</v>
      </c>
      <c r="X166" s="545">
        <v>0.76649999999999996</v>
      </c>
    </row>
    <row r="167" spans="6:24">
      <c r="F167" s="547">
        <v>40466</v>
      </c>
      <c r="G167" s="550">
        <v>4.5</v>
      </c>
      <c r="H167" s="545">
        <v>4.6399999999999997</v>
      </c>
      <c r="I167" s="545">
        <v>4.74</v>
      </c>
      <c r="J167" s="545">
        <v>4.8033000000000001</v>
      </c>
      <c r="K167" s="545">
        <v>4.8817000000000004</v>
      </c>
      <c r="L167" s="545">
        <v>4.96</v>
      </c>
      <c r="M167" s="545">
        <v>5.04</v>
      </c>
      <c r="N167" s="545">
        <v>5.1127000000000002</v>
      </c>
      <c r="P167" s="547">
        <v>40466</v>
      </c>
      <c r="Q167" s="550">
        <v>0.22688</v>
      </c>
      <c r="R167" s="545">
        <v>0.25624999999999998</v>
      </c>
      <c r="S167" s="545">
        <v>0.27296999999999999</v>
      </c>
      <c r="T167" s="545">
        <v>0.28905999999999998</v>
      </c>
      <c r="U167" s="545">
        <v>0.34218999999999999</v>
      </c>
      <c r="V167" s="545">
        <v>0.40281</v>
      </c>
      <c r="W167" s="545">
        <v>0.45250000000000001</v>
      </c>
      <c r="X167" s="545">
        <v>0.76663000000000003</v>
      </c>
    </row>
    <row r="168" spans="6:24">
      <c r="F168" s="547">
        <v>40469</v>
      </c>
      <c r="G168" s="550">
        <v>4.5</v>
      </c>
      <c r="H168" s="545">
        <v>4.6082999999999998</v>
      </c>
      <c r="I168" s="545">
        <v>4.7183000000000002</v>
      </c>
      <c r="J168" s="545">
        <v>4.7416999999999998</v>
      </c>
      <c r="K168" s="545">
        <v>4.8383000000000003</v>
      </c>
      <c r="L168" s="545">
        <v>4.9283000000000001</v>
      </c>
      <c r="M168" s="545">
        <v>5.0016999999999996</v>
      </c>
      <c r="N168" s="545">
        <v>5.1218000000000004</v>
      </c>
      <c r="P168" s="547">
        <v>40469</v>
      </c>
      <c r="Q168" s="550">
        <v>0.22688</v>
      </c>
      <c r="R168" s="545">
        <v>0.25624999999999998</v>
      </c>
      <c r="S168" s="545">
        <v>0.27172000000000002</v>
      </c>
      <c r="T168" s="545">
        <v>0.28905999999999998</v>
      </c>
      <c r="U168" s="545">
        <v>0.34218999999999999</v>
      </c>
      <c r="V168" s="545">
        <v>0.40281</v>
      </c>
      <c r="W168" s="545">
        <v>0.45250000000000001</v>
      </c>
      <c r="X168" s="545">
        <v>0.76549999999999996</v>
      </c>
    </row>
    <row r="169" spans="6:24">
      <c r="F169" s="547">
        <v>40470</v>
      </c>
      <c r="G169" s="550">
        <v>4.5</v>
      </c>
      <c r="H169" s="545">
        <v>4.6100000000000003</v>
      </c>
      <c r="I169" s="545">
        <v>4.7233000000000001</v>
      </c>
      <c r="J169" s="545">
        <v>4.7617000000000003</v>
      </c>
      <c r="K169" s="545">
        <v>4.84</v>
      </c>
      <c r="L169" s="545">
        <v>4.93</v>
      </c>
      <c r="M169" s="545">
        <v>5.0117000000000003</v>
      </c>
      <c r="N169" s="545">
        <v>5.1223000000000001</v>
      </c>
      <c r="P169" s="547">
        <v>40470</v>
      </c>
      <c r="Q169" s="550">
        <v>0.22625000000000001</v>
      </c>
      <c r="R169" s="545">
        <v>0.25624999999999998</v>
      </c>
      <c r="S169" s="545">
        <v>0.27172000000000002</v>
      </c>
      <c r="T169" s="545">
        <v>0.28905999999999998</v>
      </c>
      <c r="U169" s="545">
        <v>0.34218999999999999</v>
      </c>
      <c r="V169" s="545">
        <v>0.40281</v>
      </c>
      <c r="W169" s="545">
        <v>0.45250000000000001</v>
      </c>
      <c r="X169" s="545">
        <v>0.76549999999999996</v>
      </c>
    </row>
    <row r="170" spans="6:24">
      <c r="F170" s="547">
        <v>40471</v>
      </c>
      <c r="G170" s="550">
        <v>4.5</v>
      </c>
      <c r="H170" s="545">
        <v>4.5999999999999996</v>
      </c>
      <c r="I170" s="545">
        <v>4.7300000000000004</v>
      </c>
      <c r="J170" s="545">
        <v>4.7750000000000004</v>
      </c>
      <c r="K170" s="545">
        <v>4.8467000000000002</v>
      </c>
      <c r="L170" s="545">
        <v>4.9283000000000001</v>
      </c>
      <c r="M170" s="545">
        <v>5.0067000000000004</v>
      </c>
      <c r="N170" s="545">
        <v>5.1113999999999997</v>
      </c>
      <c r="P170" s="547">
        <v>40471</v>
      </c>
      <c r="Q170" s="550">
        <v>0.22688</v>
      </c>
      <c r="R170" s="545">
        <v>0.25624999999999998</v>
      </c>
      <c r="S170" s="545">
        <v>0.27109</v>
      </c>
      <c r="T170" s="545">
        <v>0.28843999999999997</v>
      </c>
      <c r="U170" s="545">
        <v>0.34218999999999999</v>
      </c>
      <c r="V170" s="545">
        <v>0.40281</v>
      </c>
      <c r="W170" s="545">
        <v>0.45374999999999999</v>
      </c>
      <c r="X170" s="545">
        <v>0.76549999999999996</v>
      </c>
    </row>
    <row r="171" spans="6:24">
      <c r="F171" s="547">
        <v>40472</v>
      </c>
      <c r="G171" s="550">
        <v>4.5</v>
      </c>
      <c r="H171" s="545">
        <v>4.625</v>
      </c>
      <c r="I171" s="545">
        <v>4.7300000000000004</v>
      </c>
      <c r="J171" s="545">
        <v>4.75</v>
      </c>
      <c r="K171" s="545">
        <v>4.8417000000000003</v>
      </c>
      <c r="L171" s="545">
        <v>4.9233000000000002</v>
      </c>
      <c r="M171" s="545">
        <v>5.01</v>
      </c>
      <c r="N171" s="545">
        <v>5.1204999999999998</v>
      </c>
      <c r="P171" s="547">
        <v>40472</v>
      </c>
      <c r="Q171" s="550">
        <v>0.22688</v>
      </c>
      <c r="R171" s="545">
        <v>0.25624999999999998</v>
      </c>
      <c r="S171" s="545">
        <v>0.27109</v>
      </c>
      <c r="T171" s="545">
        <v>0.28843999999999997</v>
      </c>
      <c r="U171" s="545">
        <v>0.34218999999999999</v>
      </c>
      <c r="V171" s="545">
        <v>0.40281</v>
      </c>
      <c r="W171" s="545">
        <v>0.45250000000000001</v>
      </c>
      <c r="X171" s="545">
        <v>0.76537999999999995</v>
      </c>
    </row>
    <row r="172" spans="6:24">
      <c r="F172" s="547">
        <v>40473</v>
      </c>
      <c r="G172" s="550">
        <v>4.5</v>
      </c>
      <c r="H172" s="545">
        <v>4.6367000000000003</v>
      </c>
      <c r="I172" s="545">
        <v>4.7350000000000003</v>
      </c>
      <c r="J172" s="545">
        <v>4.7699999999999996</v>
      </c>
      <c r="K172" s="545">
        <v>4.8632999999999997</v>
      </c>
      <c r="L172" s="545">
        <v>4.9532999999999996</v>
      </c>
      <c r="M172" s="545">
        <v>5.0567000000000002</v>
      </c>
      <c r="N172" s="545">
        <v>5.1276000000000002</v>
      </c>
      <c r="P172" s="547">
        <v>40473</v>
      </c>
      <c r="Q172" s="550">
        <v>0.22563</v>
      </c>
      <c r="R172" s="545">
        <v>0.25624999999999998</v>
      </c>
      <c r="S172" s="545">
        <v>0.27109</v>
      </c>
      <c r="T172" s="545">
        <v>0.28843999999999997</v>
      </c>
      <c r="U172" s="545">
        <v>0.34218999999999999</v>
      </c>
      <c r="V172" s="545">
        <v>0.40281</v>
      </c>
      <c r="W172" s="545">
        <v>0.45250000000000001</v>
      </c>
      <c r="X172" s="545">
        <v>0.76537999999999995</v>
      </c>
    </row>
    <row r="173" spans="6:24">
      <c r="F173" s="547">
        <v>40476</v>
      </c>
      <c r="G173" s="550">
        <v>4.5</v>
      </c>
      <c r="H173" s="545">
        <v>4.63</v>
      </c>
      <c r="I173" s="545">
        <v>4.7350000000000003</v>
      </c>
      <c r="J173" s="545">
        <v>4.7866999999999997</v>
      </c>
      <c r="K173" s="545">
        <v>4.8783000000000003</v>
      </c>
      <c r="L173" s="545">
        <v>4.9800000000000004</v>
      </c>
      <c r="M173" s="545">
        <v>5.0967000000000002</v>
      </c>
      <c r="N173" s="545">
        <v>5.1432000000000002</v>
      </c>
      <c r="P173" s="547">
        <v>40476</v>
      </c>
      <c r="Q173" s="550">
        <v>0.22563</v>
      </c>
      <c r="R173" s="545">
        <v>0.25624999999999998</v>
      </c>
      <c r="S173" s="545">
        <v>0.27109</v>
      </c>
      <c r="T173" s="545">
        <v>0.28843999999999997</v>
      </c>
      <c r="U173" s="545">
        <v>0.34218999999999999</v>
      </c>
      <c r="V173" s="545">
        <v>0.40281</v>
      </c>
      <c r="W173" s="545">
        <v>0.45250000000000001</v>
      </c>
      <c r="X173" s="545">
        <v>0.76524999999999999</v>
      </c>
    </row>
    <row r="174" spans="6:24">
      <c r="F174" s="547">
        <v>40477</v>
      </c>
      <c r="G174" s="550">
        <v>4.5</v>
      </c>
      <c r="H174" s="545">
        <v>4.6516999999999999</v>
      </c>
      <c r="I174" s="545">
        <v>4.7766999999999999</v>
      </c>
      <c r="J174" s="545">
        <v>4.8600000000000003</v>
      </c>
      <c r="K174" s="545">
        <v>4.9400000000000004</v>
      </c>
      <c r="L174" s="545">
        <v>5.04</v>
      </c>
      <c r="M174" s="545">
        <v>5.1449999999999996</v>
      </c>
      <c r="N174" s="545">
        <v>5.2117000000000004</v>
      </c>
      <c r="P174" s="547">
        <v>40477</v>
      </c>
      <c r="Q174" s="550">
        <v>0.22563</v>
      </c>
      <c r="R174" s="545">
        <v>0.25530999999999998</v>
      </c>
      <c r="S174" s="545">
        <v>0.27109</v>
      </c>
      <c r="T174" s="545">
        <v>0.28843999999999997</v>
      </c>
      <c r="U174" s="545">
        <v>0.33968999999999999</v>
      </c>
      <c r="V174" s="545">
        <v>0.40155999999999997</v>
      </c>
      <c r="W174" s="545">
        <v>0.45124999999999998</v>
      </c>
      <c r="X174" s="545">
        <v>0.76524999999999999</v>
      </c>
    </row>
    <row r="175" spans="6:24">
      <c r="F175" s="547">
        <v>40478</v>
      </c>
      <c r="G175" s="550">
        <v>4.5</v>
      </c>
      <c r="H175" s="545">
        <v>4.67</v>
      </c>
      <c r="I175" s="545">
        <v>4.7766999999999999</v>
      </c>
      <c r="J175" s="545">
        <v>4.8567</v>
      </c>
      <c r="K175" s="545">
        <v>4.9382999999999999</v>
      </c>
      <c r="L175" s="545">
        <v>5.0250000000000004</v>
      </c>
      <c r="M175" s="545">
        <v>5.12</v>
      </c>
      <c r="N175" s="545">
        <v>5.2009999999999996</v>
      </c>
      <c r="P175" s="547">
        <v>40478</v>
      </c>
      <c r="Q175" s="550">
        <v>0.22563</v>
      </c>
      <c r="R175" s="545">
        <v>0.25530999999999998</v>
      </c>
      <c r="S175" s="545">
        <v>0.27078000000000002</v>
      </c>
      <c r="T175" s="545">
        <v>0.28813</v>
      </c>
      <c r="U175" s="545">
        <v>0.33968999999999999</v>
      </c>
      <c r="V175" s="545">
        <v>0.40155999999999997</v>
      </c>
      <c r="W175" s="545">
        <v>0.45030999999999999</v>
      </c>
      <c r="X175" s="545">
        <v>0.76537999999999995</v>
      </c>
    </row>
    <row r="176" spans="6:24">
      <c r="F176" s="547">
        <v>40479</v>
      </c>
      <c r="G176" s="550">
        <v>4.5</v>
      </c>
      <c r="H176" s="545">
        <v>4.6399999999999997</v>
      </c>
      <c r="I176" s="545">
        <v>4.7149999999999999</v>
      </c>
      <c r="J176" s="545">
        <v>4.7916999999999996</v>
      </c>
      <c r="K176" s="545">
        <v>4.8483000000000001</v>
      </c>
      <c r="L176" s="545">
        <v>4.9166999999999996</v>
      </c>
      <c r="M176" s="545">
        <v>4.99</v>
      </c>
      <c r="N176" s="545">
        <v>5.1043000000000003</v>
      </c>
      <c r="P176" s="547">
        <v>40479</v>
      </c>
      <c r="Q176" s="550">
        <v>0.22563</v>
      </c>
      <c r="R176" s="545">
        <v>0.25406000000000001</v>
      </c>
      <c r="S176" s="545">
        <v>0.27016000000000001</v>
      </c>
      <c r="T176" s="545">
        <v>0.28688000000000002</v>
      </c>
      <c r="U176" s="545">
        <v>0.33781</v>
      </c>
      <c r="V176" s="545">
        <v>0.40155999999999997</v>
      </c>
      <c r="W176" s="545">
        <v>0.44980999999999999</v>
      </c>
      <c r="X176" s="545">
        <v>0.76400000000000001</v>
      </c>
    </row>
    <row r="177" spans="6:24">
      <c r="F177" s="547">
        <v>40480</v>
      </c>
      <c r="G177" s="550">
        <v>4.5</v>
      </c>
      <c r="H177" s="545">
        <v>4.68</v>
      </c>
      <c r="I177" s="545">
        <v>4.7432999999999996</v>
      </c>
      <c r="J177" s="545">
        <v>4.8716999999999997</v>
      </c>
      <c r="K177" s="545">
        <v>4.9267000000000003</v>
      </c>
      <c r="L177" s="545">
        <v>4.9832999999999998</v>
      </c>
      <c r="M177" s="545">
        <v>5.07</v>
      </c>
      <c r="N177" s="545">
        <v>5.1020000000000003</v>
      </c>
      <c r="P177" s="547">
        <v>40480</v>
      </c>
      <c r="Q177" s="550">
        <v>0.22563</v>
      </c>
      <c r="R177" s="545">
        <v>0.25374999999999998</v>
      </c>
      <c r="S177" s="545">
        <v>0.26766000000000001</v>
      </c>
      <c r="T177" s="545">
        <v>0.28594000000000003</v>
      </c>
      <c r="U177" s="545">
        <v>0.33500000000000002</v>
      </c>
      <c r="V177" s="545">
        <v>0.39750000000000002</v>
      </c>
      <c r="W177" s="545">
        <v>0.44844000000000001</v>
      </c>
      <c r="X177" s="545">
        <v>0.76219000000000003</v>
      </c>
    </row>
    <row r="178" spans="6:24">
      <c r="F178" s="547">
        <v>40483</v>
      </c>
      <c r="G178" s="550">
        <v>4.5</v>
      </c>
      <c r="H178" s="545">
        <v>4.6233000000000004</v>
      </c>
      <c r="I178" s="545">
        <v>4.7300000000000004</v>
      </c>
      <c r="J178" s="545">
        <v>4.8017000000000003</v>
      </c>
      <c r="K178" s="545">
        <v>4.8616999999999999</v>
      </c>
      <c r="L178" s="545">
        <v>4.93</v>
      </c>
      <c r="M178" s="545">
        <v>5.0067000000000004</v>
      </c>
      <c r="N178" s="545">
        <v>5.0644</v>
      </c>
      <c r="P178" s="547">
        <v>40483</v>
      </c>
      <c r="Q178" s="550">
        <v>0.22563</v>
      </c>
      <c r="R178" s="545">
        <v>0.25374999999999998</v>
      </c>
      <c r="S178" s="545">
        <v>0.26859</v>
      </c>
      <c r="T178" s="545">
        <v>0.28594000000000003</v>
      </c>
      <c r="U178" s="545">
        <v>0.33500000000000002</v>
      </c>
      <c r="V178" s="545">
        <v>0.39624999999999999</v>
      </c>
      <c r="W178" s="545">
        <v>0.44563000000000003</v>
      </c>
      <c r="X178" s="545">
        <v>0.76037999999999994</v>
      </c>
    </row>
    <row r="179" spans="6:24">
      <c r="F179" s="547">
        <v>40484</v>
      </c>
      <c r="G179" s="550">
        <v>4.5</v>
      </c>
      <c r="H179" s="545">
        <v>4.6266999999999996</v>
      </c>
      <c r="I179" s="545">
        <v>4.75</v>
      </c>
      <c r="J179" s="545">
        <v>4.8250000000000002</v>
      </c>
      <c r="K179" s="545">
        <v>4.8883000000000001</v>
      </c>
      <c r="L179" s="545">
        <v>4.9550000000000001</v>
      </c>
      <c r="M179" s="545">
        <v>5.0517000000000003</v>
      </c>
      <c r="N179" s="545">
        <v>5.101</v>
      </c>
      <c r="P179" s="547">
        <v>40484</v>
      </c>
      <c r="Q179" s="550">
        <v>0.22563</v>
      </c>
      <c r="R179" s="545">
        <v>0.25374999999999998</v>
      </c>
      <c r="S179" s="545">
        <v>0.26859</v>
      </c>
      <c r="T179" s="545">
        <v>0.28594000000000003</v>
      </c>
      <c r="U179" s="545">
        <v>0.33500000000000002</v>
      </c>
      <c r="V179" s="545">
        <v>0.39624999999999999</v>
      </c>
      <c r="W179" s="545">
        <v>0.44563000000000003</v>
      </c>
      <c r="X179" s="545">
        <v>0.76037999999999994</v>
      </c>
    </row>
    <row r="180" spans="6:24">
      <c r="F180" s="547">
        <v>40485</v>
      </c>
      <c r="G180" s="550">
        <v>4.75</v>
      </c>
      <c r="H180" s="545">
        <v>4.8182999999999998</v>
      </c>
      <c r="I180" s="545">
        <v>4.9000000000000004</v>
      </c>
      <c r="J180" s="545">
        <v>4.95</v>
      </c>
      <c r="K180" s="545">
        <v>5.0133000000000001</v>
      </c>
      <c r="L180" s="545">
        <v>5.0599999999999996</v>
      </c>
      <c r="M180" s="545">
        <v>5.1150000000000002</v>
      </c>
      <c r="N180" s="545">
        <v>5.2275999999999998</v>
      </c>
      <c r="P180" s="547">
        <v>40485</v>
      </c>
      <c r="Q180" s="550">
        <v>0.22563</v>
      </c>
      <c r="R180" s="545">
        <v>0.25374999999999998</v>
      </c>
      <c r="S180" s="545">
        <v>0.26859</v>
      </c>
      <c r="T180" s="545">
        <v>0.28594000000000003</v>
      </c>
      <c r="U180" s="545">
        <v>0.33374999999999999</v>
      </c>
      <c r="V180" s="545">
        <v>0.39500000000000002</v>
      </c>
      <c r="W180" s="545">
        <v>0.44438</v>
      </c>
      <c r="X180" s="545">
        <v>0.76037999999999994</v>
      </c>
    </row>
    <row r="181" spans="6:24">
      <c r="F181" s="547">
        <v>40486</v>
      </c>
      <c r="G181" s="550">
        <v>4.75</v>
      </c>
      <c r="H181" s="545">
        <v>4.8</v>
      </c>
      <c r="I181" s="545">
        <v>4.9116999999999997</v>
      </c>
      <c r="J181" s="545">
        <v>4.95</v>
      </c>
      <c r="K181" s="545">
        <v>5.0083000000000002</v>
      </c>
      <c r="L181" s="545">
        <v>5.0632999999999999</v>
      </c>
      <c r="M181" s="545">
        <v>5.1166999999999998</v>
      </c>
      <c r="N181" s="545">
        <v>5.2489999999999997</v>
      </c>
      <c r="P181" s="547">
        <v>40486</v>
      </c>
      <c r="Q181" s="550">
        <v>0.22563</v>
      </c>
      <c r="R181" s="545">
        <v>0.25344</v>
      </c>
      <c r="S181" s="545">
        <v>0.26828000000000002</v>
      </c>
      <c r="T181" s="545">
        <v>0.28563</v>
      </c>
      <c r="U181" s="545">
        <v>0.33312999999999998</v>
      </c>
      <c r="V181" s="545">
        <v>0.39312999999999998</v>
      </c>
      <c r="W181" s="545">
        <v>0.4425</v>
      </c>
      <c r="X181" s="545">
        <v>0.75600000000000001</v>
      </c>
    </row>
    <row r="182" spans="6:24">
      <c r="F182" s="547">
        <v>40487</v>
      </c>
      <c r="G182" s="550">
        <v>4.75</v>
      </c>
      <c r="H182" s="545">
        <v>4.8033000000000001</v>
      </c>
      <c r="I182" s="545">
        <v>4.915</v>
      </c>
      <c r="J182" s="545">
        <v>4.9932999999999996</v>
      </c>
      <c r="K182" s="545">
        <v>5.05</v>
      </c>
      <c r="L182" s="545">
        <v>5.1050000000000004</v>
      </c>
      <c r="M182" s="545">
        <v>5.1717000000000004</v>
      </c>
      <c r="N182" s="545">
        <v>5.2713000000000001</v>
      </c>
      <c r="P182" s="547">
        <v>40487</v>
      </c>
      <c r="Q182" s="550">
        <v>0.22563</v>
      </c>
      <c r="R182" s="545">
        <v>0.25344</v>
      </c>
      <c r="S182" s="545">
        <v>0.26828000000000002</v>
      </c>
      <c r="T182" s="545">
        <v>0.28563</v>
      </c>
      <c r="U182" s="545">
        <v>0.33250000000000002</v>
      </c>
      <c r="V182" s="545">
        <v>0.39250000000000002</v>
      </c>
      <c r="W182" s="545">
        <v>0.44188</v>
      </c>
      <c r="X182" s="545">
        <v>0.75524999999999998</v>
      </c>
    </row>
    <row r="183" spans="6:24">
      <c r="F183" s="547">
        <v>40490</v>
      </c>
      <c r="G183" s="550">
        <v>4.75</v>
      </c>
      <c r="H183" s="545">
        <v>4.8033000000000001</v>
      </c>
      <c r="I183" s="545">
        <v>4.9417</v>
      </c>
      <c r="J183" s="545">
        <v>5.01</v>
      </c>
      <c r="K183" s="545">
        <v>5.0617000000000001</v>
      </c>
      <c r="L183" s="545">
        <v>5.1132999999999997</v>
      </c>
      <c r="M183" s="545">
        <v>5.1867000000000001</v>
      </c>
      <c r="N183" s="545">
        <v>5.3003</v>
      </c>
      <c r="P183" s="547">
        <v>40490</v>
      </c>
      <c r="Q183" s="550">
        <v>0.22563</v>
      </c>
      <c r="R183" s="545">
        <v>0.25344</v>
      </c>
      <c r="S183" s="545">
        <v>0.26828000000000002</v>
      </c>
      <c r="T183" s="545">
        <v>0.28563</v>
      </c>
      <c r="U183" s="545">
        <v>0.33250000000000002</v>
      </c>
      <c r="V183" s="545">
        <v>0.39250000000000002</v>
      </c>
      <c r="W183" s="545">
        <v>0.4425</v>
      </c>
      <c r="X183" s="545">
        <v>0.75556000000000001</v>
      </c>
    </row>
    <row r="184" spans="6:24">
      <c r="F184" s="547">
        <v>40491</v>
      </c>
      <c r="G184" s="550">
        <v>4.75</v>
      </c>
      <c r="H184" s="545">
        <v>4.82</v>
      </c>
      <c r="I184" s="545">
        <v>4.9450000000000003</v>
      </c>
      <c r="J184" s="545">
        <v>5.0266999999999999</v>
      </c>
      <c r="K184" s="545">
        <v>5.07</v>
      </c>
      <c r="L184" s="545">
        <v>5.1216999999999997</v>
      </c>
      <c r="M184" s="545">
        <v>5.18</v>
      </c>
      <c r="N184" s="545">
        <v>5.3098000000000001</v>
      </c>
      <c r="P184" s="547">
        <v>40491</v>
      </c>
      <c r="Q184" s="550">
        <v>0.22563</v>
      </c>
      <c r="R184" s="545">
        <v>0.25344</v>
      </c>
      <c r="S184" s="545">
        <v>0.26828000000000002</v>
      </c>
      <c r="T184" s="545">
        <v>0.28563</v>
      </c>
      <c r="U184" s="545">
        <v>0.33250000000000002</v>
      </c>
      <c r="V184" s="545">
        <v>0.39250000000000002</v>
      </c>
      <c r="W184" s="545">
        <v>0.44280999999999998</v>
      </c>
      <c r="X184" s="545">
        <v>0.75875000000000004</v>
      </c>
    </row>
    <row r="185" spans="6:24">
      <c r="F185" s="547">
        <v>40492</v>
      </c>
      <c r="G185" s="550">
        <v>4.75</v>
      </c>
      <c r="H185" s="545">
        <v>4.8150000000000004</v>
      </c>
      <c r="I185" s="545">
        <v>4.9817</v>
      </c>
      <c r="J185" s="545">
        <v>5.0599999999999996</v>
      </c>
      <c r="K185" s="545">
        <v>5.1032999999999999</v>
      </c>
      <c r="L185" s="545">
        <v>5.1516999999999999</v>
      </c>
      <c r="M185" s="545">
        <v>5.2</v>
      </c>
      <c r="N185" s="545">
        <v>5.3345000000000002</v>
      </c>
      <c r="P185" s="547">
        <v>40492</v>
      </c>
      <c r="Q185" s="550">
        <v>0.22563</v>
      </c>
      <c r="R185" s="545">
        <v>0.25344</v>
      </c>
      <c r="S185" s="545">
        <v>0.26828000000000002</v>
      </c>
      <c r="T185" s="545">
        <v>0.28563</v>
      </c>
      <c r="U185" s="545">
        <v>0.33250000000000002</v>
      </c>
      <c r="V185" s="545">
        <v>0.39250000000000002</v>
      </c>
      <c r="W185" s="545">
        <v>0.44280999999999998</v>
      </c>
      <c r="X185" s="545">
        <v>0.75905999999999996</v>
      </c>
    </row>
    <row r="186" spans="6:24">
      <c r="F186" s="547">
        <v>40493</v>
      </c>
      <c r="G186" s="550">
        <v>4.75</v>
      </c>
      <c r="H186" s="545">
        <v>4.8067000000000002</v>
      </c>
      <c r="I186" s="545">
        <v>4.9717000000000002</v>
      </c>
      <c r="J186" s="545">
        <v>5.0650000000000004</v>
      </c>
      <c r="K186" s="545">
        <v>5.1032999999999999</v>
      </c>
      <c r="L186" s="545">
        <v>5.15</v>
      </c>
      <c r="M186" s="545">
        <v>5.1932999999999998</v>
      </c>
      <c r="N186" s="545">
        <v>5.327</v>
      </c>
      <c r="P186" s="547">
        <v>40493</v>
      </c>
      <c r="Q186" s="550">
        <v>0.22563</v>
      </c>
      <c r="R186" s="545">
        <v>0.25344</v>
      </c>
      <c r="S186" s="545">
        <v>0.26828000000000002</v>
      </c>
      <c r="T186" s="545">
        <v>0.28563</v>
      </c>
      <c r="U186" s="545">
        <v>0.33250000000000002</v>
      </c>
      <c r="V186" s="545">
        <v>0.39250000000000002</v>
      </c>
      <c r="W186" s="545">
        <v>0.44280999999999998</v>
      </c>
      <c r="X186" s="545">
        <v>0.75905999999999996</v>
      </c>
    </row>
    <row r="187" spans="6:24">
      <c r="F187" s="547">
        <v>40494</v>
      </c>
      <c r="G187" s="550">
        <v>4.75</v>
      </c>
      <c r="H187" s="545">
        <v>4.8433000000000002</v>
      </c>
      <c r="I187" s="545">
        <v>4.9800000000000004</v>
      </c>
      <c r="J187" s="545">
        <v>5.0599999999999996</v>
      </c>
      <c r="K187" s="545">
        <v>5.0949999999999998</v>
      </c>
      <c r="L187" s="545">
        <v>5.1417000000000002</v>
      </c>
      <c r="M187" s="545">
        <v>5.18</v>
      </c>
      <c r="N187" s="545">
        <v>5.3196000000000003</v>
      </c>
      <c r="P187" s="547">
        <v>40494</v>
      </c>
      <c r="Q187" s="550">
        <v>0.22563</v>
      </c>
      <c r="R187" s="545">
        <v>0.25344</v>
      </c>
      <c r="S187" s="545">
        <v>0.26828000000000002</v>
      </c>
      <c r="T187" s="545">
        <v>0.28438000000000002</v>
      </c>
      <c r="U187" s="545">
        <v>0.33250000000000002</v>
      </c>
      <c r="V187" s="545">
        <v>0.39250000000000002</v>
      </c>
      <c r="W187" s="545">
        <v>0.44280999999999998</v>
      </c>
      <c r="X187" s="545">
        <v>0.76280999999999999</v>
      </c>
    </row>
    <row r="188" spans="6:24">
      <c r="F188" s="547">
        <v>40497</v>
      </c>
      <c r="G188" s="550">
        <v>4.75</v>
      </c>
      <c r="H188" s="545">
        <v>4.8</v>
      </c>
      <c r="I188" s="545">
        <v>4.9717000000000002</v>
      </c>
      <c r="J188" s="545">
        <v>5.0483000000000002</v>
      </c>
      <c r="K188" s="545">
        <v>5.0917000000000003</v>
      </c>
      <c r="L188" s="545">
        <v>5.1383000000000001</v>
      </c>
      <c r="M188" s="545">
        <v>5.2</v>
      </c>
      <c r="N188" s="545">
        <v>5.2899000000000003</v>
      </c>
      <c r="P188" s="547">
        <v>40497</v>
      </c>
      <c r="Q188" s="550">
        <v>0.22625000000000001</v>
      </c>
      <c r="R188" s="545">
        <v>0.25344</v>
      </c>
      <c r="S188" s="545">
        <v>0.26828000000000002</v>
      </c>
      <c r="T188" s="545">
        <v>0.28438000000000002</v>
      </c>
      <c r="U188" s="545">
        <v>0.33250000000000002</v>
      </c>
      <c r="V188" s="545">
        <v>0.39218999999999998</v>
      </c>
      <c r="W188" s="545">
        <v>0.4425</v>
      </c>
      <c r="X188" s="545">
        <v>0.76480999999999999</v>
      </c>
    </row>
    <row r="189" spans="6:24">
      <c r="F189" s="547">
        <v>40498</v>
      </c>
      <c r="G189" s="550">
        <v>4.75</v>
      </c>
      <c r="H189" s="545">
        <v>4.8017000000000003</v>
      </c>
      <c r="I189" s="545">
        <v>4.9566999999999997</v>
      </c>
      <c r="J189" s="545">
        <v>5.0199999999999996</v>
      </c>
      <c r="K189" s="545">
        <v>5.0782999999999996</v>
      </c>
      <c r="L189" s="545">
        <v>5.1283000000000003</v>
      </c>
      <c r="M189" s="545">
        <v>5.2032999999999996</v>
      </c>
      <c r="N189" s="545">
        <v>5.3022999999999998</v>
      </c>
      <c r="P189" s="547">
        <v>40498</v>
      </c>
      <c r="Q189" s="550">
        <v>0.22938</v>
      </c>
      <c r="R189" s="545">
        <v>0.25344</v>
      </c>
      <c r="S189" s="545">
        <v>0.26828000000000002</v>
      </c>
      <c r="T189" s="545">
        <v>0.28438000000000002</v>
      </c>
      <c r="U189" s="545">
        <v>0.33250000000000002</v>
      </c>
      <c r="V189" s="545">
        <v>0.39218999999999998</v>
      </c>
      <c r="W189" s="545">
        <v>0.44219000000000003</v>
      </c>
      <c r="X189" s="545">
        <v>0.76249999999999996</v>
      </c>
    </row>
    <row r="190" spans="6:24">
      <c r="F190" s="547">
        <v>40499</v>
      </c>
      <c r="G190" s="550">
        <v>4.75</v>
      </c>
      <c r="H190" s="545">
        <v>4.8150000000000004</v>
      </c>
      <c r="I190" s="545">
        <v>4.96</v>
      </c>
      <c r="J190" s="545">
        <v>5.0217000000000001</v>
      </c>
      <c r="K190" s="545">
        <v>5.0750000000000002</v>
      </c>
      <c r="L190" s="545">
        <v>5.1266999999999996</v>
      </c>
      <c r="M190" s="545">
        <v>5.18</v>
      </c>
      <c r="N190" s="545">
        <v>5.2636000000000003</v>
      </c>
      <c r="P190" s="547">
        <v>40499</v>
      </c>
      <c r="Q190" s="550">
        <v>0.23063</v>
      </c>
      <c r="R190" s="545">
        <v>0.25344</v>
      </c>
      <c r="S190" s="545">
        <v>0.26828000000000002</v>
      </c>
      <c r="T190" s="545">
        <v>0.28438000000000002</v>
      </c>
      <c r="U190" s="545">
        <v>0.33250000000000002</v>
      </c>
      <c r="V190" s="545">
        <v>0.39218999999999998</v>
      </c>
      <c r="W190" s="545">
        <v>0.44219000000000003</v>
      </c>
      <c r="X190" s="545">
        <v>0.76249999999999996</v>
      </c>
    </row>
    <row r="191" spans="6:24">
      <c r="F191" s="547">
        <v>40500</v>
      </c>
      <c r="G191" s="550">
        <v>4.75</v>
      </c>
      <c r="H191" s="545">
        <v>4.82</v>
      </c>
      <c r="I191" s="545">
        <v>4.9667000000000003</v>
      </c>
      <c r="J191" s="545">
        <v>5.01</v>
      </c>
      <c r="K191" s="545">
        <v>5.0632999999999999</v>
      </c>
      <c r="L191" s="545">
        <v>5.1182999999999996</v>
      </c>
      <c r="M191" s="545">
        <v>5.16</v>
      </c>
      <c r="N191" s="545">
        <v>5.2945000000000002</v>
      </c>
      <c r="P191" s="547">
        <v>40500</v>
      </c>
      <c r="Q191" s="550">
        <v>0.22938</v>
      </c>
      <c r="R191" s="545">
        <v>0.25344</v>
      </c>
      <c r="S191" s="545">
        <v>0.26828000000000002</v>
      </c>
      <c r="T191" s="545">
        <v>0.28438000000000002</v>
      </c>
      <c r="U191" s="545">
        <v>0.33250000000000002</v>
      </c>
      <c r="V191" s="545">
        <v>0.39218999999999998</v>
      </c>
      <c r="W191" s="545">
        <v>0.44219000000000003</v>
      </c>
      <c r="X191" s="545">
        <v>0.76324999999999998</v>
      </c>
    </row>
    <row r="192" spans="6:24">
      <c r="F192" s="547">
        <v>40501</v>
      </c>
      <c r="G192" s="550">
        <v>4.75</v>
      </c>
      <c r="H192" s="545">
        <v>4.82</v>
      </c>
      <c r="I192" s="545">
        <v>4.9649999999999999</v>
      </c>
      <c r="J192" s="545">
        <v>5.0033000000000003</v>
      </c>
      <c r="K192" s="545">
        <v>5.0750000000000002</v>
      </c>
      <c r="L192" s="545">
        <v>5.1333000000000002</v>
      </c>
      <c r="M192" s="545">
        <v>5.2032999999999996</v>
      </c>
      <c r="N192" s="545">
        <v>5.3224</v>
      </c>
      <c r="P192" s="547">
        <v>40501</v>
      </c>
      <c r="Q192" s="550">
        <v>0.22938</v>
      </c>
      <c r="R192" s="545">
        <v>0.25344</v>
      </c>
      <c r="S192" s="545">
        <v>0.26828000000000002</v>
      </c>
      <c r="T192" s="545">
        <v>0.28438000000000002</v>
      </c>
      <c r="U192" s="545">
        <v>0.33250000000000002</v>
      </c>
      <c r="V192" s="545">
        <v>0.39218999999999998</v>
      </c>
      <c r="W192" s="545">
        <v>0.44219000000000003</v>
      </c>
      <c r="X192" s="545">
        <v>0.76312999999999998</v>
      </c>
    </row>
    <row r="193" spans="6:24">
      <c r="F193" s="547">
        <v>40504</v>
      </c>
      <c r="G193" s="550">
        <v>4.75</v>
      </c>
      <c r="H193" s="545">
        <v>4.8</v>
      </c>
      <c r="I193" s="545">
        <v>4.9667000000000003</v>
      </c>
      <c r="J193" s="545">
        <v>5</v>
      </c>
      <c r="K193" s="545">
        <v>5.07</v>
      </c>
      <c r="L193" s="545">
        <v>5.1333000000000002</v>
      </c>
      <c r="M193" s="545">
        <v>5.2050000000000001</v>
      </c>
      <c r="N193" s="545">
        <v>5.3064999999999998</v>
      </c>
      <c r="P193" s="547">
        <v>40504</v>
      </c>
      <c r="Q193" s="550">
        <v>0.23063</v>
      </c>
      <c r="R193" s="545">
        <v>0.25344</v>
      </c>
      <c r="S193" s="545">
        <v>0.26828000000000002</v>
      </c>
      <c r="T193" s="545">
        <v>0.28438000000000002</v>
      </c>
      <c r="U193" s="545">
        <v>0.33250000000000002</v>
      </c>
      <c r="V193" s="545">
        <v>0.39218999999999998</v>
      </c>
      <c r="W193" s="545">
        <v>0.44219000000000003</v>
      </c>
      <c r="X193" s="545">
        <v>0.76312999999999998</v>
      </c>
    </row>
    <row r="194" spans="6:24">
      <c r="F194" s="547">
        <v>40505</v>
      </c>
      <c r="G194" s="550">
        <v>4.75</v>
      </c>
      <c r="H194" s="545">
        <v>4.8316999999999997</v>
      </c>
      <c r="I194" s="545">
        <v>4.9717000000000002</v>
      </c>
      <c r="J194" s="545">
        <v>5.0549999999999997</v>
      </c>
      <c r="K194" s="545">
        <v>5.0983000000000001</v>
      </c>
      <c r="L194" s="545">
        <v>5.1582999999999997</v>
      </c>
      <c r="M194" s="545">
        <v>5.2317</v>
      </c>
      <c r="N194" s="545">
        <v>5.2942999999999998</v>
      </c>
      <c r="P194" s="547">
        <v>40505</v>
      </c>
      <c r="Q194" s="550">
        <v>0.23188</v>
      </c>
      <c r="R194" s="545">
        <v>0.25344</v>
      </c>
      <c r="S194" s="545">
        <v>0.26828000000000002</v>
      </c>
      <c r="T194" s="545">
        <v>0.28438000000000002</v>
      </c>
      <c r="U194" s="545">
        <v>0.33250000000000002</v>
      </c>
      <c r="V194" s="545">
        <v>0.39218999999999998</v>
      </c>
      <c r="W194" s="545">
        <v>0.44219000000000003</v>
      </c>
      <c r="X194" s="545">
        <v>0.76312999999999998</v>
      </c>
    </row>
    <row r="195" spans="6:24">
      <c r="F195" s="547">
        <v>40506</v>
      </c>
      <c r="G195" s="550">
        <v>4.75</v>
      </c>
      <c r="H195" s="545">
        <v>4.8117000000000001</v>
      </c>
      <c r="I195" s="545">
        <v>4.97</v>
      </c>
      <c r="J195" s="545">
        <v>5.0567000000000002</v>
      </c>
      <c r="K195" s="545">
        <v>5.0983000000000001</v>
      </c>
      <c r="L195" s="545">
        <v>5.1683000000000003</v>
      </c>
      <c r="M195" s="545">
        <v>5.2583000000000002</v>
      </c>
      <c r="N195" s="545">
        <v>5.2769000000000004</v>
      </c>
      <c r="P195" s="547">
        <v>40506</v>
      </c>
      <c r="Q195" s="550">
        <v>0.23313</v>
      </c>
      <c r="R195" s="545">
        <v>0.25344</v>
      </c>
      <c r="S195" s="545">
        <v>0.27140999999999998</v>
      </c>
      <c r="T195" s="545">
        <v>0.28749999999999998</v>
      </c>
      <c r="U195" s="545">
        <v>0.33562999999999998</v>
      </c>
      <c r="V195" s="545">
        <v>0.39438000000000001</v>
      </c>
      <c r="W195" s="545">
        <v>0.44688</v>
      </c>
      <c r="X195" s="545">
        <v>0.76649999999999996</v>
      </c>
    </row>
    <row r="196" spans="6:24">
      <c r="F196" s="547">
        <v>40507</v>
      </c>
      <c r="G196" s="550">
        <v>4.75</v>
      </c>
      <c r="H196" s="545">
        <v>4.83</v>
      </c>
      <c r="I196" s="545">
        <v>4.9850000000000003</v>
      </c>
      <c r="J196" s="545">
        <v>5.08</v>
      </c>
      <c r="K196" s="545">
        <v>5.1233000000000004</v>
      </c>
      <c r="L196" s="545">
        <v>5.1882999999999999</v>
      </c>
      <c r="M196" s="545">
        <v>5.2882999999999996</v>
      </c>
      <c r="N196" s="545">
        <v>5.3061999999999996</v>
      </c>
      <c r="P196" s="547">
        <v>40507</v>
      </c>
      <c r="Q196" s="550">
        <v>0.23313</v>
      </c>
      <c r="R196" s="545">
        <v>0.255</v>
      </c>
      <c r="S196" s="545">
        <v>0.27438000000000001</v>
      </c>
      <c r="T196" s="545">
        <v>0.29187999999999997</v>
      </c>
      <c r="U196" s="545">
        <v>0.34250000000000003</v>
      </c>
      <c r="V196" s="545">
        <v>0.40344000000000002</v>
      </c>
      <c r="W196" s="545">
        <v>0.45624999999999999</v>
      </c>
      <c r="X196" s="545">
        <v>0.78025</v>
      </c>
    </row>
    <row r="197" spans="6:24">
      <c r="F197" s="547">
        <v>40508</v>
      </c>
      <c r="G197" s="550">
        <v>4.75</v>
      </c>
      <c r="H197" s="545">
        <v>4.8132999999999999</v>
      </c>
      <c r="I197" s="545">
        <v>4.9749999999999996</v>
      </c>
      <c r="J197" s="545">
        <v>5.0567000000000002</v>
      </c>
      <c r="K197" s="545">
        <v>5.1283000000000003</v>
      </c>
      <c r="L197" s="545">
        <v>5.1817000000000002</v>
      </c>
      <c r="M197" s="545">
        <v>5.2549999999999999</v>
      </c>
      <c r="N197" s="545">
        <v>5.2874999999999996</v>
      </c>
      <c r="P197" s="547">
        <v>40508</v>
      </c>
      <c r="Q197" s="550">
        <v>0.23250000000000001</v>
      </c>
      <c r="R197" s="545">
        <v>0.25624999999999998</v>
      </c>
      <c r="S197" s="545">
        <v>0.27594000000000002</v>
      </c>
      <c r="T197" s="545">
        <v>0.29437999999999998</v>
      </c>
      <c r="U197" s="545">
        <v>0.34469</v>
      </c>
      <c r="V197" s="545">
        <v>0.40468999999999999</v>
      </c>
      <c r="W197" s="545">
        <v>0.45874999999999999</v>
      </c>
      <c r="X197" s="545">
        <v>0.78463000000000005</v>
      </c>
    </row>
    <row r="198" spans="6:24">
      <c r="F198" s="547">
        <v>40511</v>
      </c>
      <c r="G198" s="550">
        <v>4.75</v>
      </c>
      <c r="H198" s="545">
        <v>4.83</v>
      </c>
      <c r="I198" s="545">
        <v>4.9800000000000004</v>
      </c>
      <c r="J198" s="545">
        <v>5.0716999999999999</v>
      </c>
      <c r="K198" s="545">
        <v>5.1349999999999998</v>
      </c>
      <c r="L198" s="545">
        <v>5.1932999999999998</v>
      </c>
      <c r="M198" s="545">
        <v>5.2633000000000001</v>
      </c>
      <c r="N198" s="545">
        <v>5.2724000000000002</v>
      </c>
      <c r="P198" s="547">
        <v>40511</v>
      </c>
      <c r="Q198" s="550">
        <v>0.23250000000000001</v>
      </c>
      <c r="R198" s="545">
        <v>0.25750000000000001</v>
      </c>
      <c r="S198" s="545">
        <v>0.27750000000000002</v>
      </c>
      <c r="T198" s="545">
        <v>0.29593999999999998</v>
      </c>
      <c r="U198" s="545">
        <v>0.34499999999999997</v>
      </c>
      <c r="V198" s="545">
        <v>0.40375</v>
      </c>
      <c r="W198" s="545">
        <v>0.45906000000000002</v>
      </c>
      <c r="X198" s="545">
        <v>0.78493999999999997</v>
      </c>
    </row>
    <row r="199" spans="6:24">
      <c r="F199" s="547">
        <v>40512</v>
      </c>
      <c r="G199" s="550">
        <v>4.75</v>
      </c>
      <c r="H199" s="545">
        <v>4.8582999999999998</v>
      </c>
      <c r="I199" s="545">
        <v>4.9767000000000001</v>
      </c>
      <c r="J199" s="545">
        <v>5.0433000000000003</v>
      </c>
      <c r="K199" s="545">
        <v>5.12</v>
      </c>
      <c r="L199" s="545">
        <v>5.1817000000000002</v>
      </c>
      <c r="M199" s="545">
        <v>5.25</v>
      </c>
      <c r="N199" s="545">
        <v>5.2144000000000004</v>
      </c>
      <c r="P199" s="547">
        <v>40512</v>
      </c>
      <c r="Q199" s="550">
        <v>0.23624999999999999</v>
      </c>
      <c r="R199" s="545">
        <v>0.26062999999999997</v>
      </c>
      <c r="S199" s="545">
        <v>0.28000000000000003</v>
      </c>
      <c r="T199" s="545">
        <v>0.30031000000000002</v>
      </c>
      <c r="U199" s="545">
        <v>0.34749999999999998</v>
      </c>
      <c r="V199" s="545">
        <v>0.40655999999999998</v>
      </c>
      <c r="W199" s="545">
        <v>0.46100000000000002</v>
      </c>
      <c r="X199" s="545">
        <v>0.78656000000000004</v>
      </c>
    </row>
    <row r="200" spans="6:24">
      <c r="F200" s="547">
        <v>40513</v>
      </c>
      <c r="G200" s="550">
        <v>4.75</v>
      </c>
      <c r="H200" s="545">
        <v>4.84</v>
      </c>
      <c r="I200" s="545">
        <v>4.9450000000000003</v>
      </c>
      <c r="J200" s="545">
        <v>4.99</v>
      </c>
      <c r="K200" s="545">
        <v>5.0567000000000002</v>
      </c>
      <c r="L200" s="545">
        <v>5.1100000000000003</v>
      </c>
      <c r="M200" s="545">
        <v>5.16</v>
      </c>
      <c r="N200" s="545">
        <v>5.1989000000000001</v>
      </c>
      <c r="P200" s="547">
        <v>40513</v>
      </c>
      <c r="Q200" s="550">
        <v>0.24</v>
      </c>
      <c r="R200" s="545">
        <v>0.26530999999999999</v>
      </c>
      <c r="S200" s="545">
        <v>0.28249999999999997</v>
      </c>
      <c r="T200" s="545">
        <v>0.30343999999999999</v>
      </c>
      <c r="U200" s="545">
        <v>0.35031000000000001</v>
      </c>
      <c r="V200" s="545">
        <v>0.41094000000000003</v>
      </c>
      <c r="W200" s="545">
        <v>0.46655999999999997</v>
      </c>
      <c r="X200" s="545">
        <v>0.79</v>
      </c>
    </row>
    <row r="201" spans="6:24">
      <c r="F201" s="547">
        <v>40514</v>
      </c>
      <c r="G201" s="550">
        <v>4.75</v>
      </c>
      <c r="H201" s="545">
        <v>4.8282999999999996</v>
      </c>
      <c r="I201" s="545">
        <v>4.9583000000000004</v>
      </c>
      <c r="J201" s="545">
        <v>4.9983000000000004</v>
      </c>
      <c r="K201" s="545">
        <v>5.0599999999999996</v>
      </c>
      <c r="L201" s="545">
        <v>5.12</v>
      </c>
      <c r="M201" s="545">
        <v>5.17</v>
      </c>
      <c r="N201" s="545">
        <v>5.1981000000000002</v>
      </c>
      <c r="P201" s="547">
        <v>40514</v>
      </c>
      <c r="Q201" s="550">
        <v>0.23968999999999999</v>
      </c>
      <c r="R201" s="545">
        <v>0.26562999999999998</v>
      </c>
      <c r="S201" s="545">
        <v>0.28249999999999997</v>
      </c>
      <c r="T201" s="545">
        <v>0.30343999999999999</v>
      </c>
      <c r="U201" s="545">
        <v>0.35031000000000001</v>
      </c>
      <c r="V201" s="545">
        <v>0.41094000000000003</v>
      </c>
      <c r="W201" s="545">
        <v>0.46531</v>
      </c>
      <c r="X201" s="545">
        <v>0.79</v>
      </c>
    </row>
    <row r="202" spans="6:24">
      <c r="F202" s="547">
        <v>40515</v>
      </c>
      <c r="G202" s="550">
        <v>4.75</v>
      </c>
      <c r="H202" s="545">
        <v>4.8266999999999998</v>
      </c>
      <c r="I202" s="545">
        <v>4.95</v>
      </c>
      <c r="J202" s="545">
        <v>4.9950000000000001</v>
      </c>
      <c r="K202" s="545">
        <v>5.0599999999999996</v>
      </c>
      <c r="L202" s="545">
        <v>5.1166999999999998</v>
      </c>
      <c r="M202" s="545">
        <v>5.17</v>
      </c>
      <c r="N202" s="545">
        <v>5.2068000000000003</v>
      </c>
      <c r="P202" s="547">
        <v>40515</v>
      </c>
      <c r="Q202" s="550">
        <v>0.24063000000000001</v>
      </c>
      <c r="R202" s="545">
        <v>0.26500000000000001</v>
      </c>
      <c r="S202" s="545">
        <v>0.28249999999999997</v>
      </c>
      <c r="T202" s="545">
        <v>0.30343999999999999</v>
      </c>
      <c r="U202" s="545">
        <v>0.35</v>
      </c>
      <c r="V202" s="545">
        <v>0.40844000000000003</v>
      </c>
      <c r="W202" s="545">
        <v>0.46218999999999999</v>
      </c>
      <c r="X202" s="545">
        <v>0.78793999999999997</v>
      </c>
    </row>
    <row r="203" spans="6:24">
      <c r="F203" s="547">
        <v>40518</v>
      </c>
      <c r="G203" s="550">
        <v>4.75</v>
      </c>
      <c r="H203" s="545">
        <v>4.8150000000000004</v>
      </c>
      <c r="I203" s="545">
        <v>4.9466999999999999</v>
      </c>
      <c r="J203" s="545">
        <v>4.9932999999999996</v>
      </c>
      <c r="K203" s="545">
        <v>5.0599999999999996</v>
      </c>
      <c r="L203" s="545">
        <v>5.12</v>
      </c>
      <c r="M203" s="545">
        <v>5.18</v>
      </c>
      <c r="N203" s="545">
        <v>5.2055999999999996</v>
      </c>
      <c r="P203" s="547">
        <v>40518</v>
      </c>
      <c r="Q203" s="550">
        <v>0.24031</v>
      </c>
      <c r="R203" s="545">
        <v>0.26500000000000001</v>
      </c>
      <c r="S203" s="545">
        <v>0.28249999999999997</v>
      </c>
      <c r="T203" s="545">
        <v>0.30343999999999999</v>
      </c>
      <c r="U203" s="545">
        <v>0.35031000000000001</v>
      </c>
      <c r="V203" s="545">
        <v>0.40812999999999999</v>
      </c>
      <c r="W203" s="545">
        <v>0.45968999999999999</v>
      </c>
      <c r="X203" s="545">
        <v>0.78249999999999997</v>
      </c>
    </row>
    <row r="204" spans="6:24">
      <c r="F204" s="547">
        <v>40519</v>
      </c>
      <c r="G204" s="550">
        <v>4.75</v>
      </c>
      <c r="H204" s="545">
        <v>4.8216999999999999</v>
      </c>
      <c r="I204" s="545">
        <v>4.9566999999999997</v>
      </c>
      <c r="J204" s="545">
        <v>4.9983000000000004</v>
      </c>
      <c r="K204" s="545">
        <v>5.0599999999999996</v>
      </c>
      <c r="L204" s="545">
        <v>5.1216999999999997</v>
      </c>
      <c r="M204" s="545">
        <v>5.19</v>
      </c>
      <c r="N204" s="545">
        <v>5.2026000000000003</v>
      </c>
      <c r="P204" s="547">
        <v>40519</v>
      </c>
      <c r="Q204" s="550">
        <v>0.24156</v>
      </c>
      <c r="R204" s="545">
        <v>0.26374999999999998</v>
      </c>
      <c r="S204" s="545">
        <v>0.28125</v>
      </c>
      <c r="T204" s="545">
        <v>0.30219000000000001</v>
      </c>
      <c r="U204" s="545">
        <v>0.34875</v>
      </c>
      <c r="V204" s="545">
        <v>0.40438000000000002</v>
      </c>
      <c r="W204" s="545">
        <v>0.45718999999999999</v>
      </c>
      <c r="X204" s="545">
        <v>0.78125</v>
      </c>
    </row>
    <row r="205" spans="6:24">
      <c r="F205" s="547">
        <v>40520</v>
      </c>
      <c r="G205" s="550">
        <v>4.75</v>
      </c>
      <c r="H205" s="545">
        <v>4.8449999999999998</v>
      </c>
      <c r="I205" s="545">
        <v>4.96</v>
      </c>
      <c r="J205" s="545">
        <v>5</v>
      </c>
      <c r="K205" s="545">
        <v>5.0650000000000004</v>
      </c>
      <c r="L205" s="545">
        <v>5.1349999999999998</v>
      </c>
      <c r="M205" s="545">
        <v>5.21</v>
      </c>
      <c r="N205" s="545">
        <v>5.2263000000000002</v>
      </c>
      <c r="P205" s="547">
        <v>40520</v>
      </c>
      <c r="Q205" s="550">
        <v>0.24093999999999999</v>
      </c>
      <c r="R205" s="545">
        <v>0.26250000000000001</v>
      </c>
      <c r="S205" s="545">
        <v>0.28062999999999999</v>
      </c>
      <c r="T205" s="545">
        <v>0.30219000000000001</v>
      </c>
      <c r="U205" s="545">
        <v>0.34875</v>
      </c>
      <c r="V205" s="545">
        <v>0.40562999999999999</v>
      </c>
      <c r="W205" s="545">
        <v>0.45844000000000001</v>
      </c>
      <c r="X205" s="545">
        <v>0.78249999999999997</v>
      </c>
    </row>
    <row r="206" spans="6:24">
      <c r="F206" s="547">
        <v>40521</v>
      </c>
      <c r="G206" s="550">
        <v>4.75</v>
      </c>
      <c r="H206" s="545">
        <v>4.83</v>
      </c>
      <c r="I206" s="545">
        <v>4.9617000000000004</v>
      </c>
      <c r="J206" s="545">
        <v>5.08</v>
      </c>
      <c r="K206" s="545">
        <v>5.1233000000000004</v>
      </c>
      <c r="L206" s="545">
        <v>5.18</v>
      </c>
      <c r="M206" s="545">
        <v>5.2549999999999999</v>
      </c>
      <c r="N206" s="545">
        <v>5.2465999999999999</v>
      </c>
      <c r="P206" s="547">
        <v>40521</v>
      </c>
      <c r="Q206" s="550">
        <v>0.24</v>
      </c>
      <c r="R206" s="545">
        <v>0.26218999999999998</v>
      </c>
      <c r="S206" s="545">
        <v>0.28188000000000002</v>
      </c>
      <c r="T206" s="545">
        <v>0.30219000000000001</v>
      </c>
      <c r="U206" s="545">
        <v>0.34875</v>
      </c>
      <c r="V206" s="545">
        <v>0.40562999999999999</v>
      </c>
      <c r="W206" s="545">
        <v>0.45718999999999999</v>
      </c>
      <c r="X206" s="545">
        <v>0.78249999999999997</v>
      </c>
    </row>
    <row r="207" spans="6:24">
      <c r="F207" s="547">
        <v>40522</v>
      </c>
      <c r="G207" s="550">
        <v>4.75</v>
      </c>
      <c r="H207" s="545">
        <v>4.8316999999999997</v>
      </c>
      <c r="I207" s="545">
        <v>4.97</v>
      </c>
      <c r="J207" s="545">
        <v>5.12</v>
      </c>
      <c r="K207" s="545">
        <v>5.15</v>
      </c>
      <c r="L207" s="545">
        <v>5.1932999999999998</v>
      </c>
      <c r="M207" s="545">
        <v>5.2332999999999998</v>
      </c>
      <c r="N207" s="545">
        <v>5.3182</v>
      </c>
      <c r="P207" s="547">
        <v>40522</v>
      </c>
      <c r="Q207" s="550">
        <v>0.23813000000000001</v>
      </c>
      <c r="R207" s="545">
        <v>0.26030999999999999</v>
      </c>
      <c r="S207" s="545">
        <v>0.28062999999999999</v>
      </c>
      <c r="T207" s="545">
        <v>0.30155999999999999</v>
      </c>
      <c r="U207" s="545">
        <v>0.34875</v>
      </c>
      <c r="V207" s="545">
        <v>0.40500000000000003</v>
      </c>
      <c r="W207" s="545">
        <v>0.45718999999999999</v>
      </c>
      <c r="X207" s="545">
        <v>0.78249999999999997</v>
      </c>
    </row>
    <row r="208" spans="6:24">
      <c r="F208" s="547">
        <v>40525</v>
      </c>
      <c r="G208" s="550">
        <v>4.75</v>
      </c>
      <c r="H208" s="545">
        <v>4.82</v>
      </c>
      <c r="I208" s="545">
        <v>4.9717000000000002</v>
      </c>
      <c r="J208" s="545">
        <v>5.08</v>
      </c>
      <c r="K208" s="545">
        <v>5.1317000000000004</v>
      </c>
      <c r="L208" s="545">
        <v>5.1717000000000004</v>
      </c>
      <c r="M208" s="545">
        <v>5.2050000000000001</v>
      </c>
      <c r="N208" s="545">
        <v>5.3324999999999996</v>
      </c>
      <c r="P208" s="547">
        <v>40525</v>
      </c>
      <c r="Q208" s="550">
        <v>0.23874999999999999</v>
      </c>
      <c r="R208" s="545">
        <v>0.26030999999999999</v>
      </c>
      <c r="S208" s="545">
        <v>0.28062999999999999</v>
      </c>
      <c r="T208" s="545">
        <v>0.30155999999999999</v>
      </c>
      <c r="U208" s="545">
        <v>0.34749999999999998</v>
      </c>
      <c r="V208" s="545">
        <v>0.40375</v>
      </c>
      <c r="W208" s="545">
        <v>0.45630999999999999</v>
      </c>
      <c r="X208" s="545">
        <v>0.78500000000000003</v>
      </c>
    </row>
    <row r="209" spans="6:24">
      <c r="F209" s="547">
        <v>40526</v>
      </c>
      <c r="G209" s="550">
        <v>4.75</v>
      </c>
      <c r="H209" s="545">
        <v>4.8232999999999997</v>
      </c>
      <c r="I209" s="545">
        <v>4.97</v>
      </c>
      <c r="J209" s="545">
        <v>5.1100000000000003</v>
      </c>
      <c r="K209" s="545">
        <v>5.1417000000000002</v>
      </c>
      <c r="L209" s="545">
        <v>5.18</v>
      </c>
      <c r="M209" s="545">
        <v>5.2366999999999999</v>
      </c>
      <c r="N209" s="545">
        <v>5.3324999999999996</v>
      </c>
      <c r="P209" s="547">
        <v>40526</v>
      </c>
      <c r="Q209" s="550">
        <v>0.23749999999999999</v>
      </c>
      <c r="R209" s="545">
        <v>0.26062999999999997</v>
      </c>
      <c r="S209" s="545">
        <v>0.28062999999999999</v>
      </c>
      <c r="T209" s="545">
        <v>0.30187999999999998</v>
      </c>
      <c r="U209" s="545">
        <v>0.34749999999999998</v>
      </c>
      <c r="V209" s="545">
        <v>0.40375</v>
      </c>
      <c r="W209" s="545">
        <v>0.45618999999999998</v>
      </c>
      <c r="X209" s="545">
        <v>0.78374999999999995</v>
      </c>
    </row>
    <row r="210" spans="6:24">
      <c r="F210" s="547">
        <v>40527</v>
      </c>
      <c r="G210" s="550">
        <v>4.75</v>
      </c>
      <c r="H210" s="545">
        <v>4.8483000000000001</v>
      </c>
      <c r="I210" s="545">
        <v>4.9800000000000004</v>
      </c>
      <c r="J210" s="545">
        <v>5.1050000000000004</v>
      </c>
      <c r="K210" s="545">
        <v>5.1433</v>
      </c>
      <c r="L210" s="545">
        <v>5.1867000000000001</v>
      </c>
      <c r="M210" s="545">
        <v>5.2483000000000004</v>
      </c>
      <c r="N210" s="545">
        <v>5.3163999999999998</v>
      </c>
      <c r="P210" s="547">
        <v>40527</v>
      </c>
      <c r="Q210" s="550">
        <v>0.24</v>
      </c>
      <c r="R210" s="545">
        <v>0.26062999999999997</v>
      </c>
      <c r="S210" s="545">
        <v>0.28062999999999999</v>
      </c>
      <c r="T210" s="545">
        <v>0.30187999999999998</v>
      </c>
      <c r="U210" s="545">
        <v>0.34749999999999998</v>
      </c>
      <c r="V210" s="545">
        <v>0.40375</v>
      </c>
      <c r="W210" s="545">
        <v>0.45780999999999999</v>
      </c>
      <c r="X210" s="545">
        <v>0.78344000000000003</v>
      </c>
    </row>
    <row r="211" spans="6:24">
      <c r="F211" s="547">
        <v>40528</v>
      </c>
      <c r="G211" s="550">
        <v>4.75</v>
      </c>
      <c r="H211" s="545">
        <v>4.83</v>
      </c>
      <c r="I211" s="545">
        <v>4.9516999999999998</v>
      </c>
      <c r="J211" s="545">
        <v>5.0199999999999996</v>
      </c>
      <c r="K211" s="545">
        <v>5.0833000000000004</v>
      </c>
      <c r="L211" s="545">
        <v>5.1349999999999998</v>
      </c>
      <c r="M211" s="545">
        <v>5.18</v>
      </c>
      <c r="N211" s="545">
        <v>5.2914000000000003</v>
      </c>
      <c r="P211" s="547">
        <v>40528</v>
      </c>
      <c r="Q211" s="550">
        <v>0.23874999999999999</v>
      </c>
      <c r="R211" s="545">
        <v>0.26062999999999997</v>
      </c>
      <c r="S211" s="545">
        <v>0.28249999999999997</v>
      </c>
      <c r="T211" s="545">
        <v>0.30375000000000002</v>
      </c>
      <c r="U211" s="545">
        <v>0.35063</v>
      </c>
      <c r="V211" s="545">
        <v>0.40688000000000002</v>
      </c>
      <c r="W211" s="545">
        <v>0.45968999999999999</v>
      </c>
      <c r="X211" s="545">
        <v>0.78512999999999999</v>
      </c>
    </row>
    <row r="212" spans="6:24">
      <c r="F212" s="547">
        <v>40529</v>
      </c>
      <c r="G212" s="550">
        <v>4.75</v>
      </c>
      <c r="H212" s="545">
        <v>4.83</v>
      </c>
      <c r="I212" s="545">
        <v>4.95</v>
      </c>
      <c r="J212" s="545">
        <v>4.97</v>
      </c>
      <c r="K212" s="545">
        <v>5.0617000000000001</v>
      </c>
      <c r="L212" s="545">
        <v>5.12</v>
      </c>
      <c r="M212" s="545">
        <v>5.1833</v>
      </c>
      <c r="N212" s="545">
        <v>5.2882999999999996</v>
      </c>
      <c r="P212" s="547">
        <v>40529</v>
      </c>
      <c r="Q212" s="550">
        <v>0.23813000000000001</v>
      </c>
      <c r="R212" s="545">
        <v>0.26062999999999997</v>
      </c>
      <c r="S212" s="545">
        <v>0.28249999999999997</v>
      </c>
      <c r="T212" s="545">
        <v>0.30375000000000002</v>
      </c>
      <c r="U212" s="545">
        <v>0.34813</v>
      </c>
      <c r="V212" s="545">
        <v>0.40312999999999999</v>
      </c>
      <c r="W212" s="545">
        <v>0.45718999999999999</v>
      </c>
      <c r="X212" s="545">
        <v>0.78388000000000002</v>
      </c>
    </row>
    <row r="213" spans="6:24">
      <c r="F213" s="547">
        <v>40532</v>
      </c>
      <c r="G213" s="550">
        <v>4.75</v>
      </c>
      <c r="H213" s="545">
        <v>4.8099999999999996</v>
      </c>
      <c r="I213" s="545">
        <v>4.9482999999999997</v>
      </c>
      <c r="J213" s="545">
        <v>4.95</v>
      </c>
      <c r="K213" s="545">
        <v>5.0467000000000004</v>
      </c>
      <c r="L213" s="545">
        <v>5.1050000000000004</v>
      </c>
      <c r="M213" s="545">
        <v>5.1550000000000002</v>
      </c>
      <c r="N213" s="545">
        <v>5.2728999999999999</v>
      </c>
      <c r="P213" s="547">
        <v>40532</v>
      </c>
      <c r="Q213" s="550">
        <v>0.24124999999999999</v>
      </c>
      <c r="R213" s="545">
        <v>0.26062999999999997</v>
      </c>
      <c r="S213" s="545">
        <v>0.28249999999999997</v>
      </c>
      <c r="T213" s="545">
        <v>0.30281000000000002</v>
      </c>
      <c r="U213" s="545">
        <v>0.34813</v>
      </c>
      <c r="V213" s="545">
        <v>0.40312999999999999</v>
      </c>
      <c r="W213" s="545">
        <v>0.45718999999999999</v>
      </c>
      <c r="X213" s="545">
        <v>0.78325</v>
      </c>
    </row>
    <row r="214" spans="6:24">
      <c r="F214" s="547">
        <v>40533</v>
      </c>
      <c r="G214" s="550">
        <v>4.75</v>
      </c>
      <c r="H214" s="545">
        <v>4.8067000000000002</v>
      </c>
      <c r="I214" s="545">
        <v>4.9516999999999998</v>
      </c>
      <c r="J214" s="545">
        <v>4.9800000000000004</v>
      </c>
      <c r="K214" s="545">
        <v>5.0517000000000003</v>
      </c>
      <c r="L214" s="545">
        <v>5.1100000000000003</v>
      </c>
      <c r="M214" s="545">
        <v>5.1666999999999996</v>
      </c>
      <c r="N214" s="545">
        <v>5.2812000000000001</v>
      </c>
      <c r="P214" s="547">
        <v>40533</v>
      </c>
      <c r="Q214" s="550">
        <v>0.24124999999999999</v>
      </c>
      <c r="R214" s="545">
        <v>0.26062999999999997</v>
      </c>
      <c r="S214" s="545">
        <v>0.28249999999999997</v>
      </c>
      <c r="T214" s="545">
        <v>0.30281000000000002</v>
      </c>
      <c r="U214" s="545">
        <v>0.34813</v>
      </c>
      <c r="V214" s="545">
        <v>0.40312999999999999</v>
      </c>
      <c r="W214" s="545">
        <v>0.45718999999999999</v>
      </c>
      <c r="X214" s="545">
        <v>0.78325</v>
      </c>
    </row>
    <row r="215" spans="6:24">
      <c r="F215" s="547">
        <v>40534</v>
      </c>
      <c r="G215" s="550">
        <v>4.75</v>
      </c>
      <c r="H215" s="545">
        <v>4.8</v>
      </c>
      <c r="I215" s="545">
        <v>4.95</v>
      </c>
      <c r="J215" s="545">
        <v>5.0016999999999996</v>
      </c>
      <c r="K215" s="545">
        <v>5.0650000000000004</v>
      </c>
      <c r="L215" s="545">
        <v>5.1216999999999997</v>
      </c>
      <c r="M215" s="545">
        <v>5.1783000000000001</v>
      </c>
      <c r="N215" s="545">
        <v>5.2899000000000003</v>
      </c>
      <c r="P215" s="547">
        <v>40534</v>
      </c>
      <c r="Q215" s="550">
        <v>0.23874999999999999</v>
      </c>
      <c r="R215" s="545">
        <v>0.26062999999999997</v>
      </c>
      <c r="S215" s="545">
        <v>0.28249999999999997</v>
      </c>
      <c r="T215" s="545">
        <v>0.30281000000000002</v>
      </c>
      <c r="U215" s="545">
        <v>0.34813</v>
      </c>
      <c r="V215" s="545">
        <v>0.40312999999999999</v>
      </c>
      <c r="W215" s="545">
        <v>0.45718999999999999</v>
      </c>
      <c r="X215" s="545">
        <v>0.78312999999999999</v>
      </c>
    </row>
    <row r="216" spans="6:24">
      <c r="F216" s="547">
        <v>40535</v>
      </c>
      <c r="G216" s="550">
        <v>4.75</v>
      </c>
      <c r="H216" s="545">
        <v>4.8099999999999996</v>
      </c>
      <c r="I216" s="545">
        <v>4.95</v>
      </c>
      <c r="J216" s="545">
        <v>5.03</v>
      </c>
      <c r="K216" s="545">
        <v>5.0782999999999996</v>
      </c>
      <c r="L216" s="545">
        <v>5.14</v>
      </c>
      <c r="M216" s="545">
        <v>5.22</v>
      </c>
      <c r="N216" s="545">
        <v>5.3140000000000001</v>
      </c>
      <c r="P216" s="547">
        <v>40535</v>
      </c>
      <c r="Q216" s="550">
        <v>0.24124999999999999</v>
      </c>
      <c r="R216" s="545">
        <v>0.26062999999999997</v>
      </c>
      <c r="S216" s="545">
        <v>0.28249999999999997</v>
      </c>
      <c r="T216" s="545">
        <v>0.30281000000000002</v>
      </c>
      <c r="U216" s="545">
        <v>0.34813</v>
      </c>
      <c r="V216" s="545">
        <v>0.40312999999999999</v>
      </c>
      <c r="W216" s="545">
        <v>0.45718999999999999</v>
      </c>
      <c r="X216" s="545">
        <v>0.78312999999999999</v>
      </c>
    </row>
    <row r="217" spans="6:24">
      <c r="F217" s="547">
        <v>40536</v>
      </c>
      <c r="G217" s="550">
        <v>4.75</v>
      </c>
      <c r="H217" s="545">
        <v>4.8182999999999998</v>
      </c>
      <c r="I217" s="545">
        <v>4.95</v>
      </c>
      <c r="J217" s="545">
        <v>4.9667000000000003</v>
      </c>
      <c r="K217" s="545">
        <v>5.0682999999999998</v>
      </c>
      <c r="L217" s="545">
        <v>5.1449999999999996</v>
      </c>
      <c r="M217" s="545">
        <v>5.2317</v>
      </c>
      <c r="N217" s="545">
        <v>5.3372999999999999</v>
      </c>
      <c r="P217" s="547">
        <v>40536</v>
      </c>
      <c r="Q217" s="550">
        <v>0.24437999999999999</v>
      </c>
      <c r="R217" s="545">
        <v>0.26062999999999997</v>
      </c>
      <c r="S217" s="545">
        <v>0.28249999999999997</v>
      </c>
      <c r="T217" s="545">
        <v>0.30281000000000002</v>
      </c>
      <c r="U217" s="545">
        <v>0.34781000000000001</v>
      </c>
      <c r="V217" s="545">
        <v>0.40312999999999999</v>
      </c>
      <c r="W217" s="545">
        <v>0.45718999999999999</v>
      </c>
      <c r="X217" s="545">
        <v>0.78312999999999999</v>
      </c>
    </row>
    <row r="218" spans="6:24">
      <c r="F218" s="547">
        <v>40541</v>
      </c>
      <c r="G218" s="550">
        <v>4.75</v>
      </c>
      <c r="H218" s="545">
        <v>4.8099999999999996</v>
      </c>
      <c r="I218" s="545">
        <v>4.95</v>
      </c>
      <c r="J218" s="545">
        <v>5.0167000000000002</v>
      </c>
      <c r="K218" s="545">
        <v>5.0833000000000004</v>
      </c>
      <c r="L218" s="545">
        <v>5.1566999999999998</v>
      </c>
      <c r="M218" s="545">
        <v>5.2233000000000001</v>
      </c>
      <c r="N218" s="545">
        <v>5.3602999999999996</v>
      </c>
      <c r="P218" s="547">
        <v>40541</v>
      </c>
      <c r="Q218" s="550">
        <v>0.24562999999999999</v>
      </c>
      <c r="R218" s="545">
        <v>0.26062999999999997</v>
      </c>
      <c r="S218" s="545">
        <v>0.28249999999999997</v>
      </c>
      <c r="T218" s="545">
        <v>0.30281000000000002</v>
      </c>
      <c r="U218" s="545">
        <v>0.34781000000000001</v>
      </c>
      <c r="V218" s="545">
        <v>0.40312999999999999</v>
      </c>
      <c r="W218" s="545">
        <v>0.45688000000000001</v>
      </c>
      <c r="X218" s="545">
        <v>0.78312999999999999</v>
      </c>
    </row>
    <row r="219" spans="6:24">
      <c r="F219" s="547">
        <v>40542</v>
      </c>
      <c r="G219" s="550">
        <v>4.75</v>
      </c>
      <c r="H219" s="545">
        <v>4.82</v>
      </c>
      <c r="I219" s="545">
        <v>4.95</v>
      </c>
      <c r="J219" s="545">
        <v>5.0316999999999998</v>
      </c>
      <c r="K219" s="545">
        <v>5.0883000000000003</v>
      </c>
      <c r="L219" s="545">
        <v>5.16</v>
      </c>
      <c r="M219" s="545">
        <v>5.24</v>
      </c>
      <c r="N219" s="545">
        <v>5.3242000000000003</v>
      </c>
      <c r="P219" s="547">
        <v>40542</v>
      </c>
      <c r="Q219" s="550">
        <v>0.24687999999999999</v>
      </c>
      <c r="R219" s="545">
        <v>0.26062999999999997</v>
      </c>
      <c r="S219" s="545">
        <v>0.28249999999999997</v>
      </c>
      <c r="T219" s="545">
        <v>0.30281000000000002</v>
      </c>
      <c r="U219" s="545">
        <v>0.34781000000000001</v>
      </c>
      <c r="V219" s="545">
        <v>0.40312999999999999</v>
      </c>
      <c r="W219" s="545">
        <v>0.45656000000000002</v>
      </c>
      <c r="X219" s="545">
        <v>0.78156000000000003</v>
      </c>
    </row>
    <row r="220" spans="6:24">
      <c r="F220" s="547">
        <v>40543</v>
      </c>
      <c r="G220" s="550">
        <v>4.75</v>
      </c>
      <c r="H220" s="545">
        <v>4.8433000000000002</v>
      </c>
      <c r="I220" s="545">
        <v>4.95</v>
      </c>
      <c r="J220" s="545">
        <v>5.04</v>
      </c>
      <c r="K220" s="545">
        <v>5.0933000000000002</v>
      </c>
      <c r="L220" s="545">
        <v>5.1616999999999997</v>
      </c>
      <c r="M220" s="545">
        <v>5.23</v>
      </c>
      <c r="N220" s="545">
        <v>5.3009000000000004</v>
      </c>
      <c r="P220" s="547">
        <v>40543</v>
      </c>
      <c r="Q220" s="550">
        <v>0.25187999999999999</v>
      </c>
      <c r="R220" s="545">
        <v>0.26062999999999997</v>
      </c>
      <c r="S220" s="545">
        <v>0.28249999999999997</v>
      </c>
      <c r="T220" s="545">
        <v>0.30281000000000002</v>
      </c>
      <c r="U220" s="545">
        <v>0.34749999999999998</v>
      </c>
      <c r="V220" s="545">
        <v>0.40250000000000002</v>
      </c>
      <c r="W220" s="545">
        <v>0.45594000000000001</v>
      </c>
      <c r="X220" s="545">
        <v>0.78093999999999997</v>
      </c>
    </row>
    <row r="221" spans="6:24">
      <c r="F221" s="547">
        <v>40547</v>
      </c>
      <c r="G221" s="550">
        <v>4.75</v>
      </c>
      <c r="H221" s="545">
        <v>4.8250000000000002</v>
      </c>
      <c r="I221" s="545">
        <v>4.9432999999999998</v>
      </c>
      <c r="J221" s="545">
        <v>4.96</v>
      </c>
      <c r="K221" s="545">
        <v>5.0533000000000001</v>
      </c>
      <c r="L221" s="545">
        <v>5.1166999999999998</v>
      </c>
      <c r="M221" s="545">
        <v>5.1317000000000004</v>
      </c>
      <c r="N221" s="545">
        <v>5.2594000000000003</v>
      </c>
      <c r="P221" s="547">
        <v>40547</v>
      </c>
      <c r="Q221" s="550">
        <v>0.24687999999999999</v>
      </c>
      <c r="R221" s="545">
        <v>0.26062999999999997</v>
      </c>
      <c r="S221" s="545">
        <v>0.28249999999999997</v>
      </c>
      <c r="T221" s="545">
        <v>0.30281000000000002</v>
      </c>
      <c r="U221" s="545">
        <v>0.34749999999999998</v>
      </c>
      <c r="V221" s="545">
        <v>0.40250000000000002</v>
      </c>
      <c r="W221" s="545">
        <v>0.45580999999999999</v>
      </c>
      <c r="X221" s="545">
        <v>0.78093999999999997</v>
      </c>
    </row>
    <row r="222" spans="6:24">
      <c r="F222" s="547">
        <v>40548</v>
      </c>
      <c r="G222" s="550">
        <v>4.75</v>
      </c>
      <c r="H222" s="545">
        <v>4.8316999999999997</v>
      </c>
      <c r="I222" s="545">
        <v>4.9400000000000004</v>
      </c>
      <c r="J222" s="545">
        <v>4.9800000000000004</v>
      </c>
      <c r="K222" s="545">
        <v>5.05</v>
      </c>
      <c r="L222" s="545">
        <v>5.1166999999999998</v>
      </c>
      <c r="M222" s="545">
        <v>5.1433</v>
      </c>
      <c r="N222" s="545">
        <v>5.2727000000000004</v>
      </c>
      <c r="P222" s="547">
        <v>40548</v>
      </c>
      <c r="Q222" s="550">
        <v>0.24374999999999999</v>
      </c>
      <c r="R222" s="545">
        <v>0.26124999999999998</v>
      </c>
      <c r="S222" s="545">
        <v>0.28249999999999997</v>
      </c>
      <c r="T222" s="545">
        <v>0.30281000000000002</v>
      </c>
      <c r="U222" s="545">
        <v>0.34499999999999997</v>
      </c>
      <c r="V222" s="545">
        <v>0.40125</v>
      </c>
      <c r="W222" s="545">
        <v>0.45456000000000002</v>
      </c>
      <c r="X222" s="545">
        <v>0.78093999999999997</v>
      </c>
    </row>
    <row r="223" spans="6:24">
      <c r="F223" s="547">
        <v>40549</v>
      </c>
      <c r="G223" s="550">
        <v>4.75</v>
      </c>
      <c r="H223" s="545">
        <v>4.8266999999999998</v>
      </c>
      <c r="I223" s="545">
        <v>4.9400000000000004</v>
      </c>
      <c r="J223" s="545">
        <v>4.9817</v>
      </c>
      <c r="K223" s="545">
        <v>5.05</v>
      </c>
      <c r="L223" s="545">
        <v>5.1182999999999996</v>
      </c>
      <c r="M223" s="545">
        <v>5.1482999999999999</v>
      </c>
      <c r="N223" s="545">
        <v>5.2618999999999998</v>
      </c>
      <c r="P223" s="547">
        <v>40549</v>
      </c>
      <c r="Q223" s="550">
        <v>0.24374999999999999</v>
      </c>
      <c r="R223" s="545">
        <v>0.26124999999999998</v>
      </c>
      <c r="S223" s="545">
        <v>0.28249999999999997</v>
      </c>
      <c r="T223" s="545">
        <v>0.30313000000000001</v>
      </c>
      <c r="U223" s="545">
        <v>0.34625</v>
      </c>
      <c r="V223" s="545">
        <v>0.40262999999999999</v>
      </c>
      <c r="W223" s="545">
        <v>0.45718999999999999</v>
      </c>
      <c r="X223" s="545">
        <v>0.78525</v>
      </c>
    </row>
    <row r="224" spans="6:24">
      <c r="F224" s="547">
        <v>40550</v>
      </c>
      <c r="G224" s="550">
        <v>4.75</v>
      </c>
      <c r="H224" s="545">
        <v>4.83</v>
      </c>
      <c r="I224" s="545">
        <v>4.9417</v>
      </c>
      <c r="J224" s="545">
        <v>5.03</v>
      </c>
      <c r="K224" s="545">
        <v>5.0567000000000002</v>
      </c>
      <c r="L224" s="545">
        <v>5.1166999999999998</v>
      </c>
      <c r="M224" s="545">
        <v>5.15</v>
      </c>
      <c r="N224" s="545">
        <v>5.2571000000000003</v>
      </c>
      <c r="P224" s="547">
        <v>40550</v>
      </c>
      <c r="Q224" s="550">
        <v>0.24124999999999999</v>
      </c>
      <c r="R224" s="545">
        <v>0.26124999999999998</v>
      </c>
      <c r="S224" s="545">
        <v>0.28249999999999997</v>
      </c>
      <c r="T224" s="545">
        <v>0.30313000000000001</v>
      </c>
      <c r="U224" s="545">
        <v>0.34625</v>
      </c>
      <c r="V224" s="545">
        <v>0.40262999999999999</v>
      </c>
      <c r="W224" s="545">
        <v>0.45730999999999999</v>
      </c>
      <c r="X224" s="545">
        <v>0.78549999999999998</v>
      </c>
    </row>
    <row r="225" spans="6:24">
      <c r="F225" s="547">
        <v>40553</v>
      </c>
      <c r="G225" s="550">
        <v>4.75</v>
      </c>
      <c r="H225" s="545">
        <v>4.8216999999999999</v>
      </c>
      <c r="I225" s="545">
        <v>4.9400000000000004</v>
      </c>
      <c r="J225" s="545">
        <v>4.99</v>
      </c>
      <c r="K225" s="545">
        <v>5.0533000000000001</v>
      </c>
      <c r="L225" s="545">
        <v>5.1150000000000002</v>
      </c>
      <c r="M225" s="545">
        <v>5.1482999999999999</v>
      </c>
      <c r="N225" s="545">
        <v>5.2370000000000001</v>
      </c>
      <c r="P225" s="547">
        <v>40553</v>
      </c>
      <c r="Q225" s="550">
        <v>0.24124999999999999</v>
      </c>
      <c r="R225" s="545">
        <v>0.26124999999999998</v>
      </c>
      <c r="S225" s="545">
        <v>0.28249999999999997</v>
      </c>
      <c r="T225" s="545">
        <v>0.30313000000000001</v>
      </c>
      <c r="U225" s="545">
        <v>0.34625</v>
      </c>
      <c r="V225" s="545">
        <v>0.40250000000000002</v>
      </c>
      <c r="W225" s="545">
        <v>0.45706000000000002</v>
      </c>
      <c r="X225" s="545">
        <v>0.78400000000000003</v>
      </c>
    </row>
    <row r="226" spans="6:24">
      <c r="F226" s="547">
        <v>40554</v>
      </c>
      <c r="G226" s="550">
        <v>4.75</v>
      </c>
      <c r="H226" s="545">
        <v>4.8316999999999997</v>
      </c>
      <c r="I226" s="545">
        <v>4.9400000000000004</v>
      </c>
      <c r="J226" s="545">
        <v>4.9800000000000004</v>
      </c>
      <c r="K226" s="545">
        <v>5.0282999999999998</v>
      </c>
      <c r="L226" s="545">
        <v>5.0967000000000002</v>
      </c>
      <c r="M226" s="545">
        <v>5.12</v>
      </c>
      <c r="N226" s="545">
        <v>5.2107000000000001</v>
      </c>
      <c r="P226" s="547">
        <v>40554</v>
      </c>
      <c r="Q226" s="550">
        <v>0.24</v>
      </c>
      <c r="R226" s="545">
        <v>0.26124999999999998</v>
      </c>
      <c r="S226" s="545">
        <v>0.28249999999999997</v>
      </c>
      <c r="T226" s="545">
        <v>0.30313000000000001</v>
      </c>
      <c r="U226" s="545">
        <v>0.34499999999999997</v>
      </c>
      <c r="V226" s="545">
        <v>0.40125</v>
      </c>
      <c r="W226" s="545">
        <v>0.45694000000000001</v>
      </c>
      <c r="X226" s="545">
        <v>0.78388000000000002</v>
      </c>
    </row>
    <row r="227" spans="6:24">
      <c r="F227" s="547">
        <v>40555</v>
      </c>
      <c r="G227" s="550">
        <v>4.75</v>
      </c>
      <c r="H227" s="545">
        <v>4.83</v>
      </c>
      <c r="I227" s="545">
        <v>4.9249999999999998</v>
      </c>
      <c r="J227" s="545">
        <v>4.9400000000000004</v>
      </c>
      <c r="K227" s="545">
        <v>5.0016999999999996</v>
      </c>
      <c r="L227" s="545">
        <v>5.0567000000000002</v>
      </c>
      <c r="M227" s="545">
        <v>5.09</v>
      </c>
      <c r="N227" s="545">
        <v>5.1402999999999999</v>
      </c>
      <c r="P227" s="547">
        <v>40555</v>
      </c>
      <c r="Q227" s="550">
        <v>0.24</v>
      </c>
      <c r="R227" s="545">
        <v>0.26124999999999998</v>
      </c>
      <c r="S227" s="545">
        <v>0.28249999999999997</v>
      </c>
      <c r="T227" s="545">
        <v>0.30313000000000001</v>
      </c>
      <c r="U227" s="545">
        <v>0.34499999999999997</v>
      </c>
      <c r="V227" s="545">
        <v>0.40125</v>
      </c>
      <c r="W227" s="545">
        <v>0.45680999999999999</v>
      </c>
      <c r="X227" s="545">
        <v>0.78374999999999995</v>
      </c>
    </row>
    <row r="228" spans="6:24">
      <c r="F228" s="547">
        <v>40556</v>
      </c>
      <c r="G228" s="550">
        <v>4.75</v>
      </c>
      <c r="H228" s="545">
        <v>4.83</v>
      </c>
      <c r="I228" s="545">
        <v>4.9367000000000001</v>
      </c>
      <c r="J228" s="545">
        <v>4.9983000000000004</v>
      </c>
      <c r="K228" s="545">
        <v>5.0449999999999999</v>
      </c>
      <c r="L228" s="545">
        <v>5.0917000000000003</v>
      </c>
      <c r="M228" s="545">
        <v>5.16</v>
      </c>
      <c r="N228" s="545">
        <v>5.2050999999999998</v>
      </c>
      <c r="P228" s="547">
        <v>40556</v>
      </c>
      <c r="Q228" s="550">
        <v>0.24</v>
      </c>
      <c r="R228" s="545">
        <v>0.26124999999999998</v>
      </c>
      <c r="S228" s="545">
        <v>0.28249999999999997</v>
      </c>
      <c r="T228" s="545">
        <v>0.30313000000000001</v>
      </c>
      <c r="U228" s="545">
        <v>0.34499999999999997</v>
      </c>
      <c r="V228" s="545">
        <v>0.40125</v>
      </c>
      <c r="W228" s="545">
        <v>0.45656000000000002</v>
      </c>
      <c r="X228" s="545">
        <v>0.78374999999999995</v>
      </c>
    </row>
    <row r="229" spans="6:24">
      <c r="F229" s="547">
        <v>40557</v>
      </c>
      <c r="G229" s="550">
        <v>4.75</v>
      </c>
      <c r="H229" s="545">
        <v>4.83</v>
      </c>
      <c r="I229" s="545">
        <v>4.9649999999999999</v>
      </c>
      <c r="J229" s="545">
        <v>5.01</v>
      </c>
      <c r="K229" s="545">
        <v>5.05</v>
      </c>
      <c r="L229" s="545">
        <v>5.0983000000000001</v>
      </c>
      <c r="M229" s="545">
        <v>5.15</v>
      </c>
      <c r="N229" s="545">
        <v>5.2003000000000004</v>
      </c>
      <c r="P229" s="547">
        <v>40557</v>
      </c>
      <c r="Q229" s="550">
        <v>0.23874999999999999</v>
      </c>
      <c r="R229" s="545">
        <v>0.26124999999999998</v>
      </c>
      <c r="S229" s="545">
        <v>0.28249999999999997</v>
      </c>
      <c r="T229" s="545">
        <v>0.30313000000000001</v>
      </c>
      <c r="U229" s="545">
        <v>0.34499999999999997</v>
      </c>
      <c r="V229" s="545">
        <v>0.40125</v>
      </c>
      <c r="W229" s="545">
        <v>0.45594000000000001</v>
      </c>
      <c r="X229" s="545">
        <v>0.78219000000000005</v>
      </c>
    </row>
    <row r="230" spans="6:24">
      <c r="F230" s="547">
        <v>40560</v>
      </c>
      <c r="G230" s="550">
        <v>4.75</v>
      </c>
      <c r="H230" s="545">
        <v>4.8099999999999996</v>
      </c>
      <c r="I230" s="545">
        <v>4.92</v>
      </c>
      <c r="J230" s="545">
        <v>4.9667000000000003</v>
      </c>
      <c r="K230" s="545">
        <v>5.0049999999999999</v>
      </c>
      <c r="L230" s="545">
        <v>5.0549999999999997</v>
      </c>
      <c r="M230" s="545">
        <v>5.0999999999999996</v>
      </c>
      <c r="N230" s="545">
        <v>5.2079000000000004</v>
      </c>
      <c r="P230" s="547">
        <v>40560</v>
      </c>
      <c r="Q230" s="550">
        <v>0.23874999999999999</v>
      </c>
      <c r="R230" s="545">
        <v>0.26124999999999998</v>
      </c>
      <c r="S230" s="545">
        <v>0.28249999999999997</v>
      </c>
      <c r="T230" s="545">
        <v>0.30313000000000001</v>
      </c>
      <c r="U230" s="545">
        <v>0.34499999999999997</v>
      </c>
      <c r="V230" s="545">
        <v>0.40125</v>
      </c>
      <c r="W230" s="545">
        <v>0.45468999999999998</v>
      </c>
      <c r="X230" s="545">
        <v>0.77968999999999999</v>
      </c>
    </row>
    <row r="231" spans="6:24">
      <c r="F231" s="547">
        <v>40561</v>
      </c>
      <c r="G231" s="550">
        <v>4.75</v>
      </c>
      <c r="H231" s="545">
        <v>4.8182999999999998</v>
      </c>
      <c r="I231" s="545">
        <v>4.92</v>
      </c>
      <c r="J231" s="545">
        <v>4.9450000000000003</v>
      </c>
      <c r="K231" s="545">
        <v>5</v>
      </c>
      <c r="L231" s="545">
        <v>5.03</v>
      </c>
      <c r="M231" s="545">
        <v>5.05</v>
      </c>
      <c r="N231" s="545">
        <v>5.1959999999999997</v>
      </c>
      <c r="P231" s="547">
        <v>40561</v>
      </c>
      <c r="Q231" s="550">
        <v>0.24</v>
      </c>
      <c r="R231" s="545">
        <v>0.26062999999999997</v>
      </c>
      <c r="S231" s="545">
        <v>0.28249999999999997</v>
      </c>
      <c r="T231" s="545">
        <v>0.30313000000000001</v>
      </c>
      <c r="U231" s="545">
        <v>0.34499999999999997</v>
      </c>
      <c r="V231" s="545">
        <v>0.40125</v>
      </c>
      <c r="W231" s="545">
        <v>0.45468999999999998</v>
      </c>
      <c r="X231" s="545">
        <v>0.77905999999999997</v>
      </c>
    </row>
    <row r="232" spans="6:24">
      <c r="F232" s="547">
        <v>40562</v>
      </c>
      <c r="G232" s="550">
        <v>4.75</v>
      </c>
      <c r="H232" s="545">
        <v>4.82</v>
      </c>
      <c r="I232" s="545">
        <v>4.92</v>
      </c>
      <c r="J232" s="545">
        <v>4.9132999999999996</v>
      </c>
      <c r="K232" s="545">
        <v>4.9767000000000001</v>
      </c>
      <c r="L232" s="545">
        <v>5.0183</v>
      </c>
      <c r="M232" s="545">
        <v>5.0567000000000002</v>
      </c>
      <c r="N232" s="545">
        <v>5.1989999999999998</v>
      </c>
      <c r="P232" s="547">
        <v>40562</v>
      </c>
      <c r="Q232" s="550">
        <v>0.23688000000000001</v>
      </c>
      <c r="R232" s="545">
        <v>0.26</v>
      </c>
      <c r="S232" s="545">
        <v>0.28312999999999999</v>
      </c>
      <c r="T232" s="545">
        <v>0.30313000000000001</v>
      </c>
      <c r="U232" s="545">
        <v>0.34499999999999997</v>
      </c>
      <c r="V232" s="545">
        <v>0.40125</v>
      </c>
      <c r="W232" s="545">
        <v>0.45468999999999998</v>
      </c>
      <c r="X232" s="545">
        <v>0.78030999999999995</v>
      </c>
    </row>
    <row r="233" spans="6:24">
      <c r="F233" s="547">
        <v>40563</v>
      </c>
      <c r="G233" s="550">
        <v>4.75</v>
      </c>
      <c r="H233" s="545">
        <v>4.8182999999999998</v>
      </c>
      <c r="I233" s="545">
        <v>4.91</v>
      </c>
      <c r="J233" s="545">
        <v>4.9267000000000003</v>
      </c>
      <c r="K233" s="545">
        <v>4.97</v>
      </c>
      <c r="L233" s="545">
        <v>5.0117000000000003</v>
      </c>
      <c r="M233" s="545">
        <v>5.0583</v>
      </c>
      <c r="N233" s="545">
        <v>5.1893000000000002</v>
      </c>
      <c r="P233" s="547">
        <v>40563</v>
      </c>
      <c r="Q233" s="550">
        <v>0.23688000000000001</v>
      </c>
      <c r="R233" s="545">
        <v>0.26</v>
      </c>
      <c r="S233" s="545">
        <v>0.28312999999999999</v>
      </c>
      <c r="T233" s="545">
        <v>0.30313000000000001</v>
      </c>
      <c r="U233" s="545">
        <v>0.34499999999999997</v>
      </c>
      <c r="V233" s="545">
        <v>0.40125</v>
      </c>
      <c r="W233" s="545">
        <v>0.45468999999999998</v>
      </c>
      <c r="X233" s="545">
        <v>0.78030999999999995</v>
      </c>
    </row>
    <row r="234" spans="6:24">
      <c r="F234" s="547">
        <v>40564</v>
      </c>
      <c r="G234" s="550">
        <v>4.75</v>
      </c>
      <c r="H234" s="545">
        <v>4.8067000000000002</v>
      </c>
      <c r="I234" s="545">
        <v>4.8899999999999997</v>
      </c>
      <c r="J234" s="545">
        <v>4.9249999999999998</v>
      </c>
      <c r="K234" s="545">
        <v>4.9782999999999999</v>
      </c>
      <c r="L234" s="545">
        <v>5.0266999999999999</v>
      </c>
      <c r="M234" s="545">
        <v>5.08</v>
      </c>
      <c r="N234" s="545">
        <v>5.2229000000000001</v>
      </c>
      <c r="P234" s="547">
        <v>40564</v>
      </c>
      <c r="Q234" s="550">
        <v>0.23688000000000001</v>
      </c>
      <c r="R234" s="545">
        <v>0.26</v>
      </c>
      <c r="S234" s="545">
        <v>0.28312999999999999</v>
      </c>
      <c r="T234" s="545">
        <v>0.30313000000000001</v>
      </c>
      <c r="U234" s="545">
        <v>0.34499999999999997</v>
      </c>
      <c r="V234" s="545">
        <v>0.40125</v>
      </c>
      <c r="W234" s="545">
        <v>0.45468999999999998</v>
      </c>
      <c r="X234" s="545">
        <v>0.78063000000000005</v>
      </c>
    </row>
    <row r="235" spans="6:24">
      <c r="F235" s="547">
        <v>40567</v>
      </c>
      <c r="G235" s="550">
        <v>4.75</v>
      </c>
      <c r="H235" s="545">
        <v>4.8117000000000001</v>
      </c>
      <c r="I235" s="545">
        <v>4.8933</v>
      </c>
      <c r="J235" s="545">
        <v>4.9217000000000004</v>
      </c>
      <c r="K235" s="545">
        <v>4.99</v>
      </c>
      <c r="L235" s="545">
        <v>5.0517000000000003</v>
      </c>
      <c r="M235" s="545">
        <v>5.1266999999999996</v>
      </c>
      <c r="N235" s="545">
        <v>5.2295999999999996</v>
      </c>
      <c r="P235" s="547">
        <v>40567</v>
      </c>
      <c r="Q235" s="550">
        <v>0.23688000000000001</v>
      </c>
      <c r="R235" s="545">
        <v>0.26</v>
      </c>
      <c r="S235" s="545">
        <v>0.28312999999999999</v>
      </c>
      <c r="T235" s="545">
        <v>0.30313000000000001</v>
      </c>
      <c r="U235" s="545">
        <v>0.34499999999999997</v>
      </c>
      <c r="V235" s="545">
        <v>0.40125</v>
      </c>
      <c r="W235" s="545">
        <v>0.45468999999999998</v>
      </c>
      <c r="X235" s="545">
        <v>0.78093999999999997</v>
      </c>
    </row>
    <row r="236" spans="6:24">
      <c r="F236" s="547">
        <v>40568</v>
      </c>
      <c r="G236" s="550">
        <v>4.75</v>
      </c>
      <c r="H236" s="545">
        <v>4.8182999999999998</v>
      </c>
      <c r="I236" s="545">
        <v>4.9166999999999996</v>
      </c>
      <c r="J236" s="545">
        <v>4.9667000000000003</v>
      </c>
      <c r="K236" s="545">
        <v>5.0049999999999999</v>
      </c>
      <c r="L236" s="545">
        <v>5.0617000000000001</v>
      </c>
      <c r="M236" s="545">
        <v>5.13</v>
      </c>
      <c r="N236" s="545">
        <v>5.2431999999999999</v>
      </c>
      <c r="P236" s="547">
        <v>40568</v>
      </c>
      <c r="Q236" s="550">
        <v>0.23688000000000001</v>
      </c>
      <c r="R236" s="545">
        <v>0.26</v>
      </c>
      <c r="S236" s="545">
        <v>0.28312999999999999</v>
      </c>
      <c r="T236" s="545">
        <v>0.30437999999999998</v>
      </c>
      <c r="U236" s="545">
        <v>0.34499999999999997</v>
      </c>
      <c r="V236" s="545">
        <v>0.40125</v>
      </c>
      <c r="W236" s="545">
        <v>0.45468999999999998</v>
      </c>
      <c r="X236" s="545">
        <v>0.78093999999999997</v>
      </c>
    </row>
    <row r="237" spans="6:24">
      <c r="F237" s="547">
        <v>40570</v>
      </c>
      <c r="G237" s="550">
        <v>4.75</v>
      </c>
      <c r="H237" s="545">
        <v>4.8467000000000002</v>
      </c>
      <c r="I237" s="545">
        <v>4.915</v>
      </c>
      <c r="J237" s="545">
        <v>4.9550000000000001</v>
      </c>
      <c r="K237" s="545">
        <v>4.9983000000000004</v>
      </c>
      <c r="L237" s="545">
        <v>5.0449999999999999</v>
      </c>
      <c r="M237" s="545">
        <v>5.0867000000000004</v>
      </c>
      <c r="N237" s="545">
        <v>5.2191999999999998</v>
      </c>
      <c r="P237" s="547">
        <v>40569</v>
      </c>
      <c r="Q237" s="550">
        <v>0.23688000000000001</v>
      </c>
      <c r="R237" s="545">
        <v>0.26</v>
      </c>
      <c r="S237" s="545">
        <v>0.28312999999999999</v>
      </c>
      <c r="T237" s="545">
        <v>0.30437999999999998</v>
      </c>
      <c r="U237" s="545">
        <v>0.34499999999999997</v>
      </c>
      <c r="V237" s="545">
        <v>0.40125</v>
      </c>
      <c r="W237" s="545">
        <v>0.45468999999999998</v>
      </c>
      <c r="X237" s="545">
        <v>0.78125</v>
      </c>
    </row>
    <row r="238" spans="6:24">
      <c r="F238" s="547">
        <v>40571</v>
      </c>
      <c r="G238" s="550">
        <v>4.75</v>
      </c>
      <c r="H238" s="545">
        <v>4.83</v>
      </c>
      <c r="I238" s="545">
        <v>4.9183000000000003</v>
      </c>
      <c r="J238" s="545">
        <v>4.9367000000000001</v>
      </c>
      <c r="K238" s="545">
        <v>4.99</v>
      </c>
      <c r="L238" s="545">
        <v>5.04</v>
      </c>
      <c r="M238" s="545">
        <v>5.0867000000000004</v>
      </c>
      <c r="N238" s="545">
        <v>5.1711</v>
      </c>
      <c r="P238" s="547">
        <v>40570</v>
      </c>
      <c r="Q238" s="550">
        <v>0.23563000000000001</v>
      </c>
      <c r="R238" s="545">
        <v>0.26</v>
      </c>
      <c r="S238" s="545">
        <v>0.28312999999999999</v>
      </c>
      <c r="T238" s="545">
        <v>0.30437999999999998</v>
      </c>
      <c r="U238" s="545">
        <v>0.34499999999999997</v>
      </c>
      <c r="V238" s="545">
        <v>0.40125</v>
      </c>
      <c r="W238" s="545">
        <v>0.45468999999999998</v>
      </c>
      <c r="X238" s="545">
        <v>0.78125</v>
      </c>
    </row>
    <row r="239" spans="6:24">
      <c r="F239" s="547">
        <v>40574</v>
      </c>
      <c r="G239" s="550">
        <v>4.75</v>
      </c>
      <c r="H239" s="545">
        <v>4.8282999999999996</v>
      </c>
      <c r="I239" s="545">
        <v>4.8949999999999996</v>
      </c>
      <c r="J239" s="545">
        <v>4.92</v>
      </c>
      <c r="K239" s="545">
        <v>4.9767000000000001</v>
      </c>
      <c r="L239" s="545">
        <v>5.0316999999999998</v>
      </c>
      <c r="M239" s="545">
        <v>5.08</v>
      </c>
      <c r="N239" s="545">
        <v>5.1344000000000003</v>
      </c>
      <c r="P239" s="547">
        <v>40571</v>
      </c>
      <c r="Q239" s="550">
        <v>0.23563000000000001</v>
      </c>
      <c r="R239" s="545">
        <v>0.26</v>
      </c>
      <c r="S239" s="545">
        <v>0.28312999999999999</v>
      </c>
      <c r="T239" s="545">
        <v>0.30437999999999998</v>
      </c>
      <c r="U239" s="545">
        <v>0.34499999999999997</v>
      </c>
      <c r="V239" s="545">
        <v>0.40112999999999999</v>
      </c>
      <c r="W239" s="545">
        <v>0.45380999999999999</v>
      </c>
      <c r="X239" s="545">
        <v>0.78063000000000005</v>
      </c>
    </row>
    <row r="240" spans="6:24">
      <c r="F240" s="547">
        <v>40575</v>
      </c>
      <c r="G240" s="550">
        <v>4.75</v>
      </c>
      <c r="H240" s="545">
        <v>4.8099999999999996</v>
      </c>
      <c r="I240" s="545">
        <v>4.88</v>
      </c>
      <c r="J240" s="545">
        <v>4.9000000000000004</v>
      </c>
      <c r="K240" s="545">
        <v>4.9566999999999997</v>
      </c>
      <c r="L240" s="545">
        <v>5.01</v>
      </c>
      <c r="M240" s="545">
        <v>5.0599999999999996</v>
      </c>
      <c r="N240" s="545">
        <v>5.1581999999999999</v>
      </c>
      <c r="P240" s="547">
        <v>40574</v>
      </c>
      <c r="Q240" s="550">
        <v>0.23530999999999999</v>
      </c>
      <c r="R240" s="545">
        <v>0.26</v>
      </c>
      <c r="S240" s="545">
        <v>0.28312999999999999</v>
      </c>
      <c r="T240" s="545">
        <v>0.30437999999999998</v>
      </c>
      <c r="U240" s="545">
        <v>0.34499999999999997</v>
      </c>
      <c r="V240" s="545">
        <v>0.40112999999999999</v>
      </c>
      <c r="W240" s="545">
        <v>0.45380999999999999</v>
      </c>
      <c r="X240" s="545">
        <v>0.78125</v>
      </c>
    </row>
    <row r="241" spans="6:24">
      <c r="F241" s="547">
        <v>40576</v>
      </c>
      <c r="G241" s="550">
        <v>4.75</v>
      </c>
      <c r="H241" s="545">
        <v>4.82</v>
      </c>
      <c r="I241" s="545">
        <v>4.88</v>
      </c>
      <c r="J241" s="545">
        <v>4.9000000000000004</v>
      </c>
      <c r="K241" s="545">
        <v>4.96</v>
      </c>
      <c r="L241" s="545">
        <v>5.0199999999999996</v>
      </c>
      <c r="M241" s="545">
        <v>5.0750000000000002</v>
      </c>
      <c r="N241" s="545">
        <v>5.1619000000000002</v>
      </c>
      <c r="P241" s="547">
        <v>40575</v>
      </c>
      <c r="Q241" s="550">
        <v>0.23599999999999999</v>
      </c>
      <c r="R241" s="545">
        <v>0.26300000000000001</v>
      </c>
      <c r="S241" s="545">
        <v>0.28749999999999998</v>
      </c>
      <c r="T241" s="545">
        <v>0.3105</v>
      </c>
      <c r="U241" s="545">
        <v>0.35</v>
      </c>
      <c r="V241" s="545">
        <v>0.40799999999999997</v>
      </c>
      <c r="W241" s="545">
        <v>0.46074999999999999</v>
      </c>
      <c r="X241" s="545">
        <v>0.78549999999999998</v>
      </c>
    </row>
    <row r="242" spans="6:24">
      <c r="F242" s="547">
        <v>40577</v>
      </c>
      <c r="G242" s="550">
        <v>4.75</v>
      </c>
      <c r="H242" s="545">
        <v>4.82</v>
      </c>
      <c r="I242" s="545">
        <v>4.8783000000000003</v>
      </c>
      <c r="J242" s="545">
        <v>4.9000000000000004</v>
      </c>
      <c r="K242" s="545">
        <v>4.9667000000000003</v>
      </c>
      <c r="L242" s="545">
        <v>5.0199999999999996</v>
      </c>
      <c r="M242" s="545">
        <v>5.0816999999999997</v>
      </c>
      <c r="N242" s="545">
        <v>5.1657000000000002</v>
      </c>
      <c r="P242" s="547">
        <v>40576</v>
      </c>
      <c r="Q242" s="550">
        <v>0.23499999999999999</v>
      </c>
      <c r="R242" s="545">
        <v>0.26300000000000001</v>
      </c>
      <c r="S242" s="545">
        <v>0.28699999999999998</v>
      </c>
      <c r="T242" s="545">
        <v>0.3105</v>
      </c>
      <c r="U242" s="545">
        <v>0.34899999999999998</v>
      </c>
      <c r="V242" s="545">
        <v>0.40699999999999997</v>
      </c>
      <c r="W242" s="545">
        <v>0.46074999999999999</v>
      </c>
      <c r="X242" s="545">
        <v>0.78605000000000003</v>
      </c>
    </row>
    <row r="243" spans="6:24">
      <c r="F243" s="547">
        <v>40578</v>
      </c>
      <c r="G243" s="550">
        <v>4.75</v>
      </c>
      <c r="H243" s="545">
        <v>4.8099999999999996</v>
      </c>
      <c r="I243" s="545">
        <v>4.8817000000000004</v>
      </c>
      <c r="J243" s="545">
        <v>4.9000000000000004</v>
      </c>
      <c r="K243" s="545">
        <v>4.9667000000000003</v>
      </c>
      <c r="L243" s="545">
        <v>5.0232999999999999</v>
      </c>
      <c r="M243" s="545">
        <v>5.09</v>
      </c>
      <c r="N243" s="545">
        <v>5.2065000000000001</v>
      </c>
      <c r="P243" s="547">
        <v>40577</v>
      </c>
      <c r="Q243" s="550">
        <v>0.23699999999999999</v>
      </c>
      <c r="R243" s="545">
        <v>0.26300000000000001</v>
      </c>
      <c r="S243" s="545">
        <v>0.28749999999999998</v>
      </c>
      <c r="T243" s="545">
        <v>0.3105</v>
      </c>
      <c r="U243" s="545">
        <v>0.34949999999999998</v>
      </c>
      <c r="V243" s="545">
        <v>0.40799999999999997</v>
      </c>
      <c r="W243" s="545">
        <v>0.46124999999999999</v>
      </c>
      <c r="X243" s="545">
        <v>0.78859999999999997</v>
      </c>
    </row>
    <row r="244" spans="6:24">
      <c r="F244" s="547">
        <v>40581</v>
      </c>
      <c r="G244" s="550">
        <v>4.75</v>
      </c>
      <c r="H244" s="545">
        <v>4.82</v>
      </c>
      <c r="I244" s="545">
        <v>4.88</v>
      </c>
      <c r="J244" s="545">
        <v>4.9000000000000004</v>
      </c>
      <c r="K244" s="545">
        <v>4.9733000000000001</v>
      </c>
      <c r="L244" s="545">
        <v>5.0350000000000001</v>
      </c>
      <c r="M244" s="545">
        <v>5.0933000000000002</v>
      </c>
      <c r="N244" s="545">
        <v>5.2531999999999996</v>
      </c>
      <c r="P244" s="547">
        <v>40578</v>
      </c>
      <c r="Q244" s="550">
        <v>0.2369</v>
      </c>
      <c r="R244" s="545">
        <v>0.26274999999999998</v>
      </c>
      <c r="S244" s="545">
        <v>0.28699999999999998</v>
      </c>
      <c r="T244" s="545">
        <v>0.3115</v>
      </c>
      <c r="U244" s="545">
        <v>0.34975000000000001</v>
      </c>
      <c r="V244" s="545">
        <v>0.40799999999999997</v>
      </c>
      <c r="W244" s="545">
        <v>0.46124999999999999</v>
      </c>
      <c r="X244" s="545">
        <v>0.79125000000000001</v>
      </c>
    </row>
    <row r="245" spans="6:24">
      <c r="F245" s="547">
        <v>40582</v>
      </c>
      <c r="G245" s="550">
        <v>4.75</v>
      </c>
      <c r="H245" s="545">
        <v>4.8250000000000002</v>
      </c>
      <c r="I245" s="545">
        <v>4.87</v>
      </c>
      <c r="J245" s="545">
        <v>4.91</v>
      </c>
      <c r="K245" s="545">
        <v>4.9832999999999998</v>
      </c>
      <c r="L245" s="545">
        <v>5.0433000000000003</v>
      </c>
      <c r="M245" s="545">
        <v>5.12</v>
      </c>
      <c r="N245" s="545">
        <v>5.2436999999999996</v>
      </c>
      <c r="P245" s="547">
        <v>40581</v>
      </c>
      <c r="Q245" s="550">
        <v>0.2374</v>
      </c>
      <c r="R245" s="545">
        <v>0.26374999999999998</v>
      </c>
      <c r="S245" s="545">
        <v>0.28799999999999998</v>
      </c>
      <c r="T245" s="545">
        <v>0.312</v>
      </c>
      <c r="U245" s="545">
        <v>0.35099999999999998</v>
      </c>
      <c r="V245" s="545">
        <v>0.41</v>
      </c>
      <c r="W245" s="545">
        <v>0.46284999999999998</v>
      </c>
      <c r="X245" s="545">
        <v>0.79274999999999995</v>
      </c>
    </row>
    <row r="246" spans="6:24">
      <c r="F246" s="547">
        <v>40583</v>
      </c>
      <c r="G246" s="550">
        <v>4.75</v>
      </c>
      <c r="H246" s="545">
        <v>4.8282999999999996</v>
      </c>
      <c r="I246" s="545">
        <v>4.87</v>
      </c>
      <c r="J246" s="545">
        <v>4.9249999999999998</v>
      </c>
      <c r="K246" s="545">
        <v>4.99</v>
      </c>
      <c r="L246" s="545">
        <v>5.05</v>
      </c>
      <c r="M246" s="545">
        <v>5.1233000000000004</v>
      </c>
      <c r="N246" s="545">
        <v>5.2636000000000003</v>
      </c>
      <c r="P246" s="547">
        <v>40582</v>
      </c>
      <c r="Q246" s="550">
        <v>0.23549999999999999</v>
      </c>
      <c r="R246" s="545">
        <v>0.26400000000000001</v>
      </c>
      <c r="S246" s="545">
        <v>0.28825000000000001</v>
      </c>
      <c r="T246" s="545">
        <v>0.312</v>
      </c>
      <c r="U246" s="545">
        <v>0.35099999999999998</v>
      </c>
      <c r="V246" s="545">
        <v>0.41</v>
      </c>
      <c r="W246" s="545">
        <v>0.46434999999999998</v>
      </c>
      <c r="X246" s="545">
        <v>0.79325000000000001</v>
      </c>
    </row>
    <row r="247" spans="6:24">
      <c r="F247" s="547">
        <v>40584</v>
      </c>
      <c r="G247" s="550">
        <v>4.75</v>
      </c>
      <c r="H247" s="545">
        <v>4.8282999999999996</v>
      </c>
      <c r="I247" s="545">
        <v>4.8733000000000004</v>
      </c>
      <c r="J247" s="545">
        <v>4.9317000000000002</v>
      </c>
      <c r="K247" s="545">
        <v>4.99</v>
      </c>
      <c r="L247" s="545">
        <v>5.0483000000000002</v>
      </c>
      <c r="M247" s="545">
        <v>5.0917000000000003</v>
      </c>
      <c r="N247" s="545">
        <v>5.2599</v>
      </c>
      <c r="P247" s="547">
        <v>40583</v>
      </c>
      <c r="Q247" s="550">
        <v>0.23549999999999999</v>
      </c>
      <c r="R247" s="545">
        <v>0.26400000000000001</v>
      </c>
      <c r="S247" s="545">
        <v>0.28849999999999998</v>
      </c>
      <c r="T247" s="545">
        <v>0.312</v>
      </c>
      <c r="U247" s="545">
        <v>0.35199999999999998</v>
      </c>
      <c r="V247" s="545">
        <v>0.41099999999999998</v>
      </c>
      <c r="W247" s="545">
        <v>0.4652</v>
      </c>
      <c r="X247" s="545">
        <v>0.79900000000000004</v>
      </c>
    </row>
    <row r="248" spans="6:24">
      <c r="F248" s="547">
        <v>40585</v>
      </c>
      <c r="G248" s="550">
        <v>4.75</v>
      </c>
      <c r="H248" s="545">
        <v>4.8282999999999996</v>
      </c>
      <c r="I248" s="545">
        <v>4.87</v>
      </c>
      <c r="J248" s="545">
        <v>4.9032999999999998</v>
      </c>
      <c r="K248" s="545">
        <v>4.9850000000000003</v>
      </c>
      <c r="L248" s="545">
        <v>5.0416999999999996</v>
      </c>
      <c r="M248" s="545">
        <v>5.08</v>
      </c>
      <c r="N248" s="545">
        <v>5.2351999999999999</v>
      </c>
      <c r="P248" s="547">
        <v>40584</v>
      </c>
      <c r="Q248" s="550">
        <v>0.23400000000000001</v>
      </c>
      <c r="R248" s="545">
        <v>0.26400000000000001</v>
      </c>
      <c r="S248" s="545">
        <v>0.28799999999999998</v>
      </c>
      <c r="T248" s="545">
        <v>0.312</v>
      </c>
      <c r="U248" s="545">
        <v>0.35199999999999998</v>
      </c>
      <c r="V248" s="545">
        <v>0.41</v>
      </c>
      <c r="W248" s="545">
        <v>0.4647</v>
      </c>
      <c r="X248" s="545">
        <v>0.79700000000000004</v>
      </c>
    </row>
    <row r="249" spans="6:24">
      <c r="F249" s="547">
        <v>40588</v>
      </c>
      <c r="G249" s="550">
        <v>4.75</v>
      </c>
      <c r="H249" s="545">
        <v>4.8250000000000002</v>
      </c>
      <c r="I249" s="545">
        <v>4.8766999999999996</v>
      </c>
      <c r="J249" s="545">
        <v>4.9217000000000004</v>
      </c>
      <c r="K249" s="545">
        <v>4.9800000000000004</v>
      </c>
      <c r="L249" s="545">
        <v>5.0316999999999998</v>
      </c>
      <c r="M249" s="545">
        <v>5.07</v>
      </c>
      <c r="N249" s="545">
        <v>5.1971999999999996</v>
      </c>
      <c r="P249" s="547">
        <v>40585</v>
      </c>
      <c r="Q249" s="550">
        <v>0.23400000000000001</v>
      </c>
      <c r="R249" s="545">
        <v>0.26574999999999999</v>
      </c>
      <c r="S249" s="545">
        <v>0.28899999999999998</v>
      </c>
      <c r="T249" s="545">
        <v>0.313</v>
      </c>
      <c r="U249" s="545">
        <v>0.35299999999999998</v>
      </c>
      <c r="V249" s="545">
        <v>0.41</v>
      </c>
      <c r="W249" s="545">
        <v>0.4652</v>
      </c>
      <c r="X249" s="545">
        <v>0.79649999999999999</v>
      </c>
    </row>
    <row r="250" spans="6:24">
      <c r="F250" s="547">
        <v>40589</v>
      </c>
      <c r="G250" s="550">
        <v>4.75</v>
      </c>
      <c r="H250" s="545">
        <v>4.83</v>
      </c>
      <c r="I250" s="545">
        <v>4.8600000000000003</v>
      </c>
      <c r="J250" s="545">
        <v>4.91</v>
      </c>
      <c r="K250" s="545">
        <v>4.9800000000000004</v>
      </c>
      <c r="L250" s="545">
        <v>5.0366999999999997</v>
      </c>
      <c r="M250" s="545">
        <v>5.0949999999999998</v>
      </c>
      <c r="N250" s="545">
        <v>5.2140000000000004</v>
      </c>
      <c r="P250" s="547">
        <v>40588</v>
      </c>
      <c r="Q250" s="550">
        <v>0.23300000000000001</v>
      </c>
      <c r="R250" s="545">
        <v>0.26474999999999999</v>
      </c>
      <c r="S250" s="545">
        <v>0.28899999999999998</v>
      </c>
      <c r="T250" s="545">
        <v>0.314</v>
      </c>
      <c r="U250" s="545">
        <v>0.35349999999999998</v>
      </c>
      <c r="V250" s="545">
        <v>0.41</v>
      </c>
      <c r="W250" s="545">
        <v>0.4657</v>
      </c>
      <c r="X250" s="545">
        <v>0.79749999999999999</v>
      </c>
    </row>
    <row r="251" spans="6:24">
      <c r="F251" s="547">
        <v>40590</v>
      </c>
      <c r="G251" s="550">
        <v>4.75</v>
      </c>
      <c r="H251" s="545">
        <v>4.8</v>
      </c>
      <c r="I251" s="545">
        <v>4.8550000000000004</v>
      </c>
      <c r="J251" s="545">
        <v>4.9000000000000004</v>
      </c>
      <c r="K251" s="545">
        <v>4.9550000000000001</v>
      </c>
      <c r="L251" s="545">
        <v>5.0232999999999999</v>
      </c>
      <c r="M251" s="545">
        <v>5.0632999999999999</v>
      </c>
      <c r="N251" s="545">
        <v>5.1874000000000002</v>
      </c>
      <c r="P251" s="547">
        <v>40589</v>
      </c>
      <c r="Q251" s="550">
        <v>0.23350000000000001</v>
      </c>
      <c r="R251" s="545">
        <v>0.26400000000000001</v>
      </c>
      <c r="S251" s="545">
        <v>0.28849999999999998</v>
      </c>
      <c r="T251" s="545">
        <v>0.3135</v>
      </c>
      <c r="U251" s="545">
        <v>0.35349999999999998</v>
      </c>
      <c r="V251" s="545">
        <v>0.41</v>
      </c>
      <c r="W251" s="545">
        <v>0.4657</v>
      </c>
      <c r="X251" s="545">
        <v>0.79874999999999996</v>
      </c>
    </row>
    <row r="252" spans="6:24">
      <c r="F252" s="547">
        <v>40591</v>
      </c>
      <c r="G252" s="550">
        <v>4.75</v>
      </c>
      <c r="H252" s="545">
        <v>4.8099999999999996</v>
      </c>
      <c r="I252" s="545">
        <v>4.8550000000000004</v>
      </c>
      <c r="J252" s="545">
        <v>4.9000000000000004</v>
      </c>
      <c r="K252" s="545">
        <v>4.9532999999999996</v>
      </c>
      <c r="L252" s="545">
        <v>5.0199999999999996</v>
      </c>
      <c r="M252" s="545">
        <v>5.0599999999999996</v>
      </c>
      <c r="N252" s="545">
        <v>5.2037000000000004</v>
      </c>
      <c r="P252" s="547">
        <v>40590</v>
      </c>
      <c r="Q252" s="550">
        <v>0.23350000000000001</v>
      </c>
      <c r="R252" s="545">
        <v>0.26300000000000001</v>
      </c>
      <c r="S252" s="545">
        <v>0.28849999999999998</v>
      </c>
      <c r="T252" s="545">
        <v>0.3135</v>
      </c>
      <c r="U252" s="545">
        <v>0.35349999999999998</v>
      </c>
      <c r="V252" s="545">
        <v>0.41</v>
      </c>
      <c r="W252" s="545">
        <v>0.4652</v>
      </c>
      <c r="X252" s="545">
        <v>0.79774999999999996</v>
      </c>
    </row>
    <row r="253" spans="6:24">
      <c r="F253" s="547">
        <v>40592</v>
      </c>
      <c r="G253" s="550">
        <v>4.75</v>
      </c>
      <c r="H253" s="545">
        <v>4.8099999999999996</v>
      </c>
      <c r="I253" s="545">
        <v>4.8550000000000004</v>
      </c>
      <c r="J253" s="545">
        <v>4.9000000000000004</v>
      </c>
      <c r="K253" s="545">
        <v>4.95</v>
      </c>
      <c r="L253" s="545">
        <v>5.0133000000000001</v>
      </c>
      <c r="M253" s="545">
        <v>5.0599999999999996</v>
      </c>
      <c r="N253" s="545">
        <v>5.1836000000000002</v>
      </c>
      <c r="P253" s="547">
        <v>40591</v>
      </c>
      <c r="Q253" s="550">
        <v>0.23100000000000001</v>
      </c>
      <c r="R253" s="545">
        <v>0.26300000000000001</v>
      </c>
      <c r="S253" s="545">
        <v>0.28849999999999998</v>
      </c>
      <c r="T253" s="545">
        <v>0.3135</v>
      </c>
      <c r="U253" s="545">
        <v>0.35349999999999998</v>
      </c>
      <c r="V253" s="545">
        <v>0.41</v>
      </c>
      <c r="W253" s="545">
        <v>0.46550000000000002</v>
      </c>
      <c r="X253" s="545">
        <v>0.79574999999999996</v>
      </c>
    </row>
    <row r="254" spans="6:24">
      <c r="F254" s="547">
        <v>40595</v>
      </c>
      <c r="G254" s="550">
        <v>4.75</v>
      </c>
      <c r="H254" s="545">
        <v>4.8</v>
      </c>
      <c r="I254" s="545">
        <v>4.8532999999999999</v>
      </c>
      <c r="J254" s="545">
        <v>4.9000000000000004</v>
      </c>
      <c r="K254" s="545">
        <v>4.9566999999999997</v>
      </c>
      <c r="L254" s="545">
        <v>5.0183</v>
      </c>
      <c r="M254" s="545">
        <v>5.0716999999999999</v>
      </c>
      <c r="N254" s="545">
        <v>5.1882000000000001</v>
      </c>
      <c r="P254" s="547">
        <v>40592</v>
      </c>
      <c r="Q254" s="550">
        <v>0.22950000000000001</v>
      </c>
      <c r="R254" s="545">
        <v>0.26200000000000001</v>
      </c>
      <c r="S254" s="545">
        <v>0.28649999999999998</v>
      </c>
      <c r="T254" s="545">
        <v>0.3125</v>
      </c>
      <c r="U254" s="545">
        <v>0.35299999999999998</v>
      </c>
      <c r="V254" s="545">
        <v>0.41</v>
      </c>
      <c r="W254" s="545">
        <v>0.46550000000000002</v>
      </c>
      <c r="X254" s="545">
        <v>0.79500000000000004</v>
      </c>
    </row>
    <row r="255" spans="6:24">
      <c r="F255" s="547">
        <v>40596</v>
      </c>
      <c r="G255" s="550">
        <v>4.75</v>
      </c>
      <c r="H255" s="545">
        <v>4.83</v>
      </c>
      <c r="I255" s="545">
        <v>4.8532999999999999</v>
      </c>
      <c r="J255" s="545">
        <v>4.91</v>
      </c>
      <c r="K255" s="545">
        <v>4.9617000000000004</v>
      </c>
      <c r="L255" s="545">
        <v>5.01</v>
      </c>
      <c r="M255" s="545">
        <v>5.0599999999999996</v>
      </c>
      <c r="N255" s="545">
        <v>5.1700999999999997</v>
      </c>
      <c r="P255" s="547">
        <v>40595</v>
      </c>
      <c r="Q255" s="550">
        <v>0.22950000000000001</v>
      </c>
      <c r="R255" s="545">
        <v>0.26200000000000001</v>
      </c>
      <c r="S255" s="545">
        <v>0.28649999999999998</v>
      </c>
      <c r="T255" s="545">
        <v>0.3125</v>
      </c>
      <c r="U255" s="545">
        <v>0.35299999999999998</v>
      </c>
      <c r="V255" s="545">
        <v>0.40949999999999998</v>
      </c>
      <c r="W255" s="545">
        <v>0.46500000000000002</v>
      </c>
      <c r="X255" s="545">
        <v>0.79300000000000004</v>
      </c>
    </row>
    <row r="256" spans="6:24">
      <c r="F256" s="547">
        <v>40597</v>
      </c>
      <c r="G256" s="550">
        <v>4.75</v>
      </c>
      <c r="H256" s="545">
        <v>4.83</v>
      </c>
      <c r="I256" s="545">
        <v>4.8532999999999999</v>
      </c>
      <c r="J256" s="545">
        <v>4.9132999999999996</v>
      </c>
      <c r="K256" s="545">
        <v>4.9667000000000003</v>
      </c>
      <c r="L256" s="545">
        <v>5.01</v>
      </c>
      <c r="M256" s="545">
        <v>5.0599999999999996</v>
      </c>
      <c r="N256" s="545">
        <v>5.1597999999999997</v>
      </c>
      <c r="P256" s="547">
        <v>40596</v>
      </c>
      <c r="Q256" s="550">
        <v>0.22800000000000001</v>
      </c>
      <c r="R256" s="545">
        <v>0.26150000000000001</v>
      </c>
      <c r="S256" s="545">
        <v>0.28549999999999998</v>
      </c>
      <c r="T256" s="545">
        <v>0.3125</v>
      </c>
      <c r="U256" s="545">
        <v>0.35299999999999998</v>
      </c>
      <c r="V256" s="545">
        <v>0.41049999999999998</v>
      </c>
      <c r="W256" s="545">
        <v>0.46500000000000002</v>
      </c>
      <c r="X256" s="545">
        <v>0.79274999999999995</v>
      </c>
    </row>
    <row r="257" spans="6:24">
      <c r="F257" s="547">
        <v>40598</v>
      </c>
      <c r="G257" s="550">
        <v>4.75</v>
      </c>
      <c r="H257" s="545">
        <v>4.83</v>
      </c>
      <c r="I257" s="545">
        <v>4.8582999999999998</v>
      </c>
      <c r="J257" s="545">
        <v>4.9249999999999998</v>
      </c>
      <c r="K257" s="545">
        <v>4.9733000000000001</v>
      </c>
      <c r="L257" s="545">
        <v>5.0217000000000001</v>
      </c>
      <c r="M257" s="545">
        <v>5.0782999999999996</v>
      </c>
      <c r="N257" s="545">
        <v>5.1835000000000004</v>
      </c>
      <c r="P257" s="547">
        <v>40597</v>
      </c>
      <c r="Q257" s="550">
        <v>0.22700000000000001</v>
      </c>
      <c r="R257" s="545">
        <v>0.26150000000000001</v>
      </c>
      <c r="S257" s="545">
        <v>0.28549999999999998</v>
      </c>
      <c r="T257" s="545">
        <v>0.3115</v>
      </c>
      <c r="U257" s="545">
        <v>0.35299999999999998</v>
      </c>
      <c r="V257" s="545">
        <v>0.41149999999999998</v>
      </c>
      <c r="W257" s="545">
        <v>0.46500000000000002</v>
      </c>
      <c r="X257" s="545">
        <v>0.79374999999999996</v>
      </c>
    </row>
    <row r="258" spans="6:24">
      <c r="F258" s="547">
        <v>40599</v>
      </c>
      <c r="G258" s="550">
        <v>4.75</v>
      </c>
      <c r="H258" s="545">
        <v>4.8282999999999996</v>
      </c>
      <c r="I258" s="545">
        <v>4.8550000000000004</v>
      </c>
      <c r="J258" s="545">
        <v>4.9333</v>
      </c>
      <c r="K258" s="545">
        <v>4.9749999999999996</v>
      </c>
      <c r="L258" s="545">
        <v>5.0232999999999999</v>
      </c>
      <c r="M258" s="545">
        <v>5.085</v>
      </c>
      <c r="N258" s="545">
        <v>5.2045000000000003</v>
      </c>
      <c r="P258" s="547">
        <v>40598</v>
      </c>
      <c r="Q258" s="550">
        <v>0.22550000000000001</v>
      </c>
      <c r="R258" s="545">
        <v>0.26150000000000001</v>
      </c>
      <c r="S258" s="545">
        <v>0.28449999999999998</v>
      </c>
      <c r="T258" s="545">
        <v>0.3105</v>
      </c>
      <c r="U258" s="545">
        <v>0.35299999999999998</v>
      </c>
      <c r="V258" s="545">
        <v>0.41049999999999998</v>
      </c>
      <c r="W258" s="545">
        <v>0.46400000000000002</v>
      </c>
      <c r="X258" s="545">
        <v>0.79125000000000001</v>
      </c>
    </row>
    <row r="259" spans="6:24">
      <c r="F259" s="547">
        <v>40602</v>
      </c>
      <c r="G259" s="550">
        <v>4.75</v>
      </c>
      <c r="H259" s="545">
        <v>4.8383000000000003</v>
      </c>
      <c r="I259" s="545">
        <v>4.875</v>
      </c>
      <c r="J259" s="545">
        <v>4.97</v>
      </c>
      <c r="K259" s="545">
        <v>5.0016999999999996</v>
      </c>
      <c r="L259" s="545">
        <v>5.05</v>
      </c>
      <c r="M259" s="545">
        <v>5.12</v>
      </c>
      <c r="N259" s="545">
        <v>5.1767000000000003</v>
      </c>
      <c r="P259" s="547">
        <v>40599</v>
      </c>
      <c r="Q259" s="550">
        <v>0.22550000000000001</v>
      </c>
      <c r="R259" s="545">
        <v>0.26100000000000001</v>
      </c>
      <c r="S259" s="545">
        <v>0.28599999999999998</v>
      </c>
      <c r="T259" s="545">
        <v>0.3105</v>
      </c>
      <c r="U259" s="545">
        <v>0.35299999999999998</v>
      </c>
      <c r="V259" s="545">
        <v>0.41049999999999998</v>
      </c>
      <c r="W259" s="545">
        <v>0.46400000000000002</v>
      </c>
      <c r="X259" s="545">
        <v>0.79225000000000001</v>
      </c>
    </row>
    <row r="260" spans="6:24">
      <c r="F260" s="547">
        <v>40603</v>
      </c>
      <c r="G260" s="550">
        <v>4.75</v>
      </c>
      <c r="H260" s="545">
        <v>4.8582999999999998</v>
      </c>
      <c r="I260" s="545">
        <v>4.8883000000000001</v>
      </c>
      <c r="J260" s="545">
        <v>4.95</v>
      </c>
      <c r="K260" s="545">
        <v>4.9932999999999996</v>
      </c>
      <c r="L260" s="545">
        <v>5.04</v>
      </c>
      <c r="M260" s="545">
        <v>5.0917000000000003</v>
      </c>
      <c r="N260" s="545">
        <v>5.2</v>
      </c>
      <c r="P260" s="547">
        <v>40602</v>
      </c>
      <c r="Q260" s="550">
        <v>0.22550000000000001</v>
      </c>
      <c r="R260" s="545">
        <v>0.26100000000000001</v>
      </c>
      <c r="S260" s="545">
        <v>0.28649999999999998</v>
      </c>
      <c r="T260" s="545">
        <v>0.3095</v>
      </c>
      <c r="U260" s="545">
        <v>0.35199999999999998</v>
      </c>
      <c r="V260" s="545">
        <v>0.41049999999999998</v>
      </c>
      <c r="W260" s="545">
        <v>0.46400000000000002</v>
      </c>
      <c r="X260" s="545">
        <v>0.79025000000000001</v>
      </c>
    </row>
    <row r="261" spans="6:24">
      <c r="F261" s="547">
        <v>40604</v>
      </c>
      <c r="G261" s="550">
        <v>4.75</v>
      </c>
      <c r="H261" s="545">
        <v>4.8499999999999996</v>
      </c>
      <c r="I261" s="545">
        <v>4.88</v>
      </c>
      <c r="J261" s="545">
        <v>4.9432999999999998</v>
      </c>
      <c r="K261" s="545">
        <v>4.9916999999999998</v>
      </c>
      <c r="L261" s="545">
        <v>5.0449999999999999</v>
      </c>
      <c r="M261" s="545">
        <v>5.1132999999999997</v>
      </c>
      <c r="N261" s="545">
        <v>5.1893000000000002</v>
      </c>
      <c r="P261" s="547">
        <v>40603</v>
      </c>
      <c r="Q261" s="550">
        <v>0.22550000000000001</v>
      </c>
      <c r="R261" s="545">
        <v>0.26100000000000001</v>
      </c>
      <c r="S261" s="545">
        <v>0.28549999999999998</v>
      </c>
      <c r="T261" s="545">
        <v>0.3095</v>
      </c>
      <c r="U261" s="545">
        <v>0.35099999999999998</v>
      </c>
      <c r="V261" s="545">
        <v>0.40949999999999998</v>
      </c>
      <c r="W261" s="545">
        <v>0.46250000000000002</v>
      </c>
      <c r="X261" s="545">
        <v>0.78874999999999995</v>
      </c>
    </row>
    <row r="262" spans="6:24">
      <c r="F262" s="547">
        <v>40605</v>
      </c>
      <c r="G262" s="550">
        <v>4.75</v>
      </c>
      <c r="H262" s="545">
        <v>4.8383000000000003</v>
      </c>
      <c r="I262" s="545">
        <v>4.8766999999999996</v>
      </c>
      <c r="J262" s="545">
        <v>4.9400000000000004</v>
      </c>
      <c r="K262" s="545">
        <v>4.9950000000000001</v>
      </c>
      <c r="L262" s="545">
        <v>5.0467000000000004</v>
      </c>
      <c r="M262" s="545">
        <v>5.1100000000000003</v>
      </c>
      <c r="N262" s="545">
        <v>5.2012</v>
      </c>
      <c r="P262" s="547">
        <v>40604</v>
      </c>
      <c r="Q262" s="550">
        <v>0.2235</v>
      </c>
      <c r="R262" s="545">
        <v>0.26</v>
      </c>
      <c r="S262" s="545">
        <v>0.28599999999999998</v>
      </c>
      <c r="T262" s="545">
        <v>0.3095</v>
      </c>
      <c r="U262" s="545">
        <v>0.35049999999999998</v>
      </c>
      <c r="V262" s="545">
        <v>0.40849999999999997</v>
      </c>
      <c r="W262" s="545">
        <v>0.46150000000000002</v>
      </c>
      <c r="X262" s="545">
        <v>0.78625</v>
      </c>
    </row>
    <row r="263" spans="6:24">
      <c r="F263" s="547">
        <v>40606</v>
      </c>
      <c r="G263" s="550">
        <v>4.75</v>
      </c>
      <c r="H263" s="545">
        <v>4.8266999999999998</v>
      </c>
      <c r="I263" s="545">
        <v>4.8817000000000004</v>
      </c>
      <c r="J263" s="545">
        <v>4.9800000000000004</v>
      </c>
      <c r="K263" s="545">
        <v>5.0316999999999998</v>
      </c>
      <c r="L263" s="545">
        <v>5.0732999999999997</v>
      </c>
      <c r="M263" s="545">
        <v>5.14</v>
      </c>
      <c r="N263" s="545">
        <v>5.2257999999999996</v>
      </c>
      <c r="P263" s="547">
        <v>40605</v>
      </c>
      <c r="Q263" s="550">
        <v>0.2215</v>
      </c>
      <c r="R263" s="545">
        <v>0.26</v>
      </c>
      <c r="S263" s="545">
        <v>0.28599999999999998</v>
      </c>
      <c r="T263" s="545">
        <v>0.3095</v>
      </c>
      <c r="U263" s="545">
        <v>0.35049999999999998</v>
      </c>
      <c r="V263" s="545">
        <v>0.40849999999999997</v>
      </c>
      <c r="W263" s="545">
        <v>0.46150000000000002</v>
      </c>
      <c r="X263" s="545">
        <v>0.78725000000000001</v>
      </c>
    </row>
    <row r="264" spans="6:24">
      <c r="F264" s="547">
        <v>40609</v>
      </c>
      <c r="G264" s="550">
        <v>4.75</v>
      </c>
      <c r="H264" s="545">
        <v>4.82</v>
      </c>
      <c r="I264" s="545">
        <v>4.88</v>
      </c>
      <c r="J264" s="545">
        <v>4.9800000000000004</v>
      </c>
      <c r="K264" s="545">
        <v>5.0282999999999998</v>
      </c>
      <c r="L264" s="545">
        <v>5.07</v>
      </c>
      <c r="M264" s="545">
        <v>5.12</v>
      </c>
      <c r="N264" s="545">
        <v>5.2152000000000003</v>
      </c>
      <c r="P264" s="547">
        <v>40606</v>
      </c>
      <c r="Q264" s="550">
        <v>0.2215</v>
      </c>
      <c r="R264" s="545">
        <v>0.26</v>
      </c>
      <c r="S264" s="545">
        <v>0.28599999999999998</v>
      </c>
      <c r="T264" s="545">
        <v>0.3095</v>
      </c>
      <c r="U264" s="545">
        <v>0.35049999999999998</v>
      </c>
      <c r="V264" s="545">
        <v>0.40849999999999997</v>
      </c>
      <c r="W264" s="545">
        <v>0.46250000000000002</v>
      </c>
      <c r="X264" s="545">
        <v>0.79200000000000004</v>
      </c>
    </row>
    <row r="265" spans="6:24">
      <c r="F265" s="547">
        <v>40610</v>
      </c>
      <c r="G265" s="550">
        <v>4.75</v>
      </c>
      <c r="H265" s="545">
        <v>4.8232999999999997</v>
      </c>
      <c r="I265" s="545">
        <v>4.8532999999999999</v>
      </c>
      <c r="J265" s="545">
        <v>4.95</v>
      </c>
      <c r="K265" s="545">
        <v>5.0149999999999997</v>
      </c>
      <c r="L265" s="545">
        <v>5.0682999999999998</v>
      </c>
      <c r="M265" s="545">
        <v>5.1283000000000003</v>
      </c>
      <c r="N265" s="545">
        <v>5.2046999999999999</v>
      </c>
      <c r="P265" s="547">
        <v>40609</v>
      </c>
      <c r="Q265" s="550">
        <v>0.2205</v>
      </c>
      <c r="R265" s="545">
        <v>0.25900000000000001</v>
      </c>
      <c r="S265" s="545">
        <v>0.28599999999999998</v>
      </c>
      <c r="T265" s="545">
        <v>0.3095</v>
      </c>
      <c r="U265" s="545">
        <v>0.35049999999999998</v>
      </c>
      <c r="V265" s="545">
        <v>0.40849999999999997</v>
      </c>
      <c r="W265" s="545">
        <v>0.46250000000000002</v>
      </c>
      <c r="X265" s="545">
        <v>0.78649999999999998</v>
      </c>
    </row>
    <row r="266" spans="6:24">
      <c r="F266" s="547">
        <v>40611</v>
      </c>
      <c r="G266" s="550">
        <v>4.75</v>
      </c>
      <c r="H266" s="545">
        <v>4.8383000000000003</v>
      </c>
      <c r="I266" s="545">
        <v>4.8483000000000001</v>
      </c>
      <c r="J266" s="545">
        <v>4.96</v>
      </c>
      <c r="K266" s="545">
        <v>5.01</v>
      </c>
      <c r="L266" s="545">
        <v>5.0667</v>
      </c>
      <c r="M266" s="545">
        <v>5.1116999999999999</v>
      </c>
      <c r="N266" s="545">
        <v>5.2046999999999999</v>
      </c>
      <c r="P266" s="547">
        <v>40610</v>
      </c>
      <c r="Q266" s="550">
        <v>0.2195</v>
      </c>
      <c r="R266" s="545">
        <v>0.25800000000000001</v>
      </c>
      <c r="S266" s="545">
        <v>0.28599999999999998</v>
      </c>
      <c r="T266" s="545">
        <v>0.3095</v>
      </c>
      <c r="U266" s="545">
        <v>0.35049999999999998</v>
      </c>
      <c r="V266" s="545">
        <v>0.40849999999999997</v>
      </c>
      <c r="W266" s="545">
        <v>0.46150000000000002</v>
      </c>
      <c r="X266" s="545">
        <v>0.78449999999999998</v>
      </c>
    </row>
    <row r="267" spans="6:24">
      <c r="F267" s="547">
        <v>40612</v>
      </c>
      <c r="G267" s="550">
        <v>4.75</v>
      </c>
      <c r="H267" s="545">
        <v>4.84</v>
      </c>
      <c r="I267" s="545">
        <v>4.8682999999999996</v>
      </c>
      <c r="J267" s="545">
        <v>4.97</v>
      </c>
      <c r="K267" s="545">
        <v>5.0117000000000003</v>
      </c>
      <c r="L267" s="545">
        <v>5.0682999999999998</v>
      </c>
      <c r="M267" s="545">
        <v>5.12</v>
      </c>
      <c r="N267" s="545">
        <v>5.1913999999999998</v>
      </c>
      <c r="P267" s="547">
        <v>40611</v>
      </c>
      <c r="Q267" s="550">
        <v>0.2175</v>
      </c>
      <c r="R267" s="545">
        <v>0.25800000000000001</v>
      </c>
      <c r="S267" s="545">
        <v>0.28599999999999998</v>
      </c>
      <c r="T267" s="545">
        <v>0.3095</v>
      </c>
      <c r="U267" s="545">
        <v>0.35049999999999998</v>
      </c>
      <c r="V267" s="545">
        <v>0.40849999999999997</v>
      </c>
      <c r="W267" s="545">
        <v>0.46150000000000002</v>
      </c>
      <c r="X267" s="545">
        <v>0.78549999999999998</v>
      </c>
    </row>
    <row r="268" spans="6:24">
      <c r="F268" s="547">
        <v>40613</v>
      </c>
      <c r="G268" s="550">
        <v>4.75</v>
      </c>
      <c r="H268" s="545">
        <v>4.83</v>
      </c>
      <c r="I268" s="545">
        <v>4.8600000000000003</v>
      </c>
      <c r="J268" s="545">
        <v>4.9983000000000004</v>
      </c>
      <c r="K268" s="545">
        <v>5.0266999999999999</v>
      </c>
      <c r="L268" s="545">
        <v>5.07</v>
      </c>
      <c r="M268" s="545">
        <v>5.12</v>
      </c>
      <c r="N268" s="545">
        <v>5.1600999999999999</v>
      </c>
      <c r="P268" s="547">
        <v>40612</v>
      </c>
      <c r="Q268" s="550">
        <v>0.216</v>
      </c>
      <c r="R268" s="545">
        <v>0.2555</v>
      </c>
      <c r="S268" s="545">
        <v>0.28399999999999997</v>
      </c>
      <c r="T268" s="545">
        <v>0.3095</v>
      </c>
      <c r="U268" s="545">
        <v>0.35</v>
      </c>
      <c r="V268" s="545">
        <v>0.40849999999999997</v>
      </c>
      <c r="W268" s="545">
        <v>0.46150000000000002</v>
      </c>
      <c r="X268" s="545">
        <v>0.78549999999999998</v>
      </c>
    </row>
    <row r="269" spans="6:24">
      <c r="F269" s="547">
        <v>40616</v>
      </c>
      <c r="G269" s="550">
        <v>4.75</v>
      </c>
      <c r="H269" s="545">
        <v>4.82</v>
      </c>
      <c r="I269" s="545">
        <v>4.8733000000000004</v>
      </c>
      <c r="J269" s="545">
        <v>4.9633000000000003</v>
      </c>
      <c r="K269" s="545">
        <v>5.0167000000000002</v>
      </c>
      <c r="L269" s="545">
        <v>5.0583</v>
      </c>
      <c r="M269" s="545">
        <v>5.0949999999999998</v>
      </c>
      <c r="N269" s="545">
        <v>5.1367000000000003</v>
      </c>
      <c r="P269" s="547">
        <v>40613</v>
      </c>
      <c r="Q269" s="550">
        <v>0.2155</v>
      </c>
      <c r="R269" s="545">
        <v>0.255</v>
      </c>
      <c r="S269" s="545">
        <v>0.28399999999999997</v>
      </c>
      <c r="T269" s="545">
        <v>0.3095</v>
      </c>
      <c r="U269" s="545">
        <v>0.35</v>
      </c>
      <c r="V269" s="545">
        <v>0.40849999999999997</v>
      </c>
      <c r="W269" s="545">
        <v>0.46100000000000002</v>
      </c>
      <c r="X269" s="545">
        <v>0.78</v>
      </c>
    </row>
    <row r="270" spans="6:24">
      <c r="F270" s="547">
        <v>40617</v>
      </c>
      <c r="G270" s="550">
        <v>4.75</v>
      </c>
      <c r="H270" s="545">
        <v>4.8449999999999998</v>
      </c>
      <c r="I270" s="545">
        <v>4.87</v>
      </c>
      <c r="J270" s="545">
        <v>4.9400000000000004</v>
      </c>
      <c r="K270" s="545">
        <v>4.9950000000000001</v>
      </c>
      <c r="L270" s="545">
        <v>5.0332999999999997</v>
      </c>
      <c r="M270" s="545">
        <v>5.0682999999999998</v>
      </c>
      <c r="N270" s="545">
        <v>5.0865</v>
      </c>
      <c r="P270" s="547">
        <v>40616</v>
      </c>
      <c r="Q270" s="550">
        <v>0.2135</v>
      </c>
      <c r="R270" s="545">
        <v>0.2535</v>
      </c>
      <c r="S270" s="545">
        <v>0.28349999999999997</v>
      </c>
      <c r="T270" s="545">
        <v>0.309</v>
      </c>
      <c r="U270" s="545">
        <v>0.35049999999999998</v>
      </c>
      <c r="V270" s="545">
        <v>0.4083</v>
      </c>
      <c r="W270" s="545">
        <v>0.46100000000000002</v>
      </c>
      <c r="X270" s="545">
        <v>0.77749999999999997</v>
      </c>
    </row>
    <row r="271" spans="6:24">
      <c r="F271" s="547">
        <v>40618</v>
      </c>
      <c r="G271" s="550">
        <v>4.75</v>
      </c>
      <c r="H271" s="545">
        <v>4.8099999999999996</v>
      </c>
      <c r="I271" s="545">
        <v>4.84</v>
      </c>
      <c r="J271" s="545">
        <v>4.8499999999999996</v>
      </c>
      <c r="K271" s="545">
        <v>4.8817000000000004</v>
      </c>
      <c r="L271" s="545">
        <v>4.9050000000000002</v>
      </c>
      <c r="M271" s="545">
        <v>4.93</v>
      </c>
      <c r="N271" s="545">
        <v>4.9707999999999997</v>
      </c>
      <c r="P271" s="547">
        <v>40617</v>
      </c>
      <c r="Q271" s="550">
        <v>0.21149999999999999</v>
      </c>
      <c r="R271" s="545">
        <v>0.2535</v>
      </c>
      <c r="S271" s="545">
        <v>0.28349999999999997</v>
      </c>
      <c r="T271" s="545">
        <v>0.309</v>
      </c>
      <c r="U271" s="545">
        <v>0.35049999999999998</v>
      </c>
      <c r="V271" s="545">
        <v>0.4078</v>
      </c>
      <c r="W271" s="545">
        <v>0.46</v>
      </c>
      <c r="X271" s="545">
        <v>0.76849999999999996</v>
      </c>
    </row>
    <row r="272" spans="6:24">
      <c r="F272" s="547">
        <v>40619</v>
      </c>
      <c r="G272" s="550">
        <v>4.75</v>
      </c>
      <c r="H272" s="545">
        <v>4.8</v>
      </c>
      <c r="I272" s="545">
        <v>4.82</v>
      </c>
      <c r="J272" s="545">
        <v>4.8367000000000004</v>
      </c>
      <c r="K272" s="545">
        <v>4.8499999999999996</v>
      </c>
      <c r="L272" s="545">
        <v>4.8666999999999998</v>
      </c>
      <c r="M272" s="545">
        <v>4.875</v>
      </c>
      <c r="N272" s="545">
        <v>4.9027000000000003</v>
      </c>
      <c r="P272" s="547">
        <v>40618</v>
      </c>
      <c r="Q272" s="550">
        <v>0.21149999999999999</v>
      </c>
      <c r="R272" s="545">
        <v>0.2535</v>
      </c>
      <c r="S272" s="545">
        <v>0.28349999999999997</v>
      </c>
      <c r="T272" s="545">
        <v>0.309</v>
      </c>
      <c r="U272" s="545">
        <v>0.35049999999999998</v>
      </c>
      <c r="V272" s="545">
        <v>0.4078</v>
      </c>
      <c r="W272" s="545">
        <v>0.46</v>
      </c>
      <c r="X272" s="545">
        <v>0.77149999999999996</v>
      </c>
    </row>
    <row r="273" spans="6:24">
      <c r="F273" s="547">
        <v>40620</v>
      </c>
      <c r="G273" s="550">
        <v>4.75</v>
      </c>
      <c r="H273" s="545">
        <v>4.8132999999999999</v>
      </c>
      <c r="I273" s="545">
        <v>4.8316999999999997</v>
      </c>
      <c r="J273" s="545">
        <v>4.8550000000000004</v>
      </c>
      <c r="K273" s="545">
        <v>4.8833000000000002</v>
      </c>
      <c r="L273" s="545">
        <v>4.92</v>
      </c>
      <c r="M273" s="545">
        <v>4.9683000000000002</v>
      </c>
      <c r="N273" s="545">
        <v>4.9861000000000004</v>
      </c>
      <c r="P273" s="547">
        <v>40619</v>
      </c>
      <c r="Q273" s="550">
        <v>0.20649999999999999</v>
      </c>
      <c r="R273" s="545">
        <v>0.2535</v>
      </c>
      <c r="S273" s="545">
        <v>0.28349999999999997</v>
      </c>
      <c r="T273" s="545">
        <v>0.309</v>
      </c>
      <c r="U273" s="545">
        <v>0.35049999999999998</v>
      </c>
      <c r="V273" s="545">
        <v>0.40799999999999997</v>
      </c>
      <c r="W273" s="545">
        <v>0.46</v>
      </c>
      <c r="X273" s="545">
        <v>0.77249999999999996</v>
      </c>
    </row>
    <row r="274" spans="6:24">
      <c r="F274" s="547">
        <v>40623</v>
      </c>
      <c r="G274" s="550">
        <v>4.75</v>
      </c>
      <c r="H274" s="545">
        <v>4.8099999999999996</v>
      </c>
      <c r="I274" s="545">
        <v>4.83</v>
      </c>
      <c r="J274" s="545">
        <v>4.84</v>
      </c>
      <c r="K274" s="545">
        <v>4.8783000000000003</v>
      </c>
      <c r="L274" s="545">
        <v>4.9249999999999998</v>
      </c>
      <c r="M274" s="545">
        <v>4.96</v>
      </c>
      <c r="N274" s="545">
        <v>5.0106000000000002</v>
      </c>
      <c r="P274" s="547">
        <v>40620</v>
      </c>
      <c r="Q274" s="550">
        <v>0.20549999999999999</v>
      </c>
      <c r="R274" s="545">
        <v>0.2535</v>
      </c>
      <c r="S274" s="545">
        <v>0.28399999999999997</v>
      </c>
      <c r="T274" s="545">
        <v>0.309</v>
      </c>
      <c r="U274" s="545">
        <v>0.35049999999999998</v>
      </c>
      <c r="V274" s="545">
        <v>0.40799999999999997</v>
      </c>
      <c r="W274" s="545">
        <v>0.46</v>
      </c>
      <c r="X274" s="545">
        <v>0.77049999999999996</v>
      </c>
    </row>
    <row r="275" spans="6:24">
      <c r="F275" s="547">
        <v>40624</v>
      </c>
      <c r="G275" s="550">
        <v>4.75</v>
      </c>
      <c r="H275" s="545">
        <v>4.8099999999999996</v>
      </c>
      <c r="I275" s="545">
        <v>4.84</v>
      </c>
      <c r="J275" s="545">
        <v>4.8733000000000004</v>
      </c>
      <c r="K275" s="545">
        <v>4.9016999999999999</v>
      </c>
      <c r="L275" s="545">
        <v>4.9482999999999997</v>
      </c>
      <c r="M275" s="545">
        <v>5</v>
      </c>
      <c r="N275" s="545">
        <v>5.0529999999999999</v>
      </c>
      <c r="P275" s="547">
        <v>40623</v>
      </c>
      <c r="Q275" s="550">
        <v>0.20449999999999999</v>
      </c>
      <c r="R275" s="545">
        <v>0.2525</v>
      </c>
      <c r="S275" s="545">
        <v>0.28299999999999997</v>
      </c>
      <c r="T275" s="545">
        <v>0.309</v>
      </c>
      <c r="U275" s="545">
        <v>0.34949999999999998</v>
      </c>
      <c r="V275" s="545">
        <v>0.40699999999999997</v>
      </c>
      <c r="W275" s="545">
        <v>0.46</v>
      </c>
      <c r="X275" s="545">
        <v>0.77200000000000002</v>
      </c>
    </row>
    <row r="276" spans="6:24">
      <c r="F276" s="547">
        <v>40625</v>
      </c>
      <c r="G276" s="550">
        <v>4.75</v>
      </c>
      <c r="H276" s="545">
        <v>4.8099999999999996</v>
      </c>
      <c r="I276" s="545">
        <v>4.84</v>
      </c>
      <c r="J276" s="545">
        <v>4.8817000000000004</v>
      </c>
      <c r="K276" s="545">
        <v>4.915</v>
      </c>
      <c r="L276" s="545">
        <v>4.9566999999999997</v>
      </c>
      <c r="M276" s="545">
        <v>5</v>
      </c>
      <c r="N276" s="545">
        <v>5.0445000000000002</v>
      </c>
      <c r="P276" s="547">
        <v>40624</v>
      </c>
      <c r="Q276" s="550">
        <v>0.20250000000000001</v>
      </c>
      <c r="R276" s="545">
        <v>0.252</v>
      </c>
      <c r="S276" s="545">
        <v>0.28249999999999997</v>
      </c>
      <c r="T276" s="545">
        <v>0.309</v>
      </c>
      <c r="U276" s="545">
        <v>0.34949999999999998</v>
      </c>
      <c r="V276" s="545">
        <v>0.40699999999999997</v>
      </c>
      <c r="W276" s="545">
        <v>0.46</v>
      </c>
      <c r="X276" s="545">
        <v>0.77449999999999997</v>
      </c>
    </row>
    <row r="277" spans="6:24">
      <c r="F277" s="547">
        <v>40626</v>
      </c>
      <c r="G277" s="550">
        <v>4.75</v>
      </c>
      <c r="H277" s="545">
        <v>4.8099999999999996</v>
      </c>
      <c r="I277" s="545">
        <v>4.84</v>
      </c>
      <c r="J277" s="545">
        <v>4.8733000000000004</v>
      </c>
      <c r="K277" s="545">
        <v>4.9217000000000004</v>
      </c>
      <c r="L277" s="545">
        <v>4.9617000000000004</v>
      </c>
      <c r="M277" s="545">
        <v>5</v>
      </c>
      <c r="N277" s="545">
        <v>5.0486000000000004</v>
      </c>
      <c r="P277" s="547">
        <v>40625</v>
      </c>
      <c r="Q277" s="550">
        <v>0.19950000000000001</v>
      </c>
      <c r="R277" s="545">
        <v>0.2495</v>
      </c>
      <c r="S277" s="545">
        <v>0.28149999999999997</v>
      </c>
      <c r="T277" s="545">
        <v>0.308</v>
      </c>
      <c r="U277" s="545">
        <v>0.34949999999999998</v>
      </c>
      <c r="V277" s="545">
        <v>0.40699999999999997</v>
      </c>
      <c r="W277" s="545">
        <v>0.46</v>
      </c>
      <c r="X277" s="545">
        <v>0.77449999999999997</v>
      </c>
    </row>
    <row r="278" spans="6:24">
      <c r="F278" s="547">
        <v>40627</v>
      </c>
      <c r="G278" s="550">
        <v>4.75</v>
      </c>
      <c r="H278" s="545">
        <v>4.8099999999999996</v>
      </c>
      <c r="I278" s="545">
        <v>4.8483000000000001</v>
      </c>
      <c r="J278" s="545">
        <v>4.9000000000000004</v>
      </c>
      <c r="K278" s="545">
        <v>4.93</v>
      </c>
      <c r="L278" s="545">
        <v>4.9649999999999999</v>
      </c>
      <c r="M278" s="545">
        <v>5.0083000000000002</v>
      </c>
      <c r="N278" s="545">
        <v>5.0503999999999998</v>
      </c>
      <c r="P278" s="547">
        <v>40626</v>
      </c>
      <c r="Q278" s="550">
        <v>0.19550000000000001</v>
      </c>
      <c r="R278" s="545">
        <v>0.24825</v>
      </c>
      <c r="S278" s="545">
        <v>0.28149999999999997</v>
      </c>
      <c r="T278" s="545">
        <v>0.3085</v>
      </c>
      <c r="U278" s="545">
        <v>0.34975000000000001</v>
      </c>
      <c r="V278" s="545">
        <v>0.40699999999999997</v>
      </c>
      <c r="W278" s="545">
        <v>0.46</v>
      </c>
      <c r="X278" s="545">
        <v>0.77549999999999997</v>
      </c>
    </row>
    <row r="279" spans="6:24">
      <c r="F279" s="547">
        <v>40630</v>
      </c>
      <c r="G279" s="550">
        <v>4.75</v>
      </c>
      <c r="H279" s="545">
        <v>4.8216999999999999</v>
      </c>
      <c r="I279" s="545">
        <v>4.8532999999999999</v>
      </c>
      <c r="J279" s="545">
        <v>4.9283000000000001</v>
      </c>
      <c r="K279" s="545">
        <v>4.95</v>
      </c>
      <c r="L279" s="545">
        <v>4.9800000000000004</v>
      </c>
      <c r="M279" s="545">
        <v>5.01</v>
      </c>
      <c r="N279" s="545">
        <v>5.0834999999999999</v>
      </c>
      <c r="P279" s="547">
        <v>40627</v>
      </c>
      <c r="Q279" s="550">
        <v>0.19400000000000001</v>
      </c>
      <c r="R279" s="545">
        <v>0.24825</v>
      </c>
      <c r="S279" s="545">
        <v>0.28149999999999997</v>
      </c>
      <c r="T279" s="545">
        <v>0.3075</v>
      </c>
      <c r="U279" s="545">
        <v>0.34875</v>
      </c>
      <c r="V279" s="545">
        <v>0.40699999999999997</v>
      </c>
      <c r="W279" s="545">
        <v>0.46</v>
      </c>
      <c r="X279" s="545">
        <v>0.77649999999999997</v>
      </c>
    </row>
    <row r="280" spans="6:24">
      <c r="F280" s="547">
        <v>40631</v>
      </c>
      <c r="G280" s="550">
        <v>4.75</v>
      </c>
      <c r="H280" s="545">
        <v>4.82</v>
      </c>
      <c r="I280" s="545">
        <v>4.8499999999999996</v>
      </c>
      <c r="J280" s="545">
        <v>4.91</v>
      </c>
      <c r="K280" s="545">
        <v>4.95</v>
      </c>
      <c r="L280" s="545">
        <v>4.9800000000000004</v>
      </c>
      <c r="M280" s="545">
        <v>5.01</v>
      </c>
      <c r="N280" s="545">
        <v>5.0837000000000003</v>
      </c>
      <c r="P280" s="547">
        <v>40630</v>
      </c>
      <c r="Q280" s="550">
        <v>0.192</v>
      </c>
      <c r="R280" s="545">
        <v>0.24765000000000001</v>
      </c>
      <c r="S280" s="545">
        <v>0.28050000000000003</v>
      </c>
      <c r="T280" s="545">
        <v>0.307</v>
      </c>
      <c r="U280" s="545">
        <v>0.34775</v>
      </c>
      <c r="V280" s="545">
        <v>0.40600000000000003</v>
      </c>
      <c r="W280" s="545">
        <v>0.46050000000000002</v>
      </c>
      <c r="X280" s="545">
        <v>0.77949999999999997</v>
      </c>
    </row>
    <row r="281" spans="6:24">
      <c r="F281" s="547">
        <v>40632</v>
      </c>
      <c r="G281" s="550">
        <v>4.75</v>
      </c>
      <c r="H281" s="545">
        <v>4.82</v>
      </c>
      <c r="I281" s="545">
        <v>4.8499999999999996</v>
      </c>
      <c r="J281" s="545">
        <v>4.92</v>
      </c>
      <c r="K281" s="545">
        <v>4.95</v>
      </c>
      <c r="L281" s="545">
        <v>4.9800000000000004</v>
      </c>
      <c r="M281" s="545">
        <v>5.0199999999999996</v>
      </c>
      <c r="N281" s="545">
        <v>5.0481999999999996</v>
      </c>
      <c r="P281" s="547">
        <v>40631</v>
      </c>
      <c r="Q281" s="550">
        <v>0.189</v>
      </c>
      <c r="R281" s="545">
        <v>0.24615000000000001</v>
      </c>
      <c r="S281" s="545">
        <v>0.28000000000000003</v>
      </c>
      <c r="T281" s="545">
        <v>0.307</v>
      </c>
      <c r="U281" s="545">
        <v>0.34775</v>
      </c>
      <c r="V281" s="545">
        <v>0.40600000000000003</v>
      </c>
      <c r="W281" s="545">
        <v>0.46050000000000002</v>
      </c>
      <c r="X281" s="545">
        <v>0.77949999999999997</v>
      </c>
    </row>
    <row r="282" spans="6:24">
      <c r="F282" s="547">
        <v>40633</v>
      </c>
      <c r="G282" s="550">
        <v>4.75</v>
      </c>
      <c r="H282" s="545">
        <v>4.8600000000000003</v>
      </c>
      <c r="I282" s="545">
        <v>4.8733000000000004</v>
      </c>
      <c r="J282" s="545">
        <v>4.9317000000000002</v>
      </c>
      <c r="K282" s="545">
        <v>4.9550000000000001</v>
      </c>
      <c r="L282" s="545">
        <v>4.9800000000000004</v>
      </c>
      <c r="M282" s="545">
        <v>5.0117000000000003</v>
      </c>
      <c r="N282" s="545">
        <v>5.0563000000000002</v>
      </c>
      <c r="P282" s="547">
        <v>40632</v>
      </c>
      <c r="Q282" s="550">
        <v>0.1855</v>
      </c>
      <c r="R282" s="545">
        <v>0.24379999999999999</v>
      </c>
      <c r="S282" s="545">
        <v>0.27575</v>
      </c>
      <c r="T282" s="545">
        <v>0.30449999999999999</v>
      </c>
      <c r="U282" s="545">
        <v>0.34649999999999997</v>
      </c>
      <c r="V282" s="545">
        <v>0.40600000000000003</v>
      </c>
      <c r="W282" s="545">
        <v>0.46050000000000002</v>
      </c>
      <c r="X282" s="545">
        <v>0.78200000000000003</v>
      </c>
    </row>
    <row r="283" spans="6:24">
      <c r="F283" s="547">
        <v>40634</v>
      </c>
      <c r="G283" s="550">
        <v>4.75</v>
      </c>
      <c r="H283" s="545">
        <v>4.8099999999999996</v>
      </c>
      <c r="I283" s="545">
        <v>4.84</v>
      </c>
      <c r="J283" s="545">
        <v>4.8883000000000001</v>
      </c>
      <c r="K283" s="545">
        <v>4.9333</v>
      </c>
      <c r="L283" s="545">
        <v>4.97</v>
      </c>
      <c r="M283" s="545">
        <v>5.0033000000000003</v>
      </c>
      <c r="N283" s="545">
        <v>5.0759999999999996</v>
      </c>
      <c r="P283" s="547">
        <v>40633</v>
      </c>
      <c r="Q283" s="550">
        <v>0.1845</v>
      </c>
      <c r="R283" s="545">
        <v>0.24345</v>
      </c>
      <c r="S283" s="545">
        <v>0.27400000000000002</v>
      </c>
      <c r="T283" s="545">
        <v>0.30299999999999999</v>
      </c>
      <c r="U283" s="545">
        <v>0.34549999999999997</v>
      </c>
      <c r="V283" s="545">
        <v>0.40500000000000003</v>
      </c>
      <c r="W283" s="545">
        <v>0.45950000000000002</v>
      </c>
      <c r="X283" s="545">
        <v>0.78249999999999997</v>
      </c>
    </row>
    <row r="284" spans="6:24">
      <c r="F284" s="547">
        <v>40637</v>
      </c>
      <c r="G284" s="550">
        <v>4.75</v>
      </c>
      <c r="H284" s="545">
        <v>4.8216999999999999</v>
      </c>
      <c r="I284" s="545">
        <v>4.8532999999999999</v>
      </c>
      <c r="J284" s="545">
        <v>4.8899999999999997</v>
      </c>
      <c r="K284" s="545">
        <v>4.93</v>
      </c>
      <c r="L284" s="545">
        <v>4.9683000000000002</v>
      </c>
      <c r="M284" s="545">
        <v>5</v>
      </c>
      <c r="N284" s="545">
        <v>5.0701000000000001</v>
      </c>
      <c r="P284" s="547">
        <v>40634</v>
      </c>
      <c r="Q284" s="550">
        <v>0.184</v>
      </c>
      <c r="R284" s="545">
        <v>0.24295</v>
      </c>
      <c r="S284" s="545">
        <v>0.27250000000000002</v>
      </c>
      <c r="T284" s="545">
        <v>0.30099999999999999</v>
      </c>
      <c r="U284" s="545">
        <v>0.34525</v>
      </c>
      <c r="V284" s="545">
        <v>0.40475</v>
      </c>
      <c r="W284" s="545">
        <v>0.45950000000000002</v>
      </c>
      <c r="X284" s="545">
        <v>0.78525</v>
      </c>
    </row>
    <row r="285" spans="6:24">
      <c r="F285" s="547">
        <v>40638</v>
      </c>
      <c r="G285" s="550">
        <v>4.75</v>
      </c>
      <c r="H285" s="545">
        <v>4.8083</v>
      </c>
      <c r="I285" s="545">
        <v>4.8532999999999999</v>
      </c>
      <c r="J285" s="545">
        <v>4.9000000000000004</v>
      </c>
      <c r="K285" s="545">
        <v>4.93</v>
      </c>
      <c r="L285" s="545">
        <v>4.9667000000000003</v>
      </c>
      <c r="M285" s="545">
        <v>4.9966999999999997</v>
      </c>
      <c r="N285" s="545">
        <v>5.0643000000000002</v>
      </c>
      <c r="P285" s="547">
        <v>40637</v>
      </c>
      <c r="Q285" s="550">
        <v>0.1782</v>
      </c>
      <c r="R285" s="545">
        <v>0.2399</v>
      </c>
      <c r="S285" s="545">
        <v>0.27024999999999999</v>
      </c>
      <c r="T285" s="545">
        <v>0.29675000000000001</v>
      </c>
      <c r="U285" s="545">
        <v>0.34100000000000003</v>
      </c>
      <c r="V285" s="545">
        <v>0.40300000000000002</v>
      </c>
      <c r="W285" s="545">
        <v>0.45874999999999999</v>
      </c>
      <c r="X285" s="545">
        <v>0.78100000000000003</v>
      </c>
    </row>
    <row r="286" spans="6:24">
      <c r="F286" s="547">
        <v>40639</v>
      </c>
      <c r="G286" s="550">
        <v>4.75</v>
      </c>
      <c r="H286" s="545">
        <v>4.8</v>
      </c>
      <c r="I286" s="545">
        <v>4.8517000000000001</v>
      </c>
      <c r="J286" s="545">
        <v>4.8949999999999996</v>
      </c>
      <c r="K286" s="545">
        <v>4.93</v>
      </c>
      <c r="L286" s="545">
        <v>4.9633000000000003</v>
      </c>
      <c r="M286" s="545">
        <v>4.9950000000000001</v>
      </c>
      <c r="N286" s="545">
        <v>5.0637999999999996</v>
      </c>
      <c r="P286" s="547">
        <v>40638</v>
      </c>
      <c r="Q286" s="550">
        <v>0.16969999999999999</v>
      </c>
      <c r="R286" s="545">
        <v>0.23549999999999999</v>
      </c>
      <c r="S286" s="545">
        <v>0.26624999999999999</v>
      </c>
      <c r="T286" s="545">
        <v>0.29375000000000001</v>
      </c>
      <c r="U286" s="545">
        <v>0.33950000000000002</v>
      </c>
      <c r="V286" s="545">
        <v>0.40100000000000002</v>
      </c>
      <c r="W286" s="545">
        <v>0.45650000000000002</v>
      </c>
      <c r="X286" s="545">
        <v>0.77775000000000005</v>
      </c>
    </row>
    <row r="287" spans="6:24">
      <c r="F287" s="547">
        <v>40640</v>
      </c>
      <c r="G287" s="550">
        <v>4.75</v>
      </c>
      <c r="H287" s="545">
        <v>4.7949999999999999</v>
      </c>
      <c r="I287" s="545">
        <v>4.8600000000000003</v>
      </c>
      <c r="J287" s="545">
        <v>4.91</v>
      </c>
      <c r="K287" s="545">
        <v>4.9466999999999999</v>
      </c>
      <c r="L287" s="545">
        <v>4.9832999999999998</v>
      </c>
      <c r="M287" s="545">
        <v>5.03</v>
      </c>
      <c r="N287" s="545">
        <v>5.0707000000000004</v>
      </c>
      <c r="P287" s="547">
        <v>40639</v>
      </c>
      <c r="Q287" s="550">
        <v>0.1628</v>
      </c>
      <c r="R287" s="545">
        <v>0.23350000000000001</v>
      </c>
      <c r="S287" s="545">
        <v>0.26474999999999999</v>
      </c>
      <c r="T287" s="545">
        <v>0.29263</v>
      </c>
      <c r="U287" s="545">
        <v>0.33750000000000002</v>
      </c>
      <c r="V287" s="545">
        <v>0.39800000000000002</v>
      </c>
      <c r="W287" s="545">
        <v>0.45450000000000002</v>
      </c>
      <c r="X287" s="545">
        <v>0.77825</v>
      </c>
    </row>
    <row r="288" spans="6:24">
      <c r="F288" s="547">
        <v>40641</v>
      </c>
      <c r="G288" s="550">
        <v>4.75</v>
      </c>
      <c r="H288" s="545">
        <v>4.79</v>
      </c>
      <c r="I288" s="545">
        <v>4.8666999999999998</v>
      </c>
      <c r="J288" s="545">
        <v>4.92</v>
      </c>
      <c r="K288" s="545">
        <v>4.9550000000000001</v>
      </c>
      <c r="L288" s="545">
        <v>4.9882999999999997</v>
      </c>
      <c r="M288" s="545">
        <v>5.03</v>
      </c>
      <c r="N288" s="545">
        <v>5.1285999999999996</v>
      </c>
      <c r="P288" s="547">
        <v>40640</v>
      </c>
      <c r="Q288" s="550">
        <v>0.157</v>
      </c>
      <c r="R288" s="545">
        <v>0.23138</v>
      </c>
      <c r="S288" s="545">
        <v>0.26150000000000001</v>
      </c>
      <c r="T288" s="545">
        <v>0.28949999999999998</v>
      </c>
      <c r="U288" s="545">
        <v>0.33374999999999999</v>
      </c>
      <c r="V288" s="545">
        <v>0.39624999999999999</v>
      </c>
      <c r="W288" s="545">
        <v>0.45088</v>
      </c>
      <c r="X288" s="545">
        <v>0.77775000000000005</v>
      </c>
    </row>
    <row r="289" spans="6:24">
      <c r="F289" s="547">
        <v>40644</v>
      </c>
      <c r="G289" s="550">
        <v>4.75</v>
      </c>
      <c r="H289" s="545">
        <v>4.78</v>
      </c>
      <c r="I289" s="545">
        <v>4.875</v>
      </c>
      <c r="J289" s="545">
        <v>4.9000000000000004</v>
      </c>
      <c r="K289" s="545">
        <v>4.9482999999999997</v>
      </c>
      <c r="L289" s="545">
        <v>4.9832999999999998</v>
      </c>
      <c r="M289" s="545">
        <v>5.0350000000000001</v>
      </c>
      <c r="N289" s="545">
        <v>5.1536</v>
      </c>
      <c r="P289" s="547">
        <v>40641</v>
      </c>
      <c r="Q289" s="550">
        <v>0.15475</v>
      </c>
      <c r="R289" s="545">
        <v>0.22650000000000001</v>
      </c>
      <c r="S289" s="545">
        <v>0.25600000000000001</v>
      </c>
      <c r="T289" s="545">
        <v>0.28525</v>
      </c>
      <c r="U289" s="545">
        <v>0.33150000000000002</v>
      </c>
      <c r="V289" s="545">
        <v>0.39300000000000002</v>
      </c>
      <c r="W289" s="545">
        <v>0.44750000000000001</v>
      </c>
      <c r="X289" s="545">
        <v>0.77725</v>
      </c>
    </row>
    <row r="290" spans="6:24">
      <c r="F290" s="547">
        <v>40645</v>
      </c>
      <c r="G290" s="550">
        <v>4.75</v>
      </c>
      <c r="H290" s="545">
        <v>4.79</v>
      </c>
      <c r="I290" s="545">
        <v>4.8567</v>
      </c>
      <c r="J290" s="545">
        <v>4.9000000000000004</v>
      </c>
      <c r="K290" s="545">
        <v>4.9417</v>
      </c>
      <c r="L290" s="545">
        <v>4.9800000000000004</v>
      </c>
      <c r="M290" s="545">
        <v>5.0250000000000004</v>
      </c>
      <c r="N290" s="545">
        <v>5.1201999999999996</v>
      </c>
      <c r="P290" s="547">
        <v>40644</v>
      </c>
      <c r="Q290" s="550">
        <v>0.15075</v>
      </c>
      <c r="R290" s="545">
        <v>0.2238</v>
      </c>
      <c r="S290" s="545">
        <v>0.25374999999999998</v>
      </c>
      <c r="T290" s="545">
        <v>0.28275</v>
      </c>
      <c r="U290" s="545">
        <v>0.32874999999999999</v>
      </c>
      <c r="V290" s="545">
        <v>0.39024999999999999</v>
      </c>
      <c r="W290" s="545">
        <v>0.44450000000000001</v>
      </c>
      <c r="X290" s="545">
        <v>0.77400000000000002</v>
      </c>
    </row>
    <row r="291" spans="6:24">
      <c r="F291" s="547">
        <v>40646</v>
      </c>
      <c r="G291" s="550">
        <v>4.75</v>
      </c>
      <c r="H291" s="545">
        <v>4.79</v>
      </c>
      <c r="I291" s="545">
        <v>4.8600000000000003</v>
      </c>
      <c r="J291" s="545">
        <v>4.9317000000000002</v>
      </c>
      <c r="K291" s="545">
        <v>4.96</v>
      </c>
      <c r="L291" s="545">
        <v>4.9916999999999998</v>
      </c>
      <c r="M291" s="545">
        <v>5.04</v>
      </c>
      <c r="N291" s="545">
        <v>5.1029999999999998</v>
      </c>
      <c r="P291" s="547">
        <v>40645</v>
      </c>
      <c r="Q291" s="550">
        <v>0.14399999999999999</v>
      </c>
      <c r="R291" s="545">
        <v>0.22109999999999999</v>
      </c>
      <c r="S291" s="545">
        <v>0.25174999999999997</v>
      </c>
      <c r="T291" s="545">
        <v>0.28075</v>
      </c>
      <c r="U291" s="545">
        <v>0.32724999999999999</v>
      </c>
      <c r="V291" s="545">
        <v>0.38950000000000001</v>
      </c>
      <c r="W291" s="545">
        <v>0.4425</v>
      </c>
      <c r="X291" s="545">
        <v>0.77249999999999996</v>
      </c>
    </row>
    <row r="292" spans="6:24">
      <c r="F292" s="547">
        <v>40647</v>
      </c>
      <c r="G292" s="550">
        <v>4.75</v>
      </c>
      <c r="H292" s="545">
        <v>4.79</v>
      </c>
      <c r="I292" s="545">
        <v>4.87</v>
      </c>
      <c r="J292" s="545">
        <v>4.9249999999999998</v>
      </c>
      <c r="K292" s="545">
        <v>4.9583000000000004</v>
      </c>
      <c r="L292" s="545">
        <v>4.9866999999999999</v>
      </c>
      <c r="M292" s="545">
        <v>5.0350000000000001</v>
      </c>
      <c r="N292" s="545">
        <v>5.1139000000000001</v>
      </c>
      <c r="P292" s="547">
        <v>40646</v>
      </c>
      <c r="Q292" s="550">
        <v>0.14050000000000001</v>
      </c>
      <c r="R292" s="545">
        <v>0.21875</v>
      </c>
      <c r="S292" s="545">
        <v>0.249</v>
      </c>
      <c r="T292" s="545">
        <v>0.27800000000000002</v>
      </c>
      <c r="U292" s="545">
        <v>0.32650000000000001</v>
      </c>
      <c r="V292" s="545">
        <v>0.38874999999999998</v>
      </c>
      <c r="W292" s="545">
        <v>0.4415</v>
      </c>
      <c r="X292" s="545">
        <v>0.77149999999999996</v>
      </c>
    </row>
    <row r="293" spans="6:24">
      <c r="F293" s="547">
        <v>40648</v>
      </c>
      <c r="G293" s="550">
        <v>4.75</v>
      </c>
      <c r="H293" s="545">
        <v>4.8</v>
      </c>
      <c r="I293" s="545">
        <v>4.875</v>
      </c>
      <c r="J293" s="545">
        <v>4.92</v>
      </c>
      <c r="K293" s="545">
        <v>4.9550000000000001</v>
      </c>
      <c r="L293" s="545">
        <v>4.9950000000000001</v>
      </c>
      <c r="M293" s="545">
        <v>5.04</v>
      </c>
      <c r="N293" s="545">
        <v>5.1131000000000002</v>
      </c>
      <c r="P293" s="547">
        <v>40647</v>
      </c>
      <c r="Q293" s="550">
        <v>0.13800000000000001</v>
      </c>
      <c r="R293" s="545">
        <v>0.21584999999999999</v>
      </c>
      <c r="S293" s="545">
        <v>0.245</v>
      </c>
      <c r="T293" s="545">
        <v>0.27550000000000002</v>
      </c>
      <c r="U293" s="545">
        <v>0.32300000000000001</v>
      </c>
      <c r="V293" s="545">
        <v>0.38624999999999998</v>
      </c>
      <c r="W293" s="545">
        <v>0.4385</v>
      </c>
      <c r="X293" s="545">
        <v>0.76500000000000001</v>
      </c>
    </row>
    <row r="294" spans="6:24">
      <c r="F294" s="547">
        <v>40651</v>
      </c>
      <c r="G294" s="550">
        <v>4.75</v>
      </c>
      <c r="H294" s="545">
        <v>4.78</v>
      </c>
      <c r="I294" s="545">
        <v>4.8433000000000002</v>
      </c>
      <c r="J294" s="545">
        <v>4.8682999999999996</v>
      </c>
      <c r="K294" s="545">
        <v>4.9183000000000003</v>
      </c>
      <c r="L294" s="545">
        <v>4.9667000000000003</v>
      </c>
      <c r="M294" s="545">
        <v>5.01</v>
      </c>
      <c r="N294" s="545">
        <v>5.0975999999999999</v>
      </c>
      <c r="P294" s="547">
        <v>40648</v>
      </c>
      <c r="Q294" s="550">
        <v>0.13650000000000001</v>
      </c>
      <c r="R294" s="545">
        <v>0.21375</v>
      </c>
      <c r="S294" s="545">
        <v>0.24349999999999999</v>
      </c>
      <c r="T294" s="545">
        <v>0.27474999999999999</v>
      </c>
      <c r="U294" s="545">
        <v>0.32200000000000001</v>
      </c>
      <c r="V294" s="545">
        <v>0.38524999999999998</v>
      </c>
      <c r="W294" s="545">
        <v>0.437</v>
      </c>
      <c r="X294" s="545">
        <v>0.76500000000000001</v>
      </c>
    </row>
    <row r="295" spans="6:24">
      <c r="F295" s="547">
        <v>40652</v>
      </c>
      <c r="G295" s="550">
        <v>4.75</v>
      </c>
      <c r="H295" s="545">
        <v>4.79</v>
      </c>
      <c r="I295" s="545">
        <v>4.8417000000000003</v>
      </c>
      <c r="J295" s="545">
        <v>4.8600000000000003</v>
      </c>
      <c r="K295" s="545">
        <v>4.9132999999999996</v>
      </c>
      <c r="L295" s="545">
        <v>4.96</v>
      </c>
      <c r="M295" s="545">
        <v>4.9966999999999997</v>
      </c>
      <c r="N295" s="545">
        <v>5.0620000000000003</v>
      </c>
      <c r="P295" s="547">
        <v>40651</v>
      </c>
      <c r="Q295" s="550">
        <v>0.13450000000000001</v>
      </c>
      <c r="R295" s="545">
        <v>0.21295</v>
      </c>
      <c r="S295" s="545">
        <v>0.24349999999999999</v>
      </c>
      <c r="T295" s="545">
        <v>0.27400000000000002</v>
      </c>
      <c r="U295" s="545">
        <v>0.32100000000000001</v>
      </c>
      <c r="V295" s="545">
        <v>0.38424999999999998</v>
      </c>
      <c r="W295" s="545">
        <v>0.435</v>
      </c>
      <c r="X295" s="545">
        <v>0.76275000000000004</v>
      </c>
    </row>
    <row r="296" spans="6:24">
      <c r="F296" s="547">
        <v>40653</v>
      </c>
      <c r="G296" s="550">
        <v>4.75</v>
      </c>
      <c r="H296" s="545">
        <v>4.79</v>
      </c>
      <c r="I296" s="545">
        <v>4.84</v>
      </c>
      <c r="J296" s="545">
        <v>4.84</v>
      </c>
      <c r="K296" s="545">
        <v>4.9000000000000004</v>
      </c>
      <c r="L296" s="545">
        <v>4.9516999999999998</v>
      </c>
      <c r="M296" s="545">
        <v>4.9932999999999996</v>
      </c>
      <c r="N296" s="545">
        <v>5.0723000000000003</v>
      </c>
      <c r="P296" s="547">
        <v>40652</v>
      </c>
      <c r="Q296" s="550">
        <v>0.13350000000000001</v>
      </c>
      <c r="R296" s="545">
        <v>0.21260000000000001</v>
      </c>
      <c r="S296" s="545">
        <v>0.24324999999999999</v>
      </c>
      <c r="T296" s="545">
        <v>0.27374999999999999</v>
      </c>
      <c r="U296" s="545">
        <v>0.32074999999999998</v>
      </c>
      <c r="V296" s="545">
        <v>0.38300000000000001</v>
      </c>
      <c r="W296" s="545">
        <v>0.43375000000000002</v>
      </c>
      <c r="X296" s="545">
        <v>0.76249999999999996</v>
      </c>
    </row>
    <row r="297" spans="6:24">
      <c r="F297" s="547">
        <v>40654</v>
      </c>
      <c r="G297" s="550">
        <v>4.75</v>
      </c>
      <c r="H297" s="545">
        <v>4.79</v>
      </c>
      <c r="I297" s="545">
        <v>4.8499999999999996</v>
      </c>
      <c r="J297" s="545">
        <v>4.9000000000000004</v>
      </c>
      <c r="K297" s="545">
        <v>4.9249999999999998</v>
      </c>
      <c r="L297" s="545">
        <v>4.96</v>
      </c>
      <c r="M297" s="545">
        <v>5</v>
      </c>
      <c r="N297" s="545">
        <v>5.0923999999999996</v>
      </c>
      <c r="P297" s="547">
        <v>40653</v>
      </c>
      <c r="Q297" s="550">
        <v>0.13350000000000001</v>
      </c>
      <c r="R297" s="545">
        <v>0.21260000000000001</v>
      </c>
      <c r="S297" s="545">
        <v>0.24324999999999999</v>
      </c>
      <c r="T297" s="545">
        <v>0.27374999999999999</v>
      </c>
      <c r="U297" s="545">
        <v>0.32074999999999998</v>
      </c>
      <c r="V297" s="545">
        <v>0.38300000000000001</v>
      </c>
      <c r="W297" s="545">
        <v>0.43325000000000002</v>
      </c>
      <c r="X297" s="545">
        <v>0.76300000000000001</v>
      </c>
    </row>
    <row r="298" spans="6:24">
      <c r="F298" s="547">
        <v>40660</v>
      </c>
      <c r="G298" s="550">
        <v>4.75</v>
      </c>
      <c r="H298" s="545">
        <v>4.8</v>
      </c>
      <c r="I298" s="545">
        <v>4.8499999999999996</v>
      </c>
      <c r="J298" s="545">
        <v>4.8899999999999997</v>
      </c>
      <c r="K298" s="545">
        <v>4.9283000000000001</v>
      </c>
      <c r="L298" s="545">
        <v>4.9767000000000001</v>
      </c>
      <c r="M298" s="545">
        <v>5.0049999999999999</v>
      </c>
      <c r="N298" s="545">
        <v>5.0872999999999999</v>
      </c>
      <c r="P298" s="547">
        <v>40654</v>
      </c>
      <c r="Q298" s="550">
        <v>0.13550000000000001</v>
      </c>
      <c r="R298" s="545">
        <v>0.21260000000000001</v>
      </c>
      <c r="S298" s="545">
        <v>0.24324999999999999</v>
      </c>
      <c r="T298" s="545">
        <v>0.27374999999999999</v>
      </c>
      <c r="U298" s="545">
        <v>0.32074999999999998</v>
      </c>
      <c r="V298" s="545">
        <v>0.38274999999999998</v>
      </c>
      <c r="W298" s="545">
        <v>0.43325000000000002</v>
      </c>
      <c r="X298" s="545">
        <v>0.76200000000000001</v>
      </c>
    </row>
    <row r="299" spans="6:24">
      <c r="F299" s="547">
        <v>40661</v>
      </c>
      <c r="G299" s="550">
        <v>4.75</v>
      </c>
      <c r="H299" s="545">
        <v>4.8</v>
      </c>
      <c r="I299" s="545">
        <v>4.8600000000000003</v>
      </c>
      <c r="J299" s="545">
        <v>4.92</v>
      </c>
      <c r="K299" s="545">
        <v>4.9683000000000002</v>
      </c>
      <c r="L299" s="545">
        <v>5.0067000000000004</v>
      </c>
      <c r="M299" s="545">
        <v>5.04</v>
      </c>
      <c r="N299" s="545">
        <v>5.1680999999999999</v>
      </c>
      <c r="P299" s="547">
        <v>40659</v>
      </c>
      <c r="Q299" s="550">
        <v>0.13500000000000001</v>
      </c>
      <c r="R299" s="545">
        <v>0.21135000000000001</v>
      </c>
      <c r="S299" s="545">
        <v>0.24224999999999999</v>
      </c>
      <c r="T299" s="545">
        <v>0.27274999999999999</v>
      </c>
      <c r="U299" s="545">
        <v>0.31924999999999998</v>
      </c>
      <c r="V299" s="545">
        <v>0.3805</v>
      </c>
      <c r="W299" s="545">
        <v>0.43225000000000002</v>
      </c>
      <c r="X299" s="545">
        <v>0.76200000000000001</v>
      </c>
    </row>
    <row r="300" spans="6:24">
      <c r="F300" s="547">
        <v>40662</v>
      </c>
      <c r="G300" s="550">
        <v>4.75</v>
      </c>
      <c r="H300" s="545">
        <v>4.8266999999999998</v>
      </c>
      <c r="I300" s="545">
        <v>4.8600000000000003</v>
      </c>
      <c r="J300" s="545">
        <v>4.92</v>
      </c>
      <c r="K300" s="545">
        <v>4.9717000000000002</v>
      </c>
      <c r="L300" s="545">
        <v>5.0266999999999999</v>
      </c>
      <c r="M300" s="545">
        <v>5.0732999999999997</v>
      </c>
      <c r="N300" s="545">
        <v>5.1368999999999998</v>
      </c>
      <c r="P300" s="547">
        <v>40660</v>
      </c>
      <c r="Q300" s="550">
        <v>0.13475000000000001</v>
      </c>
      <c r="R300" s="545">
        <v>0.21049999999999999</v>
      </c>
      <c r="S300" s="545">
        <v>0.24224999999999999</v>
      </c>
      <c r="T300" s="545">
        <v>0.27324999999999999</v>
      </c>
      <c r="U300" s="545">
        <v>0.31863000000000002</v>
      </c>
      <c r="V300" s="545">
        <v>0.37974999999999998</v>
      </c>
      <c r="W300" s="545">
        <v>0.43175000000000002</v>
      </c>
      <c r="X300" s="545">
        <v>0.76249999999999996</v>
      </c>
    </row>
    <row r="301" spans="6:24">
      <c r="F301" s="547">
        <v>40665</v>
      </c>
      <c r="G301" s="550">
        <v>4.75</v>
      </c>
      <c r="H301" s="545">
        <v>4.8282999999999996</v>
      </c>
      <c r="I301" s="545">
        <v>4.8666999999999998</v>
      </c>
      <c r="J301" s="545">
        <v>4.92</v>
      </c>
      <c r="K301" s="545">
        <v>4.9767000000000001</v>
      </c>
      <c r="L301" s="545">
        <v>5.0232999999999999</v>
      </c>
      <c r="M301" s="545">
        <v>5.0999999999999996</v>
      </c>
      <c r="N301" s="545">
        <v>5.1750999999999996</v>
      </c>
      <c r="P301" s="547">
        <v>40661</v>
      </c>
      <c r="Q301" s="550">
        <v>0.13375000000000001</v>
      </c>
      <c r="R301" s="545">
        <v>0.21024999999999999</v>
      </c>
      <c r="S301" s="545">
        <v>0.24224999999999999</v>
      </c>
      <c r="T301" s="545">
        <v>0.27300000000000002</v>
      </c>
      <c r="U301" s="545">
        <v>0.31624999999999998</v>
      </c>
      <c r="V301" s="545">
        <v>0.37774999999999997</v>
      </c>
      <c r="W301" s="545">
        <v>0.43049999999999999</v>
      </c>
      <c r="X301" s="545">
        <v>0.76100000000000001</v>
      </c>
    </row>
    <row r="302" spans="6:24">
      <c r="F302" s="547">
        <v>40666</v>
      </c>
      <c r="G302" s="550">
        <v>4.75</v>
      </c>
      <c r="H302" s="545">
        <v>4.82</v>
      </c>
      <c r="I302" s="545">
        <v>4.88</v>
      </c>
      <c r="J302" s="545">
        <v>4.96</v>
      </c>
      <c r="K302" s="545">
        <v>4.9916999999999998</v>
      </c>
      <c r="L302" s="545">
        <v>5.0483000000000002</v>
      </c>
      <c r="M302" s="545">
        <v>5.1233000000000004</v>
      </c>
      <c r="N302" s="545">
        <v>5.1938000000000004</v>
      </c>
      <c r="P302" s="547">
        <v>40666</v>
      </c>
      <c r="Q302" s="550">
        <v>0.13400000000000001</v>
      </c>
      <c r="R302" s="545">
        <v>0.20949999999999999</v>
      </c>
      <c r="S302" s="545">
        <v>0.24124999999999999</v>
      </c>
      <c r="T302" s="545">
        <v>0.27224999999999999</v>
      </c>
      <c r="U302" s="545">
        <v>0.31587999999999999</v>
      </c>
      <c r="V302" s="545">
        <v>0.37724999999999997</v>
      </c>
      <c r="W302" s="545">
        <v>0.43025000000000002</v>
      </c>
      <c r="X302" s="545">
        <v>0.75775000000000003</v>
      </c>
    </row>
    <row r="303" spans="6:24">
      <c r="F303" s="547">
        <v>40667</v>
      </c>
      <c r="G303" s="550">
        <v>4.75</v>
      </c>
      <c r="H303" s="545">
        <v>4.82</v>
      </c>
      <c r="I303" s="545">
        <v>4.8682999999999996</v>
      </c>
      <c r="J303" s="545">
        <v>4.9400000000000004</v>
      </c>
      <c r="K303" s="545">
        <v>4.9882999999999997</v>
      </c>
      <c r="L303" s="545">
        <v>5.04</v>
      </c>
      <c r="M303" s="545">
        <v>5.12</v>
      </c>
      <c r="N303" s="545">
        <v>5.1931000000000003</v>
      </c>
      <c r="P303" s="547">
        <v>40667</v>
      </c>
      <c r="Q303" s="550">
        <v>0.13350000000000001</v>
      </c>
      <c r="R303" s="545">
        <v>0.20899999999999999</v>
      </c>
      <c r="S303" s="545">
        <v>0.23974999999999999</v>
      </c>
      <c r="T303" s="545">
        <v>0.27024999999999999</v>
      </c>
      <c r="U303" s="545">
        <v>0.31424999999999997</v>
      </c>
      <c r="V303" s="545">
        <v>0.37524999999999997</v>
      </c>
      <c r="W303" s="545">
        <v>0.42849999999999999</v>
      </c>
      <c r="X303" s="545">
        <v>0.75624999999999998</v>
      </c>
    </row>
    <row r="304" spans="6:24">
      <c r="F304" s="547">
        <v>40668</v>
      </c>
      <c r="G304" s="550">
        <v>4.75</v>
      </c>
      <c r="H304" s="545">
        <v>4.8099999999999996</v>
      </c>
      <c r="I304" s="545">
        <v>4.87</v>
      </c>
      <c r="J304" s="545">
        <v>4.95</v>
      </c>
      <c r="K304" s="545">
        <v>5.0016999999999996</v>
      </c>
      <c r="L304" s="545">
        <v>5.0583</v>
      </c>
      <c r="M304" s="545">
        <v>5.12</v>
      </c>
      <c r="N304" s="545">
        <v>5.2102000000000004</v>
      </c>
      <c r="P304" s="547">
        <v>40668</v>
      </c>
      <c r="Q304" s="550">
        <v>0.13150000000000001</v>
      </c>
      <c r="R304" s="545">
        <v>0.20619999999999999</v>
      </c>
      <c r="S304" s="545">
        <v>0.23824999999999999</v>
      </c>
      <c r="T304" s="545">
        <v>0.26824999999999999</v>
      </c>
      <c r="U304" s="545">
        <v>0.31225000000000003</v>
      </c>
      <c r="V304" s="545">
        <v>0.37275000000000003</v>
      </c>
      <c r="W304" s="545">
        <v>0.42699999999999999</v>
      </c>
      <c r="X304" s="545">
        <v>0.752</v>
      </c>
    </row>
    <row r="305" spans="6:24">
      <c r="F305" s="547">
        <v>40669</v>
      </c>
      <c r="G305" s="550">
        <v>4.75</v>
      </c>
      <c r="H305" s="545">
        <v>4.8049999999999997</v>
      </c>
      <c r="I305" s="545">
        <v>4.8783000000000003</v>
      </c>
      <c r="J305" s="545">
        <v>4.9800000000000004</v>
      </c>
      <c r="K305" s="545">
        <v>5.0083000000000002</v>
      </c>
      <c r="L305" s="545">
        <v>5.0583</v>
      </c>
      <c r="M305" s="545">
        <v>5.12</v>
      </c>
      <c r="N305" s="545">
        <v>5.1795</v>
      </c>
      <c r="P305" s="547">
        <v>40669</v>
      </c>
      <c r="Q305" s="550">
        <v>0.13225000000000001</v>
      </c>
      <c r="R305" s="545">
        <v>0.20385</v>
      </c>
      <c r="S305" s="545">
        <v>0.23699999999999999</v>
      </c>
      <c r="T305" s="545">
        <v>0.26700000000000002</v>
      </c>
      <c r="U305" s="545">
        <v>0.31025000000000003</v>
      </c>
      <c r="V305" s="545">
        <v>0.37025000000000002</v>
      </c>
      <c r="W305" s="545">
        <v>0.42499999999999999</v>
      </c>
      <c r="X305" s="545">
        <v>0.749</v>
      </c>
    </row>
    <row r="306" spans="6:24">
      <c r="F306" s="547">
        <v>40672</v>
      </c>
      <c r="G306" s="550">
        <v>4.75</v>
      </c>
      <c r="H306" s="545">
        <v>4.8099999999999996</v>
      </c>
      <c r="I306" s="545">
        <v>4.9233000000000002</v>
      </c>
      <c r="J306" s="545">
        <v>5.0416999999999996</v>
      </c>
      <c r="K306" s="545">
        <v>5.0933000000000002</v>
      </c>
      <c r="L306" s="545">
        <v>5.15</v>
      </c>
      <c r="M306" s="545">
        <v>5.22</v>
      </c>
      <c r="N306" s="545">
        <v>5.3098000000000001</v>
      </c>
      <c r="P306" s="547">
        <v>40672</v>
      </c>
      <c r="Q306" s="550">
        <v>0.13225000000000001</v>
      </c>
      <c r="R306" s="545">
        <v>0.20185</v>
      </c>
      <c r="S306" s="545">
        <v>0.23574999999999999</v>
      </c>
      <c r="T306" s="545">
        <v>0.26574999999999999</v>
      </c>
      <c r="U306" s="545">
        <v>0.309</v>
      </c>
      <c r="V306" s="545">
        <v>0.36899999999999999</v>
      </c>
      <c r="W306" s="545">
        <v>0.42325000000000002</v>
      </c>
      <c r="X306" s="545">
        <v>0.74650000000000005</v>
      </c>
    </row>
    <row r="307" spans="6:24">
      <c r="F307" s="547">
        <v>40673</v>
      </c>
      <c r="G307" s="550">
        <v>4.75</v>
      </c>
      <c r="H307" s="545">
        <v>4.8099999999999996</v>
      </c>
      <c r="I307" s="545">
        <v>4.9132999999999996</v>
      </c>
      <c r="J307" s="545">
        <v>5.04</v>
      </c>
      <c r="K307" s="545">
        <v>5.0816999999999997</v>
      </c>
      <c r="L307" s="545">
        <v>5.1367000000000003</v>
      </c>
      <c r="M307" s="545">
        <v>5.1982999999999997</v>
      </c>
      <c r="N307" s="545">
        <v>5.2835000000000001</v>
      </c>
      <c r="P307" s="547">
        <v>40673</v>
      </c>
      <c r="Q307" s="550">
        <v>0.13225000000000001</v>
      </c>
      <c r="R307" s="545">
        <v>0.20025000000000001</v>
      </c>
      <c r="S307" s="545">
        <v>0.23375000000000001</v>
      </c>
      <c r="T307" s="545">
        <v>0.26400000000000001</v>
      </c>
      <c r="U307" s="545">
        <v>0.30687999999999999</v>
      </c>
      <c r="V307" s="545">
        <v>0.36699999999999999</v>
      </c>
      <c r="W307" s="545">
        <v>0.42125000000000001</v>
      </c>
      <c r="X307" s="545">
        <v>0.74350000000000005</v>
      </c>
    </row>
    <row r="308" spans="6:24">
      <c r="F308" s="547">
        <v>40674</v>
      </c>
      <c r="G308" s="550">
        <v>4.75</v>
      </c>
      <c r="H308" s="545">
        <v>4.8099999999999996</v>
      </c>
      <c r="I308" s="545">
        <v>4.8867000000000003</v>
      </c>
      <c r="J308" s="545">
        <v>5.0250000000000004</v>
      </c>
      <c r="K308" s="545">
        <v>5.0816999999999997</v>
      </c>
      <c r="L308" s="545">
        <v>5.1433</v>
      </c>
      <c r="M308" s="545">
        <v>5.21</v>
      </c>
      <c r="N308" s="545">
        <v>5.2961999999999998</v>
      </c>
      <c r="P308" s="547">
        <v>40674</v>
      </c>
      <c r="Q308" s="550">
        <v>0.13200000000000001</v>
      </c>
      <c r="R308" s="545">
        <v>0.19875000000000001</v>
      </c>
      <c r="S308" s="545">
        <v>0.23200000000000001</v>
      </c>
      <c r="T308" s="545">
        <v>0.26224999999999998</v>
      </c>
      <c r="U308" s="545">
        <v>0.30563000000000001</v>
      </c>
      <c r="V308" s="545">
        <v>0.36599999999999999</v>
      </c>
      <c r="W308" s="545">
        <v>0.42049999999999998</v>
      </c>
      <c r="X308" s="545">
        <v>0.74250000000000005</v>
      </c>
    </row>
    <row r="309" spans="6:24">
      <c r="F309" s="547">
        <v>40675</v>
      </c>
      <c r="G309" s="550">
        <v>4.75</v>
      </c>
      <c r="H309" s="545">
        <v>4.8150000000000004</v>
      </c>
      <c r="I309" s="545">
        <v>4.8982999999999999</v>
      </c>
      <c r="J309" s="545">
        <v>5.0599999999999996</v>
      </c>
      <c r="K309" s="545">
        <v>5.0949999999999998</v>
      </c>
      <c r="L309" s="545">
        <v>5.1449999999999996</v>
      </c>
      <c r="M309" s="545">
        <v>5.2117000000000004</v>
      </c>
      <c r="N309" s="545">
        <v>5.2732999999999999</v>
      </c>
      <c r="P309" s="547">
        <v>40675</v>
      </c>
      <c r="Q309" s="550">
        <v>0.13150000000000001</v>
      </c>
      <c r="R309" s="545">
        <v>0.19800000000000001</v>
      </c>
      <c r="S309" s="545">
        <v>0.23100000000000001</v>
      </c>
      <c r="T309" s="545">
        <v>0.26074999999999998</v>
      </c>
      <c r="U309" s="545">
        <v>0.30349999999999999</v>
      </c>
      <c r="V309" s="545">
        <v>0.36325000000000002</v>
      </c>
      <c r="W309" s="545">
        <v>0.41699999999999998</v>
      </c>
      <c r="X309" s="545">
        <v>0.73799999999999999</v>
      </c>
    </row>
    <row r="310" spans="6:24">
      <c r="F310" s="547">
        <v>40676</v>
      </c>
      <c r="G310" s="550">
        <v>4.75</v>
      </c>
      <c r="H310" s="545">
        <v>4.8099999999999996</v>
      </c>
      <c r="I310" s="545">
        <v>4.92</v>
      </c>
      <c r="J310" s="545">
        <v>5.04</v>
      </c>
      <c r="K310" s="545">
        <v>5.0833000000000004</v>
      </c>
      <c r="L310" s="545">
        <v>5.1349999999999998</v>
      </c>
      <c r="M310" s="545">
        <v>5.2</v>
      </c>
      <c r="N310" s="545">
        <v>5.234</v>
      </c>
      <c r="P310" s="547">
        <v>40676</v>
      </c>
      <c r="Q310" s="550">
        <v>0.13150000000000001</v>
      </c>
      <c r="R310" s="545">
        <v>0.1971</v>
      </c>
      <c r="S310" s="545">
        <v>0.23075000000000001</v>
      </c>
      <c r="T310" s="545">
        <v>0.26050000000000001</v>
      </c>
      <c r="U310" s="545">
        <v>0.30225000000000002</v>
      </c>
      <c r="V310" s="545">
        <v>0.36149999999999999</v>
      </c>
      <c r="W310" s="545">
        <v>0.41499999999999998</v>
      </c>
      <c r="X310" s="545">
        <v>0.73799999999999999</v>
      </c>
    </row>
  </sheetData>
  <sheetProtection sheet="1" scenarios="1" autoFilter="0" pivotTables="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tIRS">
    <tabColor rgb="FF000000"/>
    <outlinePr showOutlineSymbols="0"/>
  </sheetPr>
  <dimension ref="B1:BM512"/>
  <sheetViews>
    <sheetView showGridLines="0" showRowColHeaders="0" showZeros="0" showOutlineSymbols="0" zoomScaleNormal="100" workbookViewId="0"/>
  </sheetViews>
  <sheetFormatPr defaultRowHeight="12.75" outlineLevelCol="2"/>
  <cols>
    <col min="1" max="1" width="2.7109375" customWidth="1"/>
    <col min="2" max="2" width="10" bestFit="1" customWidth="1"/>
    <col min="4" max="4" width="9.7109375" style="121" customWidth="1"/>
    <col min="5" max="5" width="3.7109375" customWidth="1"/>
    <col min="6" max="6" width="9.7109375" style="121" customWidth="1"/>
    <col min="7" max="7" width="3.7109375" customWidth="1"/>
    <col min="8" max="8" width="2.7109375" style="153" hidden="1" customWidth="1" outlineLevel="2"/>
    <col min="9" max="9" width="21.5703125" style="153" hidden="1" customWidth="1" outlineLevel="2"/>
    <col min="10" max="10" width="10.7109375" style="154" hidden="1" customWidth="1" outlineLevel="2"/>
    <col min="11" max="14" width="9.140625" style="153" hidden="1" customWidth="1" outlineLevel="2"/>
    <col min="15" max="15" width="3.7109375" customWidth="1" collapsed="1"/>
    <col min="16" max="16" width="9.7109375" style="121" customWidth="1"/>
    <col min="17" max="17" width="5.7109375" style="768" customWidth="1"/>
    <col min="18" max="18" width="5.7109375" style="129" hidden="1" customWidth="1" outlineLevel="1"/>
    <col min="19" max="19" width="7.7109375" style="737" customWidth="1" collapsed="1"/>
    <col min="20" max="20" width="8.42578125" style="125" customWidth="1"/>
    <col min="21" max="21" width="11.7109375" style="124" customWidth="1"/>
    <col min="22" max="23" width="3.140625" customWidth="1"/>
    <col min="24" max="24" width="9.7109375" style="122" customWidth="1"/>
    <col min="25" max="25" width="5.7109375" style="768" customWidth="1"/>
    <col min="26" max="26" width="5.7109375" style="129" hidden="1" customWidth="1" outlineLevel="1"/>
    <col min="27" max="27" width="7.7109375" style="737" customWidth="1" collapsed="1"/>
    <col min="28" max="35" width="5.7109375" style="743" hidden="1" customWidth="1" outlineLevel="1"/>
    <col min="36" max="43" width="6.140625" style="553" hidden="1" customWidth="1" outlineLevel="2"/>
    <col min="44" max="44" width="5.7109375" style="553" hidden="1" customWidth="1" outlineLevel="2" collapsed="1"/>
    <col min="45" max="51" width="5.7109375" style="553" hidden="1" customWidth="1" outlineLevel="2"/>
    <col min="52" max="59" width="5.7109375" style="756" hidden="1" customWidth="1" outlineLevel="1"/>
    <col min="60" max="60" width="4.28515625" style="737" bestFit="1" customWidth="1" collapsed="1"/>
    <col min="61" max="61" width="5.7109375" style="737" customWidth="1"/>
    <col min="62" max="62" width="7.7109375" style="132" customWidth="1"/>
    <col min="63" max="63" width="9.7109375" style="125" customWidth="1"/>
    <col min="64" max="64" width="10.7109375" style="125" customWidth="1"/>
    <col min="65" max="65" width="11.7109375" style="125" customWidth="1"/>
    <col min="66" max="66" width="2.7109375" customWidth="1"/>
  </cols>
  <sheetData>
    <row r="1" spans="2:65" ht="0.95" customHeight="1"/>
    <row r="2" spans="2:65" ht="24.95" customHeight="1">
      <c r="B2" s="46" t="s">
        <v>159</v>
      </c>
      <c r="C2" s="46"/>
      <c r="D2" s="49"/>
      <c r="E2" s="46"/>
      <c r="F2" s="49"/>
      <c r="G2" s="46"/>
      <c r="H2" s="198"/>
      <c r="I2" s="198" t="s">
        <v>160</v>
      </c>
      <c r="J2" s="331"/>
      <c r="K2" s="198"/>
      <c r="L2" s="198"/>
      <c r="M2" s="198"/>
      <c r="N2" s="198"/>
      <c r="O2" s="46"/>
      <c r="P2" s="49"/>
      <c r="Q2" s="769"/>
      <c r="R2" s="48"/>
      <c r="S2" s="738"/>
      <c r="T2" s="136"/>
      <c r="U2" s="134"/>
      <c r="V2" s="46"/>
      <c r="W2" s="46"/>
      <c r="X2" s="135"/>
      <c r="Y2" s="769"/>
      <c r="Z2" s="48"/>
      <c r="AA2" s="738"/>
      <c r="AB2" s="744"/>
      <c r="AC2" s="744"/>
      <c r="AD2" s="744"/>
      <c r="AE2" s="744"/>
      <c r="AF2" s="744"/>
      <c r="AG2" s="744"/>
      <c r="AH2" s="744"/>
      <c r="AI2" s="744"/>
      <c r="AJ2" s="554"/>
      <c r="AK2" s="554"/>
      <c r="AL2" s="554"/>
      <c r="AM2" s="554"/>
      <c r="AN2" s="554"/>
      <c r="AO2" s="554"/>
      <c r="AP2" s="554"/>
      <c r="AQ2" s="554"/>
      <c r="AR2" s="554"/>
      <c r="AS2" s="554"/>
      <c r="AT2" s="554"/>
      <c r="AU2" s="554"/>
      <c r="AV2" s="554"/>
      <c r="AW2" s="554"/>
      <c r="AX2" s="554"/>
      <c r="AY2" s="554"/>
      <c r="AZ2" s="757"/>
      <c r="BA2" s="757"/>
      <c r="BB2" s="757"/>
      <c r="BC2" s="757"/>
      <c r="BD2" s="757"/>
      <c r="BE2" s="757"/>
      <c r="BF2" s="757"/>
      <c r="BG2" s="757"/>
      <c r="BH2" s="738"/>
      <c r="BI2" s="738"/>
      <c r="BJ2" s="149"/>
      <c r="BK2" s="136"/>
      <c r="BL2" s="136"/>
      <c r="BM2" s="136"/>
    </row>
    <row r="3" spans="2:65">
      <c r="O3" s="159"/>
      <c r="P3" s="154"/>
      <c r="Q3" s="770"/>
      <c r="R3" s="766"/>
      <c r="S3" s="556"/>
      <c r="T3" s="408"/>
      <c r="U3" s="409"/>
      <c r="V3" s="153"/>
      <c r="W3" s="153"/>
      <c r="X3" s="399"/>
      <c r="Y3" s="770"/>
      <c r="Z3" s="405"/>
      <c r="AA3" s="739"/>
      <c r="AB3" s="745"/>
      <c r="AC3" s="745"/>
      <c r="AD3" s="745"/>
      <c r="AE3" s="745"/>
      <c r="AF3" s="745"/>
      <c r="AG3" s="745"/>
      <c r="AH3" s="745"/>
      <c r="AI3" s="745"/>
      <c r="AJ3" s="556"/>
      <c r="AK3" s="556"/>
      <c r="AL3" s="556"/>
      <c r="AM3" s="556"/>
      <c r="AN3" s="556"/>
      <c r="AO3" s="556"/>
      <c r="AP3" s="556"/>
      <c r="AQ3" s="556"/>
      <c r="AR3" s="556"/>
      <c r="AS3" s="556"/>
      <c r="AT3" s="556"/>
      <c r="AU3" s="556"/>
      <c r="AV3" s="556"/>
      <c r="AW3" s="556"/>
      <c r="AX3" s="556"/>
      <c r="AY3" s="556"/>
      <c r="AZ3" s="758"/>
      <c r="BA3" s="758"/>
      <c r="BB3" s="758"/>
      <c r="BC3" s="758"/>
      <c r="BD3" s="758"/>
      <c r="BE3" s="758"/>
      <c r="BF3" s="758"/>
      <c r="BG3" s="758"/>
      <c r="BH3" s="556"/>
      <c r="BI3" s="556"/>
      <c r="BJ3" s="410"/>
      <c r="BK3" s="408"/>
      <c r="BL3" s="408"/>
      <c r="BM3" s="420"/>
    </row>
    <row r="4" spans="2:65">
      <c r="B4" s="139" t="s">
        <v>419</v>
      </c>
      <c r="H4" s="536"/>
      <c r="I4" s="536" t="s">
        <v>325</v>
      </c>
      <c r="O4" s="156"/>
      <c r="P4" s="411" t="s">
        <v>175</v>
      </c>
      <c r="Q4" s="770"/>
      <c r="R4" s="766"/>
      <c r="S4" s="556"/>
      <c r="T4" s="412"/>
      <c r="U4" s="413"/>
      <c r="V4" s="153"/>
      <c r="W4" s="153"/>
      <c r="X4" s="399"/>
      <c r="Y4" s="770"/>
      <c r="Z4" s="763"/>
      <c r="AA4" s="556"/>
      <c r="AB4" s="746"/>
      <c r="AC4" s="745"/>
      <c r="AD4" s="745"/>
      <c r="AE4" s="745"/>
      <c r="AF4" s="745"/>
      <c r="AG4" s="745"/>
      <c r="AH4" s="745"/>
      <c r="AI4" s="745"/>
      <c r="AJ4" s="556"/>
      <c r="AK4" s="556"/>
      <c r="AL4" s="556"/>
      <c r="AM4" s="556"/>
      <c r="AN4" s="556"/>
      <c r="AO4" s="556"/>
      <c r="AP4" s="556"/>
      <c r="AQ4" s="556"/>
      <c r="AR4" s="557"/>
      <c r="AS4" s="556"/>
      <c r="AT4" s="556"/>
      <c r="AU4" s="556"/>
      <c r="AV4" s="556"/>
      <c r="AW4" s="556"/>
      <c r="AX4" s="556"/>
      <c r="AY4" s="556"/>
      <c r="AZ4" s="758"/>
      <c r="BA4" s="758"/>
      <c r="BB4" s="758"/>
      <c r="BC4" s="758"/>
      <c r="BD4" s="758"/>
      <c r="BE4" s="758"/>
      <c r="BF4" s="758"/>
      <c r="BG4" s="758"/>
      <c r="BH4" s="556"/>
      <c r="BI4" s="556"/>
      <c r="BJ4" s="410"/>
      <c r="BK4" s="408"/>
      <c r="BL4" s="408"/>
      <c r="BM4" s="421"/>
    </row>
    <row r="5" spans="2:65">
      <c r="I5" s="153" t="s">
        <v>146</v>
      </c>
      <c r="J5" s="154" t="str">
        <f t="array" ref="J5:J10">INDIRECT(CCY&amp;".ZB")</f>
        <v>AUD.ZB.DISC|[Swap Pricer 1f.xlsm]AU!$BG$52#13284</v>
      </c>
      <c r="O5" s="156"/>
      <c r="P5" s="154" t="s">
        <v>147</v>
      </c>
      <c r="Q5" s="770"/>
      <c r="R5" s="766"/>
      <c r="S5" s="556"/>
      <c r="T5" s="525"/>
      <c r="U5" s="407">
        <f>IF(ISNUMBER(T5),T5,-J30/Face*1000000/U7/100)</f>
        <v>5.3312197599963449</v>
      </c>
      <c r="V5" s="153"/>
      <c r="W5" s="153"/>
      <c r="X5" s="399"/>
      <c r="Y5" s="770"/>
      <c r="Z5" s="763"/>
      <c r="AA5" s="783"/>
      <c r="AB5" s="746"/>
      <c r="AC5" s="745"/>
      <c r="AD5" s="745"/>
      <c r="AE5" s="745"/>
      <c r="AF5" s="747"/>
      <c r="AG5" s="747"/>
      <c r="AH5" s="745"/>
      <c r="AI5" s="745"/>
      <c r="AJ5" s="556"/>
      <c r="AK5" s="556"/>
      <c r="AL5" s="556"/>
      <c r="AM5" s="556"/>
      <c r="AN5" s="556"/>
      <c r="AO5" s="556"/>
      <c r="AP5" s="556"/>
      <c r="AQ5" s="556"/>
      <c r="AR5" s="557" t="s">
        <v>713</v>
      </c>
      <c r="AS5" s="556"/>
      <c r="AT5" s="556"/>
      <c r="AU5" s="556"/>
      <c r="AV5" s="556"/>
      <c r="AW5" s="556"/>
      <c r="AX5" s="556"/>
      <c r="AY5" s="556"/>
      <c r="AZ5" s="758"/>
      <c r="BA5" s="758"/>
      <c r="BB5" s="758"/>
      <c r="BC5" s="758"/>
      <c r="BD5" s="758"/>
      <c r="BE5" s="758"/>
      <c r="BF5" s="758"/>
      <c r="BG5" s="758"/>
      <c r="BH5" s="739"/>
      <c r="BI5" s="739"/>
      <c r="BJ5" s="154" t="s">
        <v>349</v>
      </c>
      <c r="BK5" s="408"/>
      <c r="BL5" s="459">
        <f>SUMPRODUCT(U13:U512,S13:S512)</f>
        <v>533.82508739084005</v>
      </c>
      <c r="BM5" s="422"/>
    </row>
    <row r="6" spans="2:65">
      <c r="B6" t="s">
        <v>140</v>
      </c>
      <c r="D6" s="120" t="s">
        <v>142</v>
      </c>
      <c r="I6" s="153" t="s">
        <v>6</v>
      </c>
      <c r="J6" s="154" t="str">
        <v>AUD.ZB.ON|[Swap Pricer 1f.xlsm]AU!$BG$53#13285</v>
      </c>
      <c r="O6" s="156"/>
      <c r="P6" s="154" t="s">
        <v>169</v>
      </c>
      <c r="Q6" s="770"/>
      <c r="R6" s="766"/>
      <c r="S6" s="556"/>
      <c r="T6" s="408" t="str">
        <f>ABS(Face/1000000)&amp;"MM"</f>
        <v>50MM</v>
      </c>
      <c r="U6" s="408">
        <f>ABS(U7*Face/1000000)</f>
        <v>13814.395807076418</v>
      </c>
      <c r="V6" s="153"/>
      <c r="W6" s="153"/>
      <c r="X6" s="399"/>
      <c r="Y6" s="770"/>
      <c r="Z6" s="763"/>
      <c r="AA6" s="784"/>
      <c r="AB6" s="745"/>
      <c r="AC6" s="745"/>
      <c r="AD6" s="745"/>
      <c r="AE6" s="745"/>
      <c r="AF6" s="745"/>
      <c r="AG6" s="745"/>
      <c r="AH6" s="745"/>
      <c r="AI6" s="745"/>
      <c r="AJ6" s="556"/>
      <c r="AK6" s="556"/>
      <c r="AL6" s="556"/>
      <c r="AM6" s="556"/>
      <c r="AN6" s="556"/>
      <c r="AO6" s="556"/>
      <c r="AP6" s="556"/>
      <c r="AQ6" s="556"/>
      <c r="AR6" s="557" t="str">
        <f>ProjCurve_ON</f>
        <v>AUD.ZB.ON|[Swap Pricer 1f.xlsm]AU!$BG$53#13285</v>
      </c>
      <c r="AS6" s="557" t="str">
        <f>ProjCurve_1M</f>
        <v>AUD.ZB.1M|[Swap Pricer 1f.xlsm]AU!$BG$54#13286</v>
      </c>
      <c r="AT6" s="556"/>
      <c r="AU6" s="557" t="str">
        <f>ProjCurve_3M</f>
        <v>AUD.ZB.DISC|[Swap Pricer 1f.xlsm]AU!$BG$52#13284</v>
      </c>
      <c r="AV6" s="556"/>
      <c r="AW6" s="556"/>
      <c r="AX6" s="557" t="str">
        <f>ProjCurve_6M</f>
        <v>AUD.ZB.6M|[Swap Pricer 1f.xlsm]AU!$BG$56#13287</v>
      </c>
      <c r="AY6" s="557" t="str">
        <f>ProjCurve_1Y</f>
        <v>AUD.ZB.6M|[Swap Pricer 1f.xlsm]AU!$BG$56#13287</v>
      </c>
      <c r="AZ6" s="758" t="s">
        <v>81</v>
      </c>
      <c r="BA6" s="758"/>
      <c r="BB6" s="758"/>
      <c r="BC6" s="758"/>
      <c r="BD6" s="758"/>
      <c r="BE6" s="758"/>
      <c r="BF6" s="758"/>
      <c r="BG6" s="758"/>
      <c r="BH6" s="740"/>
      <c r="BI6" s="740"/>
      <c r="BJ6" s="416" t="s">
        <v>350</v>
      </c>
      <c r="BK6" s="423"/>
      <c r="BL6" s="460">
        <f>ROUND(SUMPRODUCT(AA13:AA512,BM13:BM512),6)</f>
        <v>-533.82508700000005</v>
      </c>
      <c r="BM6" s="422"/>
    </row>
    <row r="7" spans="2:65">
      <c r="I7" s="153" t="s">
        <v>0</v>
      </c>
      <c r="J7" s="154" t="str">
        <v>AUD.ZB.1M|[Swap Pricer 1f.xlsm]AU!$BG$54#13286</v>
      </c>
      <c r="O7" s="156"/>
      <c r="P7" s="154" t="s">
        <v>158</v>
      </c>
      <c r="Q7" s="770"/>
      <c r="R7" s="766"/>
      <c r="S7" s="556"/>
      <c r="T7" s="408" t="s">
        <v>168</v>
      </c>
      <c r="U7" s="414">
        <f>SUMPRODUCT(S14:S512,R13:R511)*100</f>
        <v>276.28791614152834</v>
      </c>
      <c r="V7" s="153"/>
      <c r="W7" s="153"/>
      <c r="X7" s="399"/>
      <c r="Y7" s="770"/>
      <c r="Z7" s="718"/>
      <c r="AA7" s="558"/>
      <c r="AB7" s="748"/>
      <c r="AC7" s="745"/>
      <c r="AD7" s="745"/>
      <c r="AE7" s="745"/>
      <c r="AF7" s="745"/>
      <c r="AG7" s="745"/>
      <c r="AH7" s="745"/>
      <c r="AI7" s="745"/>
      <c r="AJ7" s="556"/>
      <c r="AK7" s="556"/>
      <c r="AL7" s="556"/>
      <c r="AM7" s="556"/>
      <c r="AN7" s="556"/>
      <c r="AO7" s="556"/>
      <c r="AP7" s="556"/>
      <c r="AQ7" s="556"/>
      <c r="AR7" s="556"/>
      <c r="AS7" s="558"/>
      <c r="AT7" s="558"/>
      <c r="AU7" s="556"/>
      <c r="AV7" s="556"/>
      <c r="AW7" s="556"/>
      <c r="AX7" s="556"/>
      <c r="AY7" s="556"/>
      <c r="AZ7" s="758"/>
      <c r="BA7" s="758"/>
      <c r="BB7" s="758"/>
      <c r="BC7" s="758"/>
      <c r="BD7" s="758"/>
      <c r="BE7" s="758"/>
      <c r="BF7" s="758"/>
      <c r="BG7" s="758"/>
      <c r="BH7" s="739"/>
      <c r="BI7" s="739"/>
      <c r="BJ7" s="154" t="s">
        <v>229</v>
      </c>
      <c r="BK7" s="163"/>
      <c r="BL7" s="461">
        <f>SUM(BL5:BL6)</f>
        <v>3.9084000036382349E-7</v>
      </c>
      <c r="BM7" s="424" t="str">
        <f>"= "&amp;ROUND(BL7/U6,1)&amp;" bp"</f>
        <v>= 0 bp</v>
      </c>
    </row>
    <row r="8" spans="2:65">
      <c r="B8" t="s">
        <v>216</v>
      </c>
      <c r="D8" s="120" t="s">
        <v>368</v>
      </c>
      <c r="I8" s="153" t="s">
        <v>2</v>
      </c>
      <c r="J8" s="154" t="str">
        <v>AUD.ZB.DISC|[Swap Pricer 1f.xlsm]AU!$BG$52#13284</v>
      </c>
      <c r="O8" s="160"/>
      <c r="P8" s="416"/>
      <c r="Q8" s="771"/>
      <c r="R8" s="764"/>
      <c r="S8" s="559"/>
      <c r="T8" s="417"/>
      <c r="U8" s="418"/>
      <c r="V8" s="161"/>
      <c r="W8" s="161"/>
      <c r="X8" s="419"/>
      <c r="Y8" s="771"/>
      <c r="Z8" s="764"/>
      <c r="AA8" s="559"/>
      <c r="AB8" s="749"/>
      <c r="AC8" s="750"/>
      <c r="AD8" s="750"/>
      <c r="AE8" s="750"/>
      <c r="AF8" s="750"/>
      <c r="AG8" s="750"/>
      <c r="AH8" s="750"/>
      <c r="AI8" s="750"/>
      <c r="AJ8" s="559"/>
      <c r="AK8" s="559"/>
      <c r="AL8" s="559"/>
      <c r="AM8" s="559"/>
      <c r="AN8" s="559"/>
      <c r="AO8" s="559"/>
      <c r="AP8" s="559"/>
      <c r="AQ8" s="559"/>
      <c r="AR8" s="559"/>
      <c r="AS8" s="559"/>
      <c r="AT8" s="559"/>
      <c r="AU8" s="559"/>
      <c r="AV8" s="559"/>
      <c r="AW8" s="559"/>
      <c r="AX8" s="559"/>
      <c r="AY8" s="559"/>
      <c r="AZ8" s="758"/>
      <c r="BA8" s="758"/>
      <c r="BB8" s="758"/>
      <c r="BC8" s="758"/>
      <c r="BD8" s="758"/>
      <c r="BE8" s="758"/>
      <c r="BF8" s="758"/>
      <c r="BG8" s="758"/>
      <c r="BH8" s="559"/>
      <c r="BI8" s="559"/>
      <c r="BJ8" s="425"/>
      <c r="BK8" s="417"/>
      <c r="BL8" s="417"/>
      <c r="BM8" s="426"/>
    </row>
    <row r="9" spans="2:65">
      <c r="I9" s="153" t="s">
        <v>5</v>
      </c>
      <c r="J9" s="154" t="str">
        <v>AUD.ZB.6M|[Swap Pricer 1f.xlsm]AU!$BG$56#13287</v>
      </c>
      <c r="O9" s="138"/>
      <c r="P9" s="141"/>
      <c r="Q9" s="772"/>
      <c r="R9" s="662"/>
      <c r="S9" s="782"/>
      <c r="T9" s="145"/>
      <c r="U9" s="143"/>
      <c r="V9" s="143"/>
      <c r="W9" s="143"/>
      <c r="X9" s="144"/>
      <c r="Y9" s="772"/>
      <c r="Z9" s="662"/>
      <c r="AA9" s="782"/>
      <c r="AB9" s="751"/>
      <c r="AY9" s="555"/>
      <c r="AZ9" s="758"/>
      <c r="BA9" s="758"/>
      <c r="BB9" s="758"/>
      <c r="BC9" s="758"/>
      <c r="BD9" s="758"/>
      <c r="BE9" s="758"/>
      <c r="BF9" s="758"/>
      <c r="BG9" s="758"/>
      <c r="BH9" s="555"/>
      <c r="BI9" s="555"/>
      <c r="BJ9" s="157"/>
      <c r="BK9" s="158"/>
      <c r="BL9" s="158"/>
      <c r="BM9" s="158"/>
    </row>
    <row r="10" spans="2:65" ht="12.75" customHeight="1">
      <c r="B10" t="s">
        <v>151</v>
      </c>
      <c r="D10" s="120">
        <v>50</v>
      </c>
      <c r="F10" s="131">
        <f>FaceInput*1000000</f>
        <v>50000000</v>
      </c>
      <c r="I10" s="153" t="s">
        <v>423</v>
      </c>
      <c r="J10" s="154" t="str">
        <v>AUD.ZB.6M|[Swap Pricer 1f.xlsm]AU!$BG$56#13287</v>
      </c>
      <c r="O10" s="138"/>
      <c r="P10" s="403" t="s">
        <v>143</v>
      </c>
      <c r="Q10" s="773"/>
      <c r="R10" s="767"/>
      <c r="S10" s="773"/>
      <c r="T10" s="404"/>
      <c r="U10" s="403"/>
      <c r="V10" s="124"/>
      <c r="W10" s="124"/>
      <c r="X10" s="526" t="s">
        <v>348</v>
      </c>
      <c r="Y10" s="736"/>
      <c r="Z10" s="753"/>
      <c r="AA10" s="736"/>
      <c r="AB10" s="527"/>
      <c r="AC10" s="527"/>
      <c r="AD10" s="527"/>
      <c r="AE10" s="527"/>
      <c r="AF10" s="527"/>
      <c r="AG10" s="527"/>
      <c r="AH10" s="527"/>
      <c r="AI10" s="527"/>
      <c r="AJ10" s="527"/>
      <c r="AK10" s="527"/>
      <c r="AL10" s="527"/>
      <c r="AM10" s="527"/>
      <c r="AN10" s="527"/>
      <c r="AO10" s="527"/>
      <c r="AP10" s="527"/>
      <c r="AQ10" s="527"/>
      <c r="AR10" s="527"/>
      <c r="AS10" s="527"/>
      <c r="AT10" s="527"/>
      <c r="AU10" s="527"/>
      <c r="AV10" s="527"/>
      <c r="AW10" s="527"/>
      <c r="AX10" s="527"/>
      <c r="AY10" s="527"/>
      <c r="AZ10" s="527"/>
      <c r="BA10" s="741"/>
      <c r="BB10" s="741"/>
      <c r="BC10" s="741"/>
      <c r="BD10" s="741"/>
      <c r="BE10" s="741"/>
      <c r="BF10" s="741"/>
      <c r="BG10" s="741"/>
      <c r="BH10" s="741"/>
      <c r="BI10" s="741"/>
      <c r="BJ10" s="527"/>
      <c r="BK10" s="527"/>
      <c r="BL10" s="527"/>
      <c r="BM10" s="528"/>
    </row>
    <row r="11" spans="2:65" ht="12.75" customHeight="1">
      <c r="O11" s="138"/>
      <c r="P11" s="131"/>
      <c r="Q11" s="774"/>
      <c r="R11" s="765"/>
      <c r="S11" s="742"/>
      <c r="T11" s="148"/>
      <c r="U11" s="148"/>
      <c r="V11" s="124"/>
      <c r="W11" s="124"/>
      <c r="X11" s="131"/>
      <c r="Y11" s="774"/>
      <c r="Z11" s="765"/>
      <c r="AA11" s="742"/>
      <c r="AB11" s="786" t="s">
        <v>730</v>
      </c>
      <c r="AC11" s="787"/>
      <c r="AD11" s="787"/>
      <c r="AE11" s="787"/>
      <c r="AF11" s="787"/>
      <c r="AG11" s="787"/>
      <c r="AH11" s="787"/>
      <c r="AI11" s="787"/>
      <c r="AJ11" s="752" t="s">
        <v>731</v>
      </c>
      <c r="AK11" s="552"/>
      <c r="AL11" s="552"/>
      <c r="AM11" s="552"/>
      <c r="AN11" s="552"/>
      <c r="AO11" s="552"/>
      <c r="AP11" s="552"/>
      <c r="AQ11" s="552"/>
      <c r="AR11" s="752" t="s">
        <v>734</v>
      </c>
      <c r="AS11" s="530"/>
      <c r="AT11" s="530"/>
      <c r="AU11" s="530"/>
      <c r="AV11" s="530"/>
      <c r="AW11" s="530"/>
      <c r="AX11" s="530"/>
      <c r="AY11" s="530"/>
      <c r="AZ11" s="762" t="s">
        <v>729</v>
      </c>
      <c r="BA11" s="759"/>
      <c r="BB11" s="759"/>
      <c r="BC11" s="759"/>
      <c r="BD11" s="759"/>
      <c r="BE11" s="759"/>
      <c r="BF11" s="759"/>
      <c r="BG11" s="759"/>
      <c r="BH11" s="742"/>
      <c r="BI11" s="742"/>
      <c r="BJ11" s="150"/>
      <c r="BL11" s="532" t="str">
        <f>IF(Margin,Margin&amp;"bp","")</f>
        <v/>
      </c>
      <c r="BM11" s="148"/>
    </row>
    <row r="12" spans="2:65">
      <c r="O12" s="138"/>
      <c r="P12" s="146" t="s">
        <v>774</v>
      </c>
      <c r="Q12" s="774" t="s">
        <v>170</v>
      </c>
      <c r="R12" s="765" t="s">
        <v>171</v>
      </c>
      <c r="S12" s="742" t="s">
        <v>153</v>
      </c>
      <c r="T12" s="147" t="s">
        <v>172</v>
      </c>
      <c r="U12" s="148" t="s">
        <v>174</v>
      </c>
      <c r="X12" s="146" t="s">
        <v>774</v>
      </c>
      <c r="Y12" s="774" t="s">
        <v>170</v>
      </c>
      <c r="Z12" s="765" t="s">
        <v>171</v>
      </c>
      <c r="AA12" s="742" t="s">
        <v>153</v>
      </c>
      <c r="AB12" s="788" t="s">
        <v>115</v>
      </c>
      <c r="AC12" s="788" t="s">
        <v>0</v>
      </c>
      <c r="AD12" s="788" t="s">
        <v>1</v>
      </c>
      <c r="AE12" s="788" t="s">
        <v>2</v>
      </c>
      <c r="AF12" s="788" t="s">
        <v>3</v>
      </c>
      <c r="AG12" s="788" t="s">
        <v>4</v>
      </c>
      <c r="AH12" s="788" t="s">
        <v>5</v>
      </c>
      <c r="AI12" s="788" t="s">
        <v>423</v>
      </c>
      <c r="AJ12" s="531" t="s">
        <v>6</v>
      </c>
      <c r="AK12" s="531" t="s">
        <v>0</v>
      </c>
      <c r="AL12" s="531" t="s">
        <v>1</v>
      </c>
      <c r="AM12" s="531" t="s">
        <v>2</v>
      </c>
      <c r="AN12" s="531" t="s">
        <v>3</v>
      </c>
      <c r="AO12" s="531" t="s">
        <v>4</v>
      </c>
      <c r="AP12" s="531" t="s">
        <v>5</v>
      </c>
      <c r="AQ12" s="531" t="s">
        <v>26</v>
      </c>
      <c r="AR12" s="531" t="s">
        <v>6</v>
      </c>
      <c r="AS12" s="531" t="s">
        <v>0</v>
      </c>
      <c r="AT12" s="531" t="s">
        <v>1</v>
      </c>
      <c r="AU12" s="531" t="s">
        <v>2</v>
      </c>
      <c r="AV12" s="531" t="s">
        <v>3</v>
      </c>
      <c r="AW12" s="531" t="s">
        <v>4</v>
      </c>
      <c r="AX12" s="531" t="s">
        <v>5</v>
      </c>
      <c r="AY12" s="531" t="s">
        <v>26</v>
      </c>
      <c r="AZ12" s="760" t="s">
        <v>6</v>
      </c>
      <c r="BA12" s="760" t="s">
        <v>0</v>
      </c>
      <c r="BB12" s="760" t="s">
        <v>1</v>
      </c>
      <c r="BC12" s="760" t="s">
        <v>2</v>
      </c>
      <c r="BD12" s="760" t="s">
        <v>3</v>
      </c>
      <c r="BE12" s="760" t="s">
        <v>4</v>
      </c>
      <c r="BF12" s="760" t="s">
        <v>5</v>
      </c>
      <c r="BG12" s="760" t="s">
        <v>26</v>
      </c>
      <c r="BH12" s="742" t="s">
        <v>711</v>
      </c>
      <c r="BI12" s="742" t="s">
        <v>224</v>
      </c>
      <c r="BJ12" s="150" t="s">
        <v>728</v>
      </c>
      <c r="BK12" s="148" t="s">
        <v>727</v>
      </c>
      <c r="BL12" s="148" t="s">
        <v>173</v>
      </c>
      <c r="BM12" s="148" t="s">
        <v>174</v>
      </c>
    </row>
    <row r="13" spans="2:65">
      <c r="B13" s="139" t="s">
        <v>421</v>
      </c>
      <c r="O13" s="138"/>
      <c r="P13" s="779">
        <f t="array" ref="P13:P512">_xll.qArrayPad(_xll.qDateSchedule(Today,StartInput,EndInput,FreqFixed,BusDayAdj,EOM,F21,RollAnniv,StubsFixed),0)</f>
        <v>40681</v>
      </c>
      <c r="Q13" s="780">
        <f t="shared" ref="Q13:Q76" si="0">IF(P14,IF(LEFT(DCCfixed,3)="Act",P14-P13,DAYS360(P13,P14)),0)</f>
        <v>92</v>
      </c>
      <c r="R13" s="776">
        <f>IF(P14,_xll.qDateYears(P13,P14,DCCfixed),0)</f>
        <v>0.25205479452054796</v>
      </c>
      <c r="S13" s="553">
        <f t="array" ref="S13:S512">_xll.qGetDF($J$5,P13:P512)</f>
        <v>0.99986987994713017</v>
      </c>
      <c r="T13" s="785"/>
      <c r="U13" s="409">
        <f>IF(IncludePrincipals,-Face+T13,"")</f>
        <v>-50000000</v>
      </c>
      <c r="X13" s="363">
        <f t="array" ref="X13:X512">_xll.qArrayPad(_xll.qDateSchedule(Today,StartInput,EndInput,FreqFloat,BusDayAdj,EOM,F21,RollAnniv,StubsFloat),0)</f>
        <v>40681</v>
      </c>
      <c r="Y13" s="775">
        <f t="shared" ref="Y13:Y76" si="1">IF(X14,IF(LEFT(DCCfloat,3)="Act",X14-X13,DAYS360(X13,X14)),0)</f>
        <v>92</v>
      </c>
      <c r="Z13" s="776">
        <f>IF(X14,_xll.qDateYears(X13,X14,DCCfloat),0)</f>
        <v>0.25205479452054796</v>
      </c>
      <c r="AA13" s="553">
        <f t="array" ref="AA13:AA512">_xll.qGetDF($J$5,X13:X512)</f>
        <v>0.99986987994713017</v>
      </c>
      <c r="AB13" s="789">
        <f>IF($X13=0,0,      _xll.qDateNext($X13,AB$12,"M",FRM&lt;&gt;"Calypso",CCY))</f>
        <v>40682</v>
      </c>
      <c r="AC13" s="789">
        <f>IF($X13=0,0,      _xll.qDateNext($X13,AC$12,"M",FRM&lt;&gt;"Calypso",CCY))</f>
        <v>40714</v>
      </c>
      <c r="AD13" s="789">
        <f>IF($X13=0,0,      _xll.qDateNext($X13,AD$12,"M",FRM&lt;&gt;"Calypso",CCY))</f>
        <v>40742</v>
      </c>
      <c r="AE13" s="789">
        <f>IF($X13=0,0,      _xll.qDateNext($X13,AE$12,"M",FRM&lt;&gt;"Calypso",CCY))</f>
        <v>40773</v>
      </c>
      <c r="AF13" s="789">
        <f>IF($X13=0,0,      _xll.qDateNext($X13,AF$12,"M",FRM&lt;&gt;"Calypso",CCY))</f>
        <v>40805</v>
      </c>
      <c r="AG13" s="789">
        <f>IF($X13=0,0,      _xll.qDateNext($X13,AG$12,"M",FRM&lt;&gt;"Calypso",CCY))</f>
        <v>40834</v>
      </c>
      <c r="AH13" s="789">
        <f>IF($X13=0,0,      _xll.qDateNext($X13,AH$12,"M",FRM&lt;&gt;"Calypso",CCY))</f>
        <v>40865</v>
      </c>
      <c r="AI13" s="789">
        <f>IF($X13=0,0,      _xll.qDateNext($X13,AI$12,"M",FRM&lt;&gt;"Calypso",CCY))</f>
        <v>41047</v>
      </c>
      <c r="AJ13" s="529" t="str">
        <f t="array" ref="AJ13:AQ512">IF(ISERROR(SUM(CCY,X13:X512)/0),GetHistoricalRateSets(CCY,X13:X512) )</f>
        <v/>
      </c>
      <c r="AK13" s="529" t="str">
        <v/>
      </c>
      <c r="AL13" s="529" t="str">
        <v/>
      </c>
      <c r="AM13" s="529" t="str">
        <v/>
      </c>
      <c r="AN13" s="529" t="str">
        <v/>
      </c>
      <c r="AO13" s="529" t="str">
        <v/>
      </c>
      <c r="AP13" s="529" t="str">
        <v/>
      </c>
      <c r="AQ13" s="529" t="str">
        <v/>
      </c>
      <c r="AR13" s="529">
        <f t="array" ref="AR13:AR512">IF(PerformFRM?,_xll.qGetFwdRate(AR$6,$X13:$X512,AB13:AB512,"T",DCCfloat),_xll.qGetFwdRate(AR$6,$X13:$X511,$X14:$X512,"T",DCCfloat))</f>
        <v>4.7085316257760024</v>
      </c>
      <c r="AS13" s="529">
        <f t="array" ref="AS13:AS512">IF(PerformFRM?,_xll.qGetFwdRate(AS$6,$X13:$X512,AC13:AC512,"T",DCCfloat),_xll.qGetFwdRate(AS$6,$X13:$X511,$X14:$X512,"T",DCCfloat))</f>
        <v>4.8199999999998777</v>
      </c>
      <c r="AT13" s="529">
        <f>IF($X13,AVERAGE(AS13,AU13),0)</f>
        <v>4.912499999999925</v>
      </c>
      <c r="AU13" s="529">
        <f t="array" ref="AU13:AU512">IF(PerformFRM?,_xll.qGetFwdRate(AU$6,$X13:$X512,AE13:AE512,"T",DCCfloat),_xll.qGetFwdRate(AU$6,$X13:$X511,$X14:$X512,"T",DCCfloat))</f>
        <v>5.0049999999999724</v>
      </c>
      <c r="AV13" s="529">
        <f>IF($X13,AU13+(AX13-AU13)/3,0)</f>
        <v>5.0666666666666416</v>
      </c>
      <c r="AW13" s="529">
        <f>IF($X13,AVERAGE(AV13,AX13),0)</f>
        <v>5.1283333333333108</v>
      </c>
      <c r="AX13" s="529">
        <f t="array" ref="AX13:AX512">IF(PerformFRM?,_xll.qGetFwdRate(AX$6,$X13:$X512,AH13:AH512,"T",DCCfloat),_xll.qGetFwdRate(AX$6,$X13:$X511,$X14:$X512,"T",DCCfloat))</f>
        <v>5.1899999999999791</v>
      </c>
      <c r="AY13" s="529">
        <f t="array" ref="AY13:AY512">IF(PerformFRM?,_xll.qGetFwdRate(AY$6,$X13:$X512,AI13:AI512,"T",DCCfloat),_xll.qGetFwdRate(AY$6,$X13:$X511,$X14:$X512,"T",DCCfloat))</f>
        <v>5.3290304521893805</v>
      </c>
      <c r="AZ13" s="761">
        <f t="shared" ref="AZ13:AZ76" si="2">IF($X13=0,0,   IF(ISNUMBER(AJ13),AJ13,AR13))</f>
        <v>4.7085316257760024</v>
      </c>
      <c r="BA13" s="761">
        <f t="shared" ref="BA13:BA76" si="3">IF($X13=0,0,   IF(ISNUMBER(AK13),AK13,AS13))</f>
        <v>4.8199999999998777</v>
      </c>
      <c r="BB13" s="761">
        <f t="shared" ref="BB13:BB76" si="4">IF($X13=0,0,   IF(ISNUMBER(AL13),AL13,AT13))</f>
        <v>4.912499999999925</v>
      </c>
      <c r="BC13" s="761">
        <f t="shared" ref="BC13:BC76" si="5">IF($X13=0,0,   IF(ISNUMBER(AM13),AM13,AU13))</f>
        <v>5.0049999999999724</v>
      </c>
      <c r="BD13" s="761">
        <f t="shared" ref="BD13:BD76" si="6">IF($X13=0,0,   IF(ISNUMBER(AN13),AN13,AV13))</f>
        <v>5.0666666666666416</v>
      </c>
      <c r="BE13" s="761">
        <f t="shared" ref="BE13:BE76" si="7">IF($X13=0,0,   IF(ISNUMBER(AO13),AO13,AW13))</f>
        <v>5.1283333333333108</v>
      </c>
      <c r="BF13" s="761">
        <f t="shared" ref="BF13:BF76" si="8">IF($X13=0,0,   IF(ISNUMBER(AP13),AP13,AX13))</f>
        <v>5.1899999999999791</v>
      </c>
      <c r="BG13" s="761">
        <f t="shared" ref="BG13:BG76" si="9">IF($X13=0,0,   IF(ISNUMBER(AQ13),AQ13,AY13))</f>
        <v>5.3290304521893805</v>
      </c>
      <c r="BH13" s="553" t="str">
        <f t="array" ref="BH13:BH512">IF(ISERROR(SUM(Y13:Y512+0,InterpTrigger,DCCfloat)/0),TheoreticalRoll(Y13:Y512+0,InterpTrigger,DCCfloat))</f>
        <v>3M</v>
      </c>
      <c r="BI13" s="754"/>
      <c r="BJ13" s="778">
        <f>IF(X14=0,0,           IF(ISNUMBER(BI13),BI13,               IF(ISTEXT(BI13),INDEX(AZ13:BG13,MATCH(BI13,$AZ$12:$BG$12,0)),             IF(BH13="INT",_xll.qInterp(X14,AB13:AI13,AZ13:BG13),            INDEX(AZ13:BG13,MATCH(BH13,$AZ$12:$BG$12,0))))))</f>
        <v>5.0049999999999724</v>
      </c>
      <c r="BK13" s="408"/>
      <c r="BL13" s="408"/>
      <c r="BM13" s="408">
        <f>IF(IncludePrincipals,Face,0)</f>
        <v>50000000</v>
      </c>
    </row>
    <row r="14" spans="2:65">
      <c r="I14" s="153" t="s">
        <v>166</v>
      </c>
      <c r="J14" s="541">
        <f>(SUMPRODUCT(S13:S262,T13:T262)-J15)/Face*1000000</f>
        <v>0</v>
      </c>
      <c r="O14" s="138"/>
      <c r="P14" s="779">
        <v>40773</v>
      </c>
      <c r="Q14" s="780">
        <f t="shared" si="0"/>
        <v>92</v>
      </c>
      <c r="R14" s="776">
        <f>IF(P15,_xll.qDateYears(P14,P15,DCCfixed),0)</f>
        <v>0.25205479452054796</v>
      </c>
      <c r="S14" s="553">
        <v>0.98741332272569815</v>
      </c>
      <c r="T14" s="785"/>
      <c r="U14" s="409">
        <f t="shared" ref="U14:U77" si="10">IF(P14,$U$5%*R13*Face,0) + IF(AND(IncludePrincipals,P14&gt;0,P15=0),Face,0) + IF(P14,T14,0)</f>
        <v>671879.75057488179</v>
      </c>
      <c r="X14" s="363">
        <v>40773</v>
      </c>
      <c r="Y14" s="775">
        <f t="shared" si="1"/>
        <v>92</v>
      </c>
      <c r="Z14" s="776">
        <f>IF(X15,_xll.qDateYears(X14,X15,DCCfloat),0)</f>
        <v>0.25205479452054796</v>
      </c>
      <c r="AA14" s="553">
        <v>0.98741332272569815</v>
      </c>
      <c r="AB14" s="789">
        <f>IF($X14=0,0,      _xll.qDateNext($X14,AB$12,"M",FRM&lt;&gt;"Calypso",CCY))</f>
        <v>40774</v>
      </c>
      <c r="AC14" s="789">
        <f>IF($X14=0,0,      _xll.qDateNext($X14,AC$12,"M",FRM&lt;&gt;"Calypso",CCY))</f>
        <v>40805</v>
      </c>
      <c r="AD14" s="789">
        <f>IF($X14=0,0,      _xll.qDateNext($X14,AD$12,"M",FRM&lt;&gt;"Calypso",CCY))</f>
        <v>40834</v>
      </c>
      <c r="AE14" s="789">
        <f>IF($X14=0,0,      _xll.qDateNext($X14,AE$12,"M",FRM&lt;&gt;"Calypso",CCY))</f>
        <v>40865</v>
      </c>
      <c r="AF14" s="789">
        <f>IF($X14=0,0,      _xll.qDateNext($X14,AF$12,"M",FRM&lt;&gt;"Calypso",CCY))</f>
        <v>40896</v>
      </c>
      <c r="AG14" s="789">
        <f>IF($X14=0,0,      _xll.qDateNext($X14,AG$12,"M",FRM&lt;&gt;"Calypso",CCY))</f>
        <v>40926</v>
      </c>
      <c r="AH14" s="789">
        <f>IF($X14=0,0,      _xll.qDateNext($X14,AH$12,"M",FRM&lt;&gt;"Calypso",CCY))</f>
        <v>40959</v>
      </c>
      <c r="AI14" s="789">
        <f>IF($X14=0,0,      _xll.qDateNext($X14,AI$12,"M",FRM&lt;&gt;"Calypso",CCY))</f>
        <v>41141</v>
      </c>
      <c r="AJ14" s="529" t="str">
        <v/>
      </c>
      <c r="AK14" s="529" t="str">
        <v/>
      </c>
      <c r="AL14" s="529" t="str">
        <v/>
      </c>
      <c r="AM14" s="529" t="str">
        <v/>
      </c>
      <c r="AN14" s="529" t="str">
        <v/>
      </c>
      <c r="AO14" s="529" t="str">
        <v/>
      </c>
      <c r="AP14" s="529" t="str">
        <v/>
      </c>
      <c r="AQ14" s="529" t="str">
        <v/>
      </c>
      <c r="AR14" s="529">
        <v>4.823280602658242</v>
      </c>
      <c r="AS14" s="529">
        <v>4.9289131305395548</v>
      </c>
      <c r="AT14" s="529">
        <f t="shared" ref="AT14:AT77" si="11">IF($X14,AVERAGE(AS14,AU14),0)</f>
        <v>5.0148728240998128</v>
      </c>
      <c r="AU14" s="529">
        <v>5.10083251766007</v>
      </c>
      <c r="AV14" s="529">
        <f t="shared" ref="AV14:AV77" si="12">IF($X14,AU14+(AX14-AU14)/3,0)</f>
        <v>5.1585887514625481</v>
      </c>
      <c r="AW14" s="529">
        <f t="shared" ref="AW14:AW77" si="13">IF($X14,AVERAGE(AV14,AX14),0)</f>
        <v>5.2163449852650263</v>
      </c>
      <c r="AX14" s="529">
        <v>5.2741012190675045</v>
      </c>
      <c r="AY14" s="529">
        <v>5.4090590919687491</v>
      </c>
      <c r="AZ14" s="761">
        <f t="shared" si="2"/>
        <v>4.823280602658242</v>
      </c>
      <c r="BA14" s="761">
        <f t="shared" si="3"/>
        <v>4.9289131305395548</v>
      </c>
      <c r="BB14" s="761">
        <f t="shared" si="4"/>
        <v>5.0148728240998128</v>
      </c>
      <c r="BC14" s="761">
        <f t="shared" si="5"/>
        <v>5.10083251766007</v>
      </c>
      <c r="BD14" s="761">
        <f t="shared" si="6"/>
        <v>5.1585887514625481</v>
      </c>
      <c r="BE14" s="761">
        <f t="shared" si="7"/>
        <v>5.2163449852650263</v>
      </c>
      <c r="BF14" s="761">
        <f t="shared" si="8"/>
        <v>5.2741012190675045</v>
      </c>
      <c r="BG14" s="761">
        <f t="shared" si="9"/>
        <v>5.4090590919687491</v>
      </c>
      <c r="BH14" s="777" t="str">
        <v>3M</v>
      </c>
      <c r="BI14" s="755"/>
      <c r="BJ14" s="778">
        <f>IF(X15=0,0,           IF(ISNUMBER(BI14),BI14,               IF(ISTEXT(BI14),INDEX(AZ14:BG14,MATCH(BI14,$AZ$12:$BG$12,0)),             IF(BH14="INT",_xll.qInterp(X15,AB14:AI14,AZ14:BG14),            INDEX(AZ14:BG14,MATCH(BH14,$AZ$12:$BG$12,0))))))</f>
        <v>5.10083251766007</v>
      </c>
      <c r="BK14" s="408">
        <f t="shared" ref="BK14:BK77" si="14">IF(X14,-BJ13%*Face*Z13,0)</f>
        <v>-630767.12328766787</v>
      </c>
      <c r="BL14" s="414">
        <f t="shared" ref="BL14:BL77" si="15">IF(X14,-Margin%%*Z13*Face,0)</f>
        <v>0</v>
      </c>
      <c r="BM14" s="408">
        <f t="shared" ref="BM14:BM77" si="16">SUM(BK14:BL14)+IF(AND(IncludePrincipals,X14&lt;&gt;0,X15=0),-Face,0)</f>
        <v>-630767.12328766787</v>
      </c>
    </row>
    <row r="15" spans="2:65">
      <c r="B15" t="s">
        <v>752</v>
      </c>
      <c r="D15" s="123" t="s">
        <v>141</v>
      </c>
      <c r="F15" s="123" t="s">
        <v>7</v>
      </c>
      <c r="I15" s="153" t="s">
        <v>163</v>
      </c>
      <c r="J15" s="541">
        <f>IF(ISNUMBER(DesiredNPV)+ISBLANK(DesiredNPV),DesiredNPV,LEFT(DesiredNPV,LEN(DesiredNPV)-2)*U6)</f>
        <v>0</v>
      </c>
      <c r="O15" s="138"/>
      <c r="P15" s="779">
        <v>40865</v>
      </c>
      <c r="Q15" s="780">
        <f t="shared" si="0"/>
        <v>94</v>
      </c>
      <c r="R15" s="776">
        <f>IF(P16,_xll.qDateYears(P15,P16,DCCfixed),0)</f>
        <v>0.25753424657534246</v>
      </c>
      <c r="S15" s="553">
        <v>0.97487940263491291</v>
      </c>
      <c r="T15" s="785"/>
      <c r="U15" s="409">
        <f t="shared" si="10"/>
        <v>671879.75057488179</v>
      </c>
      <c r="X15" s="363">
        <v>40865</v>
      </c>
      <c r="Y15" s="775">
        <f t="shared" si="1"/>
        <v>94</v>
      </c>
      <c r="Z15" s="776">
        <f>IF(X16,_xll.qDateYears(X15,X16,DCCfloat),0)</f>
        <v>0.25753424657534246</v>
      </c>
      <c r="AA15" s="553">
        <v>0.97487940263491291</v>
      </c>
      <c r="AB15" s="789">
        <f>IF($X15=0,0,      _xll.qDateNext($X15,AB$12,"M",FRM&lt;&gt;"Calypso",CCY))</f>
        <v>40868</v>
      </c>
      <c r="AC15" s="789">
        <f>IF($X15=0,0,      _xll.qDateNext($X15,AC$12,"M",FRM&lt;&gt;"Calypso",CCY))</f>
        <v>40896</v>
      </c>
      <c r="AD15" s="789">
        <f>IF($X15=0,0,      _xll.qDateNext($X15,AD$12,"M",FRM&lt;&gt;"Calypso",CCY))</f>
        <v>40926</v>
      </c>
      <c r="AE15" s="789">
        <f>IF($X15=0,0,      _xll.qDateNext($X15,AE$12,"M",FRM&lt;&gt;"Calypso",CCY))</f>
        <v>40959</v>
      </c>
      <c r="AF15" s="789">
        <f>IF($X15=0,0,      _xll.qDateNext($X15,AF$12,"M",FRM&lt;&gt;"Calypso",CCY))</f>
        <v>40987</v>
      </c>
      <c r="AG15" s="789">
        <f>IF($X15=0,0,      _xll.qDateNext($X15,AG$12,"M",FRM&lt;&gt;"Calypso",CCY))</f>
        <v>41017</v>
      </c>
      <c r="AH15" s="789">
        <f>IF($X15=0,0,      _xll.qDateNext($X15,AH$12,"M",FRM&lt;&gt;"Calypso",CCY))</f>
        <v>41047</v>
      </c>
      <c r="AI15" s="789">
        <f>IF($X15=0,0,      _xll.qDateNext($X15,AI$12,"M",FRM&lt;&gt;"Calypso",CCY))</f>
        <v>41232</v>
      </c>
      <c r="AJ15" s="529" t="str">
        <v/>
      </c>
      <c r="AK15" s="529" t="str">
        <v/>
      </c>
      <c r="AL15" s="529" t="str">
        <v/>
      </c>
      <c r="AM15" s="529" t="str">
        <v/>
      </c>
      <c r="AN15" s="529" t="str">
        <v/>
      </c>
      <c r="AO15" s="529" t="str">
        <v/>
      </c>
      <c r="AP15" s="529" t="str">
        <v/>
      </c>
      <c r="AQ15" s="529" t="str">
        <v/>
      </c>
      <c r="AR15" s="529">
        <v>4.9850645364339927</v>
      </c>
      <c r="AS15" s="529">
        <v>5.0537069008790576</v>
      </c>
      <c r="AT15" s="529">
        <f t="shared" si="11"/>
        <v>5.1290035086240078</v>
      </c>
      <c r="AU15" s="529">
        <v>5.2043001163689571</v>
      </c>
      <c r="AV15" s="529">
        <f t="shared" si="12"/>
        <v>5.2462450308726902</v>
      </c>
      <c r="AW15" s="529">
        <f t="shared" si="13"/>
        <v>5.2881899453764234</v>
      </c>
      <c r="AX15" s="529">
        <v>5.3301348598801574</v>
      </c>
      <c r="AY15" s="529">
        <v>5.4823114760987091</v>
      </c>
      <c r="AZ15" s="761">
        <f t="shared" si="2"/>
        <v>4.9850645364339927</v>
      </c>
      <c r="BA15" s="761">
        <f t="shared" si="3"/>
        <v>5.0537069008790576</v>
      </c>
      <c r="BB15" s="761">
        <f t="shared" si="4"/>
        <v>5.1290035086240078</v>
      </c>
      <c r="BC15" s="761">
        <f t="shared" si="5"/>
        <v>5.2043001163689571</v>
      </c>
      <c r="BD15" s="761">
        <f t="shared" si="6"/>
        <v>5.2462450308726902</v>
      </c>
      <c r="BE15" s="761">
        <f t="shared" si="7"/>
        <v>5.2881899453764234</v>
      </c>
      <c r="BF15" s="761">
        <f t="shared" si="8"/>
        <v>5.3301348598801574</v>
      </c>
      <c r="BG15" s="761">
        <f t="shared" si="9"/>
        <v>5.4823114760987091</v>
      </c>
      <c r="BH15" s="777" t="str">
        <v>3M</v>
      </c>
      <c r="BI15" s="754"/>
      <c r="BJ15" s="778">
        <f>IF(X16=0,0,           IF(ISNUMBER(BI15),BI15,               IF(ISTEXT(BI15),INDEX(AZ15:BG15,MATCH(BI15,$AZ$12:$BG$12,0)),             IF(BH15="INT",_xll.qInterp(X16,AB15:AI15,AZ15:BG15),            INDEX(AZ15:BG15,MATCH(BH15,$AZ$12:$BG$12,0))))))</f>
        <v>5.2043001163689571</v>
      </c>
      <c r="BK15" s="408">
        <f t="shared" si="14"/>
        <v>-642844.64606126922</v>
      </c>
      <c r="BL15" s="414">
        <f t="shared" si="15"/>
        <v>0</v>
      </c>
      <c r="BM15" s="408">
        <f t="shared" si="16"/>
        <v>-642844.64606126922</v>
      </c>
    </row>
    <row r="16" spans="2:65">
      <c r="F16" s="131"/>
      <c r="I16" s="153" t="s">
        <v>167</v>
      </c>
      <c r="J16" s="154">
        <f>(MAX(P13:P512)-P13)/365</f>
        <v>3.0054794520547947</v>
      </c>
      <c r="K16" s="153" t="s">
        <v>753</v>
      </c>
      <c r="O16" s="138"/>
      <c r="P16" s="779">
        <v>40959</v>
      </c>
      <c r="Q16" s="780">
        <f t="shared" si="0"/>
        <v>88</v>
      </c>
      <c r="R16" s="776">
        <f>IF(P17,_xll.qDateYears(P16,P17,DCCfixed),0)</f>
        <v>0.24109589041095891</v>
      </c>
      <c r="S16" s="553">
        <v>0.96198604309663571</v>
      </c>
      <c r="T16" s="785"/>
      <c r="U16" s="409">
        <f t="shared" si="10"/>
        <v>686485.83210911835</v>
      </c>
      <c r="X16" s="363">
        <v>40959</v>
      </c>
      <c r="Y16" s="775">
        <f t="shared" si="1"/>
        <v>88</v>
      </c>
      <c r="Z16" s="776">
        <f>IF(X17,_xll.qDateYears(X16,X17,DCCfloat),0)</f>
        <v>0.24109589041095891</v>
      </c>
      <c r="AA16" s="553">
        <v>0.96198604309663571</v>
      </c>
      <c r="AB16" s="789">
        <f>IF($X16=0,0,      _xll.qDateNext($X16,AB$12,"M",FRM&lt;&gt;"Calypso",CCY))</f>
        <v>40960</v>
      </c>
      <c r="AC16" s="789">
        <f>IF($X16=0,0,      _xll.qDateNext($X16,AC$12,"M",FRM&lt;&gt;"Calypso",CCY))</f>
        <v>40988</v>
      </c>
      <c r="AD16" s="789">
        <f>IF($X16=0,0,      _xll.qDateNext($X16,AD$12,"M",FRM&lt;&gt;"Calypso",CCY))</f>
        <v>41019</v>
      </c>
      <c r="AE16" s="789">
        <f>IF($X16=0,0,      _xll.qDateNext($X16,AE$12,"M",FRM&lt;&gt;"Calypso",CCY))</f>
        <v>41050</v>
      </c>
      <c r="AF16" s="789">
        <f>IF($X16=0,0,      _xll.qDateNext($X16,AF$12,"M",FRM&lt;&gt;"Calypso",CCY))</f>
        <v>41080</v>
      </c>
      <c r="AG16" s="789">
        <f>IF($X16=0,0,      _xll.qDateNext($X16,AG$12,"M",FRM&lt;&gt;"Calypso",CCY))</f>
        <v>41110</v>
      </c>
      <c r="AH16" s="789">
        <f>IF($X16=0,0,      _xll.qDateNext($X16,AH$12,"M",FRM&lt;&gt;"Calypso",CCY))</f>
        <v>41141</v>
      </c>
      <c r="AI16" s="789">
        <f>IF($X16=0,0,      _xll.qDateNext($X16,AI$12,"M",FRM&lt;&gt;"Calypso",CCY))</f>
        <v>41325</v>
      </c>
      <c r="AJ16" s="529" t="str">
        <v/>
      </c>
      <c r="AK16" s="529" t="str">
        <v/>
      </c>
      <c r="AL16" s="529" t="str">
        <v/>
      </c>
      <c r="AM16" s="529" t="str">
        <v/>
      </c>
      <c r="AN16" s="529" t="str">
        <v/>
      </c>
      <c r="AO16" s="529" t="str">
        <v/>
      </c>
      <c r="AP16" s="529" t="str">
        <v/>
      </c>
      <c r="AQ16" s="529" t="str">
        <v/>
      </c>
      <c r="AR16" s="529">
        <v>5.0261446100654528</v>
      </c>
      <c r="AS16" s="529">
        <v>5.09568608477983</v>
      </c>
      <c r="AT16" s="529">
        <f t="shared" si="11"/>
        <v>5.1835958143089229</v>
      </c>
      <c r="AU16" s="529">
        <v>5.2715055438380167</v>
      </c>
      <c r="AV16" s="529">
        <f t="shared" si="12"/>
        <v>5.314937999435279</v>
      </c>
      <c r="AW16" s="529">
        <f t="shared" si="13"/>
        <v>5.3583704550325404</v>
      </c>
      <c r="AX16" s="529">
        <v>5.4018029106298027</v>
      </c>
      <c r="AY16" s="529">
        <v>5.5433056830616545</v>
      </c>
      <c r="AZ16" s="761">
        <f t="shared" si="2"/>
        <v>5.0261446100654528</v>
      </c>
      <c r="BA16" s="761">
        <f t="shared" si="3"/>
        <v>5.09568608477983</v>
      </c>
      <c r="BB16" s="761">
        <f t="shared" si="4"/>
        <v>5.1835958143089229</v>
      </c>
      <c r="BC16" s="761">
        <f t="shared" si="5"/>
        <v>5.2715055438380167</v>
      </c>
      <c r="BD16" s="761">
        <f t="shared" si="6"/>
        <v>5.314937999435279</v>
      </c>
      <c r="BE16" s="761">
        <f t="shared" si="7"/>
        <v>5.3583704550325404</v>
      </c>
      <c r="BF16" s="761">
        <f t="shared" si="8"/>
        <v>5.4018029106298027</v>
      </c>
      <c r="BG16" s="761">
        <f t="shared" si="9"/>
        <v>5.5433056830616545</v>
      </c>
      <c r="BH16" s="777" t="str">
        <v>3M</v>
      </c>
      <c r="BI16" s="754"/>
      <c r="BJ16" s="778">
        <f>IF(X17=0,0,           IF(ISNUMBER(BI16),BI16,               IF(ISTEXT(BI16),INDEX(AZ16:BG16,MATCH(BI16,$AZ$12:$BG$12,0)),             IF(BH16="INT",_xll.qInterp(X17,AB16:AI16,AZ16:BG16),            INDEX(AZ16:BG16,MATCH(BH16,$AZ$12:$BG$12,0))))))</f>
        <v>5.2715055438380167</v>
      </c>
      <c r="BK16" s="408">
        <f t="shared" si="14"/>
        <v>-670142.75471052318</v>
      </c>
      <c r="BL16" s="414">
        <f t="shared" si="15"/>
        <v>0</v>
      </c>
      <c r="BM16" s="408">
        <f t="shared" si="16"/>
        <v>-670142.75471052318</v>
      </c>
    </row>
    <row r="17" spans="2:65">
      <c r="B17" t="s">
        <v>162</v>
      </c>
      <c r="D17" s="127"/>
      <c r="F17" s="131"/>
      <c r="I17" s="153" t="s">
        <v>424</v>
      </c>
      <c r="J17" s="120">
        <v>1</v>
      </c>
      <c r="O17" s="138"/>
      <c r="P17" s="779">
        <v>41047</v>
      </c>
      <c r="Q17" s="780">
        <f t="shared" si="0"/>
        <v>94</v>
      </c>
      <c r="R17" s="776">
        <f>IF(P18,_xll.qDateYears(P17,P18,DCCfixed),0)</f>
        <v>0.25753424657534246</v>
      </c>
      <c r="S17" s="553">
        <v>0.94991859850635296</v>
      </c>
      <c r="T17" s="785"/>
      <c r="U17" s="409">
        <f t="shared" si="10"/>
        <v>642667.58750640869</v>
      </c>
      <c r="X17" s="363">
        <v>41047</v>
      </c>
      <c r="Y17" s="775">
        <f t="shared" si="1"/>
        <v>94</v>
      </c>
      <c r="Z17" s="776">
        <f>IF(X18,_xll.qDateYears(X17,X18,DCCfloat),0)</f>
        <v>0.25753424657534246</v>
      </c>
      <c r="AA17" s="553">
        <v>0.94991859850635296</v>
      </c>
      <c r="AB17" s="789">
        <f>IF($X17=0,0,      _xll.qDateNext($X17,AB$12,"M",FRM&lt;&gt;"Calypso",CCY))</f>
        <v>41050</v>
      </c>
      <c r="AC17" s="789">
        <f>IF($X17=0,0,      _xll.qDateNext($X17,AC$12,"M",FRM&lt;&gt;"Calypso",CCY))</f>
        <v>41078</v>
      </c>
      <c r="AD17" s="789">
        <f>IF($X17=0,0,      _xll.qDateNext($X17,AD$12,"M",FRM&lt;&gt;"Calypso",CCY))</f>
        <v>41108</v>
      </c>
      <c r="AE17" s="789">
        <f>IF($X17=0,0,      _xll.qDateNext($X17,AE$12,"M",FRM&lt;&gt;"Calypso",CCY))</f>
        <v>41141</v>
      </c>
      <c r="AF17" s="789">
        <f>IF($X17=0,0,      _xll.qDateNext($X17,AF$12,"M",FRM&lt;&gt;"Calypso",CCY))</f>
        <v>41170</v>
      </c>
      <c r="AG17" s="789">
        <f>IF($X17=0,0,      _xll.qDateNext($X17,AG$12,"M",FRM&lt;&gt;"Calypso",CCY))</f>
        <v>41200</v>
      </c>
      <c r="AH17" s="789">
        <f>IF($X17=0,0,      _xll.qDateNext($X17,AH$12,"M",FRM&lt;&gt;"Calypso",CCY))</f>
        <v>41232</v>
      </c>
      <c r="AI17" s="789">
        <f>IF($X17=0,0,      _xll.qDateNext($X17,AI$12,"M",FRM&lt;&gt;"Calypso",CCY))</f>
        <v>41414</v>
      </c>
      <c r="AJ17" s="529" t="str">
        <v/>
      </c>
      <c r="AK17" s="529" t="str">
        <v/>
      </c>
      <c r="AL17" s="529" t="str">
        <v/>
      </c>
      <c r="AM17" s="529" t="str">
        <v/>
      </c>
      <c r="AN17" s="529" t="str">
        <v/>
      </c>
      <c r="AO17" s="529" t="str">
        <v/>
      </c>
      <c r="AP17" s="529" t="str">
        <v/>
      </c>
      <c r="AQ17" s="529" t="str">
        <v/>
      </c>
      <c r="AR17" s="529">
        <v>5.073560493320862</v>
      </c>
      <c r="AS17" s="529">
        <v>5.1720285660115897</v>
      </c>
      <c r="AT17" s="529">
        <f t="shared" si="11"/>
        <v>5.2523933013361432</v>
      </c>
      <c r="AU17" s="529">
        <v>5.3327580366606959</v>
      </c>
      <c r="AV17" s="529">
        <f t="shared" si="12"/>
        <v>5.3839086086896755</v>
      </c>
      <c r="AW17" s="529">
        <f t="shared" si="13"/>
        <v>5.435059180718655</v>
      </c>
      <c r="AX17" s="529">
        <v>5.4862097527476354</v>
      </c>
      <c r="AY17" s="529">
        <v>5.5956038332372069</v>
      </c>
      <c r="AZ17" s="761">
        <f t="shared" si="2"/>
        <v>5.073560493320862</v>
      </c>
      <c r="BA17" s="761">
        <f t="shared" si="3"/>
        <v>5.1720285660115897</v>
      </c>
      <c r="BB17" s="761">
        <f t="shared" si="4"/>
        <v>5.2523933013361432</v>
      </c>
      <c r="BC17" s="761">
        <f t="shared" si="5"/>
        <v>5.3327580366606959</v>
      </c>
      <c r="BD17" s="761">
        <f t="shared" si="6"/>
        <v>5.3839086086896755</v>
      </c>
      <c r="BE17" s="761">
        <f t="shared" si="7"/>
        <v>5.435059180718655</v>
      </c>
      <c r="BF17" s="761">
        <f t="shared" si="8"/>
        <v>5.4862097527476354</v>
      </c>
      <c r="BG17" s="761">
        <f t="shared" si="9"/>
        <v>5.5956038332372069</v>
      </c>
      <c r="BH17" s="777" t="str">
        <v>3M</v>
      </c>
      <c r="BI17" s="754"/>
      <c r="BJ17" s="778">
        <f>IF(X18=0,0,           IF(ISNUMBER(BI17),BI17,               IF(ISTEXT(BI17),INDEX(AZ17:BG17,MATCH(BI17,$AZ$12:$BG$12,0)),             IF(BH17="INT",_xll.qInterp(X18,AB17:AI17,AZ17:BG17),            INDEX(AZ17:BG17,MATCH(BH17,$AZ$12:$BG$12,0))))))</f>
        <v>5.3327580366606959</v>
      </c>
      <c r="BK17" s="408">
        <f t="shared" si="14"/>
        <v>-635469.16144896636</v>
      </c>
      <c r="BL17" s="414">
        <f t="shared" si="15"/>
        <v>0</v>
      </c>
      <c r="BM17" s="408">
        <f t="shared" si="16"/>
        <v>-635469.16144896636</v>
      </c>
    </row>
    <row r="18" spans="2:65">
      <c r="O18" s="138"/>
      <c r="P18" s="779">
        <v>41141</v>
      </c>
      <c r="Q18" s="780">
        <f t="shared" si="0"/>
        <v>91</v>
      </c>
      <c r="R18" s="776">
        <f>IF(P19,_xll.qDateYears(P18,P19,DCCfixed),0)</f>
        <v>0.24931506849315069</v>
      </c>
      <c r="S18" s="553">
        <v>0.93704946269874201</v>
      </c>
      <c r="T18" s="785"/>
      <c r="U18" s="409">
        <f t="shared" si="10"/>
        <v>686485.83210911835</v>
      </c>
      <c r="X18" s="363">
        <v>41141</v>
      </c>
      <c r="Y18" s="775">
        <f t="shared" si="1"/>
        <v>91</v>
      </c>
      <c r="Z18" s="776">
        <f>IF(X19,_xll.qDateYears(X18,X19,DCCfloat),0)</f>
        <v>0.24931506849315069</v>
      </c>
      <c r="AA18" s="553">
        <v>0.93704946269874201</v>
      </c>
      <c r="AB18" s="789">
        <f>IF($X18=0,0,      _xll.qDateNext($X18,AB$12,"M",FRM&lt;&gt;"Calypso",CCY))</f>
        <v>41142</v>
      </c>
      <c r="AC18" s="789">
        <f>IF($X18=0,0,      _xll.qDateNext($X18,AC$12,"M",FRM&lt;&gt;"Calypso",CCY))</f>
        <v>41172</v>
      </c>
      <c r="AD18" s="789">
        <f>IF($X18=0,0,      _xll.qDateNext($X18,AD$12,"M",FRM&lt;&gt;"Calypso",CCY))</f>
        <v>41204</v>
      </c>
      <c r="AE18" s="789">
        <f>IF($X18=0,0,      _xll.qDateNext($X18,AE$12,"M",FRM&lt;&gt;"Calypso",CCY))</f>
        <v>41233</v>
      </c>
      <c r="AF18" s="789">
        <f>IF($X18=0,0,      _xll.qDateNext($X18,AF$12,"M",FRM&lt;&gt;"Calypso",CCY))</f>
        <v>41263</v>
      </c>
      <c r="AG18" s="789">
        <f>IF($X18=0,0,      _xll.qDateNext($X18,AG$12,"M",FRM&lt;&gt;"Calypso",CCY))</f>
        <v>41295</v>
      </c>
      <c r="AH18" s="789">
        <f>IF($X18=0,0,      _xll.qDateNext($X18,AH$12,"M",FRM&lt;&gt;"Calypso",CCY))</f>
        <v>41325</v>
      </c>
      <c r="AI18" s="789">
        <f>IF($X18=0,0,      _xll.qDateNext($X18,AI$12,"M",FRM&lt;&gt;"Calypso",CCY))</f>
        <v>41506</v>
      </c>
      <c r="AJ18" s="529" t="str">
        <v/>
      </c>
      <c r="AK18" s="529" t="str">
        <v/>
      </c>
      <c r="AL18" s="529" t="str">
        <v/>
      </c>
      <c r="AM18" s="529" t="str">
        <v/>
      </c>
      <c r="AN18" s="529" t="str">
        <v/>
      </c>
      <c r="AO18" s="529" t="str">
        <v/>
      </c>
      <c r="AP18" s="529" t="str">
        <v/>
      </c>
      <c r="AQ18" s="529" t="str">
        <v/>
      </c>
      <c r="AR18" s="529">
        <v>5.1121060058348933</v>
      </c>
      <c r="AS18" s="529">
        <v>5.2341493189957884</v>
      </c>
      <c r="AT18" s="529">
        <f t="shared" si="11"/>
        <v>5.3222682427807637</v>
      </c>
      <c r="AU18" s="529">
        <v>5.4103871665657399</v>
      </c>
      <c r="AV18" s="529">
        <f t="shared" si="12"/>
        <v>5.4516602563916852</v>
      </c>
      <c r="AW18" s="529">
        <f t="shared" si="13"/>
        <v>5.4929333462176304</v>
      </c>
      <c r="AX18" s="529">
        <v>5.5342064360435756</v>
      </c>
      <c r="AY18" s="529">
        <v>5.6192365093740371</v>
      </c>
      <c r="AZ18" s="761">
        <f t="shared" si="2"/>
        <v>5.1121060058348933</v>
      </c>
      <c r="BA18" s="761">
        <f t="shared" si="3"/>
        <v>5.2341493189957884</v>
      </c>
      <c r="BB18" s="761">
        <f t="shared" si="4"/>
        <v>5.3222682427807637</v>
      </c>
      <c r="BC18" s="761">
        <f t="shared" si="5"/>
        <v>5.4103871665657399</v>
      </c>
      <c r="BD18" s="761">
        <f t="shared" si="6"/>
        <v>5.4516602563916852</v>
      </c>
      <c r="BE18" s="761">
        <f t="shared" si="7"/>
        <v>5.4929333462176304</v>
      </c>
      <c r="BF18" s="761">
        <f t="shared" si="8"/>
        <v>5.5342064360435756</v>
      </c>
      <c r="BG18" s="761">
        <f t="shared" si="9"/>
        <v>5.6192365093740371</v>
      </c>
      <c r="BH18" s="777" t="str">
        <v>3M</v>
      </c>
      <c r="BI18" s="754"/>
      <c r="BJ18" s="778">
        <f>IF(X19=0,0,           IF(ISNUMBER(BI18),BI18,               IF(ISTEXT(BI18),INDEX(AZ18:BG18,MATCH(BI18,$AZ$12:$BG$12,0)),             IF(BH18="INT",_xll.qInterp(X19,AB18:AI18,AZ18:BG18),            INDEX(AZ18:BG18,MATCH(BH18,$AZ$12:$BG$12,0))))))</f>
        <v>5.4103871665657399</v>
      </c>
      <c r="BK18" s="408">
        <f t="shared" si="14"/>
        <v>-686683.91157000745</v>
      </c>
      <c r="BL18" s="414">
        <f t="shared" si="15"/>
        <v>0</v>
      </c>
      <c r="BM18" s="408">
        <f t="shared" si="16"/>
        <v>-686683.91157000745</v>
      </c>
    </row>
    <row r="19" spans="2:65">
      <c r="B19" t="s">
        <v>418</v>
      </c>
      <c r="D19" s="120" t="s">
        <v>150</v>
      </c>
      <c r="F19" s="120" t="b">
        <v>1</v>
      </c>
      <c r="O19" s="138"/>
      <c r="P19" s="779">
        <v>41232</v>
      </c>
      <c r="Q19" s="780">
        <f t="shared" si="0"/>
        <v>91</v>
      </c>
      <c r="R19" s="776">
        <f>IF(P20,_xll.qDateYears(P19,P20,DCCfixed),0)</f>
        <v>0.24931506849315069</v>
      </c>
      <c r="S19" s="553">
        <v>0.92457980606294765</v>
      </c>
      <c r="T19" s="785"/>
      <c r="U19" s="409">
        <f t="shared" si="10"/>
        <v>664576.70980776346</v>
      </c>
      <c r="X19" s="363">
        <v>41232</v>
      </c>
      <c r="Y19" s="775">
        <f t="shared" si="1"/>
        <v>91</v>
      </c>
      <c r="Z19" s="776">
        <f>IF(X20,_xll.qDateYears(X19,X20,DCCfloat),0)</f>
        <v>0.24931506849315069</v>
      </c>
      <c r="AA19" s="553">
        <v>0.92457980606294765</v>
      </c>
      <c r="AB19" s="789">
        <f>IF($X19=0,0,      _xll.qDateNext($X19,AB$12,"M",FRM&lt;&gt;"Calypso",CCY))</f>
        <v>41233</v>
      </c>
      <c r="AC19" s="789">
        <f>IF($X19=0,0,      _xll.qDateNext($X19,AC$12,"M",FRM&lt;&gt;"Calypso",CCY))</f>
        <v>41262</v>
      </c>
      <c r="AD19" s="789">
        <f>IF($X19=0,0,      _xll.qDateNext($X19,AD$12,"M",FRM&lt;&gt;"Calypso",CCY))</f>
        <v>41295</v>
      </c>
      <c r="AE19" s="789">
        <f>IF($X19=0,0,      _xll.qDateNext($X19,AE$12,"M",FRM&lt;&gt;"Calypso",CCY))</f>
        <v>41324</v>
      </c>
      <c r="AF19" s="789">
        <f>IF($X19=0,0,      _xll.qDateNext($X19,AF$12,"M",FRM&lt;&gt;"Calypso",CCY))</f>
        <v>41352</v>
      </c>
      <c r="AG19" s="789">
        <f>IF($X19=0,0,      _xll.qDateNext($X19,AG$12,"M",FRM&lt;&gt;"Calypso",CCY))</f>
        <v>41383</v>
      </c>
      <c r="AH19" s="789">
        <f>IF($X19=0,0,      _xll.qDateNext($X19,AH$12,"M",FRM&lt;&gt;"Calypso",CCY))</f>
        <v>41414</v>
      </c>
      <c r="AI19" s="789">
        <f>IF($X19=0,0,      _xll.qDateNext($X19,AI$12,"M",FRM&lt;&gt;"Calypso",CCY))</f>
        <v>41597</v>
      </c>
      <c r="AJ19" s="529" t="str">
        <v/>
      </c>
      <c r="AK19" s="529" t="str">
        <v/>
      </c>
      <c r="AL19" s="529" t="str">
        <v/>
      </c>
      <c r="AM19" s="529" t="str">
        <v/>
      </c>
      <c r="AN19" s="529" t="str">
        <v/>
      </c>
      <c r="AO19" s="529" t="str">
        <v/>
      </c>
      <c r="AP19" s="529" t="str">
        <v/>
      </c>
      <c r="AQ19" s="529" t="str">
        <v/>
      </c>
      <c r="AR19" s="529">
        <v>5.1765958866323292</v>
      </c>
      <c r="AS19" s="529">
        <v>5.2933370376422948</v>
      </c>
      <c r="AT19" s="529">
        <f t="shared" si="11"/>
        <v>5.3608778160300474</v>
      </c>
      <c r="AU19" s="529">
        <v>5.4284185944178009</v>
      </c>
      <c r="AV19" s="529">
        <f t="shared" si="12"/>
        <v>5.4697478521299319</v>
      </c>
      <c r="AW19" s="529">
        <f t="shared" si="13"/>
        <v>5.5110771098420628</v>
      </c>
      <c r="AX19" s="529">
        <v>5.5524063675541928</v>
      </c>
      <c r="AY19" s="529">
        <v>5.6273664947150248</v>
      </c>
      <c r="AZ19" s="761">
        <f t="shared" si="2"/>
        <v>5.1765958866323292</v>
      </c>
      <c r="BA19" s="761">
        <f t="shared" si="3"/>
        <v>5.2933370376422948</v>
      </c>
      <c r="BB19" s="761">
        <f t="shared" si="4"/>
        <v>5.3608778160300474</v>
      </c>
      <c r="BC19" s="761">
        <f t="shared" si="5"/>
        <v>5.4284185944178009</v>
      </c>
      <c r="BD19" s="761">
        <f t="shared" si="6"/>
        <v>5.4697478521299319</v>
      </c>
      <c r="BE19" s="761">
        <f t="shared" si="7"/>
        <v>5.5110771098420628</v>
      </c>
      <c r="BF19" s="761">
        <f t="shared" si="8"/>
        <v>5.5524063675541928</v>
      </c>
      <c r="BG19" s="761">
        <f t="shared" si="9"/>
        <v>5.6273664947150248</v>
      </c>
      <c r="BH19" s="777" t="str">
        <v>3M</v>
      </c>
      <c r="BI19" s="754"/>
      <c r="BJ19" s="778">
        <f>IF(X20=0,0,           IF(ISNUMBER(BI19),BI19,               IF(ISTEXT(BI19),INDEX(AZ19:BG19,MATCH(BI19,$AZ$12:$BG$12,0)),             IF(BH19="INT",_xll.qInterp(X20,AB19:AI19,AZ19:BG19),            INDEX(AZ19:BG19,MATCH(BH19,$AZ$12:$BG$12,0))))))</f>
        <v>5.4284185944178009</v>
      </c>
      <c r="BK19" s="408">
        <f t="shared" si="14"/>
        <v>-674445.5235034005</v>
      </c>
      <c r="BL19" s="414">
        <f t="shared" si="15"/>
        <v>0</v>
      </c>
      <c r="BM19" s="408">
        <f t="shared" si="16"/>
        <v>-674445.5235034005</v>
      </c>
    </row>
    <row r="20" spans="2:65">
      <c r="O20" s="138"/>
      <c r="P20" s="779">
        <v>41323</v>
      </c>
      <c r="Q20" s="780">
        <f t="shared" si="0"/>
        <v>91</v>
      </c>
      <c r="R20" s="776">
        <f>IF(P21,_xll.qDateYears(P20,P21,DCCfixed),0)</f>
        <v>0.24931506849315069</v>
      </c>
      <c r="S20" s="553">
        <v>0.91223487258866787</v>
      </c>
      <c r="T20" s="785"/>
      <c r="U20" s="409">
        <f t="shared" si="10"/>
        <v>664576.70980776346</v>
      </c>
      <c r="X20" s="363">
        <v>41323</v>
      </c>
      <c r="Y20" s="775">
        <f t="shared" si="1"/>
        <v>91</v>
      </c>
      <c r="Z20" s="776">
        <f>IF(X21,_xll.qDateYears(X20,X21,DCCfloat),0)</f>
        <v>0.24931506849315069</v>
      </c>
      <c r="AA20" s="553">
        <v>0.91223487258866787</v>
      </c>
      <c r="AB20" s="789">
        <f>IF($X20=0,0,      _xll.qDateNext($X20,AB$12,"M",FRM&lt;&gt;"Calypso",CCY))</f>
        <v>41324</v>
      </c>
      <c r="AC20" s="789">
        <f>IF($X20=0,0,      _xll.qDateNext($X20,AC$12,"M",FRM&lt;&gt;"Calypso",CCY))</f>
        <v>41351</v>
      </c>
      <c r="AD20" s="789">
        <f>IF($X20=0,0,      _xll.qDateNext($X20,AD$12,"M",FRM&lt;&gt;"Calypso",CCY))</f>
        <v>41382</v>
      </c>
      <c r="AE20" s="789">
        <f>IF($X20=0,0,      _xll.qDateNext($X20,AE$12,"M",FRM&lt;&gt;"Calypso",CCY))</f>
        <v>41414</v>
      </c>
      <c r="AF20" s="789">
        <f>IF($X20=0,0,      _xll.qDateNext($X20,AF$12,"M",FRM&lt;&gt;"Calypso",CCY))</f>
        <v>41443</v>
      </c>
      <c r="AG20" s="789">
        <f>IF($X20=0,0,      _xll.qDateNext($X20,AG$12,"M",FRM&lt;&gt;"Calypso",CCY))</f>
        <v>41473</v>
      </c>
      <c r="AH20" s="789">
        <f>IF($X20=0,0,      _xll.qDateNext($X20,AH$12,"M",FRM&lt;&gt;"Calypso",CCY))</f>
        <v>41505</v>
      </c>
      <c r="AI20" s="789">
        <f>IF($X20=0,0,      _xll.qDateNext($X20,AI$12,"M",FRM&lt;&gt;"Calypso",CCY))</f>
        <v>41688</v>
      </c>
      <c r="AJ20" s="529" t="str">
        <v/>
      </c>
      <c r="AK20" s="529" t="str">
        <v/>
      </c>
      <c r="AL20" s="529" t="str">
        <v/>
      </c>
      <c r="AM20" s="529" t="str">
        <v/>
      </c>
      <c r="AN20" s="529" t="str">
        <v/>
      </c>
      <c r="AO20" s="529" t="str">
        <v/>
      </c>
      <c r="AP20" s="529" t="str">
        <v/>
      </c>
      <c r="AQ20" s="529" t="str">
        <v/>
      </c>
      <c r="AR20" s="529">
        <v>5.1462532439547903</v>
      </c>
      <c r="AS20" s="529">
        <v>5.2828543379600479</v>
      </c>
      <c r="AT20" s="529">
        <f t="shared" si="11"/>
        <v>5.3663854700317888</v>
      </c>
      <c r="AU20" s="529">
        <v>5.4499166021035306</v>
      </c>
      <c r="AV20" s="529">
        <f t="shared" si="12"/>
        <v>5.4837050460490016</v>
      </c>
      <c r="AW20" s="529">
        <f t="shared" si="13"/>
        <v>5.5174934899944734</v>
      </c>
      <c r="AX20" s="529">
        <v>5.5512819339399444</v>
      </c>
      <c r="AY20" s="529">
        <v>5.6387259549464552</v>
      </c>
      <c r="AZ20" s="761">
        <f t="shared" si="2"/>
        <v>5.1462532439547903</v>
      </c>
      <c r="BA20" s="761">
        <f t="shared" si="3"/>
        <v>5.2828543379600479</v>
      </c>
      <c r="BB20" s="761">
        <f t="shared" si="4"/>
        <v>5.3663854700317888</v>
      </c>
      <c r="BC20" s="761">
        <f t="shared" si="5"/>
        <v>5.4499166021035306</v>
      </c>
      <c r="BD20" s="761">
        <f t="shared" si="6"/>
        <v>5.4837050460490016</v>
      </c>
      <c r="BE20" s="761">
        <f t="shared" si="7"/>
        <v>5.5174934899944734</v>
      </c>
      <c r="BF20" s="761">
        <f t="shared" si="8"/>
        <v>5.5512819339399444</v>
      </c>
      <c r="BG20" s="761">
        <f t="shared" si="9"/>
        <v>5.6387259549464552</v>
      </c>
      <c r="BH20" s="777" t="str">
        <v>3M</v>
      </c>
      <c r="BI20" s="754"/>
      <c r="BJ20" s="778">
        <f>IF(X21=0,0,           IF(ISNUMBER(BI20),BI20,               IF(ISTEXT(BI20),INDEX(AZ20:BG20,MATCH(BI20,$AZ$12:$BG$12,0)),             IF(BH20="INT",_xll.qInterp(X21,AB20:AI20,AZ20:BG20),            INDEX(AZ20:BG20,MATCH(BH20,$AZ$12:$BG$12,0))))))</f>
        <v>5.4499166021035306</v>
      </c>
      <c r="BK20" s="408">
        <f t="shared" si="14"/>
        <v>-676693.2768383834</v>
      </c>
      <c r="BL20" s="414">
        <f t="shared" si="15"/>
        <v>0</v>
      </c>
      <c r="BM20" s="408">
        <f t="shared" si="16"/>
        <v>-676693.2768383834</v>
      </c>
    </row>
    <row r="21" spans="2:65">
      <c r="B21" t="s">
        <v>427</v>
      </c>
      <c r="D21" s="120"/>
      <c r="F21" s="121" t="str">
        <f>IF(D21="",CCY,D21)</f>
        <v>AUD</v>
      </c>
      <c r="O21" s="138"/>
      <c r="P21" s="779">
        <v>41414</v>
      </c>
      <c r="Q21" s="780">
        <f t="shared" si="0"/>
        <v>91</v>
      </c>
      <c r="R21" s="776">
        <f>IF(P22,_xll.qDateYears(P21,P22,DCCfixed),0)</f>
        <v>0.24931506849315069</v>
      </c>
      <c r="S21" s="553">
        <v>0.90000607309233005</v>
      </c>
      <c r="T21" s="785"/>
      <c r="U21" s="409">
        <f t="shared" si="10"/>
        <v>664576.70980776346</v>
      </c>
      <c r="X21" s="363">
        <v>41414</v>
      </c>
      <c r="Y21" s="775">
        <f t="shared" si="1"/>
        <v>91</v>
      </c>
      <c r="Z21" s="776">
        <f>IF(X22,_xll.qDateYears(X21,X22,DCCfloat),0)</f>
        <v>0.24931506849315069</v>
      </c>
      <c r="AA21" s="553">
        <v>0.90000607309233005</v>
      </c>
      <c r="AB21" s="789">
        <f>IF($X21=0,0,      _xll.qDateNext($X21,AB$12,"M",FRM&lt;&gt;"Calypso",CCY))</f>
        <v>41415</v>
      </c>
      <c r="AC21" s="789">
        <f>IF($X21=0,0,      _xll.qDateNext($X21,AC$12,"M",FRM&lt;&gt;"Calypso",CCY))</f>
        <v>41445</v>
      </c>
      <c r="AD21" s="789">
        <f>IF($X21=0,0,      _xll.qDateNext($X21,AD$12,"M",FRM&lt;&gt;"Calypso",CCY))</f>
        <v>41477</v>
      </c>
      <c r="AE21" s="789">
        <f>IF($X21=0,0,      _xll.qDateNext($X21,AE$12,"M",FRM&lt;&gt;"Calypso",CCY))</f>
        <v>41506</v>
      </c>
      <c r="AF21" s="789">
        <f>IF($X21=0,0,      _xll.qDateNext($X21,AF$12,"M",FRM&lt;&gt;"Calypso",CCY))</f>
        <v>41537</v>
      </c>
      <c r="AG21" s="789">
        <f>IF($X21=0,0,      _xll.qDateNext($X21,AG$12,"M",FRM&lt;&gt;"Calypso",CCY))</f>
        <v>41568</v>
      </c>
      <c r="AH21" s="789">
        <f>IF($X21=0,0,      _xll.qDateNext($X21,AH$12,"M",FRM&lt;&gt;"Calypso",CCY))</f>
        <v>41598</v>
      </c>
      <c r="AI21" s="789">
        <f>IF($X21=0,0,      _xll.qDateNext($X21,AI$12,"M",FRM&lt;&gt;"Calypso",CCY))</f>
        <v>41779</v>
      </c>
      <c r="AJ21" s="529" t="str">
        <v/>
      </c>
      <c r="AK21" s="529" t="str">
        <v/>
      </c>
      <c r="AL21" s="529" t="str">
        <v/>
      </c>
      <c r="AM21" s="529" t="str">
        <v/>
      </c>
      <c r="AN21" s="529" t="str">
        <v/>
      </c>
      <c r="AO21" s="529" t="str">
        <v/>
      </c>
      <c r="AP21" s="529" t="str">
        <v/>
      </c>
      <c r="AQ21" s="529" t="str">
        <v/>
      </c>
      <c r="AR21" s="529">
        <v>5.191888886196927</v>
      </c>
      <c r="AS21" s="529">
        <v>5.2971073117055392</v>
      </c>
      <c r="AT21" s="529">
        <f t="shared" si="11"/>
        <v>5.362981739076778</v>
      </c>
      <c r="AU21" s="529">
        <v>5.4288561664480159</v>
      </c>
      <c r="AV21" s="529">
        <f t="shared" si="12"/>
        <v>5.4688548781525128</v>
      </c>
      <c r="AW21" s="529">
        <f t="shared" si="13"/>
        <v>5.5088535898570097</v>
      </c>
      <c r="AX21" s="529">
        <v>5.5488523015615057</v>
      </c>
      <c r="AY21" s="529">
        <v>5.6527318604566945</v>
      </c>
      <c r="AZ21" s="761">
        <f t="shared" si="2"/>
        <v>5.191888886196927</v>
      </c>
      <c r="BA21" s="761">
        <f t="shared" si="3"/>
        <v>5.2971073117055392</v>
      </c>
      <c r="BB21" s="761">
        <f t="shared" si="4"/>
        <v>5.362981739076778</v>
      </c>
      <c r="BC21" s="761">
        <f t="shared" si="5"/>
        <v>5.4288561664480159</v>
      </c>
      <c r="BD21" s="761">
        <f t="shared" si="6"/>
        <v>5.4688548781525128</v>
      </c>
      <c r="BE21" s="761">
        <f t="shared" si="7"/>
        <v>5.5088535898570097</v>
      </c>
      <c r="BF21" s="761">
        <f t="shared" si="8"/>
        <v>5.5488523015615057</v>
      </c>
      <c r="BG21" s="761">
        <f t="shared" si="9"/>
        <v>5.6527318604566945</v>
      </c>
      <c r="BH21" s="777" t="str">
        <v>3M</v>
      </c>
      <c r="BI21" s="755"/>
      <c r="BJ21" s="778">
        <f>IF(X22=0,0,           IF(ISNUMBER(BI21),BI21,               IF(ISTEXT(BI21),INDEX(AZ21:BG21,MATCH(BI21,$AZ$12:$BG$12,0)),             IF(BH21="INT",_xll.qInterp(X22,AB21:AI21,AZ21:BG21),            INDEX(AZ21:BG21,MATCH(BH21,$AZ$12:$BG$12,0))))))</f>
        <v>5.4288561664480159</v>
      </c>
      <c r="BK21" s="408">
        <f t="shared" si="14"/>
        <v>-679373.16546770034</v>
      </c>
      <c r="BL21" s="414">
        <f t="shared" si="15"/>
        <v>0</v>
      </c>
      <c r="BM21" s="408">
        <f t="shared" si="16"/>
        <v>-679373.16546770034</v>
      </c>
    </row>
    <row r="22" spans="2:65">
      <c r="I22" s="536" t="s">
        <v>412</v>
      </c>
      <c r="O22" s="138"/>
      <c r="P22" s="779">
        <v>41505</v>
      </c>
      <c r="Q22" s="780">
        <f t="shared" si="0"/>
        <v>91</v>
      </c>
      <c r="R22" s="776">
        <f>IF(P23,_xll.qDateYears(P22,P23,DCCfixed),0)</f>
        <v>0.24931506849315069</v>
      </c>
      <c r="S22" s="553">
        <v>0.88798813194156179</v>
      </c>
      <c r="T22" s="785"/>
      <c r="U22" s="409">
        <f t="shared" si="10"/>
        <v>664576.70980776346</v>
      </c>
      <c r="X22" s="363">
        <v>41505</v>
      </c>
      <c r="Y22" s="775">
        <f t="shared" si="1"/>
        <v>91</v>
      </c>
      <c r="Z22" s="776">
        <f>IF(X23,_xll.qDateYears(X22,X23,DCCfloat),0)</f>
        <v>0.24931506849315069</v>
      </c>
      <c r="AA22" s="553">
        <v>0.88798813194156179</v>
      </c>
      <c r="AB22" s="789">
        <f>IF($X22=0,0,      _xll.qDateNext($X22,AB$12,"M",FRM&lt;&gt;"Calypso",CCY))</f>
        <v>41506</v>
      </c>
      <c r="AC22" s="789">
        <f>IF($X22=0,0,      _xll.qDateNext($X22,AC$12,"M",FRM&lt;&gt;"Calypso",CCY))</f>
        <v>41536</v>
      </c>
      <c r="AD22" s="789">
        <f>IF($X22=0,0,      _xll.qDateNext($X22,AD$12,"M",FRM&lt;&gt;"Calypso",CCY))</f>
        <v>41568</v>
      </c>
      <c r="AE22" s="789">
        <f>IF($X22=0,0,      _xll.qDateNext($X22,AE$12,"M",FRM&lt;&gt;"Calypso",CCY))</f>
        <v>41597</v>
      </c>
      <c r="AF22" s="789">
        <f>IF($X22=0,0,      _xll.qDateNext($X22,AF$12,"M",FRM&lt;&gt;"Calypso",CCY))</f>
        <v>41627</v>
      </c>
      <c r="AG22" s="789">
        <f>IF($X22=0,0,      _xll.qDateNext($X22,AG$12,"M",FRM&lt;&gt;"Calypso",CCY))</f>
        <v>41659</v>
      </c>
      <c r="AH22" s="789">
        <f>IF($X22=0,0,      _xll.qDateNext($X22,AH$12,"M",FRM&lt;&gt;"Calypso",CCY))</f>
        <v>41689</v>
      </c>
      <c r="AI22" s="789">
        <f>IF($X22=0,0,      _xll.qDateNext($X22,AI$12,"M",FRM&lt;&gt;"Calypso",CCY))</f>
        <v>41870</v>
      </c>
      <c r="AJ22" s="529" t="str">
        <v/>
      </c>
      <c r="AK22" s="529" t="str">
        <v/>
      </c>
      <c r="AL22" s="529" t="str">
        <v/>
      </c>
      <c r="AM22" s="529" t="str">
        <v/>
      </c>
      <c r="AN22" s="529" t="str">
        <v/>
      </c>
      <c r="AO22" s="529" t="str">
        <v/>
      </c>
      <c r="AP22" s="529" t="str">
        <v/>
      </c>
      <c r="AQ22" s="529" t="str">
        <v/>
      </c>
      <c r="AR22" s="529">
        <v>5.142042008321468</v>
      </c>
      <c r="AS22" s="529">
        <v>5.2870510668844153</v>
      </c>
      <c r="AT22" s="529">
        <f t="shared" si="11"/>
        <v>5.3666939272428662</v>
      </c>
      <c r="AU22" s="529">
        <v>5.4463367876013171</v>
      </c>
      <c r="AV22" s="529">
        <f t="shared" si="12"/>
        <v>5.4882438231893884</v>
      </c>
      <c r="AW22" s="529">
        <f t="shared" si="13"/>
        <v>5.5301508587774597</v>
      </c>
      <c r="AX22" s="529">
        <v>5.572057894365531</v>
      </c>
      <c r="AY22" s="529">
        <v>5.7154630148293251</v>
      </c>
      <c r="AZ22" s="761">
        <f t="shared" si="2"/>
        <v>5.142042008321468</v>
      </c>
      <c r="BA22" s="761">
        <f t="shared" si="3"/>
        <v>5.2870510668844153</v>
      </c>
      <c r="BB22" s="761">
        <f t="shared" si="4"/>
        <v>5.3666939272428662</v>
      </c>
      <c r="BC22" s="761">
        <f t="shared" si="5"/>
        <v>5.4463367876013171</v>
      </c>
      <c r="BD22" s="761">
        <f t="shared" si="6"/>
        <v>5.4882438231893884</v>
      </c>
      <c r="BE22" s="761">
        <f t="shared" si="7"/>
        <v>5.5301508587774597</v>
      </c>
      <c r="BF22" s="761">
        <f t="shared" si="8"/>
        <v>5.572057894365531</v>
      </c>
      <c r="BG22" s="761">
        <f t="shared" si="9"/>
        <v>5.7154630148293251</v>
      </c>
      <c r="BH22" s="777" t="str">
        <v>3M</v>
      </c>
      <c r="BI22" s="755"/>
      <c r="BJ22" s="778">
        <f>IF(X23=0,0,           IF(ISNUMBER(BI22),BI22,               IF(ISTEXT(BI22),INDEX(AZ22:BG22,MATCH(BI22,$AZ$12:$BG$12,0)),             IF(BH22="INT",_xll.qInterp(X23,AB22:AI22,AZ22:BG22),            INDEX(AZ22:BG22,MATCH(BH22,$AZ$12:$BG$12,0))))))</f>
        <v>5.4463367876013171</v>
      </c>
      <c r="BK22" s="408">
        <f t="shared" si="14"/>
        <v>-676747.82348872523</v>
      </c>
      <c r="BL22" s="414">
        <f t="shared" si="15"/>
        <v>0</v>
      </c>
      <c r="BM22" s="408">
        <f t="shared" si="16"/>
        <v>-676747.82348872523</v>
      </c>
    </row>
    <row r="23" spans="2:65">
      <c r="I23" s="153" t="s">
        <v>411</v>
      </c>
      <c r="J23" s="462" t="b">
        <f>FRM&lt;&gt;"OFF"</f>
        <v>1</v>
      </c>
      <c r="L23" s="537" t="s">
        <v>110</v>
      </c>
      <c r="M23" s="537" t="s">
        <v>154</v>
      </c>
      <c r="O23" s="138"/>
      <c r="P23" s="779">
        <v>41596</v>
      </c>
      <c r="Q23" s="780">
        <f t="shared" si="0"/>
        <v>92</v>
      </c>
      <c r="R23" s="776">
        <f>IF(P24,_xll.qDateYears(P23,P24,DCCfixed),0)</f>
        <v>0.25205479452054796</v>
      </c>
      <c r="S23" s="553">
        <v>0.87609331906754273</v>
      </c>
      <c r="T23" s="785"/>
      <c r="U23" s="409">
        <f t="shared" si="10"/>
        <v>664576.70980776346</v>
      </c>
      <c r="X23" s="363">
        <v>41596</v>
      </c>
      <c r="Y23" s="775">
        <f t="shared" si="1"/>
        <v>92</v>
      </c>
      <c r="Z23" s="776">
        <f>IF(X24,_xll.qDateYears(X23,X24,DCCfloat),0)</f>
        <v>0.25205479452054796</v>
      </c>
      <c r="AA23" s="553">
        <v>0.87609331906754273</v>
      </c>
      <c r="AB23" s="789">
        <f>IF($X23=0,0,      _xll.qDateNext($X23,AB$12,"M",FRM&lt;&gt;"Calypso",CCY))</f>
        <v>41597</v>
      </c>
      <c r="AC23" s="789">
        <f>IF($X23=0,0,      _xll.qDateNext($X23,AC$12,"M",FRM&lt;&gt;"Calypso",CCY))</f>
        <v>41626</v>
      </c>
      <c r="AD23" s="789">
        <f>IF($X23=0,0,      _xll.qDateNext($X23,AD$12,"M",FRM&lt;&gt;"Calypso",CCY))</f>
        <v>41659</v>
      </c>
      <c r="AE23" s="789">
        <f>IF($X23=0,0,      _xll.qDateNext($X23,AE$12,"M",FRM&lt;&gt;"Calypso",CCY))</f>
        <v>41688</v>
      </c>
      <c r="AF23" s="789">
        <f>IF($X23=0,0,      _xll.qDateNext($X23,AF$12,"M",FRM&lt;&gt;"Calypso",CCY))</f>
        <v>41716</v>
      </c>
      <c r="AG23" s="789">
        <f>IF($X23=0,0,      _xll.qDateNext($X23,AG$12,"M",FRM&lt;&gt;"Calypso",CCY))</f>
        <v>41751</v>
      </c>
      <c r="AH23" s="789">
        <f>IF($X23=0,0,      _xll.qDateNext($X23,AH$12,"M",FRM&lt;&gt;"Calypso",CCY))</f>
        <v>41778</v>
      </c>
      <c r="AI23" s="789">
        <f>IF($X23=0,0,      _xll.qDateNext($X23,AI$12,"M",FRM&lt;&gt;"Calypso",CCY))</f>
        <v>41961</v>
      </c>
      <c r="AJ23" s="529" t="str">
        <v/>
      </c>
      <c r="AK23" s="529" t="str">
        <v/>
      </c>
      <c r="AL23" s="529" t="str">
        <v/>
      </c>
      <c r="AM23" s="529" t="str">
        <v/>
      </c>
      <c r="AN23" s="529" t="str">
        <v/>
      </c>
      <c r="AO23" s="529" t="str">
        <v/>
      </c>
      <c r="AP23" s="529" t="str">
        <v/>
      </c>
      <c r="AQ23" s="529" t="str">
        <v/>
      </c>
      <c r="AR23" s="529">
        <v>5.1621321870088943</v>
      </c>
      <c r="AS23" s="529">
        <v>5.3158157481630441</v>
      </c>
      <c r="AT23" s="529">
        <f t="shared" si="11"/>
        <v>5.3965084574629234</v>
      </c>
      <c r="AU23" s="529">
        <v>5.4772011667628018</v>
      </c>
      <c r="AV23" s="529">
        <f t="shared" si="12"/>
        <v>5.5184239732441691</v>
      </c>
      <c r="AW23" s="529">
        <f t="shared" si="13"/>
        <v>5.5596467797255364</v>
      </c>
      <c r="AX23" s="529">
        <v>5.6008695862069047</v>
      </c>
      <c r="AY23" s="529">
        <v>5.7871628901258632</v>
      </c>
      <c r="AZ23" s="761">
        <f t="shared" si="2"/>
        <v>5.1621321870088943</v>
      </c>
      <c r="BA23" s="761">
        <f t="shared" si="3"/>
        <v>5.3158157481630441</v>
      </c>
      <c r="BB23" s="761">
        <f t="shared" si="4"/>
        <v>5.3965084574629234</v>
      </c>
      <c r="BC23" s="761">
        <f t="shared" si="5"/>
        <v>5.4772011667628018</v>
      </c>
      <c r="BD23" s="761">
        <f t="shared" si="6"/>
        <v>5.5184239732441691</v>
      </c>
      <c r="BE23" s="761">
        <f t="shared" si="7"/>
        <v>5.5596467797255364</v>
      </c>
      <c r="BF23" s="761">
        <f t="shared" si="8"/>
        <v>5.6008695862069047</v>
      </c>
      <c r="BG23" s="761">
        <f t="shared" si="9"/>
        <v>5.7871628901258632</v>
      </c>
      <c r="BH23" s="777" t="str">
        <v>3M</v>
      </c>
      <c r="BI23" s="755"/>
      <c r="BJ23" s="778">
        <f>IF(X24=0,0,           IF(ISNUMBER(BI23),BI23,               IF(ISTEXT(BI23),INDEX(AZ23:BG23,MATCH(BI23,$AZ$12:$BG$12,0)),             IF(BH23="INT",_xll.qInterp(X24,AB23:AI23,AZ23:BG23),            INDEX(AZ23:BG23,MATCH(BH23,$AZ$12:$BG$12,0))))))</f>
        <v>5.4772011667628018</v>
      </c>
      <c r="BK23" s="408">
        <f t="shared" si="14"/>
        <v>-678926.91461879434</v>
      </c>
      <c r="BL23" s="414">
        <f t="shared" si="15"/>
        <v>0</v>
      </c>
      <c r="BM23" s="408">
        <f t="shared" si="16"/>
        <v>-678926.91461879434</v>
      </c>
    </row>
    <row r="24" spans="2:65">
      <c r="D24" s="131" t="s">
        <v>145</v>
      </c>
      <c r="E24" s="130"/>
      <c r="F24" s="131" t="s">
        <v>152</v>
      </c>
      <c r="I24" s="153" t="s">
        <v>417</v>
      </c>
      <c r="J24" s="534" t="b">
        <f>FRM&lt;&gt;"CALYPSO"</f>
        <v>1</v>
      </c>
      <c r="K24" s="538"/>
      <c r="L24" s="539" t="s">
        <v>0</v>
      </c>
      <c r="M24" s="540">
        <f>J35/12</f>
        <v>30.416666666666668</v>
      </c>
      <c r="O24" s="138"/>
      <c r="P24" s="779">
        <v>41688</v>
      </c>
      <c r="Q24" s="780">
        <f t="shared" si="0"/>
        <v>90</v>
      </c>
      <c r="R24" s="776">
        <f>IF(P25,_xll.qDateYears(P24,P25,DCCfixed),0)</f>
        <v>0.24657534246575341</v>
      </c>
      <c r="S24" s="553">
        <v>0.86416307414117932</v>
      </c>
      <c r="T24" s="785"/>
      <c r="U24" s="409">
        <f t="shared" si="10"/>
        <v>671879.75057488179</v>
      </c>
      <c r="X24" s="363">
        <v>41688</v>
      </c>
      <c r="Y24" s="775">
        <f t="shared" si="1"/>
        <v>90</v>
      </c>
      <c r="Z24" s="776">
        <f>IF(X25,_xll.qDateYears(X24,X25,DCCfloat),0)</f>
        <v>0.24657534246575341</v>
      </c>
      <c r="AA24" s="553">
        <v>0.86416307414117932</v>
      </c>
      <c r="AB24" s="789">
        <f>IF($X24=0,0,      _xll.qDateNext($X24,AB$12,"M",FRM&lt;&gt;"Calypso",CCY))</f>
        <v>41689</v>
      </c>
      <c r="AC24" s="789">
        <f>IF($X24=0,0,      _xll.qDateNext($X24,AC$12,"M",FRM&lt;&gt;"Calypso",CCY))</f>
        <v>41716</v>
      </c>
      <c r="AD24" s="789">
        <f>IF($X24=0,0,      _xll.qDateNext($X24,AD$12,"M",FRM&lt;&gt;"Calypso",CCY))</f>
        <v>41751</v>
      </c>
      <c r="AE24" s="789">
        <f>IF($X24=0,0,      _xll.qDateNext($X24,AE$12,"M",FRM&lt;&gt;"Calypso",CCY))</f>
        <v>41778</v>
      </c>
      <c r="AF24" s="789">
        <f>IF($X24=0,0,      _xll.qDateNext($X24,AF$12,"M",FRM&lt;&gt;"Calypso",CCY))</f>
        <v>41808</v>
      </c>
      <c r="AG24" s="789">
        <f>IF($X24=0,0,      _xll.qDateNext($X24,AG$12,"M",FRM&lt;&gt;"Calypso",CCY))</f>
        <v>41838</v>
      </c>
      <c r="AH24" s="789">
        <f>IF($X24=0,0,      _xll.qDateNext($X24,AH$12,"M",FRM&lt;&gt;"Calypso",CCY))</f>
        <v>41869</v>
      </c>
      <c r="AI24" s="789">
        <f>IF($X24=0,0,      _xll.qDateNext($X24,AI$12,"M",FRM&lt;&gt;"Calypso",CCY))</f>
        <v>42053</v>
      </c>
      <c r="AJ24" s="529" t="str">
        <v/>
      </c>
      <c r="AK24" s="529" t="str">
        <v/>
      </c>
      <c r="AL24" s="529" t="str">
        <v/>
      </c>
      <c r="AM24" s="529" t="str">
        <v/>
      </c>
      <c r="AN24" s="529" t="str">
        <v/>
      </c>
      <c r="AO24" s="529" t="str">
        <v/>
      </c>
      <c r="AP24" s="529" t="str">
        <v/>
      </c>
      <c r="AQ24" s="529" t="str">
        <v/>
      </c>
      <c r="AR24" s="529">
        <v>5.1824423790685081</v>
      </c>
      <c r="AS24" s="529">
        <v>5.3443413619509119</v>
      </c>
      <c r="AT24" s="529">
        <f t="shared" si="11"/>
        <v>5.4257901102700608</v>
      </c>
      <c r="AU24" s="529">
        <v>5.5072388585892096</v>
      </c>
      <c r="AV24" s="529">
        <f t="shared" si="12"/>
        <v>5.5714772966545159</v>
      </c>
      <c r="AW24" s="529">
        <f t="shared" si="13"/>
        <v>5.6357157347198221</v>
      </c>
      <c r="AX24" s="529">
        <v>5.6999541727851275</v>
      </c>
      <c r="AY24" s="529">
        <v>5.8652048938546253</v>
      </c>
      <c r="AZ24" s="761">
        <f t="shared" si="2"/>
        <v>5.1824423790685081</v>
      </c>
      <c r="BA24" s="761">
        <f t="shared" si="3"/>
        <v>5.3443413619509119</v>
      </c>
      <c r="BB24" s="761">
        <f t="shared" si="4"/>
        <v>5.4257901102700608</v>
      </c>
      <c r="BC24" s="761">
        <f t="shared" si="5"/>
        <v>5.5072388585892096</v>
      </c>
      <c r="BD24" s="761">
        <f t="shared" si="6"/>
        <v>5.5714772966545159</v>
      </c>
      <c r="BE24" s="761">
        <f t="shared" si="7"/>
        <v>5.6357157347198221</v>
      </c>
      <c r="BF24" s="761">
        <f t="shared" si="8"/>
        <v>5.6999541727851275</v>
      </c>
      <c r="BG24" s="761">
        <f t="shared" si="9"/>
        <v>5.8652048938546253</v>
      </c>
      <c r="BH24" s="777" t="str">
        <v>3M</v>
      </c>
      <c r="BI24" s="755"/>
      <c r="BJ24" s="778">
        <f>IF(X25=0,0,           IF(ISNUMBER(BI24),BI24,               IF(ISTEXT(BI24),INDEX(AZ24:BG24,MATCH(BI24,$AZ$12:$BG$12,0)),             IF(BH24="INT",_xll.qInterp(X25,AB24:AI24,AZ24:BG24),            INDEX(AZ24:BG24,MATCH(BH24,$AZ$12:$BG$12,0))))))</f>
        <v>5.5072388585892096</v>
      </c>
      <c r="BK24" s="408">
        <f t="shared" si="14"/>
        <v>-690277.40731805179</v>
      </c>
      <c r="BL24" s="414">
        <f t="shared" si="15"/>
        <v>0</v>
      </c>
      <c r="BM24" s="408">
        <f t="shared" si="16"/>
        <v>-690277.40731805179</v>
      </c>
    </row>
    <row r="25" spans="2:65">
      <c r="B25" t="s">
        <v>144</v>
      </c>
      <c r="D25" s="120" t="s">
        <v>2</v>
      </c>
      <c r="F25" s="120" t="s">
        <v>2</v>
      </c>
      <c r="I25" s="153" t="s">
        <v>413</v>
      </c>
      <c r="J25" s="505">
        <f>INDEX(M24:M27,MATCH(FreqFloat,L24:L27,0))</f>
        <v>91.25</v>
      </c>
      <c r="K25" s="538" t="s">
        <v>414</v>
      </c>
      <c r="L25" s="539" t="s">
        <v>2</v>
      </c>
      <c r="M25" s="540">
        <f>$M$24*3</f>
        <v>91.25</v>
      </c>
      <c r="O25" s="138"/>
      <c r="P25" s="779">
        <v>41778</v>
      </c>
      <c r="Q25" s="780">
        <f t="shared" si="0"/>
        <v>0</v>
      </c>
      <c r="R25" s="776">
        <f>IF(P26,_xll.qDateYears(P25,P26,DCCfixed),0)</f>
        <v>0</v>
      </c>
      <c r="S25" s="553">
        <v>0.85258539665068522</v>
      </c>
      <c r="T25" s="785"/>
      <c r="U25" s="409">
        <f t="shared" si="10"/>
        <v>50657273.669040643</v>
      </c>
      <c r="X25" s="363">
        <v>41778</v>
      </c>
      <c r="Y25" s="775">
        <f t="shared" si="1"/>
        <v>0</v>
      </c>
      <c r="Z25" s="776">
        <f>IF(X26,_xll.qDateYears(X25,X26,DCCfloat),0)</f>
        <v>0</v>
      </c>
      <c r="AA25" s="553">
        <v>0.85258539665068522</v>
      </c>
      <c r="AB25" s="789">
        <f>IF($X25=0,0,      _xll.qDateNext($X25,AB$12,"M",FRM&lt;&gt;"Calypso",CCY))</f>
        <v>41779</v>
      </c>
      <c r="AC25" s="789">
        <f>IF($X25=0,0,      _xll.qDateNext($X25,AC$12,"M",FRM&lt;&gt;"Calypso",CCY))</f>
        <v>41809</v>
      </c>
      <c r="AD25" s="789">
        <f>IF($X25=0,0,      _xll.qDateNext($X25,AD$12,"M",FRM&lt;&gt;"Calypso",CCY))</f>
        <v>41841</v>
      </c>
      <c r="AE25" s="789">
        <f>IF($X25=0,0,      _xll.qDateNext($X25,AE$12,"M",FRM&lt;&gt;"Calypso",CCY))</f>
        <v>41870</v>
      </c>
      <c r="AF25" s="789">
        <f>IF($X25=0,0,      _xll.qDateNext($X25,AF$12,"M",FRM&lt;&gt;"Calypso",CCY))</f>
        <v>41901</v>
      </c>
      <c r="AG25" s="789">
        <f>IF($X25=0,0,      _xll.qDateNext($X25,AG$12,"M",FRM&lt;&gt;"Calypso",CCY))</f>
        <v>41932</v>
      </c>
      <c r="AH25" s="789">
        <f>IF($X25=0,0,      _xll.qDateNext($X25,AH$12,"M",FRM&lt;&gt;"Calypso",CCY))</f>
        <v>41962</v>
      </c>
      <c r="AI25" s="789">
        <f>IF($X25=0,0,      _xll.qDateNext($X25,AI$12,"M",FRM&lt;&gt;"Calypso",CCY))</f>
        <v>42143</v>
      </c>
      <c r="AJ25" s="529" t="str">
        <v/>
      </c>
      <c r="AK25" s="529" t="str">
        <v/>
      </c>
      <c r="AL25" s="529" t="str">
        <v/>
      </c>
      <c r="AM25" s="529" t="str">
        <v/>
      </c>
      <c r="AN25" s="529" t="str">
        <v/>
      </c>
      <c r="AO25" s="529" t="str">
        <v/>
      </c>
      <c r="AP25" s="529" t="str">
        <v/>
      </c>
      <c r="AQ25" s="529" t="str">
        <v/>
      </c>
      <c r="AR25" s="529">
        <v>5.3578837115402234</v>
      </c>
      <c r="AS25" s="529">
        <v>5.511435355240593</v>
      </c>
      <c r="AT25" s="529">
        <f t="shared" si="11"/>
        <v>5.5934206918137619</v>
      </c>
      <c r="AU25" s="529">
        <v>5.6754060283869299</v>
      </c>
      <c r="AV25" s="529">
        <f t="shared" si="12"/>
        <v>5.72057499284473</v>
      </c>
      <c r="AW25" s="529">
        <f t="shared" si="13"/>
        <v>5.7657439573025302</v>
      </c>
      <c r="AX25" s="529">
        <v>5.8109129217603304</v>
      </c>
      <c r="AY25" s="529">
        <v>5.9471286843388427</v>
      </c>
      <c r="AZ25" s="761">
        <f t="shared" si="2"/>
        <v>5.3578837115402234</v>
      </c>
      <c r="BA25" s="761">
        <f t="shared" si="3"/>
        <v>5.511435355240593</v>
      </c>
      <c r="BB25" s="761">
        <f t="shared" si="4"/>
        <v>5.5934206918137619</v>
      </c>
      <c r="BC25" s="761">
        <f t="shared" si="5"/>
        <v>5.6754060283869299</v>
      </c>
      <c r="BD25" s="761">
        <f t="shared" si="6"/>
        <v>5.72057499284473</v>
      </c>
      <c r="BE25" s="761">
        <f t="shared" si="7"/>
        <v>5.7657439573025302</v>
      </c>
      <c r="BF25" s="761">
        <f t="shared" si="8"/>
        <v>5.8109129217603304</v>
      </c>
      <c r="BG25" s="761">
        <f t="shared" si="9"/>
        <v>5.9471286843388427</v>
      </c>
      <c r="BH25" s="777">
        <v>0</v>
      </c>
      <c r="BI25" s="755"/>
      <c r="BJ25" s="778">
        <f>IF(X26=0,0,           IF(ISNUMBER(BI25),BI25,               IF(ISTEXT(BI25),INDEX(AZ25:BG25,MATCH(BI25,$AZ$12:$BG$12,0)),             IF(BH25="INT",_xll.qInterp(X26,AB25:AI25,AZ25:BG25),            INDEX(AZ25:BG25,MATCH(BH25,$AZ$12:$BG$12,0))))))</f>
        <v>0</v>
      </c>
      <c r="BK25" s="408">
        <f t="shared" si="14"/>
        <v>-678974.65379866969</v>
      </c>
      <c r="BL25" s="414">
        <f t="shared" si="15"/>
        <v>0</v>
      </c>
      <c r="BM25" s="408">
        <f t="shared" si="16"/>
        <v>-50678974.65379867</v>
      </c>
    </row>
    <row r="26" spans="2:65">
      <c r="L26" s="539" t="s">
        <v>5</v>
      </c>
      <c r="M26" s="540">
        <f>$M$24*6</f>
        <v>182.5</v>
      </c>
      <c r="O26" s="138"/>
      <c r="P26" s="779">
        <v>0</v>
      </c>
      <c r="Q26" s="780">
        <f t="shared" si="0"/>
        <v>0</v>
      </c>
      <c r="R26" s="776">
        <f>IF(P27,_xll.qDateYears(P26,P27,DCCfixed),0)</f>
        <v>0</v>
      </c>
      <c r="S26" s="553">
        <v>0</v>
      </c>
      <c r="T26" s="785"/>
      <c r="U26" s="409">
        <f t="shared" si="10"/>
        <v>0</v>
      </c>
      <c r="X26" s="363">
        <v>0</v>
      </c>
      <c r="Y26" s="775">
        <f t="shared" si="1"/>
        <v>0</v>
      </c>
      <c r="Z26" s="776">
        <f>IF(X27,_xll.qDateYears(X26,X27,DCCfloat),0)</f>
        <v>0</v>
      </c>
      <c r="AA26" s="553">
        <v>0</v>
      </c>
      <c r="AB26" s="789">
        <f>IF($X26=0,0,      _xll.qDateNext($X26,AB$12,"M",FRM&lt;&gt;"Calypso",CCY))</f>
        <v>0</v>
      </c>
      <c r="AC26" s="789">
        <f>IF($X26=0,0,      _xll.qDateNext($X26,AC$12,"M",FRM&lt;&gt;"Calypso",CCY))</f>
        <v>0</v>
      </c>
      <c r="AD26" s="789">
        <f>IF($X26=0,0,      _xll.qDateNext($X26,AD$12,"M",FRM&lt;&gt;"Calypso",CCY))</f>
        <v>0</v>
      </c>
      <c r="AE26" s="789">
        <f>IF($X26=0,0,      _xll.qDateNext($X26,AE$12,"M",FRM&lt;&gt;"Calypso",CCY))</f>
        <v>0</v>
      </c>
      <c r="AF26" s="789">
        <f>IF($X26=0,0,      _xll.qDateNext($X26,AF$12,"M",FRM&lt;&gt;"Calypso",CCY))</f>
        <v>0</v>
      </c>
      <c r="AG26" s="789">
        <f>IF($X26=0,0,      _xll.qDateNext($X26,AG$12,"M",FRM&lt;&gt;"Calypso",CCY))</f>
        <v>0</v>
      </c>
      <c r="AH26" s="789">
        <f>IF($X26=0,0,      _xll.qDateNext($X26,AH$12,"M",FRM&lt;&gt;"Calypso",CCY))</f>
        <v>0</v>
      </c>
      <c r="AI26" s="789">
        <f>IF($X26=0,0,      _xll.qDateNext($X26,AI$12,"M",FRM&lt;&gt;"Calypso",CCY))</f>
        <v>0</v>
      </c>
      <c r="AJ26" s="529" t="str">
        <v/>
      </c>
      <c r="AK26" s="529" t="str">
        <v/>
      </c>
      <c r="AL26" s="529" t="str">
        <v/>
      </c>
      <c r="AM26" s="529" t="str">
        <v/>
      </c>
      <c r="AN26" s="529" t="str">
        <v/>
      </c>
      <c r="AO26" s="529" t="str">
        <v/>
      </c>
      <c r="AP26" s="529" t="str">
        <v/>
      </c>
      <c r="AQ26" s="529" t="str">
        <v/>
      </c>
      <c r="AR26" s="529">
        <v>0</v>
      </c>
      <c r="AS26" s="529">
        <v>0</v>
      </c>
      <c r="AT26" s="529">
        <f t="shared" si="11"/>
        <v>0</v>
      </c>
      <c r="AU26" s="529">
        <v>0</v>
      </c>
      <c r="AV26" s="529">
        <f t="shared" si="12"/>
        <v>0</v>
      </c>
      <c r="AW26" s="529">
        <f t="shared" si="13"/>
        <v>0</v>
      </c>
      <c r="AX26" s="529">
        <v>0</v>
      </c>
      <c r="AY26" s="529">
        <v>0</v>
      </c>
      <c r="AZ26" s="761">
        <f t="shared" si="2"/>
        <v>0</v>
      </c>
      <c r="BA26" s="761">
        <f t="shared" si="3"/>
        <v>0</v>
      </c>
      <c r="BB26" s="761">
        <f t="shared" si="4"/>
        <v>0</v>
      </c>
      <c r="BC26" s="761">
        <f t="shared" si="5"/>
        <v>0</v>
      </c>
      <c r="BD26" s="761">
        <f t="shared" si="6"/>
        <v>0</v>
      </c>
      <c r="BE26" s="761">
        <f t="shared" si="7"/>
        <v>0</v>
      </c>
      <c r="BF26" s="761">
        <f t="shared" si="8"/>
        <v>0</v>
      </c>
      <c r="BG26" s="761">
        <f t="shared" si="9"/>
        <v>0</v>
      </c>
      <c r="BH26" s="777">
        <v>0</v>
      </c>
      <c r="BI26" s="755"/>
      <c r="BJ26" s="778">
        <f>IF(X27=0,0,           IF(ISNUMBER(BI26),BI26,               IF(ISTEXT(BI26),INDEX(AZ26:BG26,MATCH(BI26,$AZ$12:$BG$12,0)),             IF(BH26="INT",_xll.qInterp(X27,AB26:AI26,AZ26:BG26),            INDEX(AZ26:BG26,MATCH(BH26,$AZ$12:$BG$12,0))))))</f>
        <v>0</v>
      </c>
      <c r="BK26" s="408">
        <f t="shared" si="14"/>
        <v>0</v>
      </c>
      <c r="BL26" s="414">
        <f t="shared" si="15"/>
        <v>0</v>
      </c>
      <c r="BM26" s="408">
        <f t="shared" si="16"/>
        <v>0</v>
      </c>
    </row>
    <row r="27" spans="2:65">
      <c r="B27" t="s">
        <v>161</v>
      </c>
      <c r="D27" s="120" t="s">
        <v>148</v>
      </c>
      <c r="F27" s="140" t="s">
        <v>148</v>
      </c>
      <c r="L27" s="539" t="s">
        <v>423</v>
      </c>
      <c r="M27" s="540">
        <f>$M$24*12</f>
        <v>365</v>
      </c>
      <c r="O27" s="138"/>
      <c r="P27" s="779">
        <v>0</v>
      </c>
      <c r="Q27" s="780">
        <f t="shared" si="0"/>
        <v>0</v>
      </c>
      <c r="R27" s="776">
        <f>IF(P28,_xll.qDateYears(P27,P28,DCCfixed),0)</f>
        <v>0</v>
      </c>
      <c r="S27" s="553">
        <v>0</v>
      </c>
      <c r="T27" s="785"/>
      <c r="U27" s="409">
        <f t="shared" si="10"/>
        <v>0</v>
      </c>
      <c r="X27" s="363">
        <v>0</v>
      </c>
      <c r="Y27" s="775">
        <f t="shared" si="1"/>
        <v>0</v>
      </c>
      <c r="Z27" s="776">
        <f>IF(X28,_xll.qDateYears(X27,X28,DCCfloat),0)</f>
        <v>0</v>
      </c>
      <c r="AA27" s="553">
        <v>0</v>
      </c>
      <c r="AB27" s="789">
        <f>IF($X27=0,0,      _xll.qDateNext($X27,AB$12,"M",FRM&lt;&gt;"Calypso",CCY))</f>
        <v>0</v>
      </c>
      <c r="AC27" s="789">
        <f>IF($X27=0,0,      _xll.qDateNext($X27,AC$12,"M",FRM&lt;&gt;"Calypso",CCY))</f>
        <v>0</v>
      </c>
      <c r="AD27" s="789">
        <f>IF($X27=0,0,      _xll.qDateNext($X27,AD$12,"M",FRM&lt;&gt;"Calypso",CCY))</f>
        <v>0</v>
      </c>
      <c r="AE27" s="789">
        <f>IF($X27=0,0,      _xll.qDateNext($X27,AE$12,"M",FRM&lt;&gt;"Calypso",CCY))</f>
        <v>0</v>
      </c>
      <c r="AF27" s="789">
        <f>IF($X27=0,0,      _xll.qDateNext($X27,AF$12,"M",FRM&lt;&gt;"Calypso",CCY))</f>
        <v>0</v>
      </c>
      <c r="AG27" s="789">
        <f>IF($X27=0,0,      _xll.qDateNext($X27,AG$12,"M",FRM&lt;&gt;"Calypso",CCY))</f>
        <v>0</v>
      </c>
      <c r="AH27" s="789">
        <f>IF($X27=0,0,      _xll.qDateNext($X27,AH$12,"M",FRM&lt;&gt;"Calypso",CCY))</f>
        <v>0</v>
      </c>
      <c r="AI27" s="789">
        <f>IF($X27=0,0,      _xll.qDateNext($X27,AI$12,"M",FRM&lt;&gt;"Calypso",CCY))</f>
        <v>0</v>
      </c>
      <c r="AJ27" s="529" t="str">
        <v/>
      </c>
      <c r="AK27" s="529" t="str">
        <v/>
      </c>
      <c r="AL27" s="529" t="str">
        <v/>
      </c>
      <c r="AM27" s="529" t="str">
        <v/>
      </c>
      <c r="AN27" s="529" t="str">
        <v/>
      </c>
      <c r="AO27" s="529" t="str">
        <v/>
      </c>
      <c r="AP27" s="529" t="str">
        <v/>
      </c>
      <c r="AQ27" s="529" t="str">
        <v/>
      </c>
      <c r="AR27" s="529">
        <v>0</v>
      </c>
      <c r="AS27" s="529">
        <v>0</v>
      </c>
      <c r="AT27" s="529">
        <f t="shared" si="11"/>
        <v>0</v>
      </c>
      <c r="AU27" s="529">
        <v>0</v>
      </c>
      <c r="AV27" s="529">
        <f t="shared" si="12"/>
        <v>0</v>
      </c>
      <c r="AW27" s="529">
        <f t="shared" si="13"/>
        <v>0</v>
      </c>
      <c r="AX27" s="529">
        <v>0</v>
      </c>
      <c r="AY27" s="529">
        <v>0</v>
      </c>
      <c r="AZ27" s="761">
        <f t="shared" si="2"/>
        <v>0</v>
      </c>
      <c r="BA27" s="761">
        <f t="shared" si="3"/>
        <v>0</v>
      </c>
      <c r="BB27" s="761">
        <f t="shared" si="4"/>
        <v>0</v>
      </c>
      <c r="BC27" s="761">
        <f t="shared" si="5"/>
        <v>0</v>
      </c>
      <c r="BD27" s="761">
        <f t="shared" si="6"/>
        <v>0</v>
      </c>
      <c r="BE27" s="761">
        <f t="shared" si="7"/>
        <v>0</v>
      </c>
      <c r="BF27" s="761">
        <f t="shared" si="8"/>
        <v>0</v>
      </c>
      <c r="BG27" s="761">
        <f t="shared" si="9"/>
        <v>0</v>
      </c>
      <c r="BH27" s="777">
        <v>0</v>
      </c>
      <c r="BI27" s="755"/>
      <c r="BJ27" s="778">
        <f>IF(X28=0,0,           IF(ISNUMBER(BI27),BI27,               IF(ISTEXT(BI27),INDEX(AZ27:BG27,MATCH(BI27,$AZ$12:$BG$12,0)),             IF(BH27="INT",_xll.qInterp(X28,AB27:AI27,AZ27:BG27),            INDEX(AZ27:BG27,MATCH(BH27,$AZ$12:$BG$12,0))))))</f>
        <v>0</v>
      </c>
      <c r="BK27" s="408">
        <f t="shared" si="14"/>
        <v>0</v>
      </c>
      <c r="BL27" s="414">
        <f t="shared" si="15"/>
        <v>0</v>
      </c>
      <c r="BM27" s="408">
        <f t="shared" si="16"/>
        <v>0</v>
      </c>
    </row>
    <row r="28" spans="2:65">
      <c r="I28" s="536" t="s">
        <v>415</v>
      </c>
      <c r="O28" s="138"/>
      <c r="P28" s="779">
        <v>0</v>
      </c>
      <c r="Q28" s="780">
        <f t="shared" si="0"/>
        <v>0</v>
      </c>
      <c r="R28" s="776">
        <f>IF(P29,_xll.qDateYears(P28,P29,DCCfixed),0)</f>
        <v>0</v>
      </c>
      <c r="S28" s="553">
        <v>0</v>
      </c>
      <c r="T28" s="785"/>
      <c r="U28" s="409">
        <f t="shared" si="10"/>
        <v>0</v>
      </c>
      <c r="X28" s="363">
        <v>0</v>
      </c>
      <c r="Y28" s="775">
        <f t="shared" si="1"/>
        <v>0</v>
      </c>
      <c r="Z28" s="776">
        <f>IF(X29,_xll.qDateYears(X28,X29,DCCfloat),0)</f>
        <v>0</v>
      </c>
      <c r="AA28" s="553">
        <v>0</v>
      </c>
      <c r="AB28" s="789">
        <f>IF($X28=0,0,      _xll.qDateNext($X28,AB$12,"M",FRM&lt;&gt;"Calypso",CCY))</f>
        <v>0</v>
      </c>
      <c r="AC28" s="789">
        <f>IF($X28=0,0,      _xll.qDateNext($X28,AC$12,"M",FRM&lt;&gt;"Calypso",CCY))</f>
        <v>0</v>
      </c>
      <c r="AD28" s="789">
        <f>IF($X28=0,0,      _xll.qDateNext($X28,AD$12,"M",FRM&lt;&gt;"Calypso",CCY))</f>
        <v>0</v>
      </c>
      <c r="AE28" s="789">
        <f>IF($X28=0,0,      _xll.qDateNext($X28,AE$12,"M",FRM&lt;&gt;"Calypso",CCY))</f>
        <v>0</v>
      </c>
      <c r="AF28" s="789">
        <f>IF($X28=0,0,      _xll.qDateNext($X28,AF$12,"M",FRM&lt;&gt;"Calypso",CCY))</f>
        <v>0</v>
      </c>
      <c r="AG28" s="789">
        <f>IF($X28=0,0,      _xll.qDateNext($X28,AG$12,"M",FRM&lt;&gt;"Calypso",CCY))</f>
        <v>0</v>
      </c>
      <c r="AH28" s="789">
        <f>IF($X28=0,0,      _xll.qDateNext($X28,AH$12,"M",FRM&lt;&gt;"Calypso",CCY))</f>
        <v>0</v>
      </c>
      <c r="AI28" s="789">
        <f>IF($X28=0,0,      _xll.qDateNext($X28,AI$12,"M",FRM&lt;&gt;"Calypso",CCY))</f>
        <v>0</v>
      </c>
      <c r="AJ28" s="529" t="str">
        <v/>
      </c>
      <c r="AK28" s="529" t="str">
        <v/>
      </c>
      <c r="AL28" s="529" t="str">
        <v/>
      </c>
      <c r="AM28" s="529" t="str">
        <v/>
      </c>
      <c r="AN28" s="529" t="str">
        <v/>
      </c>
      <c r="AO28" s="529" t="str">
        <v/>
      </c>
      <c r="AP28" s="529" t="str">
        <v/>
      </c>
      <c r="AQ28" s="529" t="str">
        <v/>
      </c>
      <c r="AR28" s="529">
        <v>0</v>
      </c>
      <c r="AS28" s="529">
        <v>0</v>
      </c>
      <c r="AT28" s="529">
        <f t="shared" si="11"/>
        <v>0</v>
      </c>
      <c r="AU28" s="529">
        <v>0</v>
      </c>
      <c r="AV28" s="529">
        <f t="shared" si="12"/>
        <v>0</v>
      </c>
      <c r="AW28" s="529">
        <f t="shared" si="13"/>
        <v>0</v>
      </c>
      <c r="AX28" s="529">
        <v>0</v>
      </c>
      <c r="AY28" s="529">
        <v>0</v>
      </c>
      <c r="AZ28" s="761">
        <f t="shared" si="2"/>
        <v>0</v>
      </c>
      <c r="BA28" s="761">
        <f t="shared" si="3"/>
        <v>0</v>
      </c>
      <c r="BB28" s="761">
        <f t="shared" si="4"/>
        <v>0</v>
      </c>
      <c r="BC28" s="761">
        <f t="shared" si="5"/>
        <v>0</v>
      </c>
      <c r="BD28" s="761">
        <f t="shared" si="6"/>
        <v>0</v>
      </c>
      <c r="BE28" s="761">
        <f t="shared" si="7"/>
        <v>0</v>
      </c>
      <c r="BF28" s="761">
        <f t="shared" si="8"/>
        <v>0</v>
      </c>
      <c r="BG28" s="761">
        <f t="shared" si="9"/>
        <v>0</v>
      </c>
      <c r="BH28" s="777">
        <v>0</v>
      </c>
      <c r="BI28" s="755"/>
      <c r="BJ28" s="778">
        <f>IF(X29=0,0,           IF(ISNUMBER(BI28),BI28,               IF(ISTEXT(BI28),INDEX(AZ28:BG28,MATCH(BI28,$AZ$12:$BG$12,0)),             IF(BH28="INT",_xll.qInterp(X29,AB28:AI28,AZ28:BG28),            INDEX(AZ28:BG28,MATCH(BH28,$AZ$12:$BG$12,0))))))</f>
        <v>0</v>
      </c>
      <c r="BK28" s="408">
        <f t="shared" si="14"/>
        <v>0</v>
      </c>
      <c r="BL28" s="414">
        <f t="shared" si="15"/>
        <v>0</v>
      </c>
      <c r="BM28" s="408">
        <f t="shared" si="16"/>
        <v>0</v>
      </c>
    </row>
    <row r="29" spans="2:65">
      <c r="B29" t="s">
        <v>155</v>
      </c>
      <c r="D29" s="120" t="s">
        <v>156</v>
      </c>
      <c r="F29" s="120" t="s">
        <v>156</v>
      </c>
      <c r="I29" s="153" t="s">
        <v>157</v>
      </c>
      <c r="J29" s="154">
        <f>COUNTIF(P13:P262,"&gt;0")</f>
        <v>13</v>
      </c>
      <c r="O29" s="138"/>
      <c r="P29" s="779">
        <v>0</v>
      </c>
      <c r="Q29" s="780">
        <f t="shared" si="0"/>
        <v>0</v>
      </c>
      <c r="R29" s="776">
        <f>IF(P30,_xll.qDateYears(P29,P30,DCCfixed),0)</f>
        <v>0</v>
      </c>
      <c r="S29" s="553">
        <v>0</v>
      </c>
      <c r="T29" s="785"/>
      <c r="U29" s="409">
        <f t="shared" si="10"/>
        <v>0</v>
      </c>
      <c r="X29" s="363">
        <v>0</v>
      </c>
      <c r="Y29" s="775">
        <f t="shared" si="1"/>
        <v>0</v>
      </c>
      <c r="Z29" s="776">
        <f>IF(X30,_xll.qDateYears(X29,X30,DCCfloat),0)</f>
        <v>0</v>
      </c>
      <c r="AA29" s="553">
        <v>0</v>
      </c>
      <c r="AB29" s="789">
        <f>IF($X29=0,0,      _xll.qDateNext($X29,AB$12,"M",FRM&lt;&gt;"Calypso",CCY))</f>
        <v>0</v>
      </c>
      <c r="AC29" s="789">
        <f>IF($X29=0,0,      _xll.qDateNext($X29,AC$12,"M",FRM&lt;&gt;"Calypso",CCY))</f>
        <v>0</v>
      </c>
      <c r="AD29" s="789">
        <f>IF($X29=0,0,      _xll.qDateNext($X29,AD$12,"M",FRM&lt;&gt;"Calypso",CCY))</f>
        <v>0</v>
      </c>
      <c r="AE29" s="789">
        <f>IF($X29=0,0,      _xll.qDateNext($X29,AE$12,"M",FRM&lt;&gt;"Calypso",CCY))</f>
        <v>0</v>
      </c>
      <c r="AF29" s="789">
        <f>IF($X29=0,0,      _xll.qDateNext($X29,AF$12,"M",FRM&lt;&gt;"Calypso",CCY))</f>
        <v>0</v>
      </c>
      <c r="AG29" s="789">
        <f>IF($X29=0,0,      _xll.qDateNext($X29,AG$12,"M",FRM&lt;&gt;"Calypso",CCY))</f>
        <v>0</v>
      </c>
      <c r="AH29" s="789">
        <f>IF($X29=0,0,      _xll.qDateNext($X29,AH$12,"M",FRM&lt;&gt;"Calypso",CCY))</f>
        <v>0</v>
      </c>
      <c r="AI29" s="789">
        <f>IF($X29=0,0,      _xll.qDateNext($X29,AI$12,"M",FRM&lt;&gt;"Calypso",CCY))</f>
        <v>0</v>
      </c>
      <c r="AJ29" s="529" t="str">
        <v/>
      </c>
      <c r="AK29" s="529" t="str">
        <v/>
      </c>
      <c r="AL29" s="529" t="str">
        <v/>
      </c>
      <c r="AM29" s="529" t="str">
        <v/>
      </c>
      <c r="AN29" s="529" t="str">
        <v/>
      </c>
      <c r="AO29" s="529" t="str">
        <v/>
      </c>
      <c r="AP29" s="529" t="str">
        <v/>
      </c>
      <c r="AQ29" s="529" t="str">
        <v/>
      </c>
      <c r="AR29" s="529">
        <v>0</v>
      </c>
      <c r="AS29" s="529">
        <v>0</v>
      </c>
      <c r="AT29" s="529">
        <f t="shared" si="11"/>
        <v>0</v>
      </c>
      <c r="AU29" s="529">
        <v>0</v>
      </c>
      <c r="AV29" s="529">
        <f t="shared" si="12"/>
        <v>0</v>
      </c>
      <c r="AW29" s="529">
        <f t="shared" si="13"/>
        <v>0</v>
      </c>
      <c r="AX29" s="529">
        <v>0</v>
      </c>
      <c r="AY29" s="529">
        <v>0</v>
      </c>
      <c r="AZ29" s="761">
        <f t="shared" si="2"/>
        <v>0</v>
      </c>
      <c r="BA29" s="761">
        <f t="shared" si="3"/>
        <v>0</v>
      </c>
      <c r="BB29" s="761">
        <f t="shared" si="4"/>
        <v>0</v>
      </c>
      <c r="BC29" s="761">
        <f t="shared" si="5"/>
        <v>0</v>
      </c>
      <c r="BD29" s="761">
        <f t="shared" si="6"/>
        <v>0</v>
      </c>
      <c r="BE29" s="761">
        <f t="shared" si="7"/>
        <v>0</v>
      </c>
      <c r="BF29" s="761">
        <f t="shared" si="8"/>
        <v>0</v>
      </c>
      <c r="BG29" s="761">
        <f t="shared" si="9"/>
        <v>0</v>
      </c>
      <c r="BH29" s="777">
        <v>0</v>
      </c>
      <c r="BI29" s="755"/>
      <c r="BJ29" s="778">
        <f>IF(X30=0,0,           IF(ISNUMBER(BI29),BI29,               IF(ISTEXT(BI29),INDEX(AZ29:BG29,MATCH(BI29,$AZ$12:$BG$12,0)),             IF(BH29="INT",_xll.qInterp(X30,AB29:AI29,AZ29:BG29),            INDEX(AZ29:BG29,MATCH(BH29,$AZ$12:$BG$12,0))))))</f>
        <v>0</v>
      </c>
      <c r="BK29" s="408">
        <f t="shared" si="14"/>
        <v>0</v>
      </c>
      <c r="BL29" s="414">
        <f t="shared" si="15"/>
        <v>0</v>
      </c>
      <c r="BM29" s="408">
        <f t="shared" si="16"/>
        <v>0</v>
      </c>
    </row>
    <row r="30" spans="2:65">
      <c r="I30" s="153" t="s">
        <v>164</v>
      </c>
      <c r="J30" s="535">
        <f>SUMPRODUCT(AA13:AA262,BK13:BK262)+SUMPRODUCT(AA13:AA262,BL13:BL262)+SUMPRODUCT(S13:S262,T13:T262) - J15</f>
        <v>-7364757.9899096461</v>
      </c>
      <c r="K30" s="153">
        <f>-J30/Face*1000000/U7/100</f>
        <v>5.3312197599963449</v>
      </c>
      <c r="O30" s="138"/>
      <c r="P30" s="779">
        <v>0</v>
      </c>
      <c r="Q30" s="780">
        <f t="shared" si="0"/>
        <v>0</v>
      </c>
      <c r="R30" s="776">
        <f>IF(P31,_xll.qDateYears(P30,P31,DCCfixed),0)</f>
        <v>0</v>
      </c>
      <c r="S30" s="553">
        <v>0</v>
      </c>
      <c r="T30" s="785"/>
      <c r="U30" s="409">
        <f t="shared" si="10"/>
        <v>0</v>
      </c>
      <c r="X30" s="363">
        <v>0</v>
      </c>
      <c r="Y30" s="775">
        <f t="shared" si="1"/>
        <v>0</v>
      </c>
      <c r="Z30" s="776">
        <f>IF(X31,_xll.qDateYears(X30,X31,DCCfloat),0)</f>
        <v>0</v>
      </c>
      <c r="AA30" s="553">
        <v>0</v>
      </c>
      <c r="AB30" s="789">
        <f>IF($X30=0,0,      _xll.qDateNext($X30,AB$12,"M",FRM&lt;&gt;"Calypso",CCY))</f>
        <v>0</v>
      </c>
      <c r="AC30" s="789">
        <f>IF($X30=0,0,      _xll.qDateNext($X30,AC$12,"M",FRM&lt;&gt;"Calypso",CCY))</f>
        <v>0</v>
      </c>
      <c r="AD30" s="789">
        <f>IF($X30=0,0,      _xll.qDateNext($X30,AD$12,"M",FRM&lt;&gt;"Calypso",CCY))</f>
        <v>0</v>
      </c>
      <c r="AE30" s="789">
        <f>IF($X30=0,0,      _xll.qDateNext($X30,AE$12,"M",FRM&lt;&gt;"Calypso",CCY))</f>
        <v>0</v>
      </c>
      <c r="AF30" s="789">
        <f>IF($X30=0,0,      _xll.qDateNext($X30,AF$12,"M",FRM&lt;&gt;"Calypso",CCY))</f>
        <v>0</v>
      </c>
      <c r="AG30" s="789">
        <f>IF($X30=0,0,      _xll.qDateNext($X30,AG$12,"M",FRM&lt;&gt;"Calypso",CCY))</f>
        <v>0</v>
      </c>
      <c r="AH30" s="789">
        <f>IF($X30=0,0,      _xll.qDateNext($X30,AH$12,"M",FRM&lt;&gt;"Calypso",CCY))</f>
        <v>0</v>
      </c>
      <c r="AI30" s="789">
        <f>IF($X30=0,0,      _xll.qDateNext($X30,AI$12,"M",FRM&lt;&gt;"Calypso",CCY))</f>
        <v>0</v>
      </c>
      <c r="AJ30" s="529" t="str">
        <v/>
      </c>
      <c r="AK30" s="529" t="str">
        <v/>
      </c>
      <c r="AL30" s="529" t="str">
        <v/>
      </c>
      <c r="AM30" s="529" t="str">
        <v/>
      </c>
      <c r="AN30" s="529" t="str">
        <v/>
      </c>
      <c r="AO30" s="529" t="str">
        <v/>
      </c>
      <c r="AP30" s="529" t="str">
        <v/>
      </c>
      <c r="AQ30" s="529" t="str">
        <v/>
      </c>
      <c r="AR30" s="529">
        <v>0</v>
      </c>
      <c r="AS30" s="529">
        <v>0</v>
      </c>
      <c r="AT30" s="529">
        <f t="shared" si="11"/>
        <v>0</v>
      </c>
      <c r="AU30" s="529">
        <v>0</v>
      </c>
      <c r="AV30" s="529">
        <f t="shared" si="12"/>
        <v>0</v>
      </c>
      <c r="AW30" s="529">
        <f t="shared" si="13"/>
        <v>0</v>
      </c>
      <c r="AX30" s="529">
        <v>0</v>
      </c>
      <c r="AY30" s="529">
        <v>0</v>
      </c>
      <c r="AZ30" s="761">
        <f t="shared" si="2"/>
        <v>0</v>
      </c>
      <c r="BA30" s="761">
        <f t="shared" si="3"/>
        <v>0</v>
      </c>
      <c r="BB30" s="761">
        <f t="shared" si="4"/>
        <v>0</v>
      </c>
      <c r="BC30" s="761">
        <f t="shared" si="5"/>
        <v>0</v>
      </c>
      <c r="BD30" s="761">
        <f t="shared" si="6"/>
        <v>0</v>
      </c>
      <c r="BE30" s="761">
        <f t="shared" si="7"/>
        <v>0</v>
      </c>
      <c r="BF30" s="761">
        <f t="shared" si="8"/>
        <v>0</v>
      </c>
      <c r="BG30" s="761">
        <f t="shared" si="9"/>
        <v>0</v>
      </c>
      <c r="BH30" s="777">
        <v>0</v>
      </c>
      <c r="BI30" s="755"/>
      <c r="BJ30" s="778">
        <f>IF(X31=0,0,           IF(ISNUMBER(BI30),BI30,               IF(ISTEXT(BI30),INDEX(AZ30:BG30,MATCH(BI30,$AZ$12:$BG$12,0)),             IF(BH30="INT",_xll.qInterp(X31,AB30:AI30,AZ30:BG30),            INDEX(AZ30:BG30,MATCH(BH30,$AZ$12:$BG$12,0))))))</f>
        <v>0</v>
      </c>
      <c r="BK30" s="408">
        <f t="shared" si="14"/>
        <v>0</v>
      </c>
      <c r="BL30" s="414">
        <f t="shared" si="15"/>
        <v>0</v>
      </c>
      <c r="BM30" s="408">
        <f t="shared" si="16"/>
        <v>0</v>
      </c>
    </row>
    <row r="31" spans="2:65">
      <c r="O31" s="138"/>
      <c r="P31" s="779">
        <v>0</v>
      </c>
      <c r="Q31" s="780">
        <f t="shared" si="0"/>
        <v>0</v>
      </c>
      <c r="R31" s="776">
        <f>IF(P32,_xll.qDateYears(P31,P32,DCCfixed),0)</f>
        <v>0</v>
      </c>
      <c r="S31" s="553">
        <v>0</v>
      </c>
      <c r="T31" s="785"/>
      <c r="U31" s="409">
        <f t="shared" si="10"/>
        <v>0</v>
      </c>
      <c r="X31" s="363">
        <v>0</v>
      </c>
      <c r="Y31" s="775">
        <f t="shared" si="1"/>
        <v>0</v>
      </c>
      <c r="Z31" s="776">
        <f>IF(X32,_xll.qDateYears(X31,X32,DCCfloat),0)</f>
        <v>0</v>
      </c>
      <c r="AA31" s="553">
        <v>0</v>
      </c>
      <c r="AB31" s="789">
        <f>IF($X31=0,0,      _xll.qDateNext($X31,AB$12,"M",FRM&lt;&gt;"Calypso",CCY))</f>
        <v>0</v>
      </c>
      <c r="AC31" s="789">
        <f>IF($X31=0,0,      _xll.qDateNext($X31,AC$12,"M",FRM&lt;&gt;"Calypso",CCY))</f>
        <v>0</v>
      </c>
      <c r="AD31" s="789">
        <f>IF($X31=0,0,      _xll.qDateNext($X31,AD$12,"M",FRM&lt;&gt;"Calypso",CCY))</f>
        <v>0</v>
      </c>
      <c r="AE31" s="789">
        <f>IF($X31=0,0,      _xll.qDateNext($X31,AE$12,"M",FRM&lt;&gt;"Calypso",CCY))</f>
        <v>0</v>
      </c>
      <c r="AF31" s="789">
        <f>IF($X31=0,0,      _xll.qDateNext($X31,AF$12,"M",FRM&lt;&gt;"Calypso",CCY))</f>
        <v>0</v>
      </c>
      <c r="AG31" s="789">
        <f>IF($X31=0,0,      _xll.qDateNext($X31,AG$12,"M",FRM&lt;&gt;"Calypso",CCY))</f>
        <v>0</v>
      </c>
      <c r="AH31" s="789">
        <f>IF($X31=0,0,      _xll.qDateNext($X31,AH$12,"M",FRM&lt;&gt;"Calypso",CCY))</f>
        <v>0</v>
      </c>
      <c r="AI31" s="789">
        <f>IF($X31=0,0,      _xll.qDateNext($X31,AI$12,"M",FRM&lt;&gt;"Calypso",CCY))</f>
        <v>0</v>
      </c>
      <c r="AJ31" s="529" t="str">
        <v/>
      </c>
      <c r="AK31" s="529" t="str">
        <v/>
      </c>
      <c r="AL31" s="529" t="str">
        <v/>
      </c>
      <c r="AM31" s="529" t="str">
        <v/>
      </c>
      <c r="AN31" s="529" t="str">
        <v/>
      </c>
      <c r="AO31" s="529" t="str">
        <v/>
      </c>
      <c r="AP31" s="529" t="str">
        <v/>
      </c>
      <c r="AQ31" s="529" t="str">
        <v/>
      </c>
      <c r="AR31" s="529">
        <v>0</v>
      </c>
      <c r="AS31" s="529">
        <v>0</v>
      </c>
      <c r="AT31" s="529">
        <f t="shared" si="11"/>
        <v>0</v>
      </c>
      <c r="AU31" s="529">
        <v>0</v>
      </c>
      <c r="AV31" s="529">
        <f t="shared" si="12"/>
        <v>0</v>
      </c>
      <c r="AW31" s="529">
        <f t="shared" si="13"/>
        <v>0</v>
      </c>
      <c r="AX31" s="529">
        <v>0</v>
      </c>
      <c r="AY31" s="529">
        <v>0</v>
      </c>
      <c r="AZ31" s="761">
        <f t="shared" si="2"/>
        <v>0</v>
      </c>
      <c r="BA31" s="761">
        <f t="shared" si="3"/>
        <v>0</v>
      </c>
      <c r="BB31" s="761">
        <f t="shared" si="4"/>
        <v>0</v>
      </c>
      <c r="BC31" s="761">
        <f t="shared" si="5"/>
        <v>0</v>
      </c>
      <c r="BD31" s="761">
        <f t="shared" si="6"/>
        <v>0</v>
      </c>
      <c r="BE31" s="761">
        <f t="shared" si="7"/>
        <v>0</v>
      </c>
      <c r="BF31" s="761">
        <f t="shared" si="8"/>
        <v>0</v>
      </c>
      <c r="BG31" s="761">
        <f t="shared" si="9"/>
        <v>0</v>
      </c>
      <c r="BH31" s="777">
        <v>0</v>
      </c>
      <c r="BI31" s="755"/>
      <c r="BJ31" s="778">
        <f>IF(X32=0,0,           IF(ISNUMBER(BI31),BI31,               IF(ISTEXT(BI31),INDEX(AZ31:BG31,MATCH(BI31,$AZ$12:$BG$12,0)),             IF(BH31="INT",_xll.qInterp(X32,AB31:AI31,AZ31:BG31),            INDEX(AZ31:BG31,MATCH(BH31,$AZ$12:$BG$12,0))))))</f>
        <v>0</v>
      </c>
      <c r="BK31" s="408">
        <f t="shared" si="14"/>
        <v>0</v>
      </c>
      <c r="BL31" s="414">
        <f t="shared" si="15"/>
        <v>0</v>
      </c>
      <c r="BM31" s="408">
        <f t="shared" si="16"/>
        <v>0</v>
      </c>
    </row>
    <row r="32" spans="2:65">
      <c r="B32" s="139" t="s">
        <v>416</v>
      </c>
      <c r="I32" s="536" t="s">
        <v>416</v>
      </c>
      <c r="O32" s="138"/>
      <c r="P32" s="779">
        <v>0</v>
      </c>
      <c r="Q32" s="780">
        <f t="shared" si="0"/>
        <v>0</v>
      </c>
      <c r="R32" s="776">
        <f>IF(P33,_xll.qDateYears(P32,P33,DCCfixed),0)</f>
        <v>0</v>
      </c>
      <c r="S32" s="553">
        <v>0</v>
      </c>
      <c r="T32" s="785"/>
      <c r="U32" s="409">
        <f t="shared" si="10"/>
        <v>0</v>
      </c>
      <c r="X32" s="363">
        <v>0</v>
      </c>
      <c r="Y32" s="775">
        <f t="shared" si="1"/>
        <v>0</v>
      </c>
      <c r="Z32" s="776">
        <f>IF(X33,_xll.qDateYears(X32,X33,DCCfloat),0)</f>
        <v>0</v>
      </c>
      <c r="AA32" s="553">
        <v>0</v>
      </c>
      <c r="AB32" s="789">
        <f>IF($X32=0,0,      _xll.qDateNext($X32,AB$12,"M",FRM&lt;&gt;"Calypso",CCY))</f>
        <v>0</v>
      </c>
      <c r="AC32" s="789">
        <f>IF($X32=0,0,      _xll.qDateNext($X32,AC$12,"M",FRM&lt;&gt;"Calypso",CCY))</f>
        <v>0</v>
      </c>
      <c r="AD32" s="789">
        <f>IF($X32=0,0,      _xll.qDateNext($X32,AD$12,"M",FRM&lt;&gt;"Calypso",CCY))</f>
        <v>0</v>
      </c>
      <c r="AE32" s="789">
        <f>IF($X32=0,0,      _xll.qDateNext($X32,AE$12,"M",FRM&lt;&gt;"Calypso",CCY))</f>
        <v>0</v>
      </c>
      <c r="AF32" s="789">
        <f>IF($X32=0,0,      _xll.qDateNext($X32,AF$12,"M",FRM&lt;&gt;"Calypso",CCY))</f>
        <v>0</v>
      </c>
      <c r="AG32" s="789">
        <f>IF($X32=0,0,      _xll.qDateNext($X32,AG$12,"M",FRM&lt;&gt;"Calypso",CCY))</f>
        <v>0</v>
      </c>
      <c r="AH32" s="789">
        <f>IF($X32=0,0,      _xll.qDateNext($X32,AH$12,"M",FRM&lt;&gt;"Calypso",CCY))</f>
        <v>0</v>
      </c>
      <c r="AI32" s="789">
        <f>IF($X32=0,0,      _xll.qDateNext($X32,AI$12,"M",FRM&lt;&gt;"Calypso",CCY))</f>
        <v>0</v>
      </c>
      <c r="AJ32" s="529" t="str">
        <v/>
      </c>
      <c r="AK32" s="529" t="str">
        <v/>
      </c>
      <c r="AL32" s="529" t="str">
        <v/>
      </c>
      <c r="AM32" s="529" t="str">
        <v/>
      </c>
      <c r="AN32" s="529" t="str">
        <v/>
      </c>
      <c r="AO32" s="529" t="str">
        <v/>
      </c>
      <c r="AP32" s="529" t="str">
        <v/>
      </c>
      <c r="AQ32" s="529" t="str">
        <v/>
      </c>
      <c r="AR32" s="529">
        <v>0</v>
      </c>
      <c r="AS32" s="529">
        <v>0</v>
      </c>
      <c r="AT32" s="529">
        <f t="shared" si="11"/>
        <v>0</v>
      </c>
      <c r="AU32" s="529">
        <v>0</v>
      </c>
      <c r="AV32" s="529">
        <f t="shared" si="12"/>
        <v>0</v>
      </c>
      <c r="AW32" s="529">
        <f t="shared" si="13"/>
        <v>0</v>
      </c>
      <c r="AX32" s="529">
        <v>0</v>
      </c>
      <c r="AY32" s="529">
        <v>0</v>
      </c>
      <c r="AZ32" s="761">
        <f t="shared" si="2"/>
        <v>0</v>
      </c>
      <c r="BA32" s="761">
        <f t="shared" si="3"/>
        <v>0</v>
      </c>
      <c r="BB32" s="761">
        <f t="shared" si="4"/>
        <v>0</v>
      </c>
      <c r="BC32" s="761">
        <f t="shared" si="5"/>
        <v>0</v>
      </c>
      <c r="BD32" s="761">
        <f t="shared" si="6"/>
        <v>0</v>
      </c>
      <c r="BE32" s="761">
        <f t="shared" si="7"/>
        <v>0</v>
      </c>
      <c r="BF32" s="761">
        <f t="shared" si="8"/>
        <v>0</v>
      </c>
      <c r="BG32" s="761">
        <f t="shared" si="9"/>
        <v>0</v>
      </c>
      <c r="BH32" s="777">
        <v>0</v>
      </c>
      <c r="BI32" s="755"/>
      <c r="BJ32" s="778">
        <f>IF(X33=0,0,           IF(ISNUMBER(BI32),BI32,               IF(ISTEXT(BI32),INDEX(AZ32:BG32,MATCH(BI32,$AZ$12:$BG$12,0)),             IF(BH32="INT",_xll.qInterp(X33,AB32:AI32,AZ32:BG32),            INDEX(AZ32:BG32,MATCH(BH32,$AZ$12:$BG$12,0))))))</f>
        <v>0</v>
      </c>
      <c r="BK32" s="408">
        <f t="shared" si="14"/>
        <v>0</v>
      </c>
      <c r="BL32" s="414">
        <f t="shared" si="15"/>
        <v>0</v>
      </c>
      <c r="BM32" s="408">
        <f t="shared" si="16"/>
        <v>0</v>
      </c>
    </row>
    <row r="33" spans="2:65">
      <c r="I33" s="153" t="s">
        <v>157</v>
      </c>
      <c r="J33" s="535">
        <f>COUNTIF(X13:X262,"&gt;0")</f>
        <v>13</v>
      </c>
      <c r="O33" s="138"/>
      <c r="P33" s="779">
        <v>0</v>
      </c>
      <c r="Q33" s="780">
        <f t="shared" si="0"/>
        <v>0</v>
      </c>
      <c r="R33" s="776">
        <f>IF(P34,_xll.qDateYears(P33,P34,DCCfixed),0)</f>
        <v>0</v>
      </c>
      <c r="S33" s="553">
        <v>0</v>
      </c>
      <c r="T33" s="785"/>
      <c r="U33" s="409">
        <f t="shared" si="10"/>
        <v>0</v>
      </c>
      <c r="X33" s="363">
        <v>0</v>
      </c>
      <c r="Y33" s="775">
        <f t="shared" si="1"/>
        <v>0</v>
      </c>
      <c r="Z33" s="776">
        <f>IF(X34,_xll.qDateYears(X33,X34,DCCfloat),0)</f>
        <v>0</v>
      </c>
      <c r="AA33" s="553">
        <v>0</v>
      </c>
      <c r="AB33" s="789">
        <f>IF($X33=0,0,      _xll.qDateNext($X33,AB$12,"M",FRM&lt;&gt;"Calypso",CCY))</f>
        <v>0</v>
      </c>
      <c r="AC33" s="789">
        <f>IF($X33=0,0,      _xll.qDateNext($X33,AC$12,"M",FRM&lt;&gt;"Calypso",CCY))</f>
        <v>0</v>
      </c>
      <c r="AD33" s="789">
        <f>IF($X33=0,0,      _xll.qDateNext($X33,AD$12,"M",FRM&lt;&gt;"Calypso",CCY))</f>
        <v>0</v>
      </c>
      <c r="AE33" s="789">
        <f>IF($X33=0,0,      _xll.qDateNext($X33,AE$12,"M",FRM&lt;&gt;"Calypso",CCY))</f>
        <v>0</v>
      </c>
      <c r="AF33" s="789">
        <f>IF($X33=0,0,      _xll.qDateNext($X33,AF$12,"M",FRM&lt;&gt;"Calypso",CCY))</f>
        <v>0</v>
      </c>
      <c r="AG33" s="789">
        <f>IF($X33=0,0,      _xll.qDateNext($X33,AG$12,"M",FRM&lt;&gt;"Calypso",CCY))</f>
        <v>0</v>
      </c>
      <c r="AH33" s="789">
        <f>IF($X33=0,0,      _xll.qDateNext($X33,AH$12,"M",FRM&lt;&gt;"Calypso",CCY))</f>
        <v>0</v>
      </c>
      <c r="AI33" s="789">
        <f>IF($X33=0,0,      _xll.qDateNext($X33,AI$12,"M",FRM&lt;&gt;"Calypso",CCY))</f>
        <v>0</v>
      </c>
      <c r="AJ33" s="529" t="str">
        <v/>
      </c>
      <c r="AK33" s="529" t="str">
        <v/>
      </c>
      <c r="AL33" s="529" t="str">
        <v/>
      </c>
      <c r="AM33" s="529" t="str">
        <v/>
      </c>
      <c r="AN33" s="529" t="str">
        <v/>
      </c>
      <c r="AO33" s="529" t="str">
        <v/>
      </c>
      <c r="AP33" s="529" t="str">
        <v/>
      </c>
      <c r="AQ33" s="529" t="str">
        <v/>
      </c>
      <c r="AR33" s="529">
        <v>0</v>
      </c>
      <c r="AS33" s="529">
        <v>0</v>
      </c>
      <c r="AT33" s="529">
        <f t="shared" si="11"/>
        <v>0</v>
      </c>
      <c r="AU33" s="529">
        <v>0</v>
      </c>
      <c r="AV33" s="529">
        <f t="shared" si="12"/>
        <v>0</v>
      </c>
      <c r="AW33" s="529">
        <f t="shared" si="13"/>
        <v>0</v>
      </c>
      <c r="AX33" s="529">
        <v>0</v>
      </c>
      <c r="AY33" s="529">
        <v>0</v>
      </c>
      <c r="AZ33" s="761">
        <f t="shared" si="2"/>
        <v>0</v>
      </c>
      <c r="BA33" s="761">
        <f t="shared" si="3"/>
        <v>0</v>
      </c>
      <c r="BB33" s="761">
        <f t="shared" si="4"/>
        <v>0</v>
      </c>
      <c r="BC33" s="761">
        <f t="shared" si="5"/>
        <v>0</v>
      </c>
      <c r="BD33" s="761">
        <f t="shared" si="6"/>
        <v>0</v>
      </c>
      <c r="BE33" s="761">
        <f t="shared" si="7"/>
        <v>0</v>
      </c>
      <c r="BF33" s="761">
        <f t="shared" si="8"/>
        <v>0</v>
      </c>
      <c r="BG33" s="761">
        <f t="shared" si="9"/>
        <v>0</v>
      </c>
      <c r="BH33" s="777">
        <v>0</v>
      </c>
      <c r="BI33" s="755"/>
      <c r="BJ33" s="778">
        <f>IF(X34=0,0,           IF(ISNUMBER(BI33),BI33,               IF(ISTEXT(BI33),INDEX(AZ33:BG33,MATCH(BI33,$AZ$12:$BG$12,0)),             IF(BH33="INT",_xll.qInterp(X34,AB33:AI33,AZ33:BG33),            INDEX(AZ33:BG33,MATCH(BH33,$AZ$12:$BG$12,0))))))</f>
        <v>0</v>
      </c>
      <c r="BK33" s="408">
        <f t="shared" si="14"/>
        <v>0</v>
      </c>
      <c r="BL33" s="414">
        <f t="shared" si="15"/>
        <v>0</v>
      </c>
      <c r="BM33" s="408">
        <f t="shared" si="16"/>
        <v>0</v>
      </c>
    </row>
    <row r="34" spans="2:65">
      <c r="B34" t="s">
        <v>420</v>
      </c>
      <c r="D34" s="120"/>
      <c r="F34" s="121" t="s">
        <v>733</v>
      </c>
      <c r="I34" s="153" t="s">
        <v>144</v>
      </c>
      <c r="J34" s="462" t="str">
        <f>FreqFloat&amp;","&amp;BusDayAdj&amp;","&amp;EOM&amp;","&amp;F21</f>
        <v>3M,M,TRUE,AUD</v>
      </c>
      <c r="O34" s="138"/>
      <c r="P34" s="779">
        <v>0</v>
      </c>
      <c r="Q34" s="780">
        <f t="shared" si="0"/>
        <v>0</v>
      </c>
      <c r="R34" s="776">
        <f>IF(P35,_xll.qDateYears(P34,P35,DCCfixed),0)</f>
        <v>0</v>
      </c>
      <c r="S34" s="553">
        <v>0</v>
      </c>
      <c r="T34" s="785"/>
      <c r="U34" s="409">
        <f t="shared" si="10"/>
        <v>0</v>
      </c>
      <c r="X34" s="363">
        <v>0</v>
      </c>
      <c r="Y34" s="775">
        <f t="shared" si="1"/>
        <v>0</v>
      </c>
      <c r="Z34" s="776">
        <f>IF(X35,_xll.qDateYears(X34,X35,DCCfloat),0)</f>
        <v>0</v>
      </c>
      <c r="AA34" s="553">
        <v>0</v>
      </c>
      <c r="AB34" s="789">
        <f>IF($X34=0,0,      _xll.qDateNext($X34,AB$12,"M",FRM&lt;&gt;"Calypso",CCY))</f>
        <v>0</v>
      </c>
      <c r="AC34" s="789">
        <f>IF($X34=0,0,      _xll.qDateNext($X34,AC$12,"M",FRM&lt;&gt;"Calypso",CCY))</f>
        <v>0</v>
      </c>
      <c r="AD34" s="789">
        <f>IF($X34=0,0,      _xll.qDateNext($X34,AD$12,"M",FRM&lt;&gt;"Calypso",CCY))</f>
        <v>0</v>
      </c>
      <c r="AE34" s="789">
        <f>IF($X34=0,0,      _xll.qDateNext($X34,AE$12,"M",FRM&lt;&gt;"Calypso",CCY))</f>
        <v>0</v>
      </c>
      <c r="AF34" s="789">
        <f>IF($X34=0,0,      _xll.qDateNext($X34,AF$12,"M",FRM&lt;&gt;"Calypso",CCY))</f>
        <v>0</v>
      </c>
      <c r="AG34" s="789">
        <f>IF($X34=0,0,      _xll.qDateNext($X34,AG$12,"M",FRM&lt;&gt;"Calypso",CCY))</f>
        <v>0</v>
      </c>
      <c r="AH34" s="789">
        <f>IF($X34=0,0,      _xll.qDateNext($X34,AH$12,"M",FRM&lt;&gt;"Calypso",CCY))</f>
        <v>0</v>
      </c>
      <c r="AI34" s="789">
        <f>IF($X34=0,0,      _xll.qDateNext($X34,AI$12,"M",FRM&lt;&gt;"Calypso",CCY))</f>
        <v>0</v>
      </c>
      <c r="AJ34" s="529" t="str">
        <v/>
      </c>
      <c r="AK34" s="529" t="str">
        <v/>
      </c>
      <c r="AL34" s="529" t="str">
        <v/>
      </c>
      <c r="AM34" s="529" t="str">
        <v/>
      </c>
      <c r="AN34" s="529" t="str">
        <v/>
      </c>
      <c r="AO34" s="529" t="str">
        <v/>
      </c>
      <c r="AP34" s="529" t="str">
        <v/>
      </c>
      <c r="AQ34" s="529" t="str">
        <v/>
      </c>
      <c r="AR34" s="529">
        <v>0</v>
      </c>
      <c r="AS34" s="529">
        <v>0</v>
      </c>
      <c r="AT34" s="529">
        <f t="shared" si="11"/>
        <v>0</v>
      </c>
      <c r="AU34" s="529">
        <v>0</v>
      </c>
      <c r="AV34" s="529">
        <f t="shared" si="12"/>
        <v>0</v>
      </c>
      <c r="AW34" s="529">
        <f t="shared" si="13"/>
        <v>0</v>
      </c>
      <c r="AX34" s="529">
        <v>0</v>
      </c>
      <c r="AY34" s="529">
        <v>0</v>
      </c>
      <c r="AZ34" s="761">
        <f t="shared" si="2"/>
        <v>0</v>
      </c>
      <c r="BA34" s="761">
        <f t="shared" si="3"/>
        <v>0</v>
      </c>
      <c r="BB34" s="761">
        <f t="shared" si="4"/>
        <v>0</v>
      </c>
      <c r="BC34" s="761">
        <f t="shared" si="5"/>
        <v>0</v>
      </c>
      <c r="BD34" s="761">
        <f t="shared" si="6"/>
        <v>0</v>
      </c>
      <c r="BE34" s="761">
        <f t="shared" si="7"/>
        <v>0</v>
      </c>
      <c r="BF34" s="761">
        <f t="shared" si="8"/>
        <v>0</v>
      </c>
      <c r="BG34" s="761">
        <f t="shared" si="9"/>
        <v>0</v>
      </c>
      <c r="BH34" s="777">
        <v>0</v>
      </c>
      <c r="BI34" s="755"/>
      <c r="BJ34" s="778">
        <f>IF(X35=0,0,           IF(ISNUMBER(BI34),BI34,               IF(ISTEXT(BI34),INDEX(AZ34:BG34,MATCH(BI34,$AZ$12:$BG$12,0)),             IF(BH34="INT",_xll.qInterp(X35,AB34:AI34,AZ34:BG34),            INDEX(AZ34:BG34,MATCH(BH34,$AZ$12:$BG$12,0))))))</f>
        <v>0</v>
      </c>
      <c r="BK34" s="408">
        <f t="shared" si="14"/>
        <v>0</v>
      </c>
      <c r="BL34" s="414">
        <f t="shared" si="15"/>
        <v>0</v>
      </c>
      <c r="BM34" s="408">
        <f t="shared" si="16"/>
        <v>0</v>
      </c>
    </row>
    <row r="35" spans="2:65">
      <c r="I35" s="153" t="s">
        <v>165</v>
      </c>
      <c r="J35" s="535">
        <f>IF(RIGHT(DCCfloat,3)="360",360,365)</f>
        <v>365</v>
      </c>
      <c r="O35" s="138"/>
      <c r="P35" s="779">
        <v>0</v>
      </c>
      <c r="Q35" s="780">
        <f t="shared" si="0"/>
        <v>0</v>
      </c>
      <c r="R35" s="776">
        <f>IF(P36,_xll.qDateYears(P35,P36,DCCfixed),0)</f>
        <v>0</v>
      </c>
      <c r="S35" s="553">
        <v>0</v>
      </c>
      <c r="T35" s="785"/>
      <c r="U35" s="409">
        <f t="shared" si="10"/>
        <v>0</v>
      </c>
      <c r="X35" s="363">
        <v>0</v>
      </c>
      <c r="Y35" s="775">
        <f t="shared" si="1"/>
        <v>0</v>
      </c>
      <c r="Z35" s="776">
        <f>IF(X36,_xll.qDateYears(X35,X36,DCCfloat),0)</f>
        <v>0</v>
      </c>
      <c r="AA35" s="553">
        <v>0</v>
      </c>
      <c r="AB35" s="789">
        <f>IF($X35=0,0,      _xll.qDateNext($X35,AB$12,"M",FRM&lt;&gt;"Calypso",CCY))</f>
        <v>0</v>
      </c>
      <c r="AC35" s="789">
        <f>IF($X35=0,0,      _xll.qDateNext($X35,AC$12,"M",FRM&lt;&gt;"Calypso",CCY))</f>
        <v>0</v>
      </c>
      <c r="AD35" s="789">
        <f>IF($X35=0,0,      _xll.qDateNext($X35,AD$12,"M",FRM&lt;&gt;"Calypso",CCY))</f>
        <v>0</v>
      </c>
      <c r="AE35" s="789">
        <f>IF($X35=0,0,      _xll.qDateNext($X35,AE$12,"M",FRM&lt;&gt;"Calypso",CCY))</f>
        <v>0</v>
      </c>
      <c r="AF35" s="789">
        <f>IF($X35=0,0,      _xll.qDateNext($X35,AF$12,"M",FRM&lt;&gt;"Calypso",CCY))</f>
        <v>0</v>
      </c>
      <c r="AG35" s="789">
        <f>IF($X35=0,0,      _xll.qDateNext($X35,AG$12,"M",FRM&lt;&gt;"Calypso",CCY))</f>
        <v>0</v>
      </c>
      <c r="AH35" s="789">
        <f>IF($X35=0,0,      _xll.qDateNext($X35,AH$12,"M",FRM&lt;&gt;"Calypso",CCY))</f>
        <v>0</v>
      </c>
      <c r="AI35" s="789">
        <f>IF($X35=0,0,      _xll.qDateNext($X35,AI$12,"M",FRM&lt;&gt;"Calypso",CCY))</f>
        <v>0</v>
      </c>
      <c r="AJ35" s="529" t="str">
        <v/>
      </c>
      <c r="AK35" s="529" t="str">
        <v/>
      </c>
      <c r="AL35" s="529" t="str">
        <v/>
      </c>
      <c r="AM35" s="529" t="str">
        <v/>
      </c>
      <c r="AN35" s="529" t="str">
        <v/>
      </c>
      <c r="AO35" s="529" t="str">
        <v/>
      </c>
      <c r="AP35" s="529" t="str">
        <v/>
      </c>
      <c r="AQ35" s="529" t="str">
        <v/>
      </c>
      <c r="AR35" s="529">
        <v>0</v>
      </c>
      <c r="AS35" s="529">
        <v>0</v>
      </c>
      <c r="AT35" s="529">
        <f t="shared" si="11"/>
        <v>0</v>
      </c>
      <c r="AU35" s="529">
        <v>0</v>
      </c>
      <c r="AV35" s="529">
        <f t="shared" si="12"/>
        <v>0</v>
      </c>
      <c r="AW35" s="529">
        <f t="shared" si="13"/>
        <v>0</v>
      </c>
      <c r="AX35" s="529">
        <v>0</v>
      </c>
      <c r="AY35" s="529">
        <v>0</v>
      </c>
      <c r="AZ35" s="761">
        <f t="shared" si="2"/>
        <v>0</v>
      </c>
      <c r="BA35" s="761">
        <f t="shared" si="3"/>
        <v>0</v>
      </c>
      <c r="BB35" s="761">
        <f t="shared" si="4"/>
        <v>0</v>
      </c>
      <c r="BC35" s="761">
        <f t="shared" si="5"/>
        <v>0</v>
      </c>
      <c r="BD35" s="761">
        <f t="shared" si="6"/>
        <v>0</v>
      </c>
      <c r="BE35" s="761">
        <f t="shared" si="7"/>
        <v>0</v>
      </c>
      <c r="BF35" s="761">
        <f t="shared" si="8"/>
        <v>0</v>
      </c>
      <c r="BG35" s="761">
        <f t="shared" si="9"/>
        <v>0</v>
      </c>
      <c r="BH35" s="777">
        <v>0</v>
      </c>
      <c r="BI35" s="755"/>
      <c r="BJ35" s="778">
        <f>IF(X36=0,0,           IF(ISNUMBER(BI35),BI35,               IF(ISTEXT(BI35),INDEX(AZ35:BG35,MATCH(BI35,$AZ$12:$BG$12,0)),             IF(BH35="INT",_xll.qInterp(X36,AB35:AI35,AZ35:BG35),            INDEX(AZ35:BG35,MATCH(BH35,$AZ$12:$BG$12,0))))))</f>
        <v>0</v>
      </c>
      <c r="BK35" s="408">
        <f t="shared" si="14"/>
        <v>0</v>
      </c>
      <c r="BL35" s="414">
        <f t="shared" si="15"/>
        <v>0</v>
      </c>
      <c r="BM35" s="408">
        <f t="shared" si="16"/>
        <v>0</v>
      </c>
    </row>
    <row r="36" spans="2:65">
      <c r="B36" t="s">
        <v>149</v>
      </c>
      <c r="D36" s="120" t="s">
        <v>6</v>
      </c>
      <c r="F36" s="473"/>
      <c r="J36" s="462"/>
      <c r="O36" s="138"/>
      <c r="P36" s="779">
        <v>0</v>
      </c>
      <c r="Q36" s="780">
        <f t="shared" si="0"/>
        <v>0</v>
      </c>
      <c r="R36" s="776">
        <f>IF(P37,_xll.qDateYears(P36,P37,DCCfixed),0)</f>
        <v>0</v>
      </c>
      <c r="S36" s="553">
        <v>0</v>
      </c>
      <c r="T36" s="785"/>
      <c r="U36" s="409">
        <f t="shared" si="10"/>
        <v>0</v>
      </c>
      <c r="X36" s="363">
        <v>0</v>
      </c>
      <c r="Y36" s="775">
        <f t="shared" si="1"/>
        <v>0</v>
      </c>
      <c r="Z36" s="776">
        <f>IF(X37,_xll.qDateYears(X36,X37,DCCfloat),0)</f>
        <v>0</v>
      </c>
      <c r="AA36" s="553">
        <v>0</v>
      </c>
      <c r="AB36" s="789">
        <f>IF($X36=0,0,      _xll.qDateNext($X36,AB$12,"M",FRM&lt;&gt;"Calypso",CCY))</f>
        <v>0</v>
      </c>
      <c r="AC36" s="789">
        <f>IF($X36=0,0,      _xll.qDateNext($X36,AC$12,"M",FRM&lt;&gt;"Calypso",CCY))</f>
        <v>0</v>
      </c>
      <c r="AD36" s="789">
        <f>IF($X36=0,0,      _xll.qDateNext($X36,AD$12,"M",FRM&lt;&gt;"Calypso",CCY))</f>
        <v>0</v>
      </c>
      <c r="AE36" s="789">
        <f>IF($X36=0,0,      _xll.qDateNext($X36,AE$12,"M",FRM&lt;&gt;"Calypso",CCY))</f>
        <v>0</v>
      </c>
      <c r="AF36" s="789">
        <f>IF($X36=0,0,      _xll.qDateNext($X36,AF$12,"M",FRM&lt;&gt;"Calypso",CCY))</f>
        <v>0</v>
      </c>
      <c r="AG36" s="789">
        <f>IF($X36=0,0,      _xll.qDateNext($X36,AG$12,"M",FRM&lt;&gt;"Calypso",CCY))</f>
        <v>0</v>
      </c>
      <c r="AH36" s="789">
        <f>IF($X36=0,0,      _xll.qDateNext($X36,AH$12,"M",FRM&lt;&gt;"Calypso",CCY))</f>
        <v>0</v>
      </c>
      <c r="AI36" s="789">
        <f>IF($X36=0,0,      _xll.qDateNext($X36,AI$12,"M",FRM&lt;&gt;"Calypso",CCY))</f>
        <v>0</v>
      </c>
      <c r="AJ36" s="529" t="str">
        <v/>
      </c>
      <c r="AK36" s="529" t="str">
        <v/>
      </c>
      <c r="AL36" s="529" t="str">
        <v/>
      </c>
      <c r="AM36" s="529" t="str">
        <v/>
      </c>
      <c r="AN36" s="529" t="str">
        <v/>
      </c>
      <c r="AO36" s="529" t="str">
        <v/>
      </c>
      <c r="AP36" s="529" t="str">
        <v/>
      </c>
      <c r="AQ36" s="529" t="str">
        <v/>
      </c>
      <c r="AR36" s="529">
        <v>0</v>
      </c>
      <c r="AS36" s="529">
        <v>0</v>
      </c>
      <c r="AT36" s="529">
        <f t="shared" si="11"/>
        <v>0</v>
      </c>
      <c r="AU36" s="529">
        <v>0</v>
      </c>
      <c r="AV36" s="529">
        <f t="shared" si="12"/>
        <v>0</v>
      </c>
      <c r="AW36" s="529">
        <f t="shared" si="13"/>
        <v>0</v>
      </c>
      <c r="AX36" s="529">
        <v>0</v>
      </c>
      <c r="AY36" s="529">
        <v>0</v>
      </c>
      <c r="AZ36" s="761">
        <f t="shared" si="2"/>
        <v>0</v>
      </c>
      <c r="BA36" s="761">
        <f t="shared" si="3"/>
        <v>0</v>
      </c>
      <c r="BB36" s="761">
        <f t="shared" si="4"/>
        <v>0</v>
      </c>
      <c r="BC36" s="761">
        <f t="shared" si="5"/>
        <v>0</v>
      </c>
      <c r="BD36" s="761">
        <f t="shared" si="6"/>
        <v>0</v>
      </c>
      <c r="BE36" s="761">
        <f t="shared" si="7"/>
        <v>0</v>
      </c>
      <c r="BF36" s="761">
        <f t="shared" si="8"/>
        <v>0</v>
      </c>
      <c r="BG36" s="761">
        <f t="shared" si="9"/>
        <v>0</v>
      </c>
      <c r="BH36" s="777">
        <v>0</v>
      </c>
      <c r="BI36" s="755"/>
      <c r="BJ36" s="778">
        <f>IF(X37=0,0,           IF(ISNUMBER(BI36),BI36,               IF(ISTEXT(BI36),INDEX(AZ36:BG36,MATCH(BI36,$AZ$12:$BG$12,0)),             IF(BH36="INT",_xll.qInterp(X37,AB36:AI36,AZ36:BG36),            INDEX(AZ36:BG36,MATCH(BH36,$AZ$12:$BG$12,0))))))</f>
        <v>0</v>
      </c>
      <c r="BK36" s="408">
        <f t="shared" si="14"/>
        <v>0</v>
      </c>
      <c r="BL36" s="414">
        <f t="shared" si="15"/>
        <v>0</v>
      </c>
      <c r="BM36" s="408">
        <f t="shared" si="16"/>
        <v>0</v>
      </c>
    </row>
    <row r="37" spans="2:65">
      <c r="O37" s="138"/>
      <c r="P37" s="779">
        <v>0</v>
      </c>
      <c r="Q37" s="780">
        <f t="shared" si="0"/>
        <v>0</v>
      </c>
      <c r="R37" s="776">
        <f>IF(P38,_xll.qDateYears(P37,P38,DCCfixed),0)</f>
        <v>0</v>
      </c>
      <c r="S37" s="553">
        <v>0</v>
      </c>
      <c r="T37" s="785"/>
      <c r="U37" s="409">
        <f t="shared" si="10"/>
        <v>0</v>
      </c>
      <c r="X37" s="363">
        <v>0</v>
      </c>
      <c r="Y37" s="775">
        <f t="shared" si="1"/>
        <v>0</v>
      </c>
      <c r="Z37" s="776">
        <f>IF(X38,_xll.qDateYears(X37,X38,DCCfloat),0)</f>
        <v>0</v>
      </c>
      <c r="AA37" s="553">
        <v>0</v>
      </c>
      <c r="AB37" s="789">
        <f>IF($X37=0,0,      _xll.qDateNext($X37,AB$12,"M",FRM&lt;&gt;"Calypso",CCY))</f>
        <v>0</v>
      </c>
      <c r="AC37" s="789">
        <f>IF($X37=0,0,      _xll.qDateNext($X37,AC$12,"M",FRM&lt;&gt;"Calypso",CCY))</f>
        <v>0</v>
      </c>
      <c r="AD37" s="789">
        <f>IF($X37=0,0,      _xll.qDateNext($X37,AD$12,"M",FRM&lt;&gt;"Calypso",CCY))</f>
        <v>0</v>
      </c>
      <c r="AE37" s="789">
        <f>IF($X37=0,0,      _xll.qDateNext($X37,AE$12,"M",FRM&lt;&gt;"Calypso",CCY))</f>
        <v>0</v>
      </c>
      <c r="AF37" s="789">
        <f>IF($X37=0,0,      _xll.qDateNext($X37,AF$12,"M",FRM&lt;&gt;"Calypso",CCY))</f>
        <v>0</v>
      </c>
      <c r="AG37" s="789">
        <f>IF($X37=0,0,      _xll.qDateNext($X37,AG$12,"M",FRM&lt;&gt;"Calypso",CCY))</f>
        <v>0</v>
      </c>
      <c r="AH37" s="789">
        <f>IF($X37=0,0,      _xll.qDateNext($X37,AH$12,"M",FRM&lt;&gt;"Calypso",CCY))</f>
        <v>0</v>
      </c>
      <c r="AI37" s="789">
        <f>IF($X37=0,0,      _xll.qDateNext($X37,AI$12,"M",FRM&lt;&gt;"Calypso",CCY))</f>
        <v>0</v>
      </c>
      <c r="AJ37" s="529" t="str">
        <v/>
      </c>
      <c r="AK37" s="529" t="str">
        <v/>
      </c>
      <c r="AL37" s="529" t="str">
        <v/>
      </c>
      <c r="AM37" s="529" t="str">
        <v/>
      </c>
      <c r="AN37" s="529" t="str">
        <v/>
      </c>
      <c r="AO37" s="529" t="str">
        <v/>
      </c>
      <c r="AP37" s="529" t="str">
        <v/>
      </c>
      <c r="AQ37" s="529" t="str">
        <v/>
      </c>
      <c r="AR37" s="529">
        <v>0</v>
      </c>
      <c r="AS37" s="529">
        <v>0</v>
      </c>
      <c r="AT37" s="529">
        <f t="shared" si="11"/>
        <v>0</v>
      </c>
      <c r="AU37" s="529">
        <v>0</v>
      </c>
      <c r="AV37" s="529">
        <f t="shared" si="12"/>
        <v>0</v>
      </c>
      <c r="AW37" s="529">
        <f t="shared" si="13"/>
        <v>0</v>
      </c>
      <c r="AX37" s="529">
        <v>0</v>
      </c>
      <c r="AY37" s="529">
        <v>0</v>
      </c>
      <c r="AZ37" s="761">
        <f t="shared" si="2"/>
        <v>0</v>
      </c>
      <c r="BA37" s="761">
        <f t="shared" si="3"/>
        <v>0</v>
      </c>
      <c r="BB37" s="761">
        <f t="shared" si="4"/>
        <v>0</v>
      </c>
      <c r="BC37" s="761">
        <f t="shared" si="5"/>
        <v>0</v>
      </c>
      <c r="BD37" s="761">
        <f t="shared" si="6"/>
        <v>0</v>
      </c>
      <c r="BE37" s="761">
        <f t="shared" si="7"/>
        <v>0</v>
      </c>
      <c r="BF37" s="761">
        <f t="shared" si="8"/>
        <v>0</v>
      </c>
      <c r="BG37" s="761">
        <f t="shared" si="9"/>
        <v>0</v>
      </c>
      <c r="BH37" s="777">
        <v>0</v>
      </c>
      <c r="BI37" s="755"/>
      <c r="BJ37" s="778">
        <f>IF(X38=0,0,           IF(ISNUMBER(BI37),BI37,               IF(ISTEXT(BI37),INDEX(AZ37:BG37,MATCH(BI37,$AZ$12:$BG$12,0)),             IF(BH37="INT",_xll.qInterp(X38,AB37:AI37,AZ37:BG37),            INDEX(AZ37:BG37,MATCH(BH37,$AZ$12:$BG$12,0))))))</f>
        <v>0</v>
      </c>
      <c r="BK37" s="408">
        <f t="shared" si="14"/>
        <v>0</v>
      </c>
      <c r="BL37" s="414">
        <f t="shared" si="15"/>
        <v>0</v>
      </c>
      <c r="BM37" s="408">
        <f t="shared" si="16"/>
        <v>0</v>
      </c>
    </row>
    <row r="38" spans="2:65">
      <c r="B38" t="s">
        <v>726</v>
      </c>
      <c r="D38" s="120">
        <v>7</v>
      </c>
      <c r="O38" s="138"/>
      <c r="P38" s="779">
        <v>0</v>
      </c>
      <c r="Q38" s="780">
        <f t="shared" si="0"/>
        <v>0</v>
      </c>
      <c r="R38" s="776">
        <f>IF(P39,_xll.qDateYears(P38,P39,DCCfixed),0)</f>
        <v>0</v>
      </c>
      <c r="S38" s="553">
        <v>0</v>
      </c>
      <c r="T38" s="785"/>
      <c r="U38" s="409">
        <f t="shared" si="10"/>
        <v>0</v>
      </c>
      <c r="X38" s="363">
        <v>0</v>
      </c>
      <c r="Y38" s="775">
        <f t="shared" si="1"/>
        <v>0</v>
      </c>
      <c r="Z38" s="776">
        <f>IF(X39,_xll.qDateYears(X38,X39,DCCfloat),0)</f>
        <v>0</v>
      </c>
      <c r="AA38" s="553">
        <v>0</v>
      </c>
      <c r="AB38" s="789">
        <f>IF($X38=0,0,      _xll.qDateNext($X38,AB$12,"M",FRM&lt;&gt;"Calypso",CCY))</f>
        <v>0</v>
      </c>
      <c r="AC38" s="789">
        <f>IF($X38=0,0,      _xll.qDateNext($X38,AC$12,"M",FRM&lt;&gt;"Calypso",CCY))</f>
        <v>0</v>
      </c>
      <c r="AD38" s="789">
        <f>IF($X38=0,0,      _xll.qDateNext($X38,AD$12,"M",FRM&lt;&gt;"Calypso",CCY))</f>
        <v>0</v>
      </c>
      <c r="AE38" s="789">
        <f>IF($X38=0,0,      _xll.qDateNext($X38,AE$12,"M",FRM&lt;&gt;"Calypso",CCY))</f>
        <v>0</v>
      </c>
      <c r="AF38" s="789">
        <f>IF($X38=0,0,      _xll.qDateNext($X38,AF$12,"M",FRM&lt;&gt;"Calypso",CCY))</f>
        <v>0</v>
      </c>
      <c r="AG38" s="789">
        <f>IF($X38=0,0,      _xll.qDateNext($X38,AG$12,"M",FRM&lt;&gt;"Calypso",CCY))</f>
        <v>0</v>
      </c>
      <c r="AH38" s="789">
        <f>IF($X38=0,0,      _xll.qDateNext($X38,AH$12,"M",FRM&lt;&gt;"Calypso",CCY))</f>
        <v>0</v>
      </c>
      <c r="AI38" s="789">
        <f>IF($X38=0,0,      _xll.qDateNext($X38,AI$12,"M",FRM&lt;&gt;"Calypso",CCY))</f>
        <v>0</v>
      </c>
      <c r="AJ38" s="529" t="str">
        <v/>
      </c>
      <c r="AK38" s="529" t="str">
        <v/>
      </c>
      <c r="AL38" s="529" t="str">
        <v/>
      </c>
      <c r="AM38" s="529" t="str">
        <v/>
      </c>
      <c r="AN38" s="529" t="str">
        <v/>
      </c>
      <c r="AO38" s="529" t="str">
        <v/>
      </c>
      <c r="AP38" s="529" t="str">
        <v/>
      </c>
      <c r="AQ38" s="529" t="str">
        <v/>
      </c>
      <c r="AR38" s="529">
        <v>0</v>
      </c>
      <c r="AS38" s="529">
        <v>0</v>
      </c>
      <c r="AT38" s="529">
        <f t="shared" si="11"/>
        <v>0</v>
      </c>
      <c r="AU38" s="529">
        <v>0</v>
      </c>
      <c r="AV38" s="529">
        <f t="shared" si="12"/>
        <v>0</v>
      </c>
      <c r="AW38" s="529">
        <f t="shared" si="13"/>
        <v>0</v>
      </c>
      <c r="AX38" s="529">
        <v>0</v>
      </c>
      <c r="AY38" s="529">
        <v>0</v>
      </c>
      <c r="AZ38" s="761">
        <f t="shared" si="2"/>
        <v>0</v>
      </c>
      <c r="BA38" s="761">
        <f t="shared" si="3"/>
        <v>0</v>
      </c>
      <c r="BB38" s="761">
        <f t="shared" si="4"/>
        <v>0</v>
      </c>
      <c r="BC38" s="761">
        <f t="shared" si="5"/>
        <v>0</v>
      </c>
      <c r="BD38" s="761">
        <f t="shared" si="6"/>
        <v>0</v>
      </c>
      <c r="BE38" s="761">
        <f t="shared" si="7"/>
        <v>0</v>
      </c>
      <c r="BF38" s="761">
        <f t="shared" si="8"/>
        <v>0</v>
      </c>
      <c r="BG38" s="761">
        <f t="shared" si="9"/>
        <v>0</v>
      </c>
      <c r="BH38" s="777">
        <v>0</v>
      </c>
      <c r="BI38" s="755"/>
      <c r="BJ38" s="778">
        <f>IF(X39=0,0,           IF(ISNUMBER(BI38),BI38,               IF(ISTEXT(BI38),INDEX(AZ38:BG38,MATCH(BI38,$AZ$12:$BG$12,0)),             IF(BH38="INT",_xll.qInterp(X39,AB38:AI38,AZ38:BG38),            INDEX(AZ38:BG38,MATCH(BH38,$AZ$12:$BG$12,0))))))</f>
        <v>0</v>
      </c>
      <c r="BK38" s="408">
        <f t="shared" si="14"/>
        <v>0</v>
      </c>
      <c r="BL38" s="414">
        <f t="shared" si="15"/>
        <v>0</v>
      </c>
      <c r="BM38" s="408">
        <f t="shared" si="16"/>
        <v>0</v>
      </c>
    </row>
    <row r="39" spans="2:65">
      <c r="O39" s="138"/>
      <c r="P39" s="779">
        <v>0</v>
      </c>
      <c r="Q39" s="780">
        <f t="shared" si="0"/>
        <v>0</v>
      </c>
      <c r="R39" s="776">
        <f>IF(P40,_xll.qDateYears(P39,P40,DCCfixed),0)</f>
        <v>0</v>
      </c>
      <c r="S39" s="553">
        <v>0</v>
      </c>
      <c r="T39" s="785"/>
      <c r="U39" s="409">
        <f t="shared" si="10"/>
        <v>0</v>
      </c>
      <c r="X39" s="363">
        <v>0</v>
      </c>
      <c r="Y39" s="775">
        <f t="shared" si="1"/>
        <v>0</v>
      </c>
      <c r="Z39" s="776">
        <f>IF(X40,_xll.qDateYears(X39,X40,DCCfloat),0)</f>
        <v>0</v>
      </c>
      <c r="AA39" s="553">
        <v>0</v>
      </c>
      <c r="AB39" s="789">
        <f>IF($X39=0,0,      _xll.qDateNext($X39,AB$12,"M",FRM&lt;&gt;"Calypso",CCY))</f>
        <v>0</v>
      </c>
      <c r="AC39" s="789">
        <f>IF($X39=0,0,      _xll.qDateNext($X39,AC$12,"M",FRM&lt;&gt;"Calypso",CCY))</f>
        <v>0</v>
      </c>
      <c r="AD39" s="789">
        <f>IF($X39=0,0,      _xll.qDateNext($X39,AD$12,"M",FRM&lt;&gt;"Calypso",CCY))</f>
        <v>0</v>
      </c>
      <c r="AE39" s="789">
        <f>IF($X39=0,0,      _xll.qDateNext($X39,AE$12,"M",FRM&lt;&gt;"Calypso",CCY))</f>
        <v>0</v>
      </c>
      <c r="AF39" s="789">
        <f>IF($X39=0,0,      _xll.qDateNext($X39,AF$12,"M",FRM&lt;&gt;"Calypso",CCY))</f>
        <v>0</v>
      </c>
      <c r="AG39" s="789">
        <f>IF($X39=0,0,      _xll.qDateNext($X39,AG$12,"M",FRM&lt;&gt;"Calypso",CCY))</f>
        <v>0</v>
      </c>
      <c r="AH39" s="789">
        <f>IF($X39=0,0,      _xll.qDateNext($X39,AH$12,"M",FRM&lt;&gt;"Calypso",CCY))</f>
        <v>0</v>
      </c>
      <c r="AI39" s="789">
        <f>IF($X39=0,0,      _xll.qDateNext($X39,AI$12,"M",FRM&lt;&gt;"Calypso",CCY))</f>
        <v>0</v>
      </c>
      <c r="AJ39" s="529" t="str">
        <v/>
      </c>
      <c r="AK39" s="529" t="str">
        <v/>
      </c>
      <c r="AL39" s="529" t="str">
        <v/>
      </c>
      <c r="AM39" s="529" t="str">
        <v/>
      </c>
      <c r="AN39" s="529" t="str">
        <v/>
      </c>
      <c r="AO39" s="529" t="str">
        <v/>
      </c>
      <c r="AP39" s="529" t="str">
        <v/>
      </c>
      <c r="AQ39" s="529" t="str">
        <v/>
      </c>
      <c r="AR39" s="529">
        <v>0</v>
      </c>
      <c r="AS39" s="529">
        <v>0</v>
      </c>
      <c r="AT39" s="529">
        <f t="shared" si="11"/>
        <v>0</v>
      </c>
      <c r="AU39" s="529">
        <v>0</v>
      </c>
      <c r="AV39" s="529">
        <f t="shared" si="12"/>
        <v>0</v>
      </c>
      <c r="AW39" s="529">
        <f t="shared" si="13"/>
        <v>0</v>
      </c>
      <c r="AX39" s="529">
        <v>0</v>
      </c>
      <c r="AY39" s="529">
        <v>0</v>
      </c>
      <c r="AZ39" s="761">
        <f t="shared" si="2"/>
        <v>0</v>
      </c>
      <c r="BA39" s="761">
        <f t="shared" si="3"/>
        <v>0</v>
      </c>
      <c r="BB39" s="761">
        <f t="shared" si="4"/>
        <v>0</v>
      </c>
      <c r="BC39" s="761">
        <f t="shared" si="5"/>
        <v>0</v>
      </c>
      <c r="BD39" s="761">
        <f t="shared" si="6"/>
        <v>0</v>
      </c>
      <c r="BE39" s="761">
        <f t="shared" si="7"/>
        <v>0</v>
      </c>
      <c r="BF39" s="761">
        <f t="shared" si="8"/>
        <v>0</v>
      </c>
      <c r="BG39" s="761">
        <f t="shared" si="9"/>
        <v>0</v>
      </c>
      <c r="BH39" s="777">
        <v>0</v>
      </c>
      <c r="BI39" s="755"/>
      <c r="BJ39" s="778">
        <f>IF(X40=0,0,           IF(ISNUMBER(BI39),BI39,               IF(ISTEXT(BI39),INDEX(AZ39:BG39,MATCH(BI39,$AZ$12:$BG$12,0)),             IF(BH39="INT",_xll.qInterp(X40,AB39:AI39,AZ39:BG39),            INDEX(AZ39:BG39,MATCH(BH39,$AZ$12:$BG$12,0))))))</f>
        <v>0</v>
      </c>
      <c r="BK39" s="408">
        <f t="shared" si="14"/>
        <v>0</v>
      </c>
      <c r="BL39" s="414">
        <f t="shared" si="15"/>
        <v>0</v>
      </c>
      <c r="BM39" s="408">
        <f t="shared" si="16"/>
        <v>0</v>
      </c>
    </row>
    <row r="40" spans="2:65">
      <c r="B40" t="s">
        <v>732</v>
      </c>
      <c r="D40" s="120" t="b">
        <v>1</v>
      </c>
      <c r="O40" s="138"/>
      <c r="P40" s="779">
        <v>0</v>
      </c>
      <c r="Q40" s="780">
        <f t="shared" si="0"/>
        <v>0</v>
      </c>
      <c r="R40" s="776">
        <f>IF(P41,_xll.qDateYears(P40,P41,DCCfixed),0)</f>
        <v>0</v>
      </c>
      <c r="S40" s="553">
        <v>0</v>
      </c>
      <c r="T40" s="785"/>
      <c r="U40" s="409">
        <f t="shared" si="10"/>
        <v>0</v>
      </c>
      <c r="X40" s="363">
        <v>0</v>
      </c>
      <c r="Y40" s="775">
        <f t="shared" si="1"/>
        <v>0</v>
      </c>
      <c r="Z40" s="776">
        <f>IF(X41,_xll.qDateYears(X40,X41,DCCfloat),0)</f>
        <v>0</v>
      </c>
      <c r="AA40" s="553">
        <v>0</v>
      </c>
      <c r="AB40" s="789">
        <f>IF($X40=0,0,      _xll.qDateNext($X40,AB$12,"M",FRM&lt;&gt;"Calypso",CCY))</f>
        <v>0</v>
      </c>
      <c r="AC40" s="789">
        <f>IF($X40=0,0,      _xll.qDateNext($X40,AC$12,"M",FRM&lt;&gt;"Calypso",CCY))</f>
        <v>0</v>
      </c>
      <c r="AD40" s="789">
        <f>IF($X40=0,0,      _xll.qDateNext($X40,AD$12,"M",FRM&lt;&gt;"Calypso",CCY))</f>
        <v>0</v>
      </c>
      <c r="AE40" s="789">
        <f>IF($X40=0,0,      _xll.qDateNext($X40,AE$12,"M",FRM&lt;&gt;"Calypso",CCY))</f>
        <v>0</v>
      </c>
      <c r="AF40" s="789">
        <f>IF($X40=0,0,      _xll.qDateNext($X40,AF$12,"M",FRM&lt;&gt;"Calypso",CCY))</f>
        <v>0</v>
      </c>
      <c r="AG40" s="789">
        <f>IF($X40=0,0,      _xll.qDateNext($X40,AG$12,"M",FRM&lt;&gt;"Calypso",CCY))</f>
        <v>0</v>
      </c>
      <c r="AH40" s="789">
        <f>IF($X40=0,0,      _xll.qDateNext($X40,AH$12,"M",FRM&lt;&gt;"Calypso",CCY))</f>
        <v>0</v>
      </c>
      <c r="AI40" s="789">
        <f>IF($X40=0,0,      _xll.qDateNext($X40,AI$12,"M",FRM&lt;&gt;"Calypso",CCY))</f>
        <v>0</v>
      </c>
      <c r="AJ40" s="529" t="str">
        <v/>
      </c>
      <c r="AK40" s="529" t="str">
        <v/>
      </c>
      <c r="AL40" s="529" t="str">
        <v/>
      </c>
      <c r="AM40" s="529" t="str">
        <v/>
      </c>
      <c r="AN40" s="529" t="str">
        <v/>
      </c>
      <c r="AO40" s="529" t="str">
        <v/>
      </c>
      <c r="AP40" s="529" t="str">
        <v/>
      </c>
      <c r="AQ40" s="529" t="str">
        <v/>
      </c>
      <c r="AR40" s="529">
        <v>0</v>
      </c>
      <c r="AS40" s="529">
        <v>0</v>
      </c>
      <c r="AT40" s="529">
        <f t="shared" si="11"/>
        <v>0</v>
      </c>
      <c r="AU40" s="529">
        <v>0</v>
      </c>
      <c r="AV40" s="529">
        <f t="shared" si="12"/>
        <v>0</v>
      </c>
      <c r="AW40" s="529">
        <f t="shared" si="13"/>
        <v>0</v>
      </c>
      <c r="AX40" s="529">
        <v>0</v>
      </c>
      <c r="AY40" s="529">
        <v>0</v>
      </c>
      <c r="AZ40" s="761">
        <f t="shared" si="2"/>
        <v>0</v>
      </c>
      <c r="BA40" s="761">
        <f t="shared" si="3"/>
        <v>0</v>
      </c>
      <c r="BB40" s="761">
        <f t="shared" si="4"/>
        <v>0</v>
      </c>
      <c r="BC40" s="761">
        <f t="shared" si="5"/>
        <v>0</v>
      </c>
      <c r="BD40" s="761">
        <f t="shared" si="6"/>
        <v>0</v>
      </c>
      <c r="BE40" s="761">
        <f t="shared" si="7"/>
        <v>0</v>
      </c>
      <c r="BF40" s="761">
        <f t="shared" si="8"/>
        <v>0</v>
      </c>
      <c r="BG40" s="761">
        <f t="shared" si="9"/>
        <v>0</v>
      </c>
      <c r="BH40" s="777">
        <v>0</v>
      </c>
      <c r="BI40" s="755"/>
      <c r="BJ40" s="778">
        <f>IF(X41=0,0,           IF(ISNUMBER(BI40),BI40,               IF(ISTEXT(BI40),INDEX(AZ40:BG40,MATCH(BI40,$AZ$12:$BG$12,0)),             IF(BH40="INT",_xll.qInterp(X41,AB40:AI40,AZ40:BG40),            INDEX(AZ40:BG40,MATCH(BH40,$AZ$12:$BG$12,0))))))</f>
        <v>0</v>
      </c>
      <c r="BK40" s="408">
        <f t="shared" si="14"/>
        <v>0</v>
      </c>
      <c r="BL40" s="414">
        <f t="shared" si="15"/>
        <v>0</v>
      </c>
      <c r="BM40" s="408">
        <f t="shared" si="16"/>
        <v>0</v>
      </c>
    </row>
    <row r="41" spans="2:65">
      <c r="O41" s="138"/>
      <c r="P41" s="779">
        <v>0</v>
      </c>
      <c r="Q41" s="780">
        <f t="shared" si="0"/>
        <v>0</v>
      </c>
      <c r="R41" s="776">
        <f>IF(P42,_xll.qDateYears(P41,P42,DCCfixed),0)</f>
        <v>0</v>
      </c>
      <c r="S41" s="553">
        <v>0</v>
      </c>
      <c r="T41" s="785"/>
      <c r="U41" s="409">
        <f t="shared" si="10"/>
        <v>0</v>
      </c>
      <c r="X41" s="363">
        <v>0</v>
      </c>
      <c r="Y41" s="775">
        <f t="shared" si="1"/>
        <v>0</v>
      </c>
      <c r="Z41" s="776">
        <f>IF(X42,_xll.qDateYears(X41,X42,DCCfloat),0)</f>
        <v>0</v>
      </c>
      <c r="AA41" s="553">
        <v>0</v>
      </c>
      <c r="AB41" s="789">
        <f>IF($X41=0,0,      _xll.qDateNext($X41,AB$12,"M",FRM&lt;&gt;"Calypso",CCY))</f>
        <v>0</v>
      </c>
      <c r="AC41" s="789">
        <f>IF($X41=0,0,      _xll.qDateNext($X41,AC$12,"M",FRM&lt;&gt;"Calypso",CCY))</f>
        <v>0</v>
      </c>
      <c r="AD41" s="789">
        <f>IF($X41=0,0,      _xll.qDateNext($X41,AD$12,"M",FRM&lt;&gt;"Calypso",CCY))</f>
        <v>0</v>
      </c>
      <c r="AE41" s="789">
        <f>IF($X41=0,0,      _xll.qDateNext($X41,AE$12,"M",FRM&lt;&gt;"Calypso",CCY))</f>
        <v>0</v>
      </c>
      <c r="AF41" s="789">
        <f>IF($X41=0,0,      _xll.qDateNext($X41,AF$12,"M",FRM&lt;&gt;"Calypso",CCY))</f>
        <v>0</v>
      </c>
      <c r="AG41" s="789">
        <f>IF($X41=0,0,      _xll.qDateNext($X41,AG$12,"M",FRM&lt;&gt;"Calypso",CCY))</f>
        <v>0</v>
      </c>
      <c r="AH41" s="789">
        <f>IF($X41=0,0,      _xll.qDateNext($X41,AH$12,"M",FRM&lt;&gt;"Calypso",CCY))</f>
        <v>0</v>
      </c>
      <c r="AI41" s="789">
        <f>IF($X41=0,0,      _xll.qDateNext($X41,AI$12,"M",FRM&lt;&gt;"Calypso",CCY))</f>
        <v>0</v>
      </c>
      <c r="AJ41" s="529" t="str">
        <v/>
      </c>
      <c r="AK41" s="529" t="str">
        <v/>
      </c>
      <c r="AL41" s="529" t="str">
        <v/>
      </c>
      <c r="AM41" s="529" t="str">
        <v/>
      </c>
      <c r="AN41" s="529" t="str">
        <v/>
      </c>
      <c r="AO41" s="529" t="str">
        <v/>
      </c>
      <c r="AP41" s="529" t="str">
        <v/>
      </c>
      <c r="AQ41" s="529" t="str">
        <v/>
      </c>
      <c r="AR41" s="529">
        <v>0</v>
      </c>
      <c r="AS41" s="529">
        <v>0</v>
      </c>
      <c r="AT41" s="529">
        <f t="shared" si="11"/>
        <v>0</v>
      </c>
      <c r="AU41" s="529">
        <v>0</v>
      </c>
      <c r="AV41" s="529">
        <f t="shared" si="12"/>
        <v>0</v>
      </c>
      <c r="AW41" s="529">
        <f t="shared" si="13"/>
        <v>0</v>
      </c>
      <c r="AX41" s="529">
        <v>0</v>
      </c>
      <c r="AY41" s="529">
        <v>0</v>
      </c>
      <c r="AZ41" s="761">
        <f t="shared" si="2"/>
        <v>0</v>
      </c>
      <c r="BA41" s="761">
        <f t="shared" si="3"/>
        <v>0</v>
      </c>
      <c r="BB41" s="761">
        <f t="shared" si="4"/>
        <v>0</v>
      </c>
      <c r="BC41" s="761">
        <f t="shared" si="5"/>
        <v>0</v>
      </c>
      <c r="BD41" s="761">
        <f t="shared" si="6"/>
        <v>0</v>
      </c>
      <c r="BE41" s="761">
        <f t="shared" si="7"/>
        <v>0</v>
      </c>
      <c r="BF41" s="761">
        <f t="shared" si="8"/>
        <v>0</v>
      </c>
      <c r="BG41" s="761">
        <f t="shared" si="9"/>
        <v>0</v>
      </c>
      <c r="BH41" s="777">
        <v>0</v>
      </c>
      <c r="BI41" s="755"/>
      <c r="BJ41" s="778">
        <f>IF(X42=0,0,           IF(ISNUMBER(BI41),BI41,               IF(ISTEXT(BI41),INDEX(AZ41:BG41,MATCH(BI41,$AZ$12:$BG$12,0)),             IF(BH41="INT",_xll.qInterp(X42,AB41:AI41,AZ41:BG41),            INDEX(AZ41:BG41,MATCH(BH41,$AZ$12:$BG$12,0))))))</f>
        <v>0</v>
      </c>
      <c r="BK41" s="408">
        <f t="shared" si="14"/>
        <v>0</v>
      </c>
      <c r="BL41" s="414">
        <f t="shared" si="15"/>
        <v>0</v>
      </c>
      <c r="BM41" s="408">
        <f t="shared" si="16"/>
        <v>0</v>
      </c>
    </row>
    <row r="42" spans="2:65">
      <c r="O42" s="138"/>
      <c r="P42" s="779">
        <v>0</v>
      </c>
      <c r="Q42" s="780">
        <f t="shared" si="0"/>
        <v>0</v>
      </c>
      <c r="R42" s="776">
        <f>IF(P43,_xll.qDateYears(P42,P43,DCCfixed),0)</f>
        <v>0</v>
      </c>
      <c r="S42" s="553">
        <v>0</v>
      </c>
      <c r="T42" s="785"/>
      <c r="U42" s="409">
        <f t="shared" si="10"/>
        <v>0</v>
      </c>
      <c r="X42" s="363">
        <v>0</v>
      </c>
      <c r="Y42" s="775">
        <f t="shared" si="1"/>
        <v>0</v>
      </c>
      <c r="Z42" s="776">
        <f>IF(X43,_xll.qDateYears(X42,X43,DCCfloat),0)</f>
        <v>0</v>
      </c>
      <c r="AA42" s="553">
        <v>0</v>
      </c>
      <c r="AB42" s="789">
        <f>IF($X42=0,0,      _xll.qDateNext($X42,AB$12,"M",FRM&lt;&gt;"Calypso",CCY))</f>
        <v>0</v>
      </c>
      <c r="AC42" s="789">
        <f>IF($X42=0,0,      _xll.qDateNext($X42,AC$12,"M",FRM&lt;&gt;"Calypso",CCY))</f>
        <v>0</v>
      </c>
      <c r="AD42" s="789">
        <f>IF($X42=0,0,      _xll.qDateNext($X42,AD$12,"M",FRM&lt;&gt;"Calypso",CCY))</f>
        <v>0</v>
      </c>
      <c r="AE42" s="789">
        <f>IF($X42=0,0,      _xll.qDateNext($X42,AE$12,"M",FRM&lt;&gt;"Calypso",CCY))</f>
        <v>0</v>
      </c>
      <c r="AF42" s="789">
        <f>IF($X42=0,0,      _xll.qDateNext($X42,AF$12,"M",FRM&lt;&gt;"Calypso",CCY))</f>
        <v>0</v>
      </c>
      <c r="AG42" s="789">
        <f>IF($X42=0,0,      _xll.qDateNext($X42,AG$12,"M",FRM&lt;&gt;"Calypso",CCY))</f>
        <v>0</v>
      </c>
      <c r="AH42" s="789">
        <f>IF($X42=0,0,      _xll.qDateNext($X42,AH$12,"M",FRM&lt;&gt;"Calypso",CCY))</f>
        <v>0</v>
      </c>
      <c r="AI42" s="789">
        <f>IF($X42=0,0,      _xll.qDateNext($X42,AI$12,"M",FRM&lt;&gt;"Calypso",CCY))</f>
        <v>0</v>
      </c>
      <c r="AJ42" s="529" t="str">
        <v/>
      </c>
      <c r="AK42" s="529" t="str">
        <v/>
      </c>
      <c r="AL42" s="529" t="str">
        <v/>
      </c>
      <c r="AM42" s="529" t="str">
        <v/>
      </c>
      <c r="AN42" s="529" t="str">
        <v/>
      </c>
      <c r="AO42" s="529" t="str">
        <v/>
      </c>
      <c r="AP42" s="529" t="str">
        <v/>
      </c>
      <c r="AQ42" s="529" t="str">
        <v/>
      </c>
      <c r="AR42" s="529">
        <v>0</v>
      </c>
      <c r="AS42" s="529">
        <v>0</v>
      </c>
      <c r="AT42" s="529">
        <f t="shared" si="11"/>
        <v>0</v>
      </c>
      <c r="AU42" s="529">
        <v>0</v>
      </c>
      <c r="AV42" s="529">
        <f t="shared" si="12"/>
        <v>0</v>
      </c>
      <c r="AW42" s="529">
        <f t="shared" si="13"/>
        <v>0</v>
      </c>
      <c r="AX42" s="529">
        <v>0</v>
      </c>
      <c r="AY42" s="529">
        <v>0</v>
      </c>
      <c r="AZ42" s="761">
        <f t="shared" si="2"/>
        <v>0</v>
      </c>
      <c r="BA42" s="761">
        <f t="shared" si="3"/>
        <v>0</v>
      </c>
      <c r="BB42" s="761">
        <f t="shared" si="4"/>
        <v>0</v>
      </c>
      <c r="BC42" s="761">
        <f t="shared" si="5"/>
        <v>0</v>
      </c>
      <c r="BD42" s="761">
        <f t="shared" si="6"/>
        <v>0</v>
      </c>
      <c r="BE42" s="761">
        <f t="shared" si="7"/>
        <v>0</v>
      </c>
      <c r="BF42" s="761">
        <f t="shared" si="8"/>
        <v>0</v>
      </c>
      <c r="BG42" s="761">
        <f t="shared" si="9"/>
        <v>0</v>
      </c>
      <c r="BH42" s="777">
        <v>0</v>
      </c>
      <c r="BI42" s="755"/>
      <c r="BJ42" s="778">
        <f>IF(X43=0,0,           IF(ISNUMBER(BI42),BI42,               IF(ISTEXT(BI42),INDEX(AZ42:BG42,MATCH(BI42,$AZ$12:$BG$12,0)),             IF(BH42="INT",_xll.qInterp(X43,AB42:AI42,AZ42:BG42),            INDEX(AZ42:BG42,MATCH(BH42,$AZ$12:$BG$12,0))))))</f>
        <v>0</v>
      </c>
      <c r="BK42" s="408">
        <f t="shared" si="14"/>
        <v>0</v>
      </c>
      <c r="BL42" s="414">
        <f t="shared" si="15"/>
        <v>0</v>
      </c>
      <c r="BM42" s="408">
        <f t="shared" si="16"/>
        <v>0</v>
      </c>
    </row>
    <row r="43" spans="2:65">
      <c r="O43" s="138"/>
      <c r="P43" s="779">
        <v>0</v>
      </c>
      <c r="Q43" s="780">
        <f t="shared" si="0"/>
        <v>0</v>
      </c>
      <c r="R43" s="776">
        <f>IF(P44,_xll.qDateYears(P43,P44,DCCfixed),0)</f>
        <v>0</v>
      </c>
      <c r="S43" s="553">
        <v>0</v>
      </c>
      <c r="T43" s="785"/>
      <c r="U43" s="409">
        <f t="shared" si="10"/>
        <v>0</v>
      </c>
      <c r="X43" s="363">
        <v>0</v>
      </c>
      <c r="Y43" s="775">
        <f t="shared" si="1"/>
        <v>0</v>
      </c>
      <c r="Z43" s="776">
        <f>IF(X44,_xll.qDateYears(X43,X44,DCCfloat),0)</f>
        <v>0</v>
      </c>
      <c r="AA43" s="553">
        <v>0</v>
      </c>
      <c r="AB43" s="789">
        <f>IF($X43=0,0,      _xll.qDateNext($X43,AB$12,"M",FRM&lt;&gt;"Calypso",CCY))</f>
        <v>0</v>
      </c>
      <c r="AC43" s="789">
        <f>IF($X43=0,0,      _xll.qDateNext($X43,AC$12,"M",FRM&lt;&gt;"Calypso",CCY))</f>
        <v>0</v>
      </c>
      <c r="AD43" s="789">
        <f>IF($X43=0,0,      _xll.qDateNext($X43,AD$12,"M",FRM&lt;&gt;"Calypso",CCY))</f>
        <v>0</v>
      </c>
      <c r="AE43" s="789">
        <f>IF($X43=0,0,      _xll.qDateNext($X43,AE$12,"M",FRM&lt;&gt;"Calypso",CCY))</f>
        <v>0</v>
      </c>
      <c r="AF43" s="789">
        <f>IF($X43=0,0,      _xll.qDateNext($X43,AF$12,"M",FRM&lt;&gt;"Calypso",CCY))</f>
        <v>0</v>
      </c>
      <c r="AG43" s="789">
        <f>IF($X43=0,0,      _xll.qDateNext($X43,AG$12,"M",FRM&lt;&gt;"Calypso",CCY))</f>
        <v>0</v>
      </c>
      <c r="AH43" s="789">
        <f>IF($X43=0,0,      _xll.qDateNext($X43,AH$12,"M",FRM&lt;&gt;"Calypso",CCY))</f>
        <v>0</v>
      </c>
      <c r="AI43" s="789">
        <f>IF($X43=0,0,      _xll.qDateNext($X43,AI$12,"M",FRM&lt;&gt;"Calypso",CCY))</f>
        <v>0</v>
      </c>
      <c r="AJ43" s="529" t="str">
        <v/>
      </c>
      <c r="AK43" s="529" t="str">
        <v/>
      </c>
      <c r="AL43" s="529" t="str">
        <v/>
      </c>
      <c r="AM43" s="529" t="str">
        <v/>
      </c>
      <c r="AN43" s="529" t="str">
        <v/>
      </c>
      <c r="AO43" s="529" t="str">
        <v/>
      </c>
      <c r="AP43" s="529" t="str">
        <v/>
      </c>
      <c r="AQ43" s="529" t="str">
        <v/>
      </c>
      <c r="AR43" s="529">
        <v>0</v>
      </c>
      <c r="AS43" s="529">
        <v>0</v>
      </c>
      <c r="AT43" s="529">
        <f t="shared" si="11"/>
        <v>0</v>
      </c>
      <c r="AU43" s="529">
        <v>0</v>
      </c>
      <c r="AV43" s="529">
        <f t="shared" si="12"/>
        <v>0</v>
      </c>
      <c r="AW43" s="529">
        <f t="shared" si="13"/>
        <v>0</v>
      </c>
      <c r="AX43" s="529">
        <v>0</v>
      </c>
      <c r="AY43" s="529">
        <v>0</v>
      </c>
      <c r="AZ43" s="761">
        <f t="shared" si="2"/>
        <v>0</v>
      </c>
      <c r="BA43" s="761">
        <f t="shared" si="3"/>
        <v>0</v>
      </c>
      <c r="BB43" s="761">
        <f t="shared" si="4"/>
        <v>0</v>
      </c>
      <c r="BC43" s="761">
        <f t="shared" si="5"/>
        <v>0</v>
      </c>
      <c r="BD43" s="761">
        <f t="shared" si="6"/>
        <v>0</v>
      </c>
      <c r="BE43" s="761">
        <f t="shared" si="7"/>
        <v>0</v>
      </c>
      <c r="BF43" s="761">
        <f t="shared" si="8"/>
        <v>0</v>
      </c>
      <c r="BG43" s="761">
        <f t="shared" si="9"/>
        <v>0</v>
      </c>
      <c r="BH43" s="777">
        <v>0</v>
      </c>
      <c r="BI43" s="755"/>
      <c r="BJ43" s="778">
        <f>IF(X44=0,0,           IF(ISNUMBER(BI43),BI43,               IF(ISTEXT(BI43),INDEX(AZ43:BG43,MATCH(BI43,$AZ$12:$BG$12,0)),             IF(BH43="INT",_xll.qInterp(X44,AB43:AI43,AZ43:BG43),            INDEX(AZ43:BG43,MATCH(BH43,$AZ$12:$BG$12,0))))))</f>
        <v>0</v>
      </c>
      <c r="BK43" s="408">
        <f t="shared" si="14"/>
        <v>0</v>
      </c>
      <c r="BL43" s="414">
        <f t="shared" si="15"/>
        <v>0</v>
      </c>
      <c r="BM43" s="408">
        <f t="shared" si="16"/>
        <v>0</v>
      </c>
    </row>
    <row r="44" spans="2:65">
      <c r="P44" s="779">
        <v>0</v>
      </c>
      <c r="Q44" s="780">
        <f t="shared" si="0"/>
        <v>0</v>
      </c>
      <c r="R44" s="776">
        <f>IF(P45,_xll.qDateYears(P44,P45,DCCfixed),0)</f>
        <v>0</v>
      </c>
      <c r="S44" s="553">
        <v>0</v>
      </c>
      <c r="T44" s="785"/>
      <c r="U44" s="409">
        <f t="shared" si="10"/>
        <v>0</v>
      </c>
      <c r="X44" s="363">
        <v>0</v>
      </c>
      <c r="Y44" s="775">
        <f t="shared" si="1"/>
        <v>0</v>
      </c>
      <c r="Z44" s="776">
        <f>IF(X45,_xll.qDateYears(X44,X45,DCCfloat),0)</f>
        <v>0</v>
      </c>
      <c r="AA44" s="553">
        <v>0</v>
      </c>
      <c r="AB44" s="789">
        <f>IF($X44=0,0,      _xll.qDateNext($X44,AB$12,"M",FRM&lt;&gt;"Calypso",CCY))</f>
        <v>0</v>
      </c>
      <c r="AC44" s="789">
        <f>IF($X44=0,0,      _xll.qDateNext($X44,AC$12,"M",FRM&lt;&gt;"Calypso",CCY))</f>
        <v>0</v>
      </c>
      <c r="AD44" s="789">
        <f>IF($X44=0,0,      _xll.qDateNext($X44,AD$12,"M",FRM&lt;&gt;"Calypso",CCY))</f>
        <v>0</v>
      </c>
      <c r="AE44" s="789">
        <f>IF($X44=0,0,      _xll.qDateNext($X44,AE$12,"M",FRM&lt;&gt;"Calypso",CCY))</f>
        <v>0</v>
      </c>
      <c r="AF44" s="789">
        <f>IF($X44=0,0,      _xll.qDateNext($X44,AF$12,"M",FRM&lt;&gt;"Calypso",CCY))</f>
        <v>0</v>
      </c>
      <c r="AG44" s="789">
        <f>IF($X44=0,0,      _xll.qDateNext($X44,AG$12,"M",FRM&lt;&gt;"Calypso",CCY))</f>
        <v>0</v>
      </c>
      <c r="AH44" s="789">
        <f>IF($X44=0,0,      _xll.qDateNext($X44,AH$12,"M",FRM&lt;&gt;"Calypso",CCY))</f>
        <v>0</v>
      </c>
      <c r="AI44" s="789">
        <f>IF($X44=0,0,      _xll.qDateNext($X44,AI$12,"M",FRM&lt;&gt;"Calypso",CCY))</f>
        <v>0</v>
      </c>
      <c r="AJ44" s="529" t="str">
        <v/>
      </c>
      <c r="AK44" s="529" t="str">
        <v/>
      </c>
      <c r="AL44" s="529" t="str">
        <v/>
      </c>
      <c r="AM44" s="529" t="str">
        <v/>
      </c>
      <c r="AN44" s="529" t="str">
        <v/>
      </c>
      <c r="AO44" s="529" t="str">
        <v/>
      </c>
      <c r="AP44" s="529" t="str">
        <v/>
      </c>
      <c r="AQ44" s="529" t="str">
        <v/>
      </c>
      <c r="AR44" s="529">
        <v>0</v>
      </c>
      <c r="AS44" s="529">
        <v>0</v>
      </c>
      <c r="AT44" s="529">
        <f t="shared" si="11"/>
        <v>0</v>
      </c>
      <c r="AU44" s="529">
        <v>0</v>
      </c>
      <c r="AV44" s="529">
        <f t="shared" si="12"/>
        <v>0</v>
      </c>
      <c r="AW44" s="529">
        <f t="shared" si="13"/>
        <v>0</v>
      </c>
      <c r="AX44" s="529">
        <v>0</v>
      </c>
      <c r="AY44" s="529">
        <v>0</v>
      </c>
      <c r="AZ44" s="761">
        <f t="shared" si="2"/>
        <v>0</v>
      </c>
      <c r="BA44" s="761">
        <f t="shared" si="3"/>
        <v>0</v>
      </c>
      <c r="BB44" s="761">
        <f t="shared" si="4"/>
        <v>0</v>
      </c>
      <c r="BC44" s="761">
        <f t="shared" si="5"/>
        <v>0</v>
      </c>
      <c r="BD44" s="761">
        <f t="shared" si="6"/>
        <v>0</v>
      </c>
      <c r="BE44" s="761">
        <f t="shared" si="7"/>
        <v>0</v>
      </c>
      <c r="BF44" s="761">
        <f t="shared" si="8"/>
        <v>0</v>
      </c>
      <c r="BG44" s="761">
        <f t="shared" si="9"/>
        <v>0</v>
      </c>
      <c r="BH44" s="777">
        <v>0</v>
      </c>
      <c r="BI44" s="755"/>
      <c r="BJ44" s="778">
        <f>IF(X45=0,0,           IF(ISNUMBER(BI44),BI44,               IF(ISTEXT(BI44),INDEX(AZ44:BG44,MATCH(BI44,$AZ$12:$BG$12,0)),             IF(BH44="INT",_xll.qInterp(X45,AB44:AI44,AZ44:BG44),            INDEX(AZ44:BG44,MATCH(BH44,$AZ$12:$BG$12,0))))))</f>
        <v>0</v>
      </c>
      <c r="BK44" s="408">
        <f t="shared" si="14"/>
        <v>0</v>
      </c>
      <c r="BL44" s="414">
        <f t="shared" si="15"/>
        <v>0</v>
      </c>
      <c r="BM44" s="408">
        <f t="shared" si="16"/>
        <v>0</v>
      </c>
    </row>
    <row r="45" spans="2:65">
      <c r="P45" s="779">
        <v>0</v>
      </c>
      <c r="Q45" s="780">
        <f t="shared" si="0"/>
        <v>0</v>
      </c>
      <c r="R45" s="776">
        <f>IF(P46,_xll.qDateYears(P45,P46,DCCfixed),0)</f>
        <v>0</v>
      </c>
      <c r="S45" s="553">
        <v>0</v>
      </c>
      <c r="T45" s="785"/>
      <c r="U45" s="409">
        <f t="shared" si="10"/>
        <v>0</v>
      </c>
      <c r="X45" s="363">
        <v>0</v>
      </c>
      <c r="Y45" s="775">
        <f t="shared" si="1"/>
        <v>0</v>
      </c>
      <c r="Z45" s="776">
        <f>IF(X46,_xll.qDateYears(X45,X46,DCCfloat),0)</f>
        <v>0</v>
      </c>
      <c r="AA45" s="553">
        <v>0</v>
      </c>
      <c r="AB45" s="789">
        <f>IF($X45=0,0,      _xll.qDateNext($X45,AB$12,"M",FRM&lt;&gt;"Calypso",CCY))</f>
        <v>0</v>
      </c>
      <c r="AC45" s="789">
        <f>IF($X45=0,0,      _xll.qDateNext($X45,AC$12,"M",FRM&lt;&gt;"Calypso",CCY))</f>
        <v>0</v>
      </c>
      <c r="AD45" s="789">
        <f>IF($X45=0,0,      _xll.qDateNext($X45,AD$12,"M",FRM&lt;&gt;"Calypso",CCY))</f>
        <v>0</v>
      </c>
      <c r="AE45" s="789">
        <f>IF($X45=0,0,      _xll.qDateNext($X45,AE$12,"M",FRM&lt;&gt;"Calypso",CCY))</f>
        <v>0</v>
      </c>
      <c r="AF45" s="789">
        <f>IF($X45=0,0,      _xll.qDateNext($X45,AF$12,"M",FRM&lt;&gt;"Calypso",CCY))</f>
        <v>0</v>
      </c>
      <c r="AG45" s="789">
        <f>IF($X45=0,0,      _xll.qDateNext($X45,AG$12,"M",FRM&lt;&gt;"Calypso",CCY))</f>
        <v>0</v>
      </c>
      <c r="AH45" s="789">
        <f>IF($X45=0,0,      _xll.qDateNext($X45,AH$12,"M",FRM&lt;&gt;"Calypso",CCY))</f>
        <v>0</v>
      </c>
      <c r="AI45" s="789">
        <f>IF($X45=0,0,      _xll.qDateNext($X45,AI$12,"M",FRM&lt;&gt;"Calypso",CCY))</f>
        <v>0</v>
      </c>
      <c r="AJ45" s="529" t="str">
        <v/>
      </c>
      <c r="AK45" s="529" t="str">
        <v/>
      </c>
      <c r="AL45" s="529" t="str">
        <v/>
      </c>
      <c r="AM45" s="529" t="str">
        <v/>
      </c>
      <c r="AN45" s="529" t="str">
        <v/>
      </c>
      <c r="AO45" s="529" t="str">
        <v/>
      </c>
      <c r="AP45" s="529" t="str">
        <v/>
      </c>
      <c r="AQ45" s="529" t="str">
        <v/>
      </c>
      <c r="AR45" s="529">
        <v>0</v>
      </c>
      <c r="AS45" s="529">
        <v>0</v>
      </c>
      <c r="AT45" s="529">
        <f t="shared" si="11"/>
        <v>0</v>
      </c>
      <c r="AU45" s="529">
        <v>0</v>
      </c>
      <c r="AV45" s="529">
        <f t="shared" si="12"/>
        <v>0</v>
      </c>
      <c r="AW45" s="529">
        <f t="shared" si="13"/>
        <v>0</v>
      </c>
      <c r="AX45" s="529">
        <v>0</v>
      </c>
      <c r="AY45" s="529">
        <v>0</v>
      </c>
      <c r="AZ45" s="761">
        <f t="shared" si="2"/>
        <v>0</v>
      </c>
      <c r="BA45" s="761">
        <f t="shared" si="3"/>
        <v>0</v>
      </c>
      <c r="BB45" s="761">
        <f t="shared" si="4"/>
        <v>0</v>
      </c>
      <c r="BC45" s="761">
        <f t="shared" si="5"/>
        <v>0</v>
      </c>
      <c r="BD45" s="761">
        <f t="shared" si="6"/>
        <v>0</v>
      </c>
      <c r="BE45" s="761">
        <f t="shared" si="7"/>
        <v>0</v>
      </c>
      <c r="BF45" s="761">
        <f t="shared" si="8"/>
        <v>0</v>
      </c>
      <c r="BG45" s="761">
        <f t="shared" si="9"/>
        <v>0</v>
      </c>
      <c r="BH45" s="777">
        <v>0</v>
      </c>
      <c r="BI45" s="755"/>
      <c r="BJ45" s="778">
        <f>IF(X46=0,0,           IF(ISNUMBER(BI45),BI45,               IF(ISTEXT(BI45),INDEX(AZ45:BG45,MATCH(BI45,$AZ$12:$BG$12,0)),             IF(BH45="INT",_xll.qInterp(X46,AB45:AI45,AZ45:BG45),            INDEX(AZ45:BG45,MATCH(BH45,$AZ$12:$BG$12,0))))))</f>
        <v>0</v>
      </c>
      <c r="BK45" s="408">
        <f t="shared" si="14"/>
        <v>0</v>
      </c>
      <c r="BL45" s="414">
        <f t="shared" si="15"/>
        <v>0</v>
      </c>
      <c r="BM45" s="408">
        <f t="shared" si="16"/>
        <v>0</v>
      </c>
    </row>
    <row r="46" spans="2:65">
      <c r="P46" s="779">
        <v>0</v>
      </c>
      <c r="Q46" s="780">
        <f t="shared" si="0"/>
        <v>0</v>
      </c>
      <c r="R46" s="776">
        <f>IF(P47,_xll.qDateYears(P46,P47,DCCfixed),0)</f>
        <v>0</v>
      </c>
      <c r="S46" s="553">
        <v>0</v>
      </c>
      <c r="T46" s="785"/>
      <c r="U46" s="409">
        <f t="shared" si="10"/>
        <v>0</v>
      </c>
      <c r="X46" s="363">
        <v>0</v>
      </c>
      <c r="Y46" s="775">
        <f t="shared" si="1"/>
        <v>0</v>
      </c>
      <c r="Z46" s="776">
        <f>IF(X47,_xll.qDateYears(X46,X47,DCCfloat),0)</f>
        <v>0</v>
      </c>
      <c r="AA46" s="553">
        <v>0</v>
      </c>
      <c r="AB46" s="789">
        <f>IF($X46=0,0,      _xll.qDateNext($X46,AB$12,"M",FRM&lt;&gt;"Calypso",CCY))</f>
        <v>0</v>
      </c>
      <c r="AC46" s="789">
        <f>IF($X46=0,0,      _xll.qDateNext($X46,AC$12,"M",FRM&lt;&gt;"Calypso",CCY))</f>
        <v>0</v>
      </c>
      <c r="AD46" s="789">
        <f>IF($X46=0,0,      _xll.qDateNext($X46,AD$12,"M",FRM&lt;&gt;"Calypso",CCY))</f>
        <v>0</v>
      </c>
      <c r="AE46" s="789">
        <f>IF($X46=0,0,      _xll.qDateNext($X46,AE$12,"M",FRM&lt;&gt;"Calypso",CCY))</f>
        <v>0</v>
      </c>
      <c r="AF46" s="789">
        <f>IF($X46=0,0,      _xll.qDateNext($X46,AF$12,"M",FRM&lt;&gt;"Calypso",CCY))</f>
        <v>0</v>
      </c>
      <c r="AG46" s="789">
        <f>IF($X46=0,0,      _xll.qDateNext($X46,AG$12,"M",FRM&lt;&gt;"Calypso",CCY))</f>
        <v>0</v>
      </c>
      <c r="AH46" s="789">
        <f>IF($X46=0,0,      _xll.qDateNext($X46,AH$12,"M",FRM&lt;&gt;"Calypso",CCY))</f>
        <v>0</v>
      </c>
      <c r="AI46" s="789">
        <f>IF($X46=0,0,      _xll.qDateNext($X46,AI$12,"M",FRM&lt;&gt;"Calypso",CCY))</f>
        <v>0</v>
      </c>
      <c r="AJ46" s="529" t="str">
        <v/>
      </c>
      <c r="AK46" s="529" t="str">
        <v/>
      </c>
      <c r="AL46" s="529" t="str">
        <v/>
      </c>
      <c r="AM46" s="529" t="str">
        <v/>
      </c>
      <c r="AN46" s="529" t="str">
        <v/>
      </c>
      <c r="AO46" s="529" t="str">
        <v/>
      </c>
      <c r="AP46" s="529" t="str">
        <v/>
      </c>
      <c r="AQ46" s="529" t="str">
        <v/>
      </c>
      <c r="AR46" s="529">
        <v>0</v>
      </c>
      <c r="AS46" s="529">
        <v>0</v>
      </c>
      <c r="AT46" s="529">
        <f t="shared" si="11"/>
        <v>0</v>
      </c>
      <c r="AU46" s="529">
        <v>0</v>
      </c>
      <c r="AV46" s="529">
        <f t="shared" si="12"/>
        <v>0</v>
      </c>
      <c r="AW46" s="529">
        <f t="shared" si="13"/>
        <v>0</v>
      </c>
      <c r="AX46" s="529">
        <v>0</v>
      </c>
      <c r="AY46" s="529">
        <v>0</v>
      </c>
      <c r="AZ46" s="761">
        <f t="shared" si="2"/>
        <v>0</v>
      </c>
      <c r="BA46" s="761">
        <f t="shared" si="3"/>
        <v>0</v>
      </c>
      <c r="BB46" s="761">
        <f t="shared" si="4"/>
        <v>0</v>
      </c>
      <c r="BC46" s="761">
        <f t="shared" si="5"/>
        <v>0</v>
      </c>
      <c r="BD46" s="761">
        <f t="shared" si="6"/>
        <v>0</v>
      </c>
      <c r="BE46" s="761">
        <f t="shared" si="7"/>
        <v>0</v>
      </c>
      <c r="BF46" s="761">
        <f t="shared" si="8"/>
        <v>0</v>
      </c>
      <c r="BG46" s="761">
        <f t="shared" si="9"/>
        <v>0</v>
      </c>
      <c r="BH46" s="777">
        <v>0</v>
      </c>
      <c r="BI46" s="755"/>
      <c r="BJ46" s="778">
        <f>IF(X47=0,0,           IF(ISNUMBER(BI46),BI46,               IF(ISTEXT(BI46),INDEX(AZ46:BG46,MATCH(BI46,$AZ$12:$BG$12,0)),             IF(BH46="INT",_xll.qInterp(X47,AB46:AI46,AZ46:BG46),            INDEX(AZ46:BG46,MATCH(BH46,$AZ$12:$BG$12,0))))))</f>
        <v>0</v>
      </c>
      <c r="BK46" s="408">
        <f t="shared" si="14"/>
        <v>0</v>
      </c>
      <c r="BL46" s="414">
        <f t="shared" si="15"/>
        <v>0</v>
      </c>
      <c r="BM46" s="408">
        <f t="shared" si="16"/>
        <v>0</v>
      </c>
    </row>
    <row r="47" spans="2:65">
      <c r="P47" s="779">
        <v>0</v>
      </c>
      <c r="Q47" s="780">
        <f t="shared" si="0"/>
        <v>0</v>
      </c>
      <c r="R47" s="776">
        <f>IF(P48,_xll.qDateYears(P47,P48,DCCfixed),0)</f>
        <v>0</v>
      </c>
      <c r="S47" s="553">
        <v>0</v>
      </c>
      <c r="T47" s="785"/>
      <c r="U47" s="409">
        <f t="shared" si="10"/>
        <v>0</v>
      </c>
      <c r="X47" s="363">
        <v>0</v>
      </c>
      <c r="Y47" s="775">
        <f t="shared" si="1"/>
        <v>0</v>
      </c>
      <c r="Z47" s="776">
        <f>IF(X48,_xll.qDateYears(X47,X48,DCCfloat),0)</f>
        <v>0</v>
      </c>
      <c r="AA47" s="553">
        <v>0</v>
      </c>
      <c r="AB47" s="789">
        <f>IF($X47=0,0,      _xll.qDateNext($X47,AB$12,"M",FRM&lt;&gt;"Calypso",CCY))</f>
        <v>0</v>
      </c>
      <c r="AC47" s="789">
        <f>IF($X47=0,0,      _xll.qDateNext($X47,AC$12,"M",FRM&lt;&gt;"Calypso",CCY))</f>
        <v>0</v>
      </c>
      <c r="AD47" s="789">
        <f>IF($X47=0,0,      _xll.qDateNext($X47,AD$12,"M",FRM&lt;&gt;"Calypso",CCY))</f>
        <v>0</v>
      </c>
      <c r="AE47" s="789">
        <f>IF($X47=0,0,      _xll.qDateNext($X47,AE$12,"M",FRM&lt;&gt;"Calypso",CCY))</f>
        <v>0</v>
      </c>
      <c r="AF47" s="789">
        <f>IF($X47=0,0,      _xll.qDateNext($X47,AF$12,"M",FRM&lt;&gt;"Calypso",CCY))</f>
        <v>0</v>
      </c>
      <c r="AG47" s="789">
        <f>IF($X47=0,0,      _xll.qDateNext($X47,AG$12,"M",FRM&lt;&gt;"Calypso",CCY))</f>
        <v>0</v>
      </c>
      <c r="AH47" s="789">
        <f>IF($X47=0,0,      _xll.qDateNext($X47,AH$12,"M",FRM&lt;&gt;"Calypso",CCY))</f>
        <v>0</v>
      </c>
      <c r="AI47" s="789">
        <f>IF($X47=0,0,      _xll.qDateNext($X47,AI$12,"M",FRM&lt;&gt;"Calypso",CCY))</f>
        <v>0</v>
      </c>
      <c r="AJ47" s="529" t="str">
        <v/>
      </c>
      <c r="AK47" s="529" t="str">
        <v/>
      </c>
      <c r="AL47" s="529" t="str">
        <v/>
      </c>
      <c r="AM47" s="529" t="str">
        <v/>
      </c>
      <c r="AN47" s="529" t="str">
        <v/>
      </c>
      <c r="AO47" s="529" t="str">
        <v/>
      </c>
      <c r="AP47" s="529" t="str">
        <v/>
      </c>
      <c r="AQ47" s="529" t="str">
        <v/>
      </c>
      <c r="AR47" s="529">
        <v>0</v>
      </c>
      <c r="AS47" s="529">
        <v>0</v>
      </c>
      <c r="AT47" s="529">
        <f t="shared" si="11"/>
        <v>0</v>
      </c>
      <c r="AU47" s="529">
        <v>0</v>
      </c>
      <c r="AV47" s="529">
        <f t="shared" si="12"/>
        <v>0</v>
      </c>
      <c r="AW47" s="529">
        <f t="shared" si="13"/>
        <v>0</v>
      </c>
      <c r="AX47" s="529">
        <v>0</v>
      </c>
      <c r="AY47" s="529">
        <v>0</v>
      </c>
      <c r="AZ47" s="761">
        <f t="shared" si="2"/>
        <v>0</v>
      </c>
      <c r="BA47" s="761">
        <f t="shared" si="3"/>
        <v>0</v>
      </c>
      <c r="BB47" s="761">
        <f t="shared" si="4"/>
        <v>0</v>
      </c>
      <c r="BC47" s="761">
        <f t="shared" si="5"/>
        <v>0</v>
      </c>
      <c r="BD47" s="761">
        <f t="shared" si="6"/>
        <v>0</v>
      </c>
      <c r="BE47" s="761">
        <f t="shared" si="7"/>
        <v>0</v>
      </c>
      <c r="BF47" s="761">
        <f t="shared" si="8"/>
        <v>0</v>
      </c>
      <c r="BG47" s="761">
        <f t="shared" si="9"/>
        <v>0</v>
      </c>
      <c r="BH47" s="777">
        <v>0</v>
      </c>
      <c r="BI47" s="755"/>
      <c r="BJ47" s="778">
        <f>IF(X48=0,0,           IF(ISNUMBER(BI47),BI47,               IF(ISTEXT(BI47),INDEX(AZ47:BG47,MATCH(BI47,$AZ$12:$BG$12,0)),             IF(BH47="INT",_xll.qInterp(X48,AB47:AI47,AZ47:BG47),            INDEX(AZ47:BG47,MATCH(BH47,$AZ$12:$BG$12,0))))))</f>
        <v>0</v>
      </c>
      <c r="BK47" s="408">
        <f t="shared" si="14"/>
        <v>0</v>
      </c>
      <c r="BL47" s="414">
        <f t="shared" si="15"/>
        <v>0</v>
      </c>
      <c r="BM47" s="408">
        <f t="shared" si="16"/>
        <v>0</v>
      </c>
    </row>
    <row r="48" spans="2:65">
      <c r="J48" s="462"/>
      <c r="P48" s="779">
        <v>0</v>
      </c>
      <c r="Q48" s="780">
        <f t="shared" si="0"/>
        <v>0</v>
      </c>
      <c r="R48" s="776">
        <f>IF(P49,_xll.qDateYears(P48,P49,DCCfixed),0)</f>
        <v>0</v>
      </c>
      <c r="S48" s="553">
        <v>0</v>
      </c>
      <c r="T48" s="785"/>
      <c r="U48" s="409">
        <f t="shared" si="10"/>
        <v>0</v>
      </c>
      <c r="X48" s="363">
        <v>0</v>
      </c>
      <c r="Y48" s="775">
        <f t="shared" si="1"/>
        <v>0</v>
      </c>
      <c r="Z48" s="776">
        <f>IF(X49,_xll.qDateYears(X48,X49,DCCfloat),0)</f>
        <v>0</v>
      </c>
      <c r="AA48" s="553">
        <v>0</v>
      </c>
      <c r="AB48" s="789">
        <f>IF($X48=0,0,      _xll.qDateNext($X48,AB$12,"M",FRM&lt;&gt;"Calypso",CCY))</f>
        <v>0</v>
      </c>
      <c r="AC48" s="789">
        <f>IF($X48=0,0,      _xll.qDateNext($X48,AC$12,"M",FRM&lt;&gt;"Calypso",CCY))</f>
        <v>0</v>
      </c>
      <c r="AD48" s="789">
        <f>IF($X48=0,0,      _xll.qDateNext($X48,AD$12,"M",FRM&lt;&gt;"Calypso",CCY))</f>
        <v>0</v>
      </c>
      <c r="AE48" s="789">
        <f>IF($X48=0,0,      _xll.qDateNext($X48,AE$12,"M",FRM&lt;&gt;"Calypso",CCY))</f>
        <v>0</v>
      </c>
      <c r="AF48" s="789">
        <f>IF($X48=0,0,      _xll.qDateNext($X48,AF$12,"M",FRM&lt;&gt;"Calypso",CCY))</f>
        <v>0</v>
      </c>
      <c r="AG48" s="789">
        <f>IF($X48=0,0,      _xll.qDateNext($X48,AG$12,"M",FRM&lt;&gt;"Calypso",CCY))</f>
        <v>0</v>
      </c>
      <c r="AH48" s="789">
        <f>IF($X48=0,0,      _xll.qDateNext($X48,AH$12,"M",FRM&lt;&gt;"Calypso",CCY))</f>
        <v>0</v>
      </c>
      <c r="AI48" s="789">
        <f>IF($X48=0,0,      _xll.qDateNext($X48,AI$12,"M",FRM&lt;&gt;"Calypso",CCY))</f>
        <v>0</v>
      </c>
      <c r="AJ48" s="529" t="str">
        <v/>
      </c>
      <c r="AK48" s="529" t="str">
        <v/>
      </c>
      <c r="AL48" s="529" t="str">
        <v/>
      </c>
      <c r="AM48" s="529" t="str">
        <v/>
      </c>
      <c r="AN48" s="529" t="str">
        <v/>
      </c>
      <c r="AO48" s="529" t="str">
        <v/>
      </c>
      <c r="AP48" s="529" t="str">
        <v/>
      </c>
      <c r="AQ48" s="529" t="str">
        <v/>
      </c>
      <c r="AR48" s="529">
        <v>0</v>
      </c>
      <c r="AS48" s="529">
        <v>0</v>
      </c>
      <c r="AT48" s="529">
        <f t="shared" si="11"/>
        <v>0</v>
      </c>
      <c r="AU48" s="529">
        <v>0</v>
      </c>
      <c r="AV48" s="529">
        <f t="shared" si="12"/>
        <v>0</v>
      </c>
      <c r="AW48" s="529">
        <f t="shared" si="13"/>
        <v>0</v>
      </c>
      <c r="AX48" s="529">
        <v>0</v>
      </c>
      <c r="AY48" s="529">
        <v>0</v>
      </c>
      <c r="AZ48" s="761">
        <f t="shared" si="2"/>
        <v>0</v>
      </c>
      <c r="BA48" s="761">
        <f t="shared" si="3"/>
        <v>0</v>
      </c>
      <c r="BB48" s="761">
        <f t="shared" si="4"/>
        <v>0</v>
      </c>
      <c r="BC48" s="761">
        <f t="shared" si="5"/>
        <v>0</v>
      </c>
      <c r="BD48" s="761">
        <f t="shared" si="6"/>
        <v>0</v>
      </c>
      <c r="BE48" s="761">
        <f t="shared" si="7"/>
        <v>0</v>
      </c>
      <c r="BF48" s="761">
        <f t="shared" si="8"/>
        <v>0</v>
      </c>
      <c r="BG48" s="761">
        <f t="shared" si="9"/>
        <v>0</v>
      </c>
      <c r="BH48" s="777">
        <v>0</v>
      </c>
      <c r="BI48" s="755"/>
      <c r="BJ48" s="778">
        <f>IF(X49=0,0,           IF(ISNUMBER(BI48),BI48,               IF(ISTEXT(BI48),INDEX(AZ48:BG48,MATCH(BI48,$AZ$12:$BG$12,0)),             IF(BH48="INT",_xll.qInterp(X49,AB48:AI48,AZ48:BG48),            INDEX(AZ48:BG48,MATCH(BH48,$AZ$12:$BG$12,0))))))</f>
        <v>0</v>
      </c>
      <c r="BK48" s="408">
        <f t="shared" si="14"/>
        <v>0</v>
      </c>
      <c r="BL48" s="414">
        <f t="shared" si="15"/>
        <v>0</v>
      </c>
      <c r="BM48" s="408">
        <f t="shared" si="16"/>
        <v>0</v>
      </c>
    </row>
    <row r="49" spans="10:65">
      <c r="J49" s="462"/>
      <c r="P49" s="779">
        <v>0</v>
      </c>
      <c r="Q49" s="780">
        <f t="shared" si="0"/>
        <v>0</v>
      </c>
      <c r="R49" s="776">
        <f>IF(P50,_xll.qDateYears(P49,P50,DCCfixed),0)</f>
        <v>0</v>
      </c>
      <c r="S49" s="553">
        <v>0</v>
      </c>
      <c r="T49" s="785"/>
      <c r="U49" s="409">
        <f t="shared" si="10"/>
        <v>0</v>
      </c>
      <c r="X49" s="363">
        <v>0</v>
      </c>
      <c r="Y49" s="775">
        <f t="shared" si="1"/>
        <v>0</v>
      </c>
      <c r="Z49" s="776">
        <f>IF(X50,_xll.qDateYears(X49,X50,DCCfloat),0)</f>
        <v>0</v>
      </c>
      <c r="AA49" s="553">
        <v>0</v>
      </c>
      <c r="AB49" s="789">
        <f>IF($X49=0,0,      _xll.qDateNext($X49,AB$12,"M",FRM&lt;&gt;"Calypso",CCY))</f>
        <v>0</v>
      </c>
      <c r="AC49" s="789">
        <f>IF($X49=0,0,      _xll.qDateNext($X49,AC$12,"M",FRM&lt;&gt;"Calypso",CCY))</f>
        <v>0</v>
      </c>
      <c r="AD49" s="789">
        <f>IF($X49=0,0,      _xll.qDateNext($X49,AD$12,"M",FRM&lt;&gt;"Calypso",CCY))</f>
        <v>0</v>
      </c>
      <c r="AE49" s="789">
        <f>IF($X49=0,0,      _xll.qDateNext($X49,AE$12,"M",FRM&lt;&gt;"Calypso",CCY))</f>
        <v>0</v>
      </c>
      <c r="AF49" s="789">
        <f>IF($X49=0,0,      _xll.qDateNext($X49,AF$12,"M",FRM&lt;&gt;"Calypso",CCY))</f>
        <v>0</v>
      </c>
      <c r="AG49" s="789">
        <f>IF($X49=0,0,      _xll.qDateNext($X49,AG$12,"M",FRM&lt;&gt;"Calypso",CCY))</f>
        <v>0</v>
      </c>
      <c r="AH49" s="789">
        <f>IF($X49=0,0,      _xll.qDateNext($X49,AH$12,"M",FRM&lt;&gt;"Calypso",CCY))</f>
        <v>0</v>
      </c>
      <c r="AI49" s="789">
        <f>IF($X49=0,0,      _xll.qDateNext($X49,AI$12,"M",FRM&lt;&gt;"Calypso",CCY))</f>
        <v>0</v>
      </c>
      <c r="AJ49" s="529" t="str">
        <v/>
      </c>
      <c r="AK49" s="529" t="str">
        <v/>
      </c>
      <c r="AL49" s="529" t="str">
        <v/>
      </c>
      <c r="AM49" s="529" t="str">
        <v/>
      </c>
      <c r="AN49" s="529" t="str">
        <v/>
      </c>
      <c r="AO49" s="529" t="str">
        <v/>
      </c>
      <c r="AP49" s="529" t="str">
        <v/>
      </c>
      <c r="AQ49" s="529" t="str">
        <v/>
      </c>
      <c r="AR49" s="529">
        <v>0</v>
      </c>
      <c r="AS49" s="529">
        <v>0</v>
      </c>
      <c r="AT49" s="529">
        <f t="shared" si="11"/>
        <v>0</v>
      </c>
      <c r="AU49" s="529">
        <v>0</v>
      </c>
      <c r="AV49" s="529">
        <f t="shared" si="12"/>
        <v>0</v>
      </c>
      <c r="AW49" s="529">
        <f t="shared" si="13"/>
        <v>0</v>
      </c>
      <c r="AX49" s="529">
        <v>0</v>
      </c>
      <c r="AY49" s="529">
        <v>0</v>
      </c>
      <c r="AZ49" s="761">
        <f t="shared" si="2"/>
        <v>0</v>
      </c>
      <c r="BA49" s="761">
        <f t="shared" si="3"/>
        <v>0</v>
      </c>
      <c r="BB49" s="761">
        <f t="shared" si="4"/>
        <v>0</v>
      </c>
      <c r="BC49" s="761">
        <f t="shared" si="5"/>
        <v>0</v>
      </c>
      <c r="BD49" s="761">
        <f t="shared" si="6"/>
        <v>0</v>
      </c>
      <c r="BE49" s="761">
        <f t="shared" si="7"/>
        <v>0</v>
      </c>
      <c r="BF49" s="761">
        <f t="shared" si="8"/>
        <v>0</v>
      </c>
      <c r="BG49" s="761">
        <f t="shared" si="9"/>
        <v>0</v>
      </c>
      <c r="BH49" s="777">
        <v>0</v>
      </c>
      <c r="BI49" s="755"/>
      <c r="BJ49" s="778">
        <f>IF(X50=0,0,           IF(ISNUMBER(BI49),BI49,               IF(ISTEXT(BI49),INDEX(AZ49:BG49,MATCH(BI49,$AZ$12:$BG$12,0)),             IF(BH49="INT",_xll.qInterp(X50,AB49:AI49,AZ49:BG49),            INDEX(AZ49:BG49,MATCH(BH49,$AZ$12:$BG$12,0))))))</f>
        <v>0</v>
      </c>
      <c r="BK49" s="408">
        <f t="shared" si="14"/>
        <v>0</v>
      </c>
      <c r="BL49" s="414">
        <f t="shared" si="15"/>
        <v>0</v>
      </c>
      <c r="BM49" s="408">
        <f t="shared" si="16"/>
        <v>0</v>
      </c>
    </row>
    <row r="50" spans="10:65">
      <c r="J50" s="462"/>
      <c r="P50" s="779">
        <v>0</v>
      </c>
      <c r="Q50" s="780">
        <f t="shared" si="0"/>
        <v>0</v>
      </c>
      <c r="R50" s="776">
        <f>IF(P51,_xll.qDateYears(P50,P51,DCCfixed),0)</f>
        <v>0</v>
      </c>
      <c r="S50" s="553">
        <v>0</v>
      </c>
      <c r="T50" s="785"/>
      <c r="U50" s="409">
        <f t="shared" si="10"/>
        <v>0</v>
      </c>
      <c r="X50" s="363">
        <v>0</v>
      </c>
      <c r="Y50" s="775">
        <f t="shared" si="1"/>
        <v>0</v>
      </c>
      <c r="Z50" s="776">
        <f>IF(X51,_xll.qDateYears(X50,X51,DCCfloat),0)</f>
        <v>0</v>
      </c>
      <c r="AA50" s="553">
        <v>0</v>
      </c>
      <c r="AB50" s="789">
        <f>IF($X50=0,0,      _xll.qDateNext($X50,AB$12,"M",FRM&lt;&gt;"Calypso",CCY))</f>
        <v>0</v>
      </c>
      <c r="AC50" s="789">
        <f>IF($X50=0,0,      _xll.qDateNext($X50,AC$12,"M",FRM&lt;&gt;"Calypso",CCY))</f>
        <v>0</v>
      </c>
      <c r="AD50" s="789">
        <f>IF($X50=0,0,      _xll.qDateNext($X50,AD$12,"M",FRM&lt;&gt;"Calypso",CCY))</f>
        <v>0</v>
      </c>
      <c r="AE50" s="789">
        <f>IF($X50=0,0,      _xll.qDateNext($X50,AE$12,"M",FRM&lt;&gt;"Calypso",CCY))</f>
        <v>0</v>
      </c>
      <c r="AF50" s="789">
        <f>IF($X50=0,0,      _xll.qDateNext($X50,AF$12,"M",FRM&lt;&gt;"Calypso",CCY))</f>
        <v>0</v>
      </c>
      <c r="AG50" s="789">
        <f>IF($X50=0,0,      _xll.qDateNext($X50,AG$12,"M",FRM&lt;&gt;"Calypso",CCY))</f>
        <v>0</v>
      </c>
      <c r="AH50" s="789">
        <f>IF($X50=0,0,      _xll.qDateNext($X50,AH$12,"M",FRM&lt;&gt;"Calypso",CCY))</f>
        <v>0</v>
      </c>
      <c r="AI50" s="789">
        <f>IF($X50=0,0,      _xll.qDateNext($X50,AI$12,"M",FRM&lt;&gt;"Calypso",CCY))</f>
        <v>0</v>
      </c>
      <c r="AJ50" s="529" t="str">
        <v/>
      </c>
      <c r="AK50" s="529" t="str">
        <v/>
      </c>
      <c r="AL50" s="529" t="str">
        <v/>
      </c>
      <c r="AM50" s="529" t="str">
        <v/>
      </c>
      <c r="AN50" s="529" t="str">
        <v/>
      </c>
      <c r="AO50" s="529" t="str">
        <v/>
      </c>
      <c r="AP50" s="529" t="str">
        <v/>
      </c>
      <c r="AQ50" s="529" t="str">
        <v/>
      </c>
      <c r="AR50" s="529">
        <v>0</v>
      </c>
      <c r="AS50" s="529">
        <v>0</v>
      </c>
      <c r="AT50" s="529">
        <f t="shared" si="11"/>
        <v>0</v>
      </c>
      <c r="AU50" s="529">
        <v>0</v>
      </c>
      <c r="AV50" s="529">
        <f t="shared" si="12"/>
        <v>0</v>
      </c>
      <c r="AW50" s="529">
        <f t="shared" si="13"/>
        <v>0</v>
      </c>
      <c r="AX50" s="529">
        <v>0</v>
      </c>
      <c r="AY50" s="529">
        <v>0</v>
      </c>
      <c r="AZ50" s="761">
        <f t="shared" si="2"/>
        <v>0</v>
      </c>
      <c r="BA50" s="761">
        <f t="shared" si="3"/>
        <v>0</v>
      </c>
      <c r="BB50" s="761">
        <f t="shared" si="4"/>
        <v>0</v>
      </c>
      <c r="BC50" s="761">
        <f t="shared" si="5"/>
        <v>0</v>
      </c>
      <c r="BD50" s="761">
        <f t="shared" si="6"/>
        <v>0</v>
      </c>
      <c r="BE50" s="761">
        <f t="shared" si="7"/>
        <v>0</v>
      </c>
      <c r="BF50" s="761">
        <f t="shared" si="8"/>
        <v>0</v>
      </c>
      <c r="BG50" s="761">
        <f t="shared" si="9"/>
        <v>0</v>
      </c>
      <c r="BH50" s="777">
        <v>0</v>
      </c>
      <c r="BI50" s="755"/>
      <c r="BJ50" s="778">
        <f>IF(X51=0,0,           IF(ISNUMBER(BI50),BI50,               IF(ISTEXT(BI50),INDEX(AZ50:BG50,MATCH(BI50,$AZ$12:$BG$12,0)),             IF(BH50="INT",_xll.qInterp(X51,AB50:AI50,AZ50:BG50),            INDEX(AZ50:BG50,MATCH(BH50,$AZ$12:$BG$12,0))))))</f>
        <v>0</v>
      </c>
      <c r="BK50" s="408">
        <f t="shared" si="14"/>
        <v>0</v>
      </c>
      <c r="BL50" s="414">
        <f t="shared" si="15"/>
        <v>0</v>
      </c>
      <c r="BM50" s="408">
        <f t="shared" si="16"/>
        <v>0</v>
      </c>
    </row>
    <row r="51" spans="10:65">
      <c r="J51" s="462"/>
      <c r="P51" s="779">
        <v>0</v>
      </c>
      <c r="Q51" s="780">
        <f t="shared" si="0"/>
        <v>0</v>
      </c>
      <c r="R51" s="776">
        <f>IF(P52,_xll.qDateYears(P51,P52,DCCfixed),0)</f>
        <v>0</v>
      </c>
      <c r="S51" s="553">
        <v>0</v>
      </c>
      <c r="T51" s="785"/>
      <c r="U51" s="409">
        <f t="shared" si="10"/>
        <v>0</v>
      </c>
      <c r="X51" s="363">
        <v>0</v>
      </c>
      <c r="Y51" s="775">
        <f t="shared" si="1"/>
        <v>0</v>
      </c>
      <c r="Z51" s="776">
        <f>IF(X52,_xll.qDateYears(X51,X52,DCCfloat),0)</f>
        <v>0</v>
      </c>
      <c r="AA51" s="553">
        <v>0</v>
      </c>
      <c r="AB51" s="789">
        <f>IF($X51=0,0,      _xll.qDateNext($X51,AB$12,"M",FRM&lt;&gt;"Calypso",CCY))</f>
        <v>0</v>
      </c>
      <c r="AC51" s="789">
        <f>IF($X51=0,0,      _xll.qDateNext($X51,AC$12,"M",FRM&lt;&gt;"Calypso",CCY))</f>
        <v>0</v>
      </c>
      <c r="AD51" s="789">
        <f>IF($X51=0,0,      _xll.qDateNext($X51,AD$12,"M",FRM&lt;&gt;"Calypso",CCY))</f>
        <v>0</v>
      </c>
      <c r="AE51" s="789">
        <f>IF($X51=0,0,      _xll.qDateNext($X51,AE$12,"M",FRM&lt;&gt;"Calypso",CCY))</f>
        <v>0</v>
      </c>
      <c r="AF51" s="789">
        <f>IF($X51=0,0,      _xll.qDateNext($X51,AF$12,"M",FRM&lt;&gt;"Calypso",CCY))</f>
        <v>0</v>
      </c>
      <c r="AG51" s="789">
        <f>IF($X51=0,0,      _xll.qDateNext($X51,AG$12,"M",FRM&lt;&gt;"Calypso",CCY))</f>
        <v>0</v>
      </c>
      <c r="AH51" s="789">
        <f>IF($X51=0,0,      _xll.qDateNext($X51,AH$12,"M",FRM&lt;&gt;"Calypso",CCY))</f>
        <v>0</v>
      </c>
      <c r="AI51" s="789">
        <f>IF($X51=0,0,      _xll.qDateNext($X51,AI$12,"M",FRM&lt;&gt;"Calypso",CCY))</f>
        <v>0</v>
      </c>
      <c r="AJ51" s="529" t="str">
        <v/>
      </c>
      <c r="AK51" s="529" t="str">
        <v/>
      </c>
      <c r="AL51" s="529" t="str">
        <v/>
      </c>
      <c r="AM51" s="529" t="str">
        <v/>
      </c>
      <c r="AN51" s="529" t="str">
        <v/>
      </c>
      <c r="AO51" s="529" t="str">
        <v/>
      </c>
      <c r="AP51" s="529" t="str">
        <v/>
      </c>
      <c r="AQ51" s="529" t="str">
        <v/>
      </c>
      <c r="AR51" s="529">
        <v>0</v>
      </c>
      <c r="AS51" s="529">
        <v>0</v>
      </c>
      <c r="AT51" s="529">
        <f t="shared" si="11"/>
        <v>0</v>
      </c>
      <c r="AU51" s="529">
        <v>0</v>
      </c>
      <c r="AV51" s="529">
        <f t="shared" si="12"/>
        <v>0</v>
      </c>
      <c r="AW51" s="529">
        <f t="shared" si="13"/>
        <v>0</v>
      </c>
      <c r="AX51" s="529">
        <v>0</v>
      </c>
      <c r="AY51" s="529">
        <v>0</v>
      </c>
      <c r="AZ51" s="761">
        <f t="shared" si="2"/>
        <v>0</v>
      </c>
      <c r="BA51" s="761">
        <f t="shared" si="3"/>
        <v>0</v>
      </c>
      <c r="BB51" s="761">
        <f t="shared" si="4"/>
        <v>0</v>
      </c>
      <c r="BC51" s="761">
        <f t="shared" si="5"/>
        <v>0</v>
      </c>
      <c r="BD51" s="761">
        <f t="shared" si="6"/>
        <v>0</v>
      </c>
      <c r="BE51" s="761">
        <f t="shared" si="7"/>
        <v>0</v>
      </c>
      <c r="BF51" s="761">
        <f t="shared" si="8"/>
        <v>0</v>
      </c>
      <c r="BG51" s="761">
        <f t="shared" si="9"/>
        <v>0</v>
      </c>
      <c r="BH51" s="777">
        <v>0</v>
      </c>
      <c r="BI51" s="755"/>
      <c r="BJ51" s="778">
        <f>IF(X52=0,0,           IF(ISNUMBER(BI51),BI51,               IF(ISTEXT(BI51),INDEX(AZ51:BG51,MATCH(BI51,$AZ$12:$BG$12,0)),             IF(BH51="INT",_xll.qInterp(X52,AB51:AI51,AZ51:BG51),            INDEX(AZ51:BG51,MATCH(BH51,$AZ$12:$BG$12,0))))))</f>
        <v>0</v>
      </c>
      <c r="BK51" s="408">
        <f t="shared" si="14"/>
        <v>0</v>
      </c>
      <c r="BL51" s="414">
        <f t="shared" si="15"/>
        <v>0</v>
      </c>
      <c r="BM51" s="408">
        <f t="shared" si="16"/>
        <v>0</v>
      </c>
    </row>
    <row r="52" spans="10:65">
      <c r="J52" s="462"/>
      <c r="P52" s="779">
        <v>0</v>
      </c>
      <c r="Q52" s="780">
        <f t="shared" si="0"/>
        <v>0</v>
      </c>
      <c r="R52" s="776">
        <f>IF(P53,_xll.qDateYears(P52,P53,DCCfixed),0)</f>
        <v>0</v>
      </c>
      <c r="S52" s="553">
        <v>0</v>
      </c>
      <c r="T52" s="785"/>
      <c r="U52" s="409">
        <f t="shared" si="10"/>
        <v>0</v>
      </c>
      <c r="X52" s="363">
        <v>0</v>
      </c>
      <c r="Y52" s="775">
        <f t="shared" si="1"/>
        <v>0</v>
      </c>
      <c r="Z52" s="776">
        <f>IF(X53,_xll.qDateYears(X52,X53,DCCfloat),0)</f>
        <v>0</v>
      </c>
      <c r="AA52" s="553">
        <v>0</v>
      </c>
      <c r="AB52" s="789">
        <f>IF($X52=0,0,      _xll.qDateNext($X52,AB$12,"M",FRM&lt;&gt;"Calypso",CCY))</f>
        <v>0</v>
      </c>
      <c r="AC52" s="789">
        <f>IF($X52=0,0,      _xll.qDateNext($X52,AC$12,"M",FRM&lt;&gt;"Calypso",CCY))</f>
        <v>0</v>
      </c>
      <c r="AD52" s="789">
        <f>IF($X52=0,0,      _xll.qDateNext($X52,AD$12,"M",FRM&lt;&gt;"Calypso",CCY))</f>
        <v>0</v>
      </c>
      <c r="AE52" s="789">
        <f>IF($X52=0,0,      _xll.qDateNext($X52,AE$12,"M",FRM&lt;&gt;"Calypso",CCY))</f>
        <v>0</v>
      </c>
      <c r="AF52" s="789">
        <f>IF($X52=0,0,      _xll.qDateNext($X52,AF$12,"M",FRM&lt;&gt;"Calypso",CCY))</f>
        <v>0</v>
      </c>
      <c r="AG52" s="789">
        <f>IF($X52=0,0,      _xll.qDateNext($X52,AG$12,"M",FRM&lt;&gt;"Calypso",CCY))</f>
        <v>0</v>
      </c>
      <c r="AH52" s="789">
        <f>IF($X52=0,0,      _xll.qDateNext($X52,AH$12,"M",FRM&lt;&gt;"Calypso",CCY))</f>
        <v>0</v>
      </c>
      <c r="AI52" s="789">
        <f>IF($X52=0,0,      _xll.qDateNext($X52,AI$12,"M",FRM&lt;&gt;"Calypso",CCY))</f>
        <v>0</v>
      </c>
      <c r="AJ52" s="529" t="str">
        <v/>
      </c>
      <c r="AK52" s="529" t="str">
        <v/>
      </c>
      <c r="AL52" s="529" t="str">
        <v/>
      </c>
      <c r="AM52" s="529" t="str">
        <v/>
      </c>
      <c r="AN52" s="529" t="str">
        <v/>
      </c>
      <c r="AO52" s="529" t="str">
        <v/>
      </c>
      <c r="AP52" s="529" t="str">
        <v/>
      </c>
      <c r="AQ52" s="529" t="str">
        <v/>
      </c>
      <c r="AR52" s="529">
        <v>0</v>
      </c>
      <c r="AS52" s="529">
        <v>0</v>
      </c>
      <c r="AT52" s="529">
        <f t="shared" si="11"/>
        <v>0</v>
      </c>
      <c r="AU52" s="529">
        <v>0</v>
      </c>
      <c r="AV52" s="529">
        <f t="shared" si="12"/>
        <v>0</v>
      </c>
      <c r="AW52" s="529">
        <f t="shared" si="13"/>
        <v>0</v>
      </c>
      <c r="AX52" s="529">
        <v>0</v>
      </c>
      <c r="AY52" s="529">
        <v>0</v>
      </c>
      <c r="AZ52" s="761">
        <f t="shared" si="2"/>
        <v>0</v>
      </c>
      <c r="BA52" s="761">
        <f t="shared" si="3"/>
        <v>0</v>
      </c>
      <c r="BB52" s="761">
        <f t="shared" si="4"/>
        <v>0</v>
      </c>
      <c r="BC52" s="761">
        <f t="shared" si="5"/>
        <v>0</v>
      </c>
      <c r="BD52" s="761">
        <f t="shared" si="6"/>
        <v>0</v>
      </c>
      <c r="BE52" s="761">
        <f t="shared" si="7"/>
        <v>0</v>
      </c>
      <c r="BF52" s="761">
        <f t="shared" si="8"/>
        <v>0</v>
      </c>
      <c r="BG52" s="761">
        <f t="shared" si="9"/>
        <v>0</v>
      </c>
      <c r="BH52" s="777">
        <v>0</v>
      </c>
      <c r="BI52" s="755"/>
      <c r="BJ52" s="778">
        <f>IF(X53=0,0,           IF(ISNUMBER(BI52),BI52,               IF(ISTEXT(BI52),INDEX(AZ52:BG52,MATCH(BI52,$AZ$12:$BG$12,0)),             IF(BH52="INT",_xll.qInterp(X53,AB52:AI52,AZ52:BG52),            INDEX(AZ52:BG52,MATCH(BH52,$AZ$12:$BG$12,0))))))</f>
        <v>0</v>
      </c>
      <c r="BK52" s="408">
        <f t="shared" si="14"/>
        <v>0</v>
      </c>
      <c r="BL52" s="414">
        <f t="shared" si="15"/>
        <v>0</v>
      </c>
      <c r="BM52" s="408">
        <f t="shared" si="16"/>
        <v>0</v>
      </c>
    </row>
    <row r="53" spans="10:65">
      <c r="J53" s="462"/>
      <c r="P53" s="779">
        <v>0</v>
      </c>
      <c r="Q53" s="780">
        <f t="shared" si="0"/>
        <v>0</v>
      </c>
      <c r="R53" s="776">
        <f>IF(P54,_xll.qDateYears(P53,P54,DCCfixed),0)</f>
        <v>0</v>
      </c>
      <c r="S53" s="553">
        <v>0</v>
      </c>
      <c r="T53" s="785"/>
      <c r="U53" s="409">
        <f t="shared" si="10"/>
        <v>0</v>
      </c>
      <c r="X53" s="363">
        <v>0</v>
      </c>
      <c r="Y53" s="775">
        <f t="shared" si="1"/>
        <v>0</v>
      </c>
      <c r="Z53" s="776">
        <f>IF(X54,_xll.qDateYears(X53,X54,DCCfloat),0)</f>
        <v>0</v>
      </c>
      <c r="AA53" s="553">
        <v>0</v>
      </c>
      <c r="AB53" s="789">
        <f>IF($X53=0,0,      _xll.qDateNext($X53,AB$12,"M",FRM&lt;&gt;"Calypso",CCY))</f>
        <v>0</v>
      </c>
      <c r="AC53" s="789">
        <f>IF($X53=0,0,      _xll.qDateNext($X53,AC$12,"M",FRM&lt;&gt;"Calypso",CCY))</f>
        <v>0</v>
      </c>
      <c r="AD53" s="789">
        <f>IF($X53=0,0,      _xll.qDateNext($X53,AD$12,"M",FRM&lt;&gt;"Calypso",CCY))</f>
        <v>0</v>
      </c>
      <c r="AE53" s="789">
        <f>IF($X53=0,0,      _xll.qDateNext($X53,AE$12,"M",FRM&lt;&gt;"Calypso",CCY))</f>
        <v>0</v>
      </c>
      <c r="AF53" s="789">
        <f>IF($X53=0,0,      _xll.qDateNext($X53,AF$12,"M",FRM&lt;&gt;"Calypso",CCY))</f>
        <v>0</v>
      </c>
      <c r="AG53" s="789">
        <f>IF($X53=0,0,      _xll.qDateNext($X53,AG$12,"M",FRM&lt;&gt;"Calypso",CCY))</f>
        <v>0</v>
      </c>
      <c r="AH53" s="789">
        <f>IF($X53=0,0,      _xll.qDateNext($X53,AH$12,"M",FRM&lt;&gt;"Calypso",CCY))</f>
        <v>0</v>
      </c>
      <c r="AI53" s="789">
        <f>IF($X53=0,0,      _xll.qDateNext($X53,AI$12,"M",FRM&lt;&gt;"Calypso",CCY))</f>
        <v>0</v>
      </c>
      <c r="AJ53" s="529" t="str">
        <v/>
      </c>
      <c r="AK53" s="529" t="str">
        <v/>
      </c>
      <c r="AL53" s="529" t="str">
        <v/>
      </c>
      <c r="AM53" s="529" t="str">
        <v/>
      </c>
      <c r="AN53" s="529" t="str">
        <v/>
      </c>
      <c r="AO53" s="529" t="str">
        <v/>
      </c>
      <c r="AP53" s="529" t="str">
        <v/>
      </c>
      <c r="AQ53" s="529" t="str">
        <v/>
      </c>
      <c r="AR53" s="529">
        <v>0</v>
      </c>
      <c r="AS53" s="529">
        <v>0</v>
      </c>
      <c r="AT53" s="529">
        <f t="shared" si="11"/>
        <v>0</v>
      </c>
      <c r="AU53" s="529">
        <v>0</v>
      </c>
      <c r="AV53" s="529">
        <f t="shared" si="12"/>
        <v>0</v>
      </c>
      <c r="AW53" s="529">
        <f t="shared" si="13"/>
        <v>0</v>
      </c>
      <c r="AX53" s="529">
        <v>0</v>
      </c>
      <c r="AY53" s="529">
        <v>0</v>
      </c>
      <c r="AZ53" s="761">
        <f t="shared" si="2"/>
        <v>0</v>
      </c>
      <c r="BA53" s="761">
        <f t="shared" si="3"/>
        <v>0</v>
      </c>
      <c r="BB53" s="761">
        <f t="shared" si="4"/>
        <v>0</v>
      </c>
      <c r="BC53" s="761">
        <f t="shared" si="5"/>
        <v>0</v>
      </c>
      <c r="BD53" s="761">
        <f t="shared" si="6"/>
        <v>0</v>
      </c>
      <c r="BE53" s="761">
        <f t="shared" si="7"/>
        <v>0</v>
      </c>
      <c r="BF53" s="761">
        <f t="shared" si="8"/>
        <v>0</v>
      </c>
      <c r="BG53" s="761">
        <f t="shared" si="9"/>
        <v>0</v>
      </c>
      <c r="BH53" s="777">
        <v>0</v>
      </c>
      <c r="BI53" s="755"/>
      <c r="BJ53" s="778">
        <f>IF(X54=0,0,           IF(ISNUMBER(BI53),BI53,               IF(ISTEXT(BI53),INDEX(AZ53:BG53,MATCH(BI53,$AZ$12:$BG$12,0)),             IF(BH53="INT",_xll.qInterp(X54,AB53:AI53,AZ53:BG53),            INDEX(AZ53:BG53,MATCH(BH53,$AZ$12:$BG$12,0))))))</f>
        <v>0</v>
      </c>
      <c r="BK53" s="408">
        <f t="shared" si="14"/>
        <v>0</v>
      </c>
      <c r="BL53" s="414">
        <f t="shared" si="15"/>
        <v>0</v>
      </c>
      <c r="BM53" s="408">
        <f t="shared" si="16"/>
        <v>0</v>
      </c>
    </row>
    <row r="54" spans="10:65">
      <c r="J54" s="462"/>
      <c r="P54" s="779">
        <v>0</v>
      </c>
      <c r="Q54" s="780">
        <f t="shared" si="0"/>
        <v>0</v>
      </c>
      <c r="R54" s="776">
        <f>IF(P55,_xll.qDateYears(P54,P55,DCCfixed),0)</f>
        <v>0</v>
      </c>
      <c r="S54" s="553">
        <v>0</v>
      </c>
      <c r="T54" s="785"/>
      <c r="U54" s="409">
        <f t="shared" si="10"/>
        <v>0</v>
      </c>
      <c r="X54" s="363">
        <v>0</v>
      </c>
      <c r="Y54" s="775">
        <f t="shared" si="1"/>
        <v>0</v>
      </c>
      <c r="Z54" s="776">
        <f>IF(X55,_xll.qDateYears(X54,X55,DCCfloat),0)</f>
        <v>0</v>
      </c>
      <c r="AA54" s="553">
        <v>0</v>
      </c>
      <c r="AB54" s="789">
        <f>IF($X54=0,0,      _xll.qDateNext($X54,AB$12,"M",FRM&lt;&gt;"Calypso",CCY))</f>
        <v>0</v>
      </c>
      <c r="AC54" s="789">
        <f>IF($X54=0,0,      _xll.qDateNext($X54,AC$12,"M",FRM&lt;&gt;"Calypso",CCY))</f>
        <v>0</v>
      </c>
      <c r="AD54" s="789">
        <f>IF($X54=0,0,      _xll.qDateNext($X54,AD$12,"M",FRM&lt;&gt;"Calypso",CCY))</f>
        <v>0</v>
      </c>
      <c r="AE54" s="789">
        <f>IF($X54=0,0,      _xll.qDateNext($X54,AE$12,"M",FRM&lt;&gt;"Calypso",CCY))</f>
        <v>0</v>
      </c>
      <c r="AF54" s="789">
        <f>IF($X54=0,0,      _xll.qDateNext($X54,AF$12,"M",FRM&lt;&gt;"Calypso",CCY))</f>
        <v>0</v>
      </c>
      <c r="AG54" s="789">
        <f>IF($X54=0,0,      _xll.qDateNext($X54,AG$12,"M",FRM&lt;&gt;"Calypso",CCY))</f>
        <v>0</v>
      </c>
      <c r="AH54" s="789">
        <f>IF($X54=0,0,      _xll.qDateNext($X54,AH$12,"M",FRM&lt;&gt;"Calypso",CCY))</f>
        <v>0</v>
      </c>
      <c r="AI54" s="789">
        <f>IF($X54=0,0,      _xll.qDateNext($X54,AI$12,"M",FRM&lt;&gt;"Calypso",CCY))</f>
        <v>0</v>
      </c>
      <c r="AJ54" s="529" t="str">
        <v/>
      </c>
      <c r="AK54" s="529" t="str">
        <v/>
      </c>
      <c r="AL54" s="529" t="str">
        <v/>
      </c>
      <c r="AM54" s="529" t="str">
        <v/>
      </c>
      <c r="AN54" s="529" t="str">
        <v/>
      </c>
      <c r="AO54" s="529" t="str">
        <v/>
      </c>
      <c r="AP54" s="529" t="str">
        <v/>
      </c>
      <c r="AQ54" s="529" t="str">
        <v/>
      </c>
      <c r="AR54" s="529">
        <v>0</v>
      </c>
      <c r="AS54" s="529">
        <v>0</v>
      </c>
      <c r="AT54" s="529">
        <f t="shared" si="11"/>
        <v>0</v>
      </c>
      <c r="AU54" s="529">
        <v>0</v>
      </c>
      <c r="AV54" s="529">
        <f t="shared" si="12"/>
        <v>0</v>
      </c>
      <c r="AW54" s="529">
        <f t="shared" si="13"/>
        <v>0</v>
      </c>
      <c r="AX54" s="529">
        <v>0</v>
      </c>
      <c r="AY54" s="529">
        <v>0</v>
      </c>
      <c r="AZ54" s="761">
        <f t="shared" si="2"/>
        <v>0</v>
      </c>
      <c r="BA54" s="761">
        <f t="shared" si="3"/>
        <v>0</v>
      </c>
      <c r="BB54" s="761">
        <f t="shared" si="4"/>
        <v>0</v>
      </c>
      <c r="BC54" s="761">
        <f t="shared" si="5"/>
        <v>0</v>
      </c>
      <c r="BD54" s="761">
        <f t="shared" si="6"/>
        <v>0</v>
      </c>
      <c r="BE54" s="761">
        <f t="shared" si="7"/>
        <v>0</v>
      </c>
      <c r="BF54" s="761">
        <f t="shared" si="8"/>
        <v>0</v>
      </c>
      <c r="BG54" s="761">
        <f t="shared" si="9"/>
        <v>0</v>
      </c>
      <c r="BH54" s="777">
        <v>0</v>
      </c>
      <c r="BI54" s="755"/>
      <c r="BJ54" s="778">
        <f>IF(X55=0,0,           IF(ISNUMBER(BI54),BI54,               IF(ISTEXT(BI54),INDEX(AZ54:BG54,MATCH(BI54,$AZ$12:$BG$12,0)),             IF(BH54="INT",_xll.qInterp(X55,AB54:AI54,AZ54:BG54),            INDEX(AZ54:BG54,MATCH(BH54,$AZ$12:$BG$12,0))))))</f>
        <v>0</v>
      </c>
      <c r="BK54" s="408">
        <f t="shared" si="14"/>
        <v>0</v>
      </c>
      <c r="BL54" s="414">
        <f t="shared" si="15"/>
        <v>0</v>
      </c>
      <c r="BM54" s="408">
        <f t="shared" si="16"/>
        <v>0</v>
      </c>
    </row>
    <row r="55" spans="10:65">
      <c r="J55" s="462"/>
      <c r="P55" s="779">
        <v>0</v>
      </c>
      <c r="Q55" s="780">
        <f t="shared" si="0"/>
        <v>0</v>
      </c>
      <c r="R55" s="776">
        <f>IF(P56,_xll.qDateYears(P55,P56,DCCfixed),0)</f>
        <v>0</v>
      </c>
      <c r="S55" s="553">
        <v>0</v>
      </c>
      <c r="T55" s="785"/>
      <c r="U55" s="409">
        <f t="shared" si="10"/>
        <v>0</v>
      </c>
      <c r="X55" s="363">
        <v>0</v>
      </c>
      <c r="Y55" s="775">
        <f t="shared" si="1"/>
        <v>0</v>
      </c>
      <c r="Z55" s="776">
        <f>IF(X56,_xll.qDateYears(X55,X56,DCCfloat),0)</f>
        <v>0</v>
      </c>
      <c r="AA55" s="553">
        <v>0</v>
      </c>
      <c r="AB55" s="789">
        <f>IF($X55=0,0,      _xll.qDateNext($X55,AB$12,"M",FRM&lt;&gt;"Calypso",CCY))</f>
        <v>0</v>
      </c>
      <c r="AC55" s="789">
        <f>IF($X55=0,0,      _xll.qDateNext($X55,AC$12,"M",FRM&lt;&gt;"Calypso",CCY))</f>
        <v>0</v>
      </c>
      <c r="AD55" s="789">
        <f>IF($X55=0,0,      _xll.qDateNext($X55,AD$12,"M",FRM&lt;&gt;"Calypso",CCY))</f>
        <v>0</v>
      </c>
      <c r="AE55" s="789">
        <f>IF($X55=0,0,      _xll.qDateNext($X55,AE$12,"M",FRM&lt;&gt;"Calypso",CCY))</f>
        <v>0</v>
      </c>
      <c r="AF55" s="789">
        <f>IF($X55=0,0,      _xll.qDateNext($X55,AF$12,"M",FRM&lt;&gt;"Calypso",CCY))</f>
        <v>0</v>
      </c>
      <c r="AG55" s="789">
        <f>IF($X55=0,0,      _xll.qDateNext($X55,AG$12,"M",FRM&lt;&gt;"Calypso",CCY))</f>
        <v>0</v>
      </c>
      <c r="AH55" s="789">
        <f>IF($X55=0,0,      _xll.qDateNext($X55,AH$12,"M",FRM&lt;&gt;"Calypso",CCY))</f>
        <v>0</v>
      </c>
      <c r="AI55" s="789">
        <f>IF($X55=0,0,      _xll.qDateNext($X55,AI$12,"M",FRM&lt;&gt;"Calypso",CCY))</f>
        <v>0</v>
      </c>
      <c r="AJ55" s="529" t="str">
        <v/>
      </c>
      <c r="AK55" s="529" t="str">
        <v/>
      </c>
      <c r="AL55" s="529" t="str">
        <v/>
      </c>
      <c r="AM55" s="529" t="str">
        <v/>
      </c>
      <c r="AN55" s="529" t="str">
        <v/>
      </c>
      <c r="AO55" s="529" t="str">
        <v/>
      </c>
      <c r="AP55" s="529" t="str">
        <v/>
      </c>
      <c r="AQ55" s="529" t="str">
        <v/>
      </c>
      <c r="AR55" s="529">
        <v>0</v>
      </c>
      <c r="AS55" s="529">
        <v>0</v>
      </c>
      <c r="AT55" s="529">
        <f t="shared" si="11"/>
        <v>0</v>
      </c>
      <c r="AU55" s="529">
        <v>0</v>
      </c>
      <c r="AV55" s="529">
        <f t="shared" si="12"/>
        <v>0</v>
      </c>
      <c r="AW55" s="529">
        <f t="shared" si="13"/>
        <v>0</v>
      </c>
      <c r="AX55" s="529">
        <v>0</v>
      </c>
      <c r="AY55" s="529">
        <v>0</v>
      </c>
      <c r="AZ55" s="761">
        <f t="shared" si="2"/>
        <v>0</v>
      </c>
      <c r="BA55" s="761">
        <f t="shared" si="3"/>
        <v>0</v>
      </c>
      <c r="BB55" s="761">
        <f t="shared" si="4"/>
        <v>0</v>
      </c>
      <c r="BC55" s="761">
        <f t="shared" si="5"/>
        <v>0</v>
      </c>
      <c r="BD55" s="761">
        <f t="shared" si="6"/>
        <v>0</v>
      </c>
      <c r="BE55" s="761">
        <f t="shared" si="7"/>
        <v>0</v>
      </c>
      <c r="BF55" s="761">
        <f t="shared" si="8"/>
        <v>0</v>
      </c>
      <c r="BG55" s="761">
        <f t="shared" si="9"/>
        <v>0</v>
      </c>
      <c r="BH55" s="777">
        <v>0</v>
      </c>
      <c r="BI55" s="755"/>
      <c r="BJ55" s="778">
        <f>IF(X56=0,0,           IF(ISNUMBER(BI55),BI55,               IF(ISTEXT(BI55),INDEX(AZ55:BG55,MATCH(BI55,$AZ$12:$BG$12,0)),             IF(BH55="INT",_xll.qInterp(X56,AB55:AI55,AZ55:BG55),            INDEX(AZ55:BG55,MATCH(BH55,$AZ$12:$BG$12,0))))))</f>
        <v>0</v>
      </c>
      <c r="BK55" s="408">
        <f t="shared" si="14"/>
        <v>0</v>
      </c>
      <c r="BL55" s="414">
        <f t="shared" si="15"/>
        <v>0</v>
      </c>
      <c r="BM55" s="408">
        <f t="shared" si="16"/>
        <v>0</v>
      </c>
    </row>
    <row r="56" spans="10:65">
      <c r="J56" s="462"/>
      <c r="P56" s="779">
        <v>0</v>
      </c>
      <c r="Q56" s="780">
        <f t="shared" si="0"/>
        <v>0</v>
      </c>
      <c r="R56" s="776">
        <f>IF(P57,_xll.qDateYears(P56,P57,DCCfixed),0)</f>
        <v>0</v>
      </c>
      <c r="S56" s="553">
        <v>0</v>
      </c>
      <c r="T56" s="785"/>
      <c r="U56" s="409">
        <f t="shared" si="10"/>
        <v>0</v>
      </c>
      <c r="X56" s="363">
        <v>0</v>
      </c>
      <c r="Y56" s="775">
        <f t="shared" si="1"/>
        <v>0</v>
      </c>
      <c r="Z56" s="776">
        <f>IF(X57,_xll.qDateYears(X56,X57,DCCfloat),0)</f>
        <v>0</v>
      </c>
      <c r="AA56" s="553">
        <v>0</v>
      </c>
      <c r="AB56" s="789">
        <f>IF($X56=0,0,      _xll.qDateNext($X56,AB$12,"M",FRM&lt;&gt;"Calypso",CCY))</f>
        <v>0</v>
      </c>
      <c r="AC56" s="789">
        <f>IF($X56=0,0,      _xll.qDateNext($X56,AC$12,"M",FRM&lt;&gt;"Calypso",CCY))</f>
        <v>0</v>
      </c>
      <c r="AD56" s="789">
        <f>IF($X56=0,0,      _xll.qDateNext($X56,AD$12,"M",FRM&lt;&gt;"Calypso",CCY))</f>
        <v>0</v>
      </c>
      <c r="AE56" s="789">
        <f>IF($X56=0,0,      _xll.qDateNext($X56,AE$12,"M",FRM&lt;&gt;"Calypso",CCY))</f>
        <v>0</v>
      </c>
      <c r="AF56" s="789">
        <f>IF($X56=0,0,      _xll.qDateNext($X56,AF$12,"M",FRM&lt;&gt;"Calypso",CCY))</f>
        <v>0</v>
      </c>
      <c r="AG56" s="789">
        <f>IF($X56=0,0,      _xll.qDateNext($X56,AG$12,"M",FRM&lt;&gt;"Calypso",CCY))</f>
        <v>0</v>
      </c>
      <c r="AH56" s="789">
        <f>IF($X56=0,0,      _xll.qDateNext($X56,AH$12,"M",FRM&lt;&gt;"Calypso",CCY))</f>
        <v>0</v>
      </c>
      <c r="AI56" s="789">
        <f>IF($X56=0,0,      _xll.qDateNext($X56,AI$12,"M",FRM&lt;&gt;"Calypso",CCY))</f>
        <v>0</v>
      </c>
      <c r="AJ56" s="529" t="str">
        <v/>
      </c>
      <c r="AK56" s="529" t="str">
        <v/>
      </c>
      <c r="AL56" s="529" t="str">
        <v/>
      </c>
      <c r="AM56" s="529" t="str">
        <v/>
      </c>
      <c r="AN56" s="529" t="str">
        <v/>
      </c>
      <c r="AO56" s="529" t="str">
        <v/>
      </c>
      <c r="AP56" s="529" t="str">
        <v/>
      </c>
      <c r="AQ56" s="529" t="str">
        <v/>
      </c>
      <c r="AR56" s="529">
        <v>0</v>
      </c>
      <c r="AS56" s="529">
        <v>0</v>
      </c>
      <c r="AT56" s="529">
        <f t="shared" si="11"/>
        <v>0</v>
      </c>
      <c r="AU56" s="529">
        <v>0</v>
      </c>
      <c r="AV56" s="529">
        <f t="shared" si="12"/>
        <v>0</v>
      </c>
      <c r="AW56" s="529">
        <f t="shared" si="13"/>
        <v>0</v>
      </c>
      <c r="AX56" s="529">
        <v>0</v>
      </c>
      <c r="AY56" s="529">
        <v>0</v>
      </c>
      <c r="AZ56" s="761">
        <f t="shared" si="2"/>
        <v>0</v>
      </c>
      <c r="BA56" s="761">
        <f t="shared" si="3"/>
        <v>0</v>
      </c>
      <c r="BB56" s="761">
        <f t="shared" si="4"/>
        <v>0</v>
      </c>
      <c r="BC56" s="761">
        <f t="shared" si="5"/>
        <v>0</v>
      </c>
      <c r="BD56" s="761">
        <f t="shared" si="6"/>
        <v>0</v>
      </c>
      <c r="BE56" s="761">
        <f t="shared" si="7"/>
        <v>0</v>
      </c>
      <c r="BF56" s="761">
        <f t="shared" si="8"/>
        <v>0</v>
      </c>
      <c r="BG56" s="761">
        <f t="shared" si="9"/>
        <v>0</v>
      </c>
      <c r="BH56" s="777">
        <v>0</v>
      </c>
      <c r="BI56" s="755"/>
      <c r="BJ56" s="778">
        <f>IF(X57=0,0,           IF(ISNUMBER(BI56),BI56,               IF(ISTEXT(BI56),INDEX(AZ56:BG56,MATCH(BI56,$AZ$12:$BG$12,0)),             IF(BH56="INT",_xll.qInterp(X57,AB56:AI56,AZ56:BG56),            INDEX(AZ56:BG56,MATCH(BH56,$AZ$12:$BG$12,0))))))</f>
        <v>0</v>
      </c>
      <c r="BK56" s="408">
        <f t="shared" si="14"/>
        <v>0</v>
      </c>
      <c r="BL56" s="414">
        <f t="shared" si="15"/>
        <v>0</v>
      </c>
      <c r="BM56" s="408">
        <f t="shared" si="16"/>
        <v>0</v>
      </c>
    </row>
    <row r="57" spans="10:65">
      <c r="J57" s="462"/>
      <c r="P57" s="779">
        <v>0</v>
      </c>
      <c r="Q57" s="780">
        <f t="shared" si="0"/>
        <v>0</v>
      </c>
      <c r="R57" s="776">
        <f>IF(P58,_xll.qDateYears(P57,P58,DCCfixed),0)</f>
        <v>0</v>
      </c>
      <c r="S57" s="553">
        <v>0</v>
      </c>
      <c r="T57" s="785"/>
      <c r="U57" s="409">
        <f t="shared" si="10"/>
        <v>0</v>
      </c>
      <c r="X57" s="363">
        <v>0</v>
      </c>
      <c r="Y57" s="775">
        <f t="shared" si="1"/>
        <v>0</v>
      </c>
      <c r="Z57" s="776">
        <f>IF(X58,_xll.qDateYears(X57,X58,DCCfloat),0)</f>
        <v>0</v>
      </c>
      <c r="AA57" s="553">
        <v>0</v>
      </c>
      <c r="AB57" s="789">
        <f>IF($X57=0,0,      _xll.qDateNext($X57,AB$12,"M",FRM&lt;&gt;"Calypso",CCY))</f>
        <v>0</v>
      </c>
      <c r="AC57" s="789">
        <f>IF($X57=0,0,      _xll.qDateNext($X57,AC$12,"M",FRM&lt;&gt;"Calypso",CCY))</f>
        <v>0</v>
      </c>
      <c r="AD57" s="789">
        <f>IF($X57=0,0,      _xll.qDateNext($X57,AD$12,"M",FRM&lt;&gt;"Calypso",CCY))</f>
        <v>0</v>
      </c>
      <c r="AE57" s="789">
        <f>IF($X57=0,0,      _xll.qDateNext($X57,AE$12,"M",FRM&lt;&gt;"Calypso",CCY))</f>
        <v>0</v>
      </c>
      <c r="AF57" s="789">
        <f>IF($X57=0,0,      _xll.qDateNext($X57,AF$12,"M",FRM&lt;&gt;"Calypso",CCY))</f>
        <v>0</v>
      </c>
      <c r="AG57" s="789">
        <f>IF($X57=0,0,      _xll.qDateNext($X57,AG$12,"M",FRM&lt;&gt;"Calypso",CCY))</f>
        <v>0</v>
      </c>
      <c r="AH57" s="789">
        <f>IF($X57=0,0,      _xll.qDateNext($X57,AH$12,"M",FRM&lt;&gt;"Calypso",CCY))</f>
        <v>0</v>
      </c>
      <c r="AI57" s="789">
        <f>IF($X57=0,0,      _xll.qDateNext($X57,AI$12,"M",FRM&lt;&gt;"Calypso",CCY))</f>
        <v>0</v>
      </c>
      <c r="AJ57" s="529" t="str">
        <v/>
      </c>
      <c r="AK57" s="529" t="str">
        <v/>
      </c>
      <c r="AL57" s="529" t="str">
        <v/>
      </c>
      <c r="AM57" s="529" t="str">
        <v/>
      </c>
      <c r="AN57" s="529" t="str">
        <v/>
      </c>
      <c r="AO57" s="529" t="str">
        <v/>
      </c>
      <c r="AP57" s="529" t="str">
        <v/>
      </c>
      <c r="AQ57" s="529" t="str">
        <v/>
      </c>
      <c r="AR57" s="529">
        <v>0</v>
      </c>
      <c r="AS57" s="529">
        <v>0</v>
      </c>
      <c r="AT57" s="529">
        <f t="shared" si="11"/>
        <v>0</v>
      </c>
      <c r="AU57" s="529">
        <v>0</v>
      </c>
      <c r="AV57" s="529">
        <f t="shared" si="12"/>
        <v>0</v>
      </c>
      <c r="AW57" s="529">
        <f t="shared" si="13"/>
        <v>0</v>
      </c>
      <c r="AX57" s="529">
        <v>0</v>
      </c>
      <c r="AY57" s="529">
        <v>0</v>
      </c>
      <c r="AZ57" s="761">
        <f t="shared" si="2"/>
        <v>0</v>
      </c>
      <c r="BA57" s="761">
        <f t="shared" si="3"/>
        <v>0</v>
      </c>
      <c r="BB57" s="761">
        <f t="shared" si="4"/>
        <v>0</v>
      </c>
      <c r="BC57" s="761">
        <f t="shared" si="5"/>
        <v>0</v>
      </c>
      <c r="BD57" s="761">
        <f t="shared" si="6"/>
        <v>0</v>
      </c>
      <c r="BE57" s="761">
        <f t="shared" si="7"/>
        <v>0</v>
      </c>
      <c r="BF57" s="761">
        <f t="shared" si="8"/>
        <v>0</v>
      </c>
      <c r="BG57" s="761">
        <f t="shared" si="9"/>
        <v>0</v>
      </c>
      <c r="BH57" s="777">
        <v>0</v>
      </c>
      <c r="BI57" s="755"/>
      <c r="BJ57" s="778">
        <f>IF(X58=0,0,           IF(ISNUMBER(BI57),BI57,               IF(ISTEXT(BI57),INDEX(AZ57:BG57,MATCH(BI57,$AZ$12:$BG$12,0)),             IF(BH57="INT",_xll.qInterp(X58,AB57:AI57,AZ57:BG57),            INDEX(AZ57:BG57,MATCH(BH57,$AZ$12:$BG$12,0))))))</f>
        <v>0</v>
      </c>
      <c r="BK57" s="408">
        <f t="shared" si="14"/>
        <v>0</v>
      </c>
      <c r="BL57" s="414">
        <f t="shared" si="15"/>
        <v>0</v>
      </c>
      <c r="BM57" s="408">
        <f t="shared" si="16"/>
        <v>0</v>
      </c>
    </row>
    <row r="58" spans="10:65">
      <c r="J58" s="462"/>
      <c r="P58" s="779">
        <v>0</v>
      </c>
      <c r="Q58" s="780">
        <f t="shared" si="0"/>
        <v>0</v>
      </c>
      <c r="R58" s="776">
        <f>IF(P59,_xll.qDateYears(P58,P59,DCCfixed),0)</f>
        <v>0</v>
      </c>
      <c r="S58" s="553">
        <v>0</v>
      </c>
      <c r="T58" s="785"/>
      <c r="U58" s="409">
        <f t="shared" si="10"/>
        <v>0</v>
      </c>
      <c r="X58" s="363">
        <v>0</v>
      </c>
      <c r="Y58" s="775">
        <f t="shared" si="1"/>
        <v>0</v>
      </c>
      <c r="Z58" s="776">
        <f>IF(X59,_xll.qDateYears(X58,X59,DCCfloat),0)</f>
        <v>0</v>
      </c>
      <c r="AA58" s="553">
        <v>0</v>
      </c>
      <c r="AB58" s="789">
        <f>IF($X58=0,0,      _xll.qDateNext($X58,AB$12,"M",FRM&lt;&gt;"Calypso",CCY))</f>
        <v>0</v>
      </c>
      <c r="AC58" s="789">
        <f>IF($X58=0,0,      _xll.qDateNext($X58,AC$12,"M",FRM&lt;&gt;"Calypso",CCY))</f>
        <v>0</v>
      </c>
      <c r="AD58" s="789">
        <f>IF($X58=0,0,      _xll.qDateNext($X58,AD$12,"M",FRM&lt;&gt;"Calypso",CCY))</f>
        <v>0</v>
      </c>
      <c r="AE58" s="789">
        <f>IF($X58=0,0,      _xll.qDateNext($X58,AE$12,"M",FRM&lt;&gt;"Calypso",CCY))</f>
        <v>0</v>
      </c>
      <c r="AF58" s="789">
        <f>IF($X58=0,0,      _xll.qDateNext($X58,AF$12,"M",FRM&lt;&gt;"Calypso",CCY))</f>
        <v>0</v>
      </c>
      <c r="AG58" s="789">
        <f>IF($X58=0,0,      _xll.qDateNext($X58,AG$12,"M",FRM&lt;&gt;"Calypso",CCY))</f>
        <v>0</v>
      </c>
      <c r="AH58" s="789">
        <f>IF($X58=0,0,      _xll.qDateNext($X58,AH$12,"M",FRM&lt;&gt;"Calypso",CCY))</f>
        <v>0</v>
      </c>
      <c r="AI58" s="789">
        <f>IF($X58=0,0,      _xll.qDateNext($X58,AI$12,"M",FRM&lt;&gt;"Calypso",CCY))</f>
        <v>0</v>
      </c>
      <c r="AJ58" s="529" t="str">
        <v/>
      </c>
      <c r="AK58" s="529" t="str">
        <v/>
      </c>
      <c r="AL58" s="529" t="str">
        <v/>
      </c>
      <c r="AM58" s="529" t="str">
        <v/>
      </c>
      <c r="AN58" s="529" t="str">
        <v/>
      </c>
      <c r="AO58" s="529" t="str">
        <v/>
      </c>
      <c r="AP58" s="529" t="str">
        <v/>
      </c>
      <c r="AQ58" s="529" t="str">
        <v/>
      </c>
      <c r="AR58" s="529">
        <v>0</v>
      </c>
      <c r="AS58" s="529">
        <v>0</v>
      </c>
      <c r="AT58" s="529">
        <f t="shared" si="11"/>
        <v>0</v>
      </c>
      <c r="AU58" s="529">
        <v>0</v>
      </c>
      <c r="AV58" s="529">
        <f t="shared" si="12"/>
        <v>0</v>
      </c>
      <c r="AW58" s="529">
        <f t="shared" si="13"/>
        <v>0</v>
      </c>
      <c r="AX58" s="529">
        <v>0</v>
      </c>
      <c r="AY58" s="529">
        <v>0</v>
      </c>
      <c r="AZ58" s="761">
        <f t="shared" si="2"/>
        <v>0</v>
      </c>
      <c r="BA58" s="761">
        <f t="shared" si="3"/>
        <v>0</v>
      </c>
      <c r="BB58" s="761">
        <f t="shared" si="4"/>
        <v>0</v>
      </c>
      <c r="BC58" s="761">
        <f t="shared" si="5"/>
        <v>0</v>
      </c>
      <c r="BD58" s="761">
        <f t="shared" si="6"/>
        <v>0</v>
      </c>
      <c r="BE58" s="761">
        <f t="shared" si="7"/>
        <v>0</v>
      </c>
      <c r="BF58" s="761">
        <f t="shared" si="8"/>
        <v>0</v>
      </c>
      <c r="BG58" s="761">
        <f t="shared" si="9"/>
        <v>0</v>
      </c>
      <c r="BH58" s="777">
        <v>0</v>
      </c>
      <c r="BI58" s="755"/>
      <c r="BJ58" s="778">
        <f>IF(X59=0,0,           IF(ISNUMBER(BI58),BI58,               IF(ISTEXT(BI58),INDEX(AZ58:BG58,MATCH(BI58,$AZ$12:$BG$12,0)),             IF(BH58="INT",_xll.qInterp(X59,AB58:AI58,AZ58:BG58),            INDEX(AZ58:BG58,MATCH(BH58,$AZ$12:$BG$12,0))))))</f>
        <v>0</v>
      </c>
      <c r="BK58" s="408">
        <f t="shared" si="14"/>
        <v>0</v>
      </c>
      <c r="BL58" s="414">
        <f t="shared" si="15"/>
        <v>0</v>
      </c>
      <c r="BM58" s="408">
        <f t="shared" si="16"/>
        <v>0</v>
      </c>
    </row>
    <row r="59" spans="10:65">
      <c r="J59" s="462"/>
      <c r="P59" s="779">
        <v>0</v>
      </c>
      <c r="Q59" s="780">
        <f t="shared" si="0"/>
        <v>0</v>
      </c>
      <c r="R59" s="776">
        <f>IF(P60,_xll.qDateYears(P59,P60,DCCfixed),0)</f>
        <v>0</v>
      </c>
      <c r="S59" s="553">
        <v>0</v>
      </c>
      <c r="T59" s="785"/>
      <c r="U59" s="409">
        <f t="shared" si="10"/>
        <v>0</v>
      </c>
      <c r="X59" s="363">
        <v>0</v>
      </c>
      <c r="Y59" s="775">
        <f t="shared" si="1"/>
        <v>0</v>
      </c>
      <c r="Z59" s="776">
        <f>IF(X60,_xll.qDateYears(X59,X60,DCCfloat),0)</f>
        <v>0</v>
      </c>
      <c r="AA59" s="553">
        <v>0</v>
      </c>
      <c r="AB59" s="789">
        <f>IF($X59=0,0,      _xll.qDateNext($X59,AB$12,"M",FRM&lt;&gt;"Calypso",CCY))</f>
        <v>0</v>
      </c>
      <c r="AC59" s="789">
        <f>IF($X59=0,0,      _xll.qDateNext($X59,AC$12,"M",FRM&lt;&gt;"Calypso",CCY))</f>
        <v>0</v>
      </c>
      <c r="AD59" s="789">
        <f>IF($X59=0,0,      _xll.qDateNext($X59,AD$12,"M",FRM&lt;&gt;"Calypso",CCY))</f>
        <v>0</v>
      </c>
      <c r="AE59" s="789">
        <f>IF($X59=0,0,      _xll.qDateNext($X59,AE$12,"M",FRM&lt;&gt;"Calypso",CCY))</f>
        <v>0</v>
      </c>
      <c r="AF59" s="789">
        <f>IF($X59=0,0,      _xll.qDateNext($X59,AF$12,"M",FRM&lt;&gt;"Calypso",CCY))</f>
        <v>0</v>
      </c>
      <c r="AG59" s="789">
        <f>IF($X59=0,0,      _xll.qDateNext($X59,AG$12,"M",FRM&lt;&gt;"Calypso",CCY))</f>
        <v>0</v>
      </c>
      <c r="AH59" s="789">
        <f>IF($X59=0,0,      _xll.qDateNext($X59,AH$12,"M",FRM&lt;&gt;"Calypso",CCY))</f>
        <v>0</v>
      </c>
      <c r="AI59" s="789">
        <f>IF($X59=0,0,      _xll.qDateNext($X59,AI$12,"M",FRM&lt;&gt;"Calypso",CCY))</f>
        <v>0</v>
      </c>
      <c r="AJ59" s="529" t="str">
        <v/>
      </c>
      <c r="AK59" s="529" t="str">
        <v/>
      </c>
      <c r="AL59" s="529" t="str">
        <v/>
      </c>
      <c r="AM59" s="529" t="str">
        <v/>
      </c>
      <c r="AN59" s="529" t="str">
        <v/>
      </c>
      <c r="AO59" s="529" t="str">
        <v/>
      </c>
      <c r="AP59" s="529" t="str">
        <v/>
      </c>
      <c r="AQ59" s="529" t="str">
        <v/>
      </c>
      <c r="AR59" s="529">
        <v>0</v>
      </c>
      <c r="AS59" s="529">
        <v>0</v>
      </c>
      <c r="AT59" s="529">
        <f t="shared" si="11"/>
        <v>0</v>
      </c>
      <c r="AU59" s="529">
        <v>0</v>
      </c>
      <c r="AV59" s="529">
        <f t="shared" si="12"/>
        <v>0</v>
      </c>
      <c r="AW59" s="529">
        <f t="shared" si="13"/>
        <v>0</v>
      </c>
      <c r="AX59" s="529">
        <v>0</v>
      </c>
      <c r="AY59" s="529">
        <v>0</v>
      </c>
      <c r="AZ59" s="761">
        <f t="shared" si="2"/>
        <v>0</v>
      </c>
      <c r="BA59" s="761">
        <f t="shared" si="3"/>
        <v>0</v>
      </c>
      <c r="BB59" s="761">
        <f t="shared" si="4"/>
        <v>0</v>
      </c>
      <c r="BC59" s="761">
        <f t="shared" si="5"/>
        <v>0</v>
      </c>
      <c r="BD59" s="761">
        <f t="shared" si="6"/>
        <v>0</v>
      </c>
      <c r="BE59" s="761">
        <f t="shared" si="7"/>
        <v>0</v>
      </c>
      <c r="BF59" s="761">
        <f t="shared" si="8"/>
        <v>0</v>
      </c>
      <c r="BG59" s="761">
        <f t="shared" si="9"/>
        <v>0</v>
      </c>
      <c r="BH59" s="777">
        <v>0</v>
      </c>
      <c r="BI59" s="755"/>
      <c r="BJ59" s="778">
        <f>IF(X60=0,0,           IF(ISNUMBER(BI59),BI59,               IF(ISTEXT(BI59),INDEX(AZ59:BG59,MATCH(BI59,$AZ$12:$BG$12,0)),             IF(BH59="INT",_xll.qInterp(X60,AB59:AI59,AZ59:BG59),            INDEX(AZ59:BG59,MATCH(BH59,$AZ$12:$BG$12,0))))))</f>
        <v>0</v>
      </c>
      <c r="BK59" s="408">
        <f t="shared" si="14"/>
        <v>0</v>
      </c>
      <c r="BL59" s="414">
        <f t="shared" si="15"/>
        <v>0</v>
      </c>
      <c r="BM59" s="408">
        <f t="shared" si="16"/>
        <v>0</v>
      </c>
    </row>
    <row r="60" spans="10:65">
      <c r="J60" s="462"/>
      <c r="P60" s="779">
        <v>0</v>
      </c>
      <c r="Q60" s="780">
        <f t="shared" si="0"/>
        <v>0</v>
      </c>
      <c r="R60" s="776">
        <f>IF(P61,_xll.qDateYears(P60,P61,DCCfixed),0)</f>
        <v>0</v>
      </c>
      <c r="S60" s="553">
        <v>0</v>
      </c>
      <c r="T60" s="785"/>
      <c r="U60" s="409">
        <f t="shared" si="10"/>
        <v>0</v>
      </c>
      <c r="X60" s="363">
        <v>0</v>
      </c>
      <c r="Y60" s="775">
        <f t="shared" si="1"/>
        <v>0</v>
      </c>
      <c r="Z60" s="776">
        <f>IF(X61,_xll.qDateYears(X60,X61,DCCfloat),0)</f>
        <v>0</v>
      </c>
      <c r="AA60" s="553">
        <v>0</v>
      </c>
      <c r="AB60" s="789">
        <f>IF($X60=0,0,      _xll.qDateNext($X60,AB$12,"M",FRM&lt;&gt;"Calypso",CCY))</f>
        <v>0</v>
      </c>
      <c r="AC60" s="789">
        <f>IF($X60=0,0,      _xll.qDateNext($X60,AC$12,"M",FRM&lt;&gt;"Calypso",CCY))</f>
        <v>0</v>
      </c>
      <c r="AD60" s="789">
        <f>IF($X60=0,0,      _xll.qDateNext($X60,AD$12,"M",FRM&lt;&gt;"Calypso",CCY))</f>
        <v>0</v>
      </c>
      <c r="AE60" s="789">
        <f>IF($X60=0,0,      _xll.qDateNext($X60,AE$12,"M",FRM&lt;&gt;"Calypso",CCY))</f>
        <v>0</v>
      </c>
      <c r="AF60" s="789">
        <f>IF($X60=0,0,      _xll.qDateNext($X60,AF$12,"M",FRM&lt;&gt;"Calypso",CCY))</f>
        <v>0</v>
      </c>
      <c r="AG60" s="789">
        <f>IF($X60=0,0,      _xll.qDateNext($X60,AG$12,"M",FRM&lt;&gt;"Calypso",CCY))</f>
        <v>0</v>
      </c>
      <c r="AH60" s="789">
        <f>IF($X60=0,0,      _xll.qDateNext($X60,AH$12,"M",FRM&lt;&gt;"Calypso",CCY))</f>
        <v>0</v>
      </c>
      <c r="AI60" s="789">
        <f>IF($X60=0,0,      _xll.qDateNext($X60,AI$12,"M",FRM&lt;&gt;"Calypso",CCY))</f>
        <v>0</v>
      </c>
      <c r="AJ60" s="529" t="str">
        <v/>
      </c>
      <c r="AK60" s="529" t="str">
        <v/>
      </c>
      <c r="AL60" s="529" t="str">
        <v/>
      </c>
      <c r="AM60" s="529" t="str">
        <v/>
      </c>
      <c r="AN60" s="529" t="str">
        <v/>
      </c>
      <c r="AO60" s="529" t="str">
        <v/>
      </c>
      <c r="AP60" s="529" t="str">
        <v/>
      </c>
      <c r="AQ60" s="529" t="str">
        <v/>
      </c>
      <c r="AR60" s="529">
        <v>0</v>
      </c>
      <c r="AS60" s="529">
        <v>0</v>
      </c>
      <c r="AT60" s="529">
        <f t="shared" si="11"/>
        <v>0</v>
      </c>
      <c r="AU60" s="529">
        <v>0</v>
      </c>
      <c r="AV60" s="529">
        <f t="shared" si="12"/>
        <v>0</v>
      </c>
      <c r="AW60" s="529">
        <f t="shared" si="13"/>
        <v>0</v>
      </c>
      <c r="AX60" s="529">
        <v>0</v>
      </c>
      <c r="AY60" s="529">
        <v>0</v>
      </c>
      <c r="AZ60" s="761">
        <f t="shared" si="2"/>
        <v>0</v>
      </c>
      <c r="BA60" s="761">
        <f t="shared" si="3"/>
        <v>0</v>
      </c>
      <c r="BB60" s="761">
        <f t="shared" si="4"/>
        <v>0</v>
      </c>
      <c r="BC60" s="761">
        <f t="shared" si="5"/>
        <v>0</v>
      </c>
      <c r="BD60" s="761">
        <f t="shared" si="6"/>
        <v>0</v>
      </c>
      <c r="BE60" s="761">
        <f t="shared" si="7"/>
        <v>0</v>
      </c>
      <c r="BF60" s="761">
        <f t="shared" si="8"/>
        <v>0</v>
      </c>
      <c r="BG60" s="761">
        <f t="shared" si="9"/>
        <v>0</v>
      </c>
      <c r="BH60" s="777">
        <v>0</v>
      </c>
      <c r="BI60" s="755"/>
      <c r="BJ60" s="778">
        <f>IF(X61=0,0,           IF(ISNUMBER(BI60),BI60,               IF(ISTEXT(BI60),INDEX(AZ60:BG60,MATCH(BI60,$AZ$12:$BG$12,0)),             IF(BH60="INT",_xll.qInterp(X61,AB60:AI60,AZ60:BG60),            INDEX(AZ60:BG60,MATCH(BH60,$AZ$12:$BG$12,0))))))</f>
        <v>0</v>
      </c>
      <c r="BK60" s="408">
        <f t="shared" si="14"/>
        <v>0</v>
      </c>
      <c r="BL60" s="414">
        <f t="shared" si="15"/>
        <v>0</v>
      </c>
      <c r="BM60" s="408">
        <f t="shared" si="16"/>
        <v>0</v>
      </c>
    </row>
    <row r="61" spans="10:65">
      <c r="P61" s="779">
        <v>0</v>
      </c>
      <c r="Q61" s="780">
        <f t="shared" si="0"/>
        <v>0</v>
      </c>
      <c r="R61" s="776">
        <f>IF(P62,_xll.qDateYears(P61,P62,DCCfixed),0)</f>
        <v>0</v>
      </c>
      <c r="S61" s="553">
        <v>0</v>
      </c>
      <c r="T61" s="785"/>
      <c r="U61" s="409">
        <f t="shared" si="10"/>
        <v>0</v>
      </c>
      <c r="X61" s="363">
        <v>0</v>
      </c>
      <c r="Y61" s="775">
        <f t="shared" si="1"/>
        <v>0</v>
      </c>
      <c r="Z61" s="776">
        <f>IF(X62,_xll.qDateYears(X61,X62,DCCfloat),0)</f>
        <v>0</v>
      </c>
      <c r="AA61" s="553">
        <v>0</v>
      </c>
      <c r="AB61" s="789">
        <f>IF($X61=0,0,      _xll.qDateNext($X61,AB$12,"M",FRM&lt;&gt;"Calypso",CCY))</f>
        <v>0</v>
      </c>
      <c r="AC61" s="789">
        <f>IF($X61=0,0,      _xll.qDateNext($X61,AC$12,"M",FRM&lt;&gt;"Calypso",CCY))</f>
        <v>0</v>
      </c>
      <c r="AD61" s="789">
        <f>IF($X61=0,0,      _xll.qDateNext($X61,AD$12,"M",FRM&lt;&gt;"Calypso",CCY))</f>
        <v>0</v>
      </c>
      <c r="AE61" s="789">
        <f>IF($X61=0,0,      _xll.qDateNext($X61,AE$12,"M",FRM&lt;&gt;"Calypso",CCY))</f>
        <v>0</v>
      </c>
      <c r="AF61" s="789">
        <f>IF($X61=0,0,      _xll.qDateNext($X61,AF$12,"M",FRM&lt;&gt;"Calypso",CCY))</f>
        <v>0</v>
      </c>
      <c r="AG61" s="789">
        <f>IF($X61=0,0,      _xll.qDateNext($X61,AG$12,"M",FRM&lt;&gt;"Calypso",CCY))</f>
        <v>0</v>
      </c>
      <c r="AH61" s="789">
        <f>IF($X61=0,0,      _xll.qDateNext($X61,AH$12,"M",FRM&lt;&gt;"Calypso",CCY))</f>
        <v>0</v>
      </c>
      <c r="AI61" s="789">
        <f>IF($X61=0,0,      _xll.qDateNext($X61,AI$12,"M",FRM&lt;&gt;"Calypso",CCY))</f>
        <v>0</v>
      </c>
      <c r="AJ61" s="529" t="str">
        <v/>
      </c>
      <c r="AK61" s="529" t="str">
        <v/>
      </c>
      <c r="AL61" s="529" t="str">
        <v/>
      </c>
      <c r="AM61" s="529" t="str">
        <v/>
      </c>
      <c r="AN61" s="529" t="str">
        <v/>
      </c>
      <c r="AO61" s="529" t="str">
        <v/>
      </c>
      <c r="AP61" s="529" t="str">
        <v/>
      </c>
      <c r="AQ61" s="529" t="str">
        <v/>
      </c>
      <c r="AR61" s="529">
        <v>0</v>
      </c>
      <c r="AS61" s="529">
        <v>0</v>
      </c>
      <c r="AT61" s="529">
        <f t="shared" si="11"/>
        <v>0</v>
      </c>
      <c r="AU61" s="529">
        <v>0</v>
      </c>
      <c r="AV61" s="529">
        <f t="shared" si="12"/>
        <v>0</v>
      </c>
      <c r="AW61" s="529">
        <f t="shared" si="13"/>
        <v>0</v>
      </c>
      <c r="AX61" s="529">
        <v>0</v>
      </c>
      <c r="AY61" s="529">
        <v>0</v>
      </c>
      <c r="AZ61" s="761">
        <f t="shared" si="2"/>
        <v>0</v>
      </c>
      <c r="BA61" s="761">
        <f t="shared" si="3"/>
        <v>0</v>
      </c>
      <c r="BB61" s="761">
        <f t="shared" si="4"/>
        <v>0</v>
      </c>
      <c r="BC61" s="761">
        <f t="shared" si="5"/>
        <v>0</v>
      </c>
      <c r="BD61" s="761">
        <f t="shared" si="6"/>
        <v>0</v>
      </c>
      <c r="BE61" s="761">
        <f t="shared" si="7"/>
        <v>0</v>
      </c>
      <c r="BF61" s="761">
        <f t="shared" si="8"/>
        <v>0</v>
      </c>
      <c r="BG61" s="761">
        <f t="shared" si="9"/>
        <v>0</v>
      </c>
      <c r="BH61" s="777">
        <v>0</v>
      </c>
      <c r="BI61" s="755"/>
      <c r="BJ61" s="778">
        <f>IF(X62=0,0,           IF(ISNUMBER(BI61),BI61,               IF(ISTEXT(BI61),INDEX(AZ61:BG61,MATCH(BI61,$AZ$12:$BG$12,0)),             IF(BH61="INT",_xll.qInterp(X62,AB61:AI61,AZ61:BG61),            INDEX(AZ61:BG61,MATCH(BH61,$AZ$12:$BG$12,0))))))</f>
        <v>0</v>
      </c>
      <c r="BK61" s="408">
        <f t="shared" si="14"/>
        <v>0</v>
      </c>
      <c r="BL61" s="414">
        <f t="shared" si="15"/>
        <v>0</v>
      </c>
      <c r="BM61" s="408">
        <f t="shared" si="16"/>
        <v>0</v>
      </c>
    </row>
    <row r="62" spans="10:65">
      <c r="P62" s="779">
        <v>0</v>
      </c>
      <c r="Q62" s="780">
        <f t="shared" si="0"/>
        <v>0</v>
      </c>
      <c r="R62" s="776">
        <f>IF(P63,_xll.qDateYears(P62,P63,DCCfixed),0)</f>
        <v>0</v>
      </c>
      <c r="S62" s="553">
        <v>0</v>
      </c>
      <c r="T62" s="785"/>
      <c r="U62" s="409">
        <f t="shared" si="10"/>
        <v>0</v>
      </c>
      <c r="X62" s="363">
        <v>0</v>
      </c>
      <c r="Y62" s="775">
        <f t="shared" si="1"/>
        <v>0</v>
      </c>
      <c r="Z62" s="776">
        <f>IF(X63,_xll.qDateYears(X62,X63,DCCfloat),0)</f>
        <v>0</v>
      </c>
      <c r="AA62" s="553">
        <v>0</v>
      </c>
      <c r="AB62" s="789">
        <f>IF($X62=0,0,      _xll.qDateNext($X62,AB$12,"M",FRM&lt;&gt;"Calypso",CCY))</f>
        <v>0</v>
      </c>
      <c r="AC62" s="789">
        <f>IF($X62=0,0,      _xll.qDateNext($X62,AC$12,"M",FRM&lt;&gt;"Calypso",CCY))</f>
        <v>0</v>
      </c>
      <c r="AD62" s="789">
        <f>IF($X62=0,0,      _xll.qDateNext($X62,AD$12,"M",FRM&lt;&gt;"Calypso",CCY))</f>
        <v>0</v>
      </c>
      <c r="AE62" s="789">
        <f>IF($X62=0,0,      _xll.qDateNext($X62,AE$12,"M",FRM&lt;&gt;"Calypso",CCY))</f>
        <v>0</v>
      </c>
      <c r="AF62" s="789">
        <f>IF($X62=0,0,      _xll.qDateNext($X62,AF$12,"M",FRM&lt;&gt;"Calypso",CCY))</f>
        <v>0</v>
      </c>
      <c r="AG62" s="789">
        <f>IF($X62=0,0,      _xll.qDateNext($X62,AG$12,"M",FRM&lt;&gt;"Calypso",CCY))</f>
        <v>0</v>
      </c>
      <c r="AH62" s="789">
        <f>IF($X62=0,0,      _xll.qDateNext($X62,AH$12,"M",FRM&lt;&gt;"Calypso",CCY))</f>
        <v>0</v>
      </c>
      <c r="AI62" s="789">
        <f>IF($X62=0,0,      _xll.qDateNext($X62,AI$12,"M",FRM&lt;&gt;"Calypso",CCY))</f>
        <v>0</v>
      </c>
      <c r="AJ62" s="529" t="str">
        <v/>
      </c>
      <c r="AK62" s="529" t="str">
        <v/>
      </c>
      <c r="AL62" s="529" t="str">
        <v/>
      </c>
      <c r="AM62" s="529" t="str">
        <v/>
      </c>
      <c r="AN62" s="529" t="str">
        <v/>
      </c>
      <c r="AO62" s="529" t="str">
        <v/>
      </c>
      <c r="AP62" s="529" t="str">
        <v/>
      </c>
      <c r="AQ62" s="529" t="str">
        <v/>
      </c>
      <c r="AR62" s="529">
        <v>0</v>
      </c>
      <c r="AS62" s="529">
        <v>0</v>
      </c>
      <c r="AT62" s="529">
        <f t="shared" si="11"/>
        <v>0</v>
      </c>
      <c r="AU62" s="529">
        <v>0</v>
      </c>
      <c r="AV62" s="529">
        <f t="shared" si="12"/>
        <v>0</v>
      </c>
      <c r="AW62" s="529">
        <f t="shared" si="13"/>
        <v>0</v>
      </c>
      <c r="AX62" s="529">
        <v>0</v>
      </c>
      <c r="AY62" s="529">
        <v>0</v>
      </c>
      <c r="AZ62" s="761">
        <f t="shared" si="2"/>
        <v>0</v>
      </c>
      <c r="BA62" s="761">
        <f t="shared" si="3"/>
        <v>0</v>
      </c>
      <c r="BB62" s="761">
        <f t="shared" si="4"/>
        <v>0</v>
      </c>
      <c r="BC62" s="761">
        <f t="shared" si="5"/>
        <v>0</v>
      </c>
      <c r="BD62" s="761">
        <f t="shared" si="6"/>
        <v>0</v>
      </c>
      <c r="BE62" s="761">
        <f t="shared" si="7"/>
        <v>0</v>
      </c>
      <c r="BF62" s="761">
        <f t="shared" si="8"/>
        <v>0</v>
      </c>
      <c r="BG62" s="761">
        <f t="shared" si="9"/>
        <v>0</v>
      </c>
      <c r="BH62" s="777">
        <v>0</v>
      </c>
      <c r="BI62" s="755"/>
      <c r="BJ62" s="778">
        <f>IF(X63=0,0,           IF(ISNUMBER(BI62),BI62,               IF(ISTEXT(BI62),INDEX(AZ62:BG62,MATCH(BI62,$AZ$12:$BG$12,0)),             IF(BH62="INT",_xll.qInterp(X63,AB62:AI62,AZ62:BG62),            INDEX(AZ62:BG62,MATCH(BH62,$AZ$12:$BG$12,0))))))</f>
        <v>0</v>
      </c>
      <c r="BK62" s="408">
        <f t="shared" si="14"/>
        <v>0</v>
      </c>
      <c r="BL62" s="414">
        <f t="shared" si="15"/>
        <v>0</v>
      </c>
      <c r="BM62" s="408">
        <f t="shared" si="16"/>
        <v>0</v>
      </c>
    </row>
    <row r="63" spans="10:65">
      <c r="P63" s="779">
        <v>0</v>
      </c>
      <c r="Q63" s="780">
        <f t="shared" si="0"/>
        <v>0</v>
      </c>
      <c r="R63" s="776">
        <f>IF(P64,_xll.qDateYears(P63,P64,DCCfixed),0)</f>
        <v>0</v>
      </c>
      <c r="S63" s="553">
        <v>0</v>
      </c>
      <c r="T63" s="785"/>
      <c r="U63" s="409">
        <f t="shared" si="10"/>
        <v>0</v>
      </c>
      <c r="X63" s="363">
        <v>0</v>
      </c>
      <c r="Y63" s="775">
        <f t="shared" si="1"/>
        <v>0</v>
      </c>
      <c r="Z63" s="776">
        <f>IF(X64,_xll.qDateYears(X63,X64,DCCfloat),0)</f>
        <v>0</v>
      </c>
      <c r="AA63" s="553">
        <v>0</v>
      </c>
      <c r="AB63" s="789">
        <f>IF($X63=0,0,      _xll.qDateNext($X63,AB$12,"M",FRM&lt;&gt;"Calypso",CCY))</f>
        <v>0</v>
      </c>
      <c r="AC63" s="789">
        <f>IF($X63=0,0,      _xll.qDateNext($X63,AC$12,"M",FRM&lt;&gt;"Calypso",CCY))</f>
        <v>0</v>
      </c>
      <c r="AD63" s="789">
        <f>IF($X63=0,0,      _xll.qDateNext($X63,AD$12,"M",FRM&lt;&gt;"Calypso",CCY))</f>
        <v>0</v>
      </c>
      <c r="AE63" s="789">
        <f>IF($X63=0,0,      _xll.qDateNext($X63,AE$12,"M",FRM&lt;&gt;"Calypso",CCY))</f>
        <v>0</v>
      </c>
      <c r="AF63" s="789">
        <f>IF($X63=0,0,      _xll.qDateNext($X63,AF$12,"M",FRM&lt;&gt;"Calypso",CCY))</f>
        <v>0</v>
      </c>
      <c r="AG63" s="789">
        <f>IF($X63=0,0,      _xll.qDateNext($X63,AG$12,"M",FRM&lt;&gt;"Calypso",CCY))</f>
        <v>0</v>
      </c>
      <c r="AH63" s="789">
        <f>IF($X63=0,0,      _xll.qDateNext($X63,AH$12,"M",FRM&lt;&gt;"Calypso",CCY))</f>
        <v>0</v>
      </c>
      <c r="AI63" s="789">
        <f>IF($X63=0,0,      _xll.qDateNext($X63,AI$12,"M",FRM&lt;&gt;"Calypso",CCY))</f>
        <v>0</v>
      </c>
      <c r="AJ63" s="529" t="str">
        <v/>
      </c>
      <c r="AK63" s="529" t="str">
        <v/>
      </c>
      <c r="AL63" s="529" t="str">
        <v/>
      </c>
      <c r="AM63" s="529" t="str">
        <v/>
      </c>
      <c r="AN63" s="529" t="str">
        <v/>
      </c>
      <c r="AO63" s="529" t="str">
        <v/>
      </c>
      <c r="AP63" s="529" t="str">
        <v/>
      </c>
      <c r="AQ63" s="529" t="str">
        <v/>
      </c>
      <c r="AR63" s="529">
        <v>0</v>
      </c>
      <c r="AS63" s="529">
        <v>0</v>
      </c>
      <c r="AT63" s="529">
        <f t="shared" si="11"/>
        <v>0</v>
      </c>
      <c r="AU63" s="529">
        <v>0</v>
      </c>
      <c r="AV63" s="529">
        <f t="shared" si="12"/>
        <v>0</v>
      </c>
      <c r="AW63" s="529">
        <f t="shared" si="13"/>
        <v>0</v>
      </c>
      <c r="AX63" s="529">
        <v>0</v>
      </c>
      <c r="AY63" s="529">
        <v>0</v>
      </c>
      <c r="AZ63" s="761">
        <f t="shared" si="2"/>
        <v>0</v>
      </c>
      <c r="BA63" s="761">
        <f t="shared" si="3"/>
        <v>0</v>
      </c>
      <c r="BB63" s="761">
        <f t="shared" si="4"/>
        <v>0</v>
      </c>
      <c r="BC63" s="761">
        <f t="shared" si="5"/>
        <v>0</v>
      </c>
      <c r="BD63" s="761">
        <f t="shared" si="6"/>
        <v>0</v>
      </c>
      <c r="BE63" s="761">
        <f t="shared" si="7"/>
        <v>0</v>
      </c>
      <c r="BF63" s="761">
        <f t="shared" si="8"/>
        <v>0</v>
      </c>
      <c r="BG63" s="761">
        <f t="shared" si="9"/>
        <v>0</v>
      </c>
      <c r="BH63" s="777">
        <v>0</v>
      </c>
      <c r="BI63" s="755"/>
      <c r="BJ63" s="778">
        <f>IF(X64=0,0,           IF(ISNUMBER(BI63),BI63,               IF(ISTEXT(BI63),INDEX(AZ63:BG63,MATCH(BI63,$AZ$12:$BG$12,0)),             IF(BH63="INT",_xll.qInterp(X64,AB63:AI63,AZ63:BG63),            INDEX(AZ63:BG63,MATCH(BH63,$AZ$12:$BG$12,0))))))</f>
        <v>0</v>
      </c>
      <c r="BK63" s="408">
        <f t="shared" si="14"/>
        <v>0</v>
      </c>
      <c r="BL63" s="414">
        <f t="shared" si="15"/>
        <v>0</v>
      </c>
      <c r="BM63" s="408">
        <f t="shared" si="16"/>
        <v>0</v>
      </c>
    </row>
    <row r="64" spans="10:65">
      <c r="P64" s="779">
        <v>0</v>
      </c>
      <c r="Q64" s="780">
        <f t="shared" si="0"/>
        <v>0</v>
      </c>
      <c r="R64" s="776">
        <f>IF(P65,_xll.qDateYears(P64,P65,DCCfixed),0)</f>
        <v>0</v>
      </c>
      <c r="S64" s="553">
        <v>0</v>
      </c>
      <c r="T64" s="785"/>
      <c r="U64" s="409">
        <f t="shared" si="10"/>
        <v>0</v>
      </c>
      <c r="X64" s="363">
        <v>0</v>
      </c>
      <c r="Y64" s="775">
        <f t="shared" si="1"/>
        <v>0</v>
      </c>
      <c r="Z64" s="776">
        <f>IF(X65,_xll.qDateYears(X64,X65,DCCfloat),0)</f>
        <v>0</v>
      </c>
      <c r="AA64" s="553">
        <v>0</v>
      </c>
      <c r="AB64" s="789">
        <f>IF($X64=0,0,      _xll.qDateNext($X64,AB$12,"M",FRM&lt;&gt;"Calypso",CCY))</f>
        <v>0</v>
      </c>
      <c r="AC64" s="789">
        <f>IF($X64=0,0,      _xll.qDateNext($X64,AC$12,"M",FRM&lt;&gt;"Calypso",CCY))</f>
        <v>0</v>
      </c>
      <c r="AD64" s="789">
        <f>IF($X64=0,0,      _xll.qDateNext($X64,AD$12,"M",FRM&lt;&gt;"Calypso",CCY))</f>
        <v>0</v>
      </c>
      <c r="AE64" s="789">
        <f>IF($X64=0,0,      _xll.qDateNext($X64,AE$12,"M",FRM&lt;&gt;"Calypso",CCY))</f>
        <v>0</v>
      </c>
      <c r="AF64" s="789">
        <f>IF($X64=0,0,      _xll.qDateNext($X64,AF$12,"M",FRM&lt;&gt;"Calypso",CCY))</f>
        <v>0</v>
      </c>
      <c r="AG64" s="789">
        <f>IF($X64=0,0,      _xll.qDateNext($X64,AG$12,"M",FRM&lt;&gt;"Calypso",CCY))</f>
        <v>0</v>
      </c>
      <c r="AH64" s="789">
        <f>IF($X64=0,0,      _xll.qDateNext($X64,AH$12,"M",FRM&lt;&gt;"Calypso",CCY))</f>
        <v>0</v>
      </c>
      <c r="AI64" s="789">
        <f>IF($X64=0,0,      _xll.qDateNext($X64,AI$12,"M",FRM&lt;&gt;"Calypso",CCY))</f>
        <v>0</v>
      </c>
      <c r="AJ64" s="529" t="str">
        <v/>
      </c>
      <c r="AK64" s="529" t="str">
        <v/>
      </c>
      <c r="AL64" s="529" t="str">
        <v/>
      </c>
      <c r="AM64" s="529" t="str">
        <v/>
      </c>
      <c r="AN64" s="529" t="str">
        <v/>
      </c>
      <c r="AO64" s="529" t="str">
        <v/>
      </c>
      <c r="AP64" s="529" t="str">
        <v/>
      </c>
      <c r="AQ64" s="529" t="str">
        <v/>
      </c>
      <c r="AR64" s="529">
        <v>0</v>
      </c>
      <c r="AS64" s="529">
        <v>0</v>
      </c>
      <c r="AT64" s="529">
        <f t="shared" si="11"/>
        <v>0</v>
      </c>
      <c r="AU64" s="529">
        <v>0</v>
      </c>
      <c r="AV64" s="529">
        <f t="shared" si="12"/>
        <v>0</v>
      </c>
      <c r="AW64" s="529">
        <f t="shared" si="13"/>
        <v>0</v>
      </c>
      <c r="AX64" s="529">
        <v>0</v>
      </c>
      <c r="AY64" s="529">
        <v>0</v>
      </c>
      <c r="AZ64" s="761">
        <f t="shared" si="2"/>
        <v>0</v>
      </c>
      <c r="BA64" s="761">
        <f t="shared" si="3"/>
        <v>0</v>
      </c>
      <c r="BB64" s="761">
        <f t="shared" si="4"/>
        <v>0</v>
      </c>
      <c r="BC64" s="761">
        <f t="shared" si="5"/>
        <v>0</v>
      </c>
      <c r="BD64" s="761">
        <f t="shared" si="6"/>
        <v>0</v>
      </c>
      <c r="BE64" s="761">
        <f t="shared" si="7"/>
        <v>0</v>
      </c>
      <c r="BF64" s="761">
        <f t="shared" si="8"/>
        <v>0</v>
      </c>
      <c r="BG64" s="761">
        <f t="shared" si="9"/>
        <v>0</v>
      </c>
      <c r="BH64" s="777">
        <v>0</v>
      </c>
      <c r="BI64" s="755"/>
      <c r="BJ64" s="778">
        <f>IF(X65=0,0,           IF(ISNUMBER(BI64),BI64,               IF(ISTEXT(BI64),INDEX(AZ64:BG64,MATCH(BI64,$AZ$12:$BG$12,0)),             IF(BH64="INT",_xll.qInterp(X65,AB64:AI64,AZ64:BG64),            INDEX(AZ64:BG64,MATCH(BH64,$AZ$12:$BG$12,0))))))</f>
        <v>0</v>
      </c>
      <c r="BK64" s="408">
        <f t="shared" si="14"/>
        <v>0</v>
      </c>
      <c r="BL64" s="414">
        <f t="shared" si="15"/>
        <v>0</v>
      </c>
      <c r="BM64" s="408">
        <f t="shared" si="16"/>
        <v>0</v>
      </c>
    </row>
    <row r="65" spans="16:65">
      <c r="P65" s="779">
        <v>0</v>
      </c>
      <c r="Q65" s="780">
        <f t="shared" si="0"/>
        <v>0</v>
      </c>
      <c r="R65" s="776">
        <f>IF(P66,_xll.qDateYears(P65,P66,DCCfixed),0)</f>
        <v>0</v>
      </c>
      <c r="S65" s="553">
        <v>0</v>
      </c>
      <c r="T65" s="785"/>
      <c r="U65" s="409">
        <f t="shared" si="10"/>
        <v>0</v>
      </c>
      <c r="X65" s="363">
        <v>0</v>
      </c>
      <c r="Y65" s="775">
        <f t="shared" si="1"/>
        <v>0</v>
      </c>
      <c r="Z65" s="776">
        <f>IF(X66,_xll.qDateYears(X65,X66,DCCfloat),0)</f>
        <v>0</v>
      </c>
      <c r="AA65" s="553">
        <v>0</v>
      </c>
      <c r="AB65" s="789">
        <f>IF($X65=0,0,      _xll.qDateNext($X65,AB$12,"M",FRM&lt;&gt;"Calypso",CCY))</f>
        <v>0</v>
      </c>
      <c r="AC65" s="789">
        <f>IF($X65=0,0,      _xll.qDateNext($X65,AC$12,"M",FRM&lt;&gt;"Calypso",CCY))</f>
        <v>0</v>
      </c>
      <c r="AD65" s="789">
        <f>IF($X65=0,0,      _xll.qDateNext($X65,AD$12,"M",FRM&lt;&gt;"Calypso",CCY))</f>
        <v>0</v>
      </c>
      <c r="AE65" s="789">
        <f>IF($X65=0,0,      _xll.qDateNext($X65,AE$12,"M",FRM&lt;&gt;"Calypso",CCY))</f>
        <v>0</v>
      </c>
      <c r="AF65" s="789">
        <f>IF($X65=0,0,      _xll.qDateNext($X65,AF$12,"M",FRM&lt;&gt;"Calypso",CCY))</f>
        <v>0</v>
      </c>
      <c r="AG65" s="789">
        <f>IF($X65=0,0,      _xll.qDateNext($X65,AG$12,"M",FRM&lt;&gt;"Calypso",CCY))</f>
        <v>0</v>
      </c>
      <c r="AH65" s="789">
        <f>IF($X65=0,0,      _xll.qDateNext($X65,AH$12,"M",FRM&lt;&gt;"Calypso",CCY))</f>
        <v>0</v>
      </c>
      <c r="AI65" s="789">
        <f>IF($X65=0,0,      _xll.qDateNext($X65,AI$12,"M",FRM&lt;&gt;"Calypso",CCY))</f>
        <v>0</v>
      </c>
      <c r="AJ65" s="529" t="str">
        <v/>
      </c>
      <c r="AK65" s="529" t="str">
        <v/>
      </c>
      <c r="AL65" s="529" t="str">
        <v/>
      </c>
      <c r="AM65" s="529" t="str">
        <v/>
      </c>
      <c r="AN65" s="529" t="str">
        <v/>
      </c>
      <c r="AO65" s="529" t="str">
        <v/>
      </c>
      <c r="AP65" s="529" t="str">
        <v/>
      </c>
      <c r="AQ65" s="529" t="str">
        <v/>
      </c>
      <c r="AR65" s="529">
        <v>0</v>
      </c>
      <c r="AS65" s="529">
        <v>0</v>
      </c>
      <c r="AT65" s="529">
        <f t="shared" si="11"/>
        <v>0</v>
      </c>
      <c r="AU65" s="529">
        <v>0</v>
      </c>
      <c r="AV65" s="529">
        <f t="shared" si="12"/>
        <v>0</v>
      </c>
      <c r="AW65" s="529">
        <f t="shared" si="13"/>
        <v>0</v>
      </c>
      <c r="AX65" s="529">
        <v>0</v>
      </c>
      <c r="AY65" s="529">
        <v>0</v>
      </c>
      <c r="AZ65" s="761">
        <f t="shared" si="2"/>
        <v>0</v>
      </c>
      <c r="BA65" s="761">
        <f t="shared" si="3"/>
        <v>0</v>
      </c>
      <c r="BB65" s="761">
        <f t="shared" si="4"/>
        <v>0</v>
      </c>
      <c r="BC65" s="761">
        <f t="shared" si="5"/>
        <v>0</v>
      </c>
      <c r="BD65" s="761">
        <f t="shared" si="6"/>
        <v>0</v>
      </c>
      <c r="BE65" s="761">
        <f t="shared" si="7"/>
        <v>0</v>
      </c>
      <c r="BF65" s="761">
        <f t="shared" si="8"/>
        <v>0</v>
      </c>
      <c r="BG65" s="761">
        <f t="shared" si="9"/>
        <v>0</v>
      </c>
      <c r="BH65" s="777">
        <v>0</v>
      </c>
      <c r="BI65" s="755"/>
      <c r="BJ65" s="778">
        <f>IF(X66=0,0,           IF(ISNUMBER(BI65),BI65,               IF(ISTEXT(BI65),INDEX(AZ65:BG65,MATCH(BI65,$AZ$12:$BG$12,0)),             IF(BH65="INT",_xll.qInterp(X66,AB65:AI65,AZ65:BG65),            INDEX(AZ65:BG65,MATCH(BH65,$AZ$12:$BG$12,0))))))</f>
        <v>0</v>
      </c>
      <c r="BK65" s="408">
        <f t="shared" si="14"/>
        <v>0</v>
      </c>
      <c r="BL65" s="414">
        <f t="shared" si="15"/>
        <v>0</v>
      </c>
      <c r="BM65" s="408">
        <f t="shared" si="16"/>
        <v>0</v>
      </c>
    </row>
    <row r="66" spans="16:65">
      <c r="P66" s="779">
        <v>0</v>
      </c>
      <c r="Q66" s="780">
        <f t="shared" si="0"/>
        <v>0</v>
      </c>
      <c r="R66" s="776">
        <f>IF(P67,_xll.qDateYears(P66,P67,DCCfixed),0)</f>
        <v>0</v>
      </c>
      <c r="S66" s="553">
        <v>0</v>
      </c>
      <c r="T66" s="785"/>
      <c r="U66" s="409">
        <f t="shared" si="10"/>
        <v>0</v>
      </c>
      <c r="X66" s="363">
        <v>0</v>
      </c>
      <c r="Y66" s="775">
        <f t="shared" si="1"/>
        <v>0</v>
      </c>
      <c r="Z66" s="776">
        <f>IF(X67,_xll.qDateYears(X66,X67,DCCfloat),0)</f>
        <v>0</v>
      </c>
      <c r="AA66" s="553">
        <v>0</v>
      </c>
      <c r="AB66" s="789">
        <f>IF($X66=0,0,      _xll.qDateNext($X66,AB$12,"M",FRM&lt;&gt;"Calypso",CCY))</f>
        <v>0</v>
      </c>
      <c r="AC66" s="789">
        <f>IF($X66=0,0,      _xll.qDateNext($X66,AC$12,"M",FRM&lt;&gt;"Calypso",CCY))</f>
        <v>0</v>
      </c>
      <c r="AD66" s="789">
        <f>IF($X66=0,0,      _xll.qDateNext($X66,AD$12,"M",FRM&lt;&gt;"Calypso",CCY))</f>
        <v>0</v>
      </c>
      <c r="AE66" s="789">
        <f>IF($X66=0,0,      _xll.qDateNext($X66,AE$12,"M",FRM&lt;&gt;"Calypso",CCY))</f>
        <v>0</v>
      </c>
      <c r="AF66" s="789">
        <f>IF($X66=0,0,      _xll.qDateNext($X66,AF$12,"M",FRM&lt;&gt;"Calypso",CCY))</f>
        <v>0</v>
      </c>
      <c r="AG66" s="789">
        <f>IF($X66=0,0,      _xll.qDateNext($X66,AG$12,"M",FRM&lt;&gt;"Calypso",CCY))</f>
        <v>0</v>
      </c>
      <c r="AH66" s="789">
        <f>IF($X66=0,0,      _xll.qDateNext($X66,AH$12,"M",FRM&lt;&gt;"Calypso",CCY))</f>
        <v>0</v>
      </c>
      <c r="AI66" s="789">
        <f>IF($X66=0,0,      _xll.qDateNext($X66,AI$12,"M",FRM&lt;&gt;"Calypso",CCY))</f>
        <v>0</v>
      </c>
      <c r="AJ66" s="529" t="str">
        <v/>
      </c>
      <c r="AK66" s="529" t="str">
        <v/>
      </c>
      <c r="AL66" s="529" t="str">
        <v/>
      </c>
      <c r="AM66" s="529" t="str">
        <v/>
      </c>
      <c r="AN66" s="529" t="str">
        <v/>
      </c>
      <c r="AO66" s="529" t="str">
        <v/>
      </c>
      <c r="AP66" s="529" t="str">
        <v/>
      </c>
      <c r="AQ66" s="529" t="str">
        <v/>
      </c>
      <c r="AR66" s="529">
        <v>0</v>
      </c>
      <c r="AS66" s="529">
        <v>0</v>
      </c>
      <c r="AT66" s="529">
        <f t="shared" si="11"/>
        <v>0</v>
      </c>
      <c r="AU66" s="529">
        <v>0</v>
      </c>
      <c r="AV66" s="529">
        <f t="shared" si="12"/>
        <v>0</v>
      </c>
      <c r="AW66" s="529">
        <f t="shared" si="13"/>
        <v>0</v>
      </c>
      <c r="AX66" s="529">
        <v>0</v>
      </c>
      <c r="AY66" s="529">
        <v>0</v>
      </c>
      <c r="AZ66" s="761">
        <f t="shared" si="2"/>
        <v>0</v>
      </c>
      <c r="BA66" s="761">
        <f t="shared" si="3"/>
        <v>0</v>
      </c>
      <c r="BB66" s="761">
        <f t="shared" si="4"/>
        <v>0</v>
      </c>
      <c r="BC66" s="761">
        <f t="shared" si="5"/>
        <v>0</v>
      </c>
      <c r="BD66" s="761">
        <f t="shared" si="6"/>
        <v>0</v>
      </c>
      <c r="BE66" s="761">
        <f t="shared" si="7"/>
        <v>0</v>
      </c>
      <c r="BF66" s="761">
        <f t="shared" si="8"/>
        <v>0</v>
      </c>
      <c r="BG66" s="761">
        <f t="shared" si="9"/>
        <v>0</v>
      </c>
      <c r="BH66" s="777">
        <v>0</v>
      </c>
      <c r="BI66" s="755"/>
      <c r="BJ66" s="778">
        <f>IF(X67=0,0,           IF(ISNUMBER(BI66),BI66,               IF(ISTEXT(BI66),INDEX(AZ66:BG66,MATCH(BI66,$AZ$12:$BG$12,0)),             IF(BH66="INT",_xll.qInterp(X67,AB66:AI66,AZ66:BG66),            INDEX(AZ66:BG66,MATCH(BH66,$AZ$12:$BG$12,0))))))</f>
        <v>0</v>
      </c>
      <c r="BK66" s="408">
        <f t="shared" si="14"/>
        <v>0</v>
      </c>
      <c r="BL66" s="414">
        <f t="shared" si="15"/>
        <v>0</v>
      </c>
      <c r="BM66" s="408">
        <f t="shared" si="16"/>
        <v>0</v>
      </c>
    </row>
    <row r="67" spans="16:65">
      <c r="P67" s="779">
        <v>0</v>
      </c>
      <c r="Q67" s="780">
        <f t="shared" si="0"/>
        <v>0</v>
      </c>
      <c r="R67" s="776">
        <f>IF(P68,_xll.qDateYears(P67,P68,DCCfixed),0)</f>
        <v>0</v>
      </c>
      <c r="S67" s="553">
        <v>0</v>
      </c>
      <c r="T67" s="785"/>
      <c r="U67" s="409">
        <f t="shared" si="10"/>
        <v>0</v>
      </c>
      <c r="X67" s="363">
        <v>0</v>
      </c>
      <c r="Y67" s="775">
        <f t="shared" si="1"/>
        <v>0</v>
      </c>
      <c r="Z67" s="776">
        <f>IF(X68,_xll.qDateYears(X67,X68,DCCfloat),0)</f>
        <v>0</v>
      </c>
      <c r="AA67" s="553">
        <v>0</v>
      </c>
      <c r="AB67" s="789">
        <f>IF($X67=0,0,      _xll.qDateNext($X67,AB$12,"M",FRM&lt;&gt;"Calypso",CCY))</f>
        <v>0</v>
      </c>
      <c r="AC67" s="789">
        <f>IF($X67=0,0,      _xll.qDateNext($X67,AC$12,"M",FRM&lt;&gt;"Calypso",CCY))</f>
        <v>0</v>
      </c>
      <c r="AD67" s="789">
        <f>IF($X67=0,0,      _xll.qDateNext($X67,AD$12,"M",FRM&lt;&gt;"Calypso",CCY))</f>
        <v>0</v>
      </c>
      <c r="AE67" s="789">
        <f>IF($X67=0,0,      _xll.qDateNext($X67,AE$12,"M",FRM&lt;&gt;"Calypso",CCY))</f>
        <v>0</v>
      </c>
      <c r="AF67" s="789">
        <f>IF($X67=0,0,      _xll.qDateNext($X67,AF$12,"M",FRM&lt;&gt;"Calypso",CCY))</f>
        <v>0</v>
      </c>
      <c r="AG67" s="789">
        <f>IF($X67=0,0,      _xll.qDateNext($X67,AG$12,"M",FRM&lt;&gt;"Calypso",CCY))</f>
        <v>0</v>
      </c>
      <c r="AH67" s="789">
        <f>IF($X67=0,0,      _xll.qDateNext($X67,AH$12,"M",FRM&lt;&gt;"Calypso",CCY))</f>
        <v>0</v>
      </c>
      <c r="AI67" s="789">
        <f>IF($X67=0,0,      _xll.qDateNext($X67,AI$12,"M",FRM&lt;&gt;"Calypso",CCY))</f>
        <v>0</v>
      </c>
      <c r="AJ67" s="529" t="str">
        <v/>
      </c>
      <c r="AK67" s="529" t="str">
        <v/>
      </c>
      <c r="AL67" s="529" t="str">
        <v/>
      </c>
      <c r="AM67" s="529" t="str">
        <v/>
      </c>
      <c r="AN67" s="529" t="str">
        <v/>
      </c>
      <c r="AO67" s="529" t="str">
        <v/>
      </c>
      <c r="AP67" s="529" t="str">
        <v/>
      </c>
      <c r="AQ67" s="529" t="str">
        <v/>
      </c>
      <c r="AR67" s="529">
        <v>0</v>
      </c>
      <c r="AS67" s="529">
        <v>0</v>
      </c>
      <c r="AT67" s="529">
        <f t="shared" si="11"/>
        <v>0</v>
      </c>
      <c r="AU67" s="529">
        <v>0</v>
      </c>
      <c r="AV67" s="529">
        <f t="shared" si="12"/>
        <v>0</v>
      </c>
      <c r="AW67" s="529">
        <f t="shared" si="13"/>
        <v>0</v>
      </c>
      <c r="AX67" s="529">
        <v>0</v>
      </c>
      <c r="AY67" s="529">
        <v>0</v>
      </c>
      <c r="AZ67" s="761">
        <f t="shared" si="2"/>
        <v>0</v>
      </c>
      <c r="BA67" s="761">
        <f t="shared" si="3"/>
        <v>0</v>
      </c>
      <c r="BB67" s="761">
        <f t="shared" si="4"/>
        <v>0</v>
      </c>
      <c r="BC67" s="761">
        <f t="shared" si="5"/>
        <v>0</v>
      </c>
      <c r="BD67" s="761">
        <f t="shared" si="6"/>
        <v>0</v>
      </c>
      <c r="BE67" s="761">
        <f t="shared" si="7"/>
        <v>0</v>
      </c>
      <c r="BF67" s="761">
        <f t="shared" si="8"/>
        <v>0</v>
      </c>
      <c r="BG67" s="761">
        <f t="shared" si="9"/>
        <v>0</v>
      </c>
      <c r="BH67" s="777">
        <v>0</v>
      </c>
      <c r="BI67" s="755"/>
      <c r="BJ67" s="778">
        <f>IF(X68=0,0,           IF(ISNUMBER(BI67),BI67,               IF(ISTEXT(BI67),INDEX(AZ67:BG67,MATCH(BI67,$AZ$12:$BG$12,0)),             IF(BH67="INT",_xll.qInterp(X68,AB67:AI67,AZ67:BG67),            INDEX(AZ67:BG67,MATCH(BH67,$AZ$12:$BG$12,0))))))</f>
        <v>0</v>
      </c>
      <c r="BK67" s="408">
        <f t="shared" si="14"/>
        <v>0</v>
      </c>
      <c r="BL67" s="414">
        <f t="shared" si="15"/>
        <v>0</v>
      </c>
      <c r="BM67" s="408">
        <f t="shared" si="16"/>
        <v>0</v>
      </c>
    </row>
    <row r="68" spans="16:65">
      <c r="P68" s="779">
        <v>0</v>
      </c>
      <c r="Q68" s="780">
        <f t="shared" si="0"/>
        <v>0</v>
      </c>
      <c r="R68" s="776">
        <f>IF(P69,_xll.qDateYears(P68,P69,DCCfixed),0)</f>
        <v>0</v>
      </c>
      <c r="S68" s="553">
        <v>0</v>
      </c>
      <c r="T68" s="785"/>
      <c r="U68" s="409">
        <f t="shared" si="10"/>
        <v>0</v>
      </c>
      <c r="X68" s="363">
        <v>0</v>
      </c>
      <c r="Y68" s="775">
        <f t="shared" si="1"/>
        <v>0</v>
      </c>
      <c r="Z68" s="776">
        <f>IF(X69,_xll.qDateYears(X68,X69,DCCfloat),0)</f>
        <v>0</v>
      </c>
      <c r="AA68" s="553">
        <v>0</v>
      </c>
      <c r="AB68" s="789">
        <f>IF($X68=0,0,      _xll.qDateNext($X68,AB$12,"M",FRM&lt;&gt;"Calypso",CCY))</f>
        <v>0</v>
      </c>
      <c r="AC68" s="789">
        <f>IF($X68=0,0,      _xll.qDateNext($X68,AC$12,"M",FRM&lt;&gt;"Calypso",CCY))</f>
        <v>0</v>
      </c>
      <c r="AD68" s="789">
        <f>IF($X68=0,0,      _xll.qDateNext($X68,AD$12,"M",FRM&lt;&gt;"Calypso",CCY))</f>
        <v>0</v>
      </c>
      <c r="AE68" s="789">
        <f>IF($X68=0,0,      _xll.qDateNext($X68,AE$12,"M",FRM&lt;&gt;"Calypso",CCY))</f>
        <v>0</v>
      </c>
      <c r="AF68" s="789">
        <f>IF($X68=0,0,      _xll.qDateNext($X68,AF$12,"M",FRM&lt;&gt;"Calypso",CCY))</f>
        <v>0</v>
      </c>
      <c r="AG68" s="789">
        <f>IF($X68=0,0,      _xll.qDateNext($X68,AG$12,"M",FRM&lt;&gt;"Calypso",CCY))</f>
        <v>0</v>
      </c>
      <c r="AH68" s="789">
        <f>IF($X68=0,0,      _xll.qDateNext($X68,AH$12,"M",FRM&lt;&gt;"Calypso",CCY))</f>
        <v>0</v>
      </c>
      <c r="AI68" s="789">
        <f>IF($X68=0,0,      _xll.qDateNext($X68,AI$12,"M",FRM&lt;&gt;"Calypso",CCY))</f>
        <v>0</v>
      </c>
      <c r="AJ68" s="529" t="str">
        <v/>
      </c>
      <c r="AK68" s="529" t="str">
        <v/>
      </c>
      <c r="AL68" s="529" t="str">
        <v/>
      </c>
      <c r="AM68" s="529" t="str">
        <v/>
      </c>
      <c r="AN68" s="529" t="str">
        <v/>
      </c>
      <c r="AO68" s="529" t="str">
        <v/>
      </c>
      <c r="AP68" s="529" t="str">
        <v/>
      </c>
      <c r="AQ68" s="529" t="str">
        <v/>
      </c>
      <c r="AR68" s="529">
        <v>0</v>
      </c>
      <c r="AS68" s="529">
        <v>0</v>
      </c>
      <c r="AT68" s="529">
        <f t="shared" si="11"/>
        <v>0</v>
      </c>
      <c r="AU68" s="529">
        <v>0</v>
      </c>
      <c r="AV68" s="529">
        <f t="shared" si="12"/>
        <v>0</v>
      </c>
      <c r="AW68" s="529">
        <f t="shared" si="13"/>
        <v>0</v>
      </c>
      <c r="AX68" s="529">
        <v>0</v>
      </c>
      <c r="AY68" s="529">
        <v>0</v>
      </c>
      <c r="AZ68" s="761">
        <f t="shared" si="2"/>
        <v>0</v>
      </c>
      <c r="BA68" s="761">
        <f t="shared" si="3"/>
        <v>0</v>
      </c>
      <c r="BB68" s="761">
        <f t="shared" si="4"/>
        <v>0</v>
      </c>
      <c r="BC68" s="761">
        <f t="shared" si="5"/>
        <v>0</v>
      </c>
      <c r="BD68" s="761">
        <f t="shared" si="6"/>
        <v>0</v>
      </c>
      <c r="BE68" s="761">
        <f t="shared" si="7"/>
        <v>0</v>
      </c>
      <c r="BF68" s="761">
        <f t="shared" si="8"/>
        <v>0</v>
      </c>
      <c r="BG68" s="761">
        <f t="shared" si="9"/>
        <v>0</v>
      </c>
      <c r="BH68" s="777">
        <v>0</v>
      </c>
      <c r="BI68" s="755"/>
      <c r="BJ68" s="778">
        <f>IF(X69=0,0,           IF(ISNUMBER(BI68),BI68,               IF(ISTEXT(BI68),INDEX(AZ68:BG68,MATCH(BI68,$AZ$12:$BG$12,0)),             IF(BH68="INT",_xll.qInterp(X69,AB68:AI68,AZ68:BG68),            INDEX(AZ68:BG68,MATCH(BH68,$AZ$12:$BG$12,0))))))</f>
        <v>0</v>
      </c>
      <c r="BK68" s="408">
        <f t="shared" si="14"/>
        <v>0</v>
      </c>
      <c r="BL68" s="414">
        <f t="shared" si="15"/>
        <v>0</v>
      </c>
      <c r="BM68" s="408">
        <f t="shared" si="16"/>
        <v>0</v>
      </c>
    </row>
    <row r="69" spans="16:65">
      <c r="P69" s="779">
        <v>0</v>
      </c>
      <c r="Q69" s="780">
        <f t="shared" si="0"/>
        <v>0</v>
      </c>
      <c r="R69" s="776">
        <f>IF(P70,_xll.qDateYears(P69,P70,DCCfixed),0)</f>
        <v>0</v>
      </c>
      <c r="S69" s="553">
        <v>0</v>
      </c>
      <c r="T69" s="785"/>
      <c r="U69" s="409">
        <f t="shared" si="10"/>
        <v>0</v>
      </c>
      <c r="X69" s="363">
        <v>0</v>
      </c>
      <c r="Y69" s="775">
        <f t="shared" si="1"/>
        <v>0</v>
      </c>
      <c r="Z69" s="776">
        <f>IF(X70,_xll.qDateYears(X69,X70,DCCfloat),0)</f>
        <v>0</v>
      </c>
      <c r="AA69" s="553">
        <v>0</v>
      </c>
      <c r="AB69" s="789">
        <f>IF($X69=0,0,      _xll.qDateNext($X69,AB$12,"M",FRM&lt;&gt;"Calypso",CCY))</f>
        <v>0</v>
      </c>
      <c r="AC69" s="789">
        <f>IF($X69=0,0,      _xll.qDateNext($X69,AC$12,"M",FRM&lt;&gt;"Calypso",CCY))</f>
        <v>0</v>
      </c>
      <c r="AD69" s="789">
        <f>IF($X69=0,0,      _xll.qDateNext($X69,AD$12,"M",FRM&lt;&gt;"Calypso",CCY))</f>
        <v>0</v>
      </c>
      <c r="AE69" s="789">
        <f>IF($X69=0,0,      _xll.qDateNext($X69,AE$12,"M",FRM&lt;&gt;"Calypso",CCY))</f>
        <v>0</v>
      </c>
      <c r="AF69" s="789">
        <f>IF($X69=0,0,      _xll.qDateNext($X69,AF$12,"M",FRM&lt;&gt;"Calypso",CCY))</f>
        <v>0</v>
      </c>
      <c r="AG69" s="789">
        <f>IF($X69=0,0,      _xll.qDateNext($X69,AG$12,"M",FRM&lt;&gt;"Calypso",CCY))</f>
        <v>0</v>
      </c>
      <c r="AH69" s="789">
        <f>IF($X69=0,0,      _xll.qDateNext($X69,AH$12,"M",FRM&lt;&gt;"Calypso",CCY))</f>
        <v>0</v>
      </c>
      <c r="AI69" s="789">
        <f>IF($X69=0,0,      _xll.qDateNext($X69,AI$12,"M",FRM&lt;&gt;"Calypso",CCY))</f>
        <v>0</v>
      </c>
      <c r="AJ69" s="529" t="str">
        <v/>
      </c>
      <c r="AK69" s="529" t="str">
        <v/>
      </c>
      <c r="AL69" s="529" t="str">
        <v/>
      </c>
      <c r="AM69" s="529" t="str">
        <v/>
      </c>
      <c r="AN69" s="529" t="str">
        <v/>
      </c>
      <c r="AO69" s="529" t="str">
        <v/>
      </c>
      <c r="AP69" s="529" t="str">
        <v/>
      </c>
      <c r="AQ69" s="529" t="str">
        <v/>
      </c>
      <c r="AR69" s="529">
        <v>0</v>
      </c>
      <c r="AS69" s="529">
        <v>0</v>
      </c>
      <c r="AT69" s="529">
        <f t="shared" si="11"/>
        <v>0</v>
      </c>
      <c r="AU69" s="529">
        <v>0</v>
      </c>
      <c r="AV69" s="529">
        <f t="shared" si="12"/>
        <v>0</v>
      </c>
      <c r="AW69" s="529">
        <f t="shared" si="13"/>
        <v>0</v>
      </c>
      <c r="AX69" s="529">
        <v>0</v>
      </c>
      <c r="AY69" s="529">
        <v>0</v>
      </c>
      <c r="AZ69" s="761">
        <f t="shared" si="2"/>
        <v>0</v>
      </c>
      <c r="BA69" s="761">
        <f t="shared" si="3"/>
        <v>0</v>
      </c>
      <c r="BB69" s="761">
        <f t="shared" si="4"/>
        <v>0</v>
      </c>
      <c r="BC69" s="761">
        <f t="shared" si="5"/>
        <v>0</v>
      </c>
      <c r="BD69" s="761">
        <f t="shared" si="6"/>
        <v>0</v>
      </c>
      <c r="BE69" s="761">
        <f t="shared" si="7"/>
        <v>0</v>
      </c>
      <c r="BF69" s="761">
        <f t="shared" si="8"/>
        <v>0</v>
      </c>
      <c r="BG69" s="761">
        <f t="shared" si="9"/>
        <v>0</v>
      </c>
      <c r="BH69" s="777">
        <v>0</v>
      </c>
      <c r="BI69" s="755"/>
      <c r="BJ69" s="778">
        <f>IF(X70=0,0,           IF(ISNUMBER(BI69),BI69,               IF(ISTEXT(BI69),INDEX(AZ69:BG69,MATCH(BI69,$AZ$12:$BG$12,0)),             IF(BH69="INT",_xll.qInterp(X70,AB69:AI69,AZ69:BG69),            INDEX(AZ69:BG69,MATCH(BH69,$AZ$12:$BG$12,0))))))</f>
        <v>0</v>
      </c>
      <c r="BK69" s="408">
        <f t="shared" si="14"/>
        <v>0</v>
      </c>
      <c r="BL69" s="414">
        <f t="shared" si="15"/>
        <v>0</v>
      </c>
      <c r="BM69" s="408">
        <f t="shared" si="16"/>
        <v>0</v>
      </c>
    </row>
    <row r="70" spans="16:65">
      <c r="P70" s="779">
        <v>0</v>
      </c>
      <c r="Q70" s="780">
        <f t="shared" si="0"/>
        <v>0</v>
      </c>
      <c r="R70" s="776">
        <f>IF(P71,_xll.qDateYears(P70,P71,DCCfixed),0)</f>
        <v>0</v>
      </c>
      <c r="S70" s="553">
        <v>0</v>
      </c>
      <c r="T70" s="785"/>
      <c r="U70" s="409">
        <f t="shared" si="10"/>
        <v>0</v>
      </c>
      <c r="X70" s="363">
        <v>0</v>
      </c>
      <c r="Y70" s="775">
        <f t="shared" si="1"/>
        <v>0</v>
      </c>
      <c r="Z70" s="776">
        <f>IF(X71,_xll.qDateYears(X70,X71,DCCfloat),0)</f>
        <v>0</v>
      </c>
      <c r="AA70" s="553">
        <v>0</v>
      </c>
      <c r="AB70" s="789">
        <f>IF($X70=0,0,      _xll.qDateNext($X70,AB$12,"M",FRM&lt;&gt;"Calypso",CCY))</f>
        <v>0</v>
      </c>
      <c r="AC70" s="789">
        <f>IF($X70=0,0,      _xll.qDateNext($X70,AC$12,"M",FRM&lt;&gt;"Calypso",CCY))</f>
        <v>0</v>
      </c>
      <c r="AD70" s="789">
        <f>IF($X70=0,0,      _xll.qDateNext($X70,AD$12,"M",FRM&lt;&gt;"Calypso",CCY))</f>
        <v>0</v>
      </c>
      <c r="AE70" s="789">
        <f>IF($X70=0,0,      _xll.qDateNext($X70,AE$12,"M",FRM&lt;&gt;"Calypso",CCY))</f>
        <v>0</v>
      </c>
      <c r="AF70" s="789">
        <f>IF($X70=0,0,      _xll.qDateNext($X70,AF$12,"M",FRM&lt;&gt;"Calypso",CCY))</f>
        <v>0</v>
      </c>
      <c r="AG70" s="789">
        <f>IF($X70=0,0,      _xll.qDateNext($X70,AG$12,"M",FRM&lt;&gt;"Calypso",CCY))</f>
        <v>0</v>
      </c>
      <c r="AH70" s="789">
        <f>IF($X70=0,0,      _xll.qDateNext($X70,AH$12,"M",FRM&lt;&gt;"Calypso",CCY))</f>
        <v>0</v>
      </c>
      <c r="AI70" s="789">
        <f>IF($X70=0,0,      _xll.qDateNext($X70,AI$12,"M",FRM&lt;&gt;"Calypso",CCY))</f>
        <v>0</v>
      </c>
      <c r="AJ70" s="529" t="str">
        <v/>
      </c>
      <c r="AK70" s="529" t="str">
        <v/>
      </c>
      <c r="AL70" s="529" t="str">
        <v/>
      </c>
      <c r="AM70" s="529" t="str">
        <v/>
      </c>
      <c r="AN70" s="529" t="str">
        <v/>
      </c>
      <c r="AO70" s="529" t="str">
        <v/>
      </c>
      <c r="AP70" s="529" t="str">
        <v/>
      </c>
      <c r="AQ70" s="529" t="str">
        <v/>
      </c>
      <c r="AR70" s="529">
        <v>0</v>
      </c>
      <c r="AS70" s="529">
        <v>0</v>
      </c>
      <c r="AT70" s="529">
        <f t="shared" si="11"/>
        <v>0</v>
      </c>
      <c r="AU70" s="529">
        <v>0</v>
      </c>
      <c r="AV70" s="529">
        <f t="shared" si="12"/>
        <v>0</v>
      </c>
      <c r="AW70" s="529">
        <f t="shared" si="13"/>
        <v>0</v>
      </c>
      <c r="AX70" s="529">
        <v>0</v>
      </c>
      <c r="AY70" s="529">
        <v>0</v>
      </c>
      <c r="AZ70" s="761">
        <f t="shared" si="2"/>
        <v>0</v>
      </c>
      <c r="BA70" s="761">
        <f t="shared" si="3"/>
        <v>0</v>
      </c>
      <c r="BB70" s="761">
        <f t="shared" si="4"/>
        <v>0</v>
      </c>
      <c r="BC70" s="761">
        <f t="shared" si="5"/>
        <v>0</v>
      </c>
      <c r="BD70" s="761">
        <f t="shared" si="6"/>
        <v>0</v>
      </c>
      <c r="BE70" s="761">
        <f t="shared" si="7"/>
        <v>0</v>
      </c>
      <c r="BF70" s="761">
        <f t="shared" si="8"/>
        <v>0</v>
      </c>
      <c r="BG70" s="761">
        <f t="shared" si="9"/>
        <v>0</v>
      </c>
      <c r="BH70" s="777">
        <v>0</v>
      </c>
      <c r="BI70" s="755"/>
      <c r="BJ70" s="778">
        <f>IF(X71=0,0,           IF(ISNUMBER(BI70),BI70,               IF(ISTEXT(BI70),INDEX(AZ70:BG70,MATCH(BI70,$AZ$12:$BG$12,0)),             IF(BH70="INT",_xll.qInterp(X71,AB70:AI70,AZ70:BG70),            INDEX(AZ70:BG70,MATCH(BH70,$AZ$12:$BG$12,0))))))</f>
        <v>0</v>
      </c>
      <c r="BK70" s="408">
        <f t="shared" si="14"/>
        <v>0</v>
      </c>
      <c r="BL70" s="414">
        <f t="shared" si="15"/>
        <v>0</v>
      </c>
      <c r="BM70" s="408">
        <f t="shared" si="16"/>
        <v>0</v>
      </c>
    </row>
    <row r="71" spans="16:65">
      <c r="P71" s="779">
        <v>0</v>
      </c>
      <c r="Q71" s="780">
        <f t="shared" si="0"/>
        <v>0</v>
      </c>
      <c r="R71" s="776">
        <f>IF(P72,_xll.qDateYears(P71,P72,DCCfixed),0)</f>
        <v>0</v>
      </c>
      <c r="S71" s="553">
        <v>0</v>
      </c>
      <c r="T71" s="785"/>
      <c r="U71" s="409">
        <f t="shared" si="10"/>
        <v>0</v>
      </c>
      <c r="X71" s="363">
        <v>0</v>
      </c>
      <c r="Y71" s="775">
        <f t="shared" si="1"/>
        <v>0</v>
      </c>
      <c r="Z71" s="776">
        <f>IF(X72,_xll.qDateYears(X71,X72,DCCfloat),0)</f>
        <v>0</v>
      </c>
      <c r="AA71" s="553">
        <v>0</v>
      </c>
      <c r="AB71" s="789">
        <f>IF($X71=0,0,      _xll.qDateNext($X71,AB$12,"M",FRM&lt;&gt;"Calypso",CCY))</f>
        <v>0</v>
      </c>
      <c r="AC71" s="789">
        <f>IF($X71=0,0,      _xll.qDateNext($X71,AC$12,"M",FRM&lt;&gt;"Calypso",CCY))</f>
        <v>0</v>
      </c>
      <c r="AD71" s="789">
        <f>IF($X71=0,0,      _xll.qDateNext($X71,AD$12,"M",FRM&lt;&gt;"Calypso",CCY))</f>
        <v>0</v>
      </c>
      <c r="AE71" s="789">
        <f>IF($X71=0,0,      _xll.qDateNext($X71,AE$12,"M",FRM&lt;&gt;"Calypso",CCY))</f>
        <v>0</v>
      </c>
      <c r="AF71" s="789">
        <f>IF($X71=0,0,      _xll.qDateNext($X71,AF$12,"M",FRM&lt;&gt;"Calypso",CCY))</f>
        <v>0</v>
      </c>
      <c r="AG71" s="789">
        <f>IF($X71=0,0,      _xll.qDateNext($X71,AG$12,"M",FRM&lt;&gt;"Calypso",CCY))</f>
        <v>0</v>
      </c>
      <c r="AH71" s="789">
        <f>IF($X71=0,0,      _xll.qDateNext($X71,AH$12,"M",FRM&lt;&gt;"Calypso",CCY))</f>
        <v>0</v>
      </c>
      <c r="AI71" s="789">
        <f>IF($X71=0,0,      _xll.qDateNext($X71,AI$12,"M",FRM&lt;&gt;"Calypso",CCY))</f>
        <v>0</v>
      </c>
      <c r="AJ71" s="529" t="str">
        <v/>
      </c>
      <c r="AK71" s="529" t="str">
        <v/>
      </c>
      <c r="AL71" s="529" t="str">
        <v/>
      </c>
      <c r="AM71" s="529" t="str">
        <v/>
      </c>
      <c r="AN71" s="529" t="str">
        <v/>
      </c>
      <c r="AO71" s="529" t="str">
        <v/>
      </c>
      <c r="AP71" s="529" t="str">
        <v/>
      </c>
      <c r="AQ71" s="529" t="str">
        <v/>
      </c>
      <c r="AR71" s="529">
        <v>0</v>
      </c>
      <c r="AS71" s="529">
        <v>0</v>
      </c>
      <c r="AT71" s="529">
        <f t="shared" si="11"/>
        <v>0</v>
      </c>
      <c r="AU71" s="529">
        <v>0</v>
      </c>
      <c r="AV71" s="529">
        <f t="shared" si="12"/>
        <v>0</v>
      </c>
      <c r="AW71" s="529">
        <f t="shared" si="13"/>
        <v>0</v>
      </c>
      <c r="AX71" s="529">
        <v>0</v>
      </c>
      <c r="AY71" s="529">
        <v>0</v>
      </c>
      <c r="AZ71" s="761">
        <f t="shared" si="2"/>
        <v>0</v>
      </c>
      <c r="BA71" s="761">
        <f t="shared" si="3"/>
        <v>0</v>
      </c>
      <c r="BB71" s="761">
        <f t="shared" si="4"/>
        <v>0</v>
      </c>
      <c r="BC71" s="761">
        <f t="shared" si="5"/>
        <v>0</v>
      </c>
      <c r="BD71" s="761">
        <f t="shared" si="6"/>
        <v>0</v>
      </c>
      <c r="BE71" s="761">
        <f t="shared" si="7"/>
        <v>0</v>
      </c>
      <c r="BF71" s="761">
        <f t="shared" si="8"/>
        <v>0</v>
      </c>
      <c r="BG71" s="761">
        <f t="shared" si="9"/>
        <v>0</v>
      </c>
      <c r="BH71" s="777">
        <v>0</v>
      </c>
      <c r="BI71" s="755"/>
      <c r="BJ71" s="778">
        <f>IF(X72=0,0,           IF(ISNUMBER(BI71),BI71,               IF(ISTEXT(BI71),INDEX(AZ71:BG71,MATCH(BI71,$AZ$12:$BG$12,0)),             IF(BH71="INT",_xll.qInterp(X72,AB71:AI71,AZ71:BG71),            INDEX(AZ71:BG71,MATCH(BH71,$AZ$12:$BG$12,0))))))</f>
        <v>0</v>
      </c>
      <c r="BK71" s="408">
        <f t="shared" si="14"/>
        <v>0</v>
      </c>
      <c r="BL71" s="414">
        <f t="shared" si="15"/>
        <v>0</v>
      </c>
      <c r="BM71" s="408">
        <f t="shared" si="16"/>
        <v>0</v>
      </c>
    </row>
    <row r="72" spans="16:65">
      <c r="P72" s="779">
        <v>0</v>
      </c>
      <c r="Q72" s="780">
        <f t="shared" si="0"/>
        <v>0</v>
      </c>
      <c r="R72" s="776">
        <f>IF(P73,_xll.qDateYears(P72,P73,DCCfixed),0)</f>
        <v>0</v>
      </c>
      <c r="S72" s="553">
        <v>0</v>
      </c>
      <c r="T72" s="785"/>
      <c r="U72" s="409">
        <f t="shared" si="10"/>
        <v>0</v>
      </c>
      <c r="X72" s="363">
        <v>0</v>
      </c>
      <c r="Y72" s="775">
        <f t="shared" si="1"/>
        <v>0</v>
      </c>
      <c r="Z72" s="776">
        <f>IF(X73,_xll.qDateYears(X72,X73,DCCfloat),0)</f>
        <v>0</v>
      </c>
      <c r="AA72" s="553">
        <v>0</v>
      </c>
      <c r="AB72" s="789">
        <f>IF($X72=0,0,      _xll.qDateNext($X72,AB$12,"M",FRM&lt;&gt;"Calypso",CCY))</f>
        <v>0</v>
      </c>
      <c r="AC72" s="789">
        <f>IF($X72=0,0,      _xll.qDateNext($X72,AC$12,"M",FRM&lt;&gt;"Calypso",CCY))</f>
        <v>0</v>
      </c>
      <c r="AD72" s="789">
        <f>IF($X72=0,0,      _xll.qDateNext($X72,AD$12,"M",FRM&lt;&gt;"Calypso",CCY))</f>
        <v>0</v>
      </c>
      <c r="AE72" s="789">
        <f>IF($X72=0,0,      _xll.qDateNext($X72,AE$12,"M",FRM&lt;&gt;"Calypso",CCY))</f>
        <v>0</v>
      </c>
      <c r="AF72" s="789">
        <f>IF($X72=0,0,      _xll.qDateNext($X72,AF$12,"M",FRM&lt;&gt;"Calypso",CCY))</f>
        <v>0</v>
      </c>
      <c r="AG72" s="789">
        <f>IF($X72=0,0,      _xll.qDateNext($X72,AG$12,"M",FRM&lt;&gt;"Calypso",CCY))</f>
        <v>0</v>
      </c>
      <c r="AH72" s="789">
        <f>IF($X72=0,0,      _xll.qDateNext($X72,AH$12,"M",FRM&lt;&gt;"Calypso",CCY))</f>
        <v>0</v>
      </c>
      <c r="AI72" s="789">
        <f>IF($X72=0,0,      _xll.qDateNext($X72,AI$12,"M",FRM&lt;&gt;"Calypso",CCY))</f>
        <v>0</v>
      </c>
      <c r="AJ72" s="529" t="str">
        <v/>
      </c>
      <c r="AK72" s="529" t="str">
        <v/>
      </c>
      <c r="AL72" s="529" t="str">
        <v/>
      </c>
      <c r="AM72" s="529" t="str">
        <v/>
      </c>
      <c r="AN72" s="529" t="str">
        <v/>
      </c>
      <c r="AO72" s="529" t="str">
        <v/>
      </c>
      <c r="AP72" s="529" t="str">
        <v/>
      </c>
      <c r="AQ72" s="529" t="str">
        <v/>
      </c>
      <c r="AR72" s="529">
        <v>0</v>
      </c>
      <c r="AS72" s="529">
        <v>0</v>
      </c>
      <c r="AT72" s="529">
        <f t="shared" si="11"/>
        <v>0</v>
      </c>
      <c r="AU72" s="529">
        <v>0</v>
      </c>
      <c r="AV72" s="529">
        <f t="shared" si="12"/>
        <v>0</v>
      </c>
      <c r="AW72" s="529">
        <f t="shared" si="13"/>
        <v>0</v>
      </c>
      <c r="AX72" s="529">
        <v>0</v>
      </c>
      <c r="AY72" s="529">
        <v>0</v>
      </c>
      <c r="AZ72" s="761">
        <f t="shared" si="2"/>
        <v>0</v>
      </c>
      <c r="BA72" s="761">
        <f t="shared" si="3"/>
        <v>0</v>
      </c>
      <c r="BB72" s="761">
        <f t="shared" si="4"/>
        <v>0</v>
      </c>
      <c r="BC72" s="761">
        <f t="shared" si="5"/>
        <v>0</v>
      </c>
      <c r="BD72" s="761">
        <f t="shared" si="6"/>
        <v>0</v>
      </c>
      <c r="BE72" s="761">
        <f t="shared" si="7"/>
        <v>0</v>
      </c>
      <c r="BF72" s="761">
        <f t="shared" si="8"/>
        <v>0</v>
      </c>
      <c r="BG72" s="761">
        <f t="shared" si="9"/>
        <v>0</v>
      </c>
      <c r="BH72" s="777">
        <v>0</v>
      </c>
      <c r="BI72" s="755"/>
      <c r="BJ72" s="778">
        <f>IF(X73=0,0,           IF(ISNUMBER(BI72),BI72,               IF(ISTEXT(BI72),INDEX(AZ72:BG72,MATCH(BI72,$AZ$12:$BG$12,0)),             IF(BH72="INT",_xll.qInterp(X73,AB72:AI72,AZ72:BG72),            INDEX(AZ72:BG72,MATCH(BH72,$AZ$12:$BG$12,0))))))</f>
        <v>0</v>
      </c>
      <c r="BK72" s="408">
        <f t="shared" si="14"/>
        <v>0</v>
      </c>
      <c r="BL72" s="414">
        <f t="shared" si="15"/>
        <v>0</v>
      </c>
      <c r="BM72" s="408">
        <f t="shared" si="16"/>
        <v>0</v>
      </c>
    </row>
    <row r="73" spans="16:65">
      <c r="P73" s="779">
        <v>0</v>
      </c>
      <c r="Q73" s="780">
        <f t="shared" si="0"/>
        <v>0</v>
      </c>
      <c r="R73" s="776">
        <f>IF(P74,_xll.qDateYears(P73,P74,DCCfixed),0)</f>
        <v>0</v>
      </c>
      <c r="S73" s="553">
        <v>0</v>
      </c>
      <c r="T73" s="785"/>
      <c r="U73" s="409">
        <f t="shared" si="10"/>
        <v>0</v>
      </c>
      <c r="X73" s="363">
        <v>0</v>
      </c>
      <c r="Y73" s="775">
        <f t="shared" si="1"/>
        <v>0</v>
      </c>
      <c r="Z73" s="776">
        <f>IF(X74,_xll.qDateYears(X73,X74,DCCfloat),0)</f>
        <v>0</v>
      </c>
      <c r="AA73" s="553">
        <v>0</v>
      </c>
      <c r="AB73" s="789">
        <f>IF($X73=0,0,      _xll.qDateNext($X73,AB$12,"M",FRM&lt;&gt;"Calypso",CCY))</f>
        <v>0</v>
      </c>
      <c r="AC73" s="789">
        <f>IF($X73=0,0,      _xll.qDateNext($X73,AC$12,"M",FRM&lt;&gt;"Calypso",CCY))</f>
        <v>0</v>
      </c>
      <c r="AD73" s="789">
        <f>IF($X73=0,0,      _xll.qDateNext($X73,AD$12,"M",FRM&lt;&gt;"Calypso",CCY))</f>
        <v>0</v>
      </c>
      <c r="AE73" s="789">
        <f>IF($X73=0,0,      _xll.qDateNext($X73,AE$12,"M",FRM&lt;&gt;"Calypso",CCY))</f>
        <v>0</v>
      </c>
      <c r="AF73" s="789">
        <f>IF($X73=0,0,      _xll.qDateNext($X73,AF$12,"M",FRM&lt;&gt;"Calypso",CCY))</f>
        <v>0</v>
      </c>
      <c r="AG73" s="789">
        <f>IF($X73=0,0,      _xll.qDateNext($X73,AG$12,"M",FRM&lt;&gt;"Calypso",CCY))</f>
        <v>0</v>
      </c>
      <c r="AH73" s="789">
        <f>IF($X73=0,0,      _xll.qDateNext($X73,AH$12,"M",FRM&lt;&gt;"Calypso",CCY))</f>
        <v>0</v>
      </c>
      <c r="AI73" s="789">
        <f>IF($X73=0,0,      _xll.qDateNext($X73,AI$12,"M",FRM&lt;&gt;"Calypso",CCY))</f>
        <v>0</v>
      </c>
      <c r="AJ73" s="529" t="str">
        <v/>
      </c>
      <c r="AK73" s="529" t="str">
        <v/>
      </c>
      <c r="AL73" s="529" t="str">
        <v/>
      </c>
      <c r="AM73" s="529" t="str">
        <v/>
      </c>
      <c r="AN73" s="529" t="str">
        <v/>
      </c>
      <c r="AO73" s="529" t="str">
        <v/>
      </c>
      <c r="AP73" s="529" t="str">
        <v/>
      </c>
      <c r="AQ73" s="529" t="str">
        <v/>
      </c>
      <c r="AR73" s="529">
        <v>0</v>
      </c>
      <c r="AS73" s="529">
        <v>0</v>
      </c>
      <c r="AT73" s="529">
        <f t="shared" si="11"/>
        <v>0</v>
      </c>
      <c r="AU73" s="529">
        <v>0</v>
      </c>
      <c r="AV73" s="529">
        <f t="shared" si="12"/>
        <v>0</v>
      </c>
      <c r="AW73" s="529">
        <f t="shared" si="13"/>
        <v>0</v>
      </c>
      <c r="AX73" s="529">
        <v>0</v>
      </c>
      <c r="AY73" s="529">
        <v>0</v>
      </c>
      <c r="AZ73" s="761">
        <f t="shared" si="2"/>
        <v>0</v>
      </c>
      <c r="BA73" s="761">
        <f t="shared" si="3"/>
        <v>0</v>
      </c>
      <c r="BB73" s="761">
        <f t="shared" si="4"/>
        <v>0</v>
      </c>
      <c r="BC73" s="761">
        <f t="shared" si="5"/>
        <v>0</v>
      </c>
      <c r="BD73" s="761">
        <f t="shared" si="6"/>
        <v>0</v>
      </c>
      <c r="BE73" s="761">
        <f t="shared" si="7"/>
        <v>0</v>
      </c>
      <c r="BF73" s="761">
        <f t="shared" si="8"/>
        <v>0</v>
      </c>
      <c r="BG73" s="761">
        <f t="shared" si="9"/>
        <v>0</v>
      </c>
      <c r="BH73" s="777">
        <v>0</v>
      </c>
      <c r="BI73" s="755"/>
      <c r="BJ73" s="778">
        <f>IF(X74=0,0,           IF(ISNUMBER(BI73),BI73,               IF(ISTEXT(BI73),INDEX(AZ73:BG73,MATCH(BI73,$AZ$12:$BG$12,0)),             IF(BH73="INT",_xll.qInterp(X74,AB73:AI73,AZ73:BG73),            INDEX(AZ73:BG73,MATCH(BH73,$AZ$12:$BG$12,0))))))</f>
        <v>0</v>
      </c>
      <c r="BK73" s="408">
        <f t="shared" si="14"/>
        <v>0</v>
      </c>
      <c r="BL73" s="414">
        <f t="shared" si="15"/>
        <v>0</v>
      </c>
      <c r="BM73" s="408">
        <f t="shared" si="16"/>
        <v>0</v>
      </c>
    </row>
    <row r="74" spans="16:65">
      <c r="P74" s="779">
        <v>0</v>
      </c>
      <c r="Q74" s="780">
        <f t="shared" si="0"/>
        <v>0</v>
      </c>
      <c r="R74" s="776">
        <f>IF(P75,_xll.qDateYears(P74,P75,DCCfixed),0)</f>
        <v>0</v>
      </c>
      <c r="S74" s="553">
        <v>0</v>
      </c>
      <c r="T74" s="785"/>
      <c r="U74" s="409">
        <f t="shared" si="10"/>
        <v>0</v>
      </c>
      <c r="X74" s="363">
        <v>0</v>
      </c>
      <c r="Y74" s="775">
        <f t="shared" si="1"/>
        <v>0</v>
      </c>
      <c r="Z74" s="776">
        <f>IF(X75,_xll.qDateYears(X74,X75,DCCfloat),0)</f>
        <v>0</v>
      </c>
      <c r="AA74" s="553">
        <v>0</v>
      </c>
      <c r="AB74" s="789">
        <f>IF($X74=0,0,      _xll.qDateNext($X74,AB$12,"M",FRM&lt;&gt;"Calypso",CCY))</f>
        <v>0</v>
      </c>
      <c r="AC74" s="789">
        <f>IF($X74=0,0,      _xll.qDateNext($X74,AC$12,"M",FRM&lt;&gt;"Calypso",CCY))</f>
        <v>0</v>
      </c>
      <c r="AD74" s="789">
        <f>IF($X74=0,0,      _xll.qDateNext($X74,AD$12,"M",FRM&lt;&gt;"Calypso",CCY))</f>
        <v>0</v>
      </c>
      <c r="AE74" s="789">
        <f>IF($X74=0,0,      _xll.qDateNext($X74,AE$12,"M",FRM&lt;&gt;"Calypso",CCY))</f>
        <v>0</v>
      </c>
      <c r="AF74" s="789">
        <f>IF($X74=0,0,      _xll.qDateNext($X74,AF$12,"M",FRM&lt;&gt;"Calypso",CCY))</f>
        <v>0</v>
      </c>
      <c r="AG74" s="789">
        <f>IF($X74=0,0,      _xll.qDateNext($X74,AG$12,"M",FRM&lt;&gt;"Calypso",CCY))</f>
        <v>0</v>
      </c>
      <c r="AH74" s="789">
        <f>IF($X74=0,0,      _xll.qDateNext($X74,AH$12,"M",FRM&lt;&gt;"Calypso",CCY))</f>
        <v>0</v>
      </c>
      <c r="AI74" s="789">
        <f>IF($X74=0,0,      _xll.qDateNext($X74,AI$12,"M",FRM&lt;&gt;"Calypso",CCY))</f>
        <v>0</v>
      </c>
      <c r="AJ74" s="529" t="str">
        <v/>
      </c>
      <c r="AK74" s="529" t="str">
        <v/>
      </c>
      <c r="AL74" s="529" t="str">
        <v/>
      </c>
      <c r="AM74" s="529" t="str">
        <v/>
      </c>
      <c r="AN74" s="529" t="str">
        <v/>
      </c>
      <c r="AO74" s="529" t="str">
        <v/>
      </c>
      <c r="AP74" s="529" t="str">
        <v/>
      </c>
      <c r="AQ74" s="529" t="str">
        <v/>
      </c>
      <c r="AR74" s="529">
        <v>0</v>
      </c>
      <c r="AS74" s="529">
        <v>0</v>
      </c>
      <c r="AT74" s="529">
        <f t="shared" si="11"/>
        <v>0</v>
      </c>
      <c r="AU74" s="529">
        <v>0</v>
      </c>
      <c r="AV74" s="529">
        <f t="shared" si="12"/>
        <v>0</v>
      </c>
      <c r="AW74" s="529">
        <f t="shared" si="13"/>
        <v>0</v>
      </c>
      <c r="AX74" s="529">
        <v>0</v>
      </c>
      <c r="AY74" s="529">
        <v>0</v>
      </c>
      <c r="AZ74" s="761">
        <f t="shared" si="2"/>
        <v>0</v>
      </c>
      <c r="BA74" s="761">
        <f t="shared" si="3"/>
        <v>0</v>
      </c>
      <c r="BB74" s="761">
        <f t="shared" si="4"/>
        <v>0</v>
      </c>
      <c r="BC74" s="761">
        <f t="shared" si="5"/>
        <v>0</v>
      </c>
      <c r="BD74" s="761">
        <f t="shared" si="6"/>
        <v>0</v>
      </c>
      <c r="BE74" s="761">
        <f t="shared" si="7"/>
        <v>0</v>
      </c>
      <c r="BF74" s="761">
        <f t="shared" si="8"/>
        <v>0</v>
      </c>
      <c r="BG74" s="761">
        <f t="shared" si="9"/>
        <v>0</v>
      </c>
      <c r="BH74" s="777">
        <v>0</v>
      </c>
      <c r="BI74" s="755"/>
      <c r="BJ74" s="778">
        <f>IF(X75=0,0,           IF(ISNUMBER(BI74),BI74,               IF(ISTEXT(BI74),INDEX(AZ74:BG74,MATCH(BI74,$AZ$12:$BG$12,0)),             IF(BH74="INT",_xll.qInterp(X75,AB74:AI74,AZ74:BG74),            INDEX(AZ74:BG74,MATCH(BH74,$AZ$12:$BG$12,0))))))</f>
        <v>0</v>
      </c>
      <c r="BK74" s="408">
        <f t="shared" si="14"/>
        <v>0</v>
      </c>
      <c r="BL74" s="414">
        <f t="shared" si="15"/>
        <v>0</v>
      </c>
      <c r="BM74" s="408">
        <f t="shared" si="16"/>
        <v>0</v>
      </c>
    </row>
    <row r="75" spans="16:65">
      <c r="P75" s="779">
        <v>0</v>
      </c>
      <c r="Q75" s="780">
        <f t="shared" si="0"/>
        <v>0</v>
      </c>
      <c r="R75" s="776">
        <f>IF(P76,_xll.qDateYears(P75,P76,DCCfixed),0)</f>
        <v>0</v>
      </c>
      <c r="S75" s="553">
        <v>0</v>
      </c>
      <c r="T75" s="785"/>
      <c r="U75" s="409">
        <f t="shared" si="10"/>
        <v>0</v>
      </c>
      <c r="X75" s="363">
        <v>0</v>
      </c>
      <c r="Y75" s="775">
        <f t="shared" si="1"/>
        <v>0</v>
      </c>
      <c r="Z75" s="776">
        <f>IF(X76,_xll.qDateYears(X75,X76,DCCfloat),0)</f>
        <v>0</v>
      </c>
      <c r="AA75" s="553">
        <v>0</v>
      </c>
      <c r="AB75" s="789">
        <f>IF($X75=0,0,      _xll.qDateNext($X75,AB$12,"M",FRM&lt;&gt;"Calypso",CCY))</f>
        <v>0</v>
      </c>
      <c r="AC75" s="789">
        <f>IF($X75=0,0,      _xll.qDateNext($X75,AC$12,"M",FRM&lt;&gt;"Calypso",CCY))</f>
        <v>0</v>
      </c>
      <c r="AD75" s="789">
        <f>IF($X75=0,0,      _xll.qDateNext($X75,AD$12,"M",FRM&lt;&gt;"Calypso",CCY))</f>
        <v>0</v>
      </c>
      <c r="AE75" s="789">
        <f>IF($X75=0,0,      _xll.qDateNext($X75,AE$12,"M",FRM&lt;&gt;"Calypso",CCY))</f>
        <v>0</v>
      </c>
      <c r="AF75" s="789">
        <f>IF($X75=0,0,      _xll.qDateNext($X75,AF$12,"M",FRM&lt;&gt;"Calypso",CCY))</f>
        <v>0</v>
      </c>
      <c r="AG75" s="789">
        <f>IF($X75=0,0,      _xll.qDateNext($X75,AG$12,"M",FRM&lt;&gt;"Calypso",CCY))</f>
        <v>0</v>
      </c>
      <c r="AH75" s="789">
        <f>IF($X75=0,0,      _xll.qDateNext($X75,AH$12,"M",FRM&lt;&gt;"Calypso",CCY))</f>
        <v>0</v>
      </c>
      <c r="AI75" s="789">
        <f>IF($X75=0,0,      _xll.qDateNext($X75,AI$12,"M",FRM&lt;&gt;"Calypso",CCY))</f>
        <v>0</v>
      </c>
      <c r="AJ75" s="529" t="str">
        <v/>
      </c>
      <c r="AK75" s="529" t="str">
        <v/>
      </c>
      <c r="AL75" s="529" t="str">
        <v/>
      </c>
      <c r="AM75" s="529" t="str">
        <v/>
      </c>
      <c r="AN75" s="529" t="str">
        <v/>
      </c>
      <c r="AO75" s="529" t="str">
        <v/>
      </c>
      <c r="AP75" s="529" t="str">
        <v/>
      </c>
      <c r="AQ75" s="529" t="str">
        <v/>
      </c>
      <c r="AR75" s="529">
        <v>0</v>
      </c>
      <c r="AS75" s="529">
        <v>0</v>
      </c>
      <c r="AT75" s="529">
        <f t="shared" si="11"/>
        <v>0</v>
      </c>
      <c r="AU75" s="529">
        <v>0</v>
      </c>
      <c r="AV75" s="529">
        <f t="shared" si="12"/>
        <v>0</v>
      </c>
      <c r="AW75" s="529">
        <f t="shared" si="13"/>
        <v>0</v>
      </c>
      <c r="AX75" s="529">
        <v>0</v>
      </c>
      <c r="AY75" s="529">
        <v>0</v>
      </c>
      <c r="AZ75" s="761">
        <f t="shared" si="2"/>
        <v>0</v>
      </c>
      <c r="BA75" s="761">
        <f t="shared" si="3"/>
        <v>0</v>
      </c>
      <c r="BB75" s="761">
        <f t="shared" si="4"/>
        <v>0</v>
      </c>
      <c r="BC75" s="761">
        <f t="shared" si="5"/>
        <v>0</v>
      </c>
      <c r="BD75" s="761">
        <f t="shared" si="6"/>
        <v>0</v>
      </c>
      <c r="BE75" s="761">
        <f t="shared" si="7"/>
        <v>0</v>
      </c>
      <c r="BF75" s="761">
        <f t="shared" si="8"/>
        <v>0</v>
      </c>
      <c r="BG75" s="761">
        <f t="shared" si="9"/>
        <v>0</v>
      </c>
      <c r="BH75" s="777">
        <v>0</v>
      </c>
      <c r="BI75" s="755"/>
      <c r="BJ75" s="778">
        <f>IF(X76=0,0,           IF(ISNUMBER(BI75),BI75,               IF(ISTEXT(BI75),INDEX(AZ75:BG75,MATCH(BI75,$AZ$12:$BG$12,0)),             IF(BH75="INT",_xll.qInterp(X76,AB75:AI75,AZ75:BG75),            INDEX(AZ75:BG75,MATCH(BH75,$AZ$12:$BG$12,0))))))</f>
        <v>0</v>
      </c>
      <c r="BK75" s="408">
        <f t="shared" si="14"/>
        <v>0</v>
      </c>
      <c r="BL75" s="414">
        <f t="shared" si="15"/>
        <v>0</v>
      </c>
      <c r="BM75" s="408">
        <f t="shared" si="16"/>
        <v>0</v>
      </c>
    </row>
    <row r="76" spans="16:65">
      <c r="P76" s="779">
        <v>0</v>
      </c>
      <c r="Q76" s="780">
        <f t="shared" si="0"/>
        <v>0</v>
      </c>
      <c r="R76" s="776">
        <f>IF(P77,_xll.qDateYears(P76,P77,DCCfixed),0)</f>
        <v>0</v>
      </c>
      <c r="S76" s="553">
        <v>0</v>
      </c>
      <c r="T76" s="785"/>
      <c r="U76" s="409">
        <f t="shared" si="10"/>
        <v>0</v>
      </c>
      <c r="X76" s="363">
        <v>0</v>
      </c>
      <c r="Y76" s="775">
        <f t="shared" si="1"/>
        <v>0</v>
      </c>
      <c r="Z76" s="776">
        <f>IF(X77,_xll.qDateYears(X76,X77,DCCfloat),0)</f>
        <v>0</v>
      </c>
      <c r="AA76" s="553">
        <v>0</v>
      </c>
      <c r="AB76" s="789">
        <f>IF($X76=0,0,      _xll.qDateNext($X76,AB$12,"M",FRM&lt;&gt;"Calypso",CCY))</f>
        <v>0</v>
      </c>
      <c r="AC76" s="789">
        <f>IF($X76=0,0,      _xll.qDateNext($X76,AC$12,"M",FRM&lt;&gt;"Calypso",CCY))</f>
        <v>0</v>
      </c>
      <c r="AD76" s="789">
        <f>IF($X76=0,0,      _xll.qDateNext($X76,AD$12,"M",FRM&lt;&gt;"Calypso",CCY))</f>
        <v>0</v>
      </c>
      <c r="AE76" s="789">
        <f>IF($X76=0,0,      _xll.qDateNext($X76,AE$12,"M",FRM&lt;&gt;"Calypso",CCY))</f>
        <v>0</v>
      </c>
      <c r="AF76" s="789">
        <f>IF($X76=0,0,      _xll.qDateNext($X76,AF$12,"M",FRM&lt;&gt;"Calypso",CCY))</f>
        <v>0</v>
      </c>
      <c r="AG76" s="789">
        <f>IF($X76=0,0,      _xll.qDateNext($X76,AG$12,"M",FRM&lt;&gt;"Calypso",CCY))</f>
        <v>0</v>
      </c>
      <c r="AH76" s="789">
        <f>IF($X76=0,0,      _xll.qDateNext($X76,AH$12,"M",FRM&lt;&gt;"Calypso",CCY))</f>
        <v>0</v>
      </c>
      <c r="AI76" s="789">
        <f>IF($X76=0,0,      _xll.qDateNext($X76,AI$12,"M",FRM&lt;&gt;"Calypso",CCY))</f>
        <v>0</v>
      </c>
      <c r="AJ76" s="529" t="str">
        <v/>
      </c>
      <c r="AK76" s="529" t="str">
        <v/>
      </c>
      <c r="AL76" s="529" t="str">
        <v/>
      </c>
      <c r="AM76" s="529" t="str">
        <v/>
      </c>
      <c r="AN76" s="529" t="str">
        <v/>
      </c>
      <c r="AO76" s="529" t="str">
        <v/>
      </c>
      <c r="AP76" s="529" t="str">
        <v/>
      </c>
      <c r="AQ76" s="529" t="str">
        <v/>
      </c>
      <c r="AR76" s="529">
        <v>0</v>
      </c>
      <c r="AS76" s="529">
        <v>0</v>
      </c>
      <c r="AT76" s="529">
        <f t="shared" si="11"/>
        <v>0</v>
      </c>
      <c r="AU76" s="529">
        <v>0</v>
      </c>
      <c r="AV76" s="529">
        <f t="shared" si="12"/>
        <v>0</v>
      </c>
      <c r="AW76" s="529">
        <f t="shared" si="13"/>
        <v>0</v>
      </c>
      <c r="AX76" s="529">
        <v>0</v>
      </c>
      <c r="AY76" s="529">
        <v>0</v>
      </c>
      <c r="AZ76" s="761">
        <f t="shared" si="2"/>
        <v>0</v>
      </c>
      <c r="BA76" s="761">
        <f t="shared" si="3"/>
        <v>0</v>
      </c>
      <c r="BB76" s="761">
        <f t="shared" si="4"/>
        <v>0</v>
      </c>
      <c r="BC76" s="761">
        <f t="shared" si="5"/>
        <v>0</v>
      </c>
      <c r="BD76" s="761">
        <f t="shared" si="6"/>
        <v>0</v>
      </c>
      <c r="BE76" s="761">
        <f t="shared" si="7"/>
        <v>0</v>
      </c>
      <c r="BF76" s="761">
        <f t="shared" si="8"/>
        <v>0</v>
      </c>
      <c r="BG76" s="761">
        <f t="shared" si="9"/>
        <v>0</v>
      </c>
      <c r="BH76" s="777">
        <v>0</v>
      </c>
      <c r="BI76" s="755"/>
      <c r="BJ76" s="778">
        <f>IF(X77=0,0,           IF(ISNUMBER(BI76),BI76,               IF(ISTEXT(BI76),INDEX(AZ76:BG76,MATCH(BI76,$AZ$12:$BG$12,0)),             IF(BH76="INT",_xll.qInterp(X77,AB76:AI76,AZ76:BG76),            INDEX(AZ76:BG76,MATCH(BH76,$AZ$12:$BG$12,0))))))</f>
        <v>0</v>
      </c>
      <c r="BK76" s="408">
        <f t="shared" si="14"/>
        <v>0</v>
      </c>
      <c r="BL76" s="414">
        <f t="shared" si="15"/>
        <v>0</v>
      </c>
      <c r="BM76" s="408">
        <f t="shared" si="16"/>
        <v>0</v>
      </c>
    </row>
    <row r="77" spans="16:65">
      <c r="P77" s="779">
        <v>0</v>
      </c>
      <c r="Q77" s="780">
        <f t="shared" ref="Q77:Q140" si="17">IF(P78,IF(LEFT(DCCfixed,3)="Act",P78-P77,DAYS360(P77,P78)),0)</f>
        <v>0</v>
      </c>
      <c r="R77" s="776">
        <f>IF(P78,_xll.qDateYears(P77,P78,DCCfixed),0)</f>
        <v>0</v>
      </c>
      <c r="S77" s="553">
        <v>0</v>
      </c>
      <c r="T77" s="785"/>
      <c r="U77" s="409">
        <f t="shared" si="10"/>
        <v>0</v>
      </c>
      <c r="X77" s="363">
        <v>0</v>
      </c>
      <c r="Y77" s="775">
        <f t="shared" ref="Y77:Y140" si="18">IF(X78,IF(LEFT(DCCfloat,3)="Act",X78-X77,DAYS360(X77,X78)),0)</f>
        <v>0</v>
      </c>
      <c r="Z77" s="776">
        <f>IF(X78,_xll.qDateYears(X77,X78,DCCfloat),0)</f>
        <v>0</v>
      </c>
      <c r="AA77" s="553">
        <v>0</v>
      </c>
      <c r="AB77" s="789">
        <f>IF($X77=0,0,      _xll.qDateNext($X77,AB$12,"M",FRM&lt;&gt;"Calypso",CCY))</f>
        <v>0</v>
      </c>
      <c r="AC77" s="789">
        <f>IF($X77=0,0,      _xll.qDateNext($X77,AC$12,"M",FRM&lt;&gt;"Calypso",CCY))</f>
        <v>0</v>
      </c>
      <c r="AD77" s="789">
        <f>IF($X77=0,0,      _xll.qDateNext($X77,AD$12,"M",FRM&lt;&gt;"Calypso",CCY))</f>
        <v>0</v>
      </c>
      <c r="AE77" s="789">
        <f>IF($X77=0,0,      _xll.qDateNext($X77,AE$12,"M",FRM&lt;&gt;"Calypso",CCY))</f>
        <v>0</v>
      </c>
      <c r="AF77" s="789">
        <f>IF($X77=0,0,      _xll.qDateNext($X77,AF$12,"M",FRM&lt;&gt;"Calypso",CCY))</f>
        <v>0</v>
      </c>
      <c r="AG77" s="789">
        <f>IF($X77=0,0,      _xll.qDateNext($X77,AG$12,"M",FRM&lt;&gt;"Calypso",CCY))</f>
        <v>0</v>
      </c>
      <c r="AH77" s="789">
        <f>IF($X77=0,0,      _xll.qDateNext($X77,AH$12,"M",FRM&lt;&gt;"Calypso",CCY))</f>
        <v>0</v>
      </c>
      <c r="AI77" s="789">
        <f>IF($X77=0,0,      _xll.qDateNext($X77,AI$12,"M",FRM&lt;&gt;"Calypso",CCY))</f>
        <v>0</v>
      </c>
      <c r="AJ77" s="529" t="str">
        <v/>
      </c>
      <c r="AK77" s="529" t="str">
        <v/>
      </c>
      <c r="AL77" s="529" t="str">
        <v/>
      </c>
      <c r="AM77" s="529" t="str">
        <v/>
      </c>
      <c r="AN77" s="529" t="str">
        <v/>
      </c>
      <c r="AO77" s="529" t="str">
        <v/>
      </c>
      <c r="AP77" s="529" t="str">
        <v/>
      </c>
      <c r="AQ77" s="529" t="str">
        <v/>
      </c>
      <c r="AR77" s="529">
        <v>0</v>
      </c>
      <c r="AS77" s="529">
        <v>0</v>
      </c>
      <c r="AT77" s="529">
        <f t="shared" si="11"/>
        <v>0</v>
      </c>
      <c r="AU77" s="529">
        <v>0</v>
      </c>
      <c r="AV77" s="529">
        <f t="shared" si="12"/>
        <v>0</v>
      </c>
      <c r="AW77" s="529">
        <f t="shared" si="13"/>
        <v>0</v>
      </c>
      <c r="AX77" s="529">
        <v>0</v>
      </c>
      <c r="AY77" s="529">
        <v>0</v>
      </c>
      <c r="AZ77" s="761">
        <f t="shared" ref="AZ77:AZ140" si="19">IF($X77=0,0,   IF(ISNUMBER(AJ77),AJ77,AR77))</f>
        <v>0</v>
      </c>
      <c r="BA77" s="761">
        <f t="shared" ref="BA77:BA140" si="20">IF($X77=0,0,   IF(ISNUMBER(AK77),AK77,AS77))</f>
        <v>0</v>
      </c>
      <c r="BB77" s="761">
        <f t="shared" ref="BB77:BB140" si="21">IF($X77=0,0,   IF(ISNUMBER(AL77),AL77,AT77))</f>
        <v>0</v>
      </c>
      <c r="BC77" s="761">
        <f t="shared" ref="BC77:BC140" si="22">IF($X77=0,0,   IF(ISNUMBER(AM77),AM77,AU77))</f>
        <v>0</v>
      </c>
      <c r="BD77" s="761">
        <f t="shared" ref="BD77:BD140" si="23">IF($X77=0,0,   IF(ISNUMBER(AN77),AN77,AV77))</f>
        <v>0</v>
      </c>
      <c r="BE77" s="761">
        <f t="shared" ref="BE77:BE140" si="24">IF($X77=0,0,   IF(ISNUMBER(AO77),AO77,AW77))</f>
        <v>0</v>
      </c>
      <c r="BF77" s="761">
        <f t="shared" ref="BF77:BF140" si="25">IF($X77=0,0,   IF(ISNUMBER(AP77),AP77,AX77))</f>
        <v>0</v>
      </c>
      <c r="BG77" s="761">
        <f t="shared" ref="BG77:BG140" si="26">IF($X77=0,0,   IF(ISNUMBER(AQ77),AQ77,AY77))</f>
        <v>0</v>
      </c>
      <c r="BH77" s="777">
        <v>0</v>
      </c>
      <c r="BI77" s="755"/>
      <c r="BJ77" s="778">
        <f>IF(X78=0,0,           IF(ISNUMBER(BI77),BI77,               IF(ISTEXT(BI77),INDEX(AZ77:BG77,MATCH(BI77,$AZ$12:$BG$12,0)),             IF(BH77="INT",_xll.qInterp(X78,AB77:AI77,AZ77:BG77),            INDEX(AZ77:BG77,MATCH(BH77,$AZ$12:$BG$12,0))))))</f>
        <v>0</v>
      </c>
      <c r="BK77" s="408">
        <f t="shared" si="14"/>
        <v>0</v>
      </c>
      <c r="BL77" s="414">
        <f t="shared" si="15"/>
        <v>0</v>
      </c>
      <c r="BM77" s="408">
        <f t="shared" si="16"/>
        <v>0</v>
      </c>
    </row>
    <row r="78" spans="16:65">
      <c r="P78" s="779">
        <v>0</v>
      </c>
      <c r="Q78" s="780">
        <f t="shared" si="17"/>
        <v>0</v>
      </c>
      <c r="R78" s="776">
        <f>IF(P79,_xll.qDateYears(P78,P79,DCCfixed),0)</f>
        <v>0</v>
      </c>
      <c r="S78" s="553">
        <v>0</v>
      </c>
      <c r="T78" s="785"/>
      <c r="U78" s="409">
        <f t="shared" ref="U78:U141" si="27">IF(P78,$U$5%*R77*Face,0) + IF(AND(IncludePrincipals,P78&gt;0,P79=0),Face,0) + IF(P78,T78,0)</f>
        <v>0</v>
      </c>
      <c r="X78" s="363">
        <v>0</v>
      </c>
      <c r="Y78" s="775">
        <f t="shared" si="18"/>
        <v>0</v>
      </c>
      <c r="Z78" s="776">
        <f>IF(X79,_xll.qDateYears(X78,X79,DCCfloat),0)</f>
        <v>0</v>
      </c>
      <c r="AA78" s="553">
        <v>0</v>
      </c>
      <c r="AB78" s="789">
        <f>IF($X78=0,0,      _xll.qDateNext($X78,AB$12,"M",FRM&lt;&gt;"Calypso",CCY))</f>
        <v>0</v>
      </c>
      <c r="AC78" s="789">
        <f>IF($X78=0,0,      _xll.qDateNext($X78,AC$12,"M",FRM&lt;&gt;"Calypso",CCY))</f>
        <v>0</v>
      </c>
      <c r="AD78" s="789">
        <f>IF($X78=0,0,      _xll.qDateNext($X78,AD$12,"M",FRM&lt;&gt;"Calypso",CCY))</f>
        <v>0</v>
      </c>
      <c r="AE78" s="789">
        <f>IF($X78=0,0,      _xll.qDateNext($X78,AE$12,"M",FRM&lt;&gt;"Calypso",CCY))</f>
        <v>0</v>
      </c>
      <c r="AF78" s="789">
        <f>IF($X78=0,0,      _xll.qDateNext($X78,AF$12,"M",FRM&lt;&gt;"Calypso",CCY))</f>
        <v>0</v>
      </c>
      <c r="AG78" s="789">
        <f>IF($X78=0,0,      _xll.qDateNext($X78,AG$12,"M",FRM&lt;&gt;"Calypso",CCY))</f>
        <v>0</v>
      </c>
      <c r="AH78" s="789">
        <f>IF($X78=0,0,      _xll.qDateNext($X78,AH$12,"M",FRM&lt;&gt;"Calypso",CCY))</f>
        <v>0</v>
      </c>
      <c r="AI78" s="789">
        <f>IF($X78=0,0,      _xll.qDateNext($X78,AI$12,"M",FRM&lt;&gt;"Calypso",CCY))</f>
        <v>0</v>
      </c>
      <c r="AJ78" s="529" t="str">
        <v/>
      </c>
      <c r="AK78" s="529" t="str">
        <v/>
      </c>
      <c r="AL78" s="529" t="str">
        <v/>
      </c>
      <c r="AM78" s="529" t="str">
        <v/>
      </c>
      <c r="AN78" s="529" t="str">
        <v/>
      </c>
      <c r="AO78" s="529" t="str">
        <v/>
      </c>
      <c r="AP78" s="529" t="str">
        <v/>
      </c>
      <c r="AQ78" s="529" t="str">
        <v/>
      </c>
      <c r="AR78" s="529">
        <v>0</v>
      </c>
      <c r="AS78" s="529">
        <v>0</v>
      </c>
      <c r="AT78" s="529">
        <f t="shared" ref="AT78:AT141" si="28">IF($X78,AVERAGE(AS78,AU78),0)</f>
        <v>0</v>
      </c>
      <c r="AU78" s="529">
        <v>0</v>
      </c>
      <c r="AV78" s="529">
        <f t="shared" ref="AV78:AV141" si="29">IF($X78,AU78+(AX78-AU78)/3,0)</f>
        <v>0</v>
      </c>
      <c r="AW78" s="529">
        <f t="shared" ref="AW78:AW141" si="30">IF($X78,AVERAGE(AV78,AX78),0)</f>
        <v>0</v>
      </c>
      <c r="AX78" s="529">
        <v>0</v>
      </c>
      <c r="AY78" s="529">
        <v>0</v>
      </c>
      <c r="AZ78" s="761">
        <f t="shared" si="19"/>
        <v>0</v>
      </c>
      <c r="BA78" s="761">
        <f t="shared" si="20"/>
        <v>0</v>
      </c>
      <c r="BB78" s="761">
        <f t="shared" si="21"/>
        <v>0</v>
      </c>
      <c r="BC78" s="761">
        <f t="shared" si="22"/>
        <v>0</v>
      </c>
      <c r="BD78" s="761">
        <f t="shared" si="23"/>
        <v>0</v>
      </c>
      <c r="BE78" s="761">
        <f t="shared" si="24"/>
        <v>0</v>
      </c>
      <c r="BF78" s="761">
        <f t="shared" si="25"/>
        <v>0</v>
      </c>
      <c r="BG78" s="761">
        <f t="shared" si="26"/>
        <v>0</v>
      </c>
      <c r="BH78" s="777">
        <v>0</v>
      </c>
      <c r="BI78" s="755"/>
      <c r="BJ78" s="778">
        <f>IF(X79=0,0,           IF(ISNUMBER(BI78),BI78,               IF(ISTEXT(BI78),INDEX(AZ78:BG78,MATCH(BI78,$AZ$12:$BG$12,0)),             IF(BH78="INT",_xll.qInterp(X79,AB78:AI78,AZ78:BG78),            INDEX(AZ78:BG78,MATCH(BH78,$AZ$12:$BG$12,0))))))</f>
        <v>0</v>
      </c>
      <c r="BK78" s="408">
        <f t="shared" ref="BK78:BK141" si="31">IF(X78,-BJ77%*Face*Z77,0)</f>
        <v>0</v>
      </c>
      <c r="BL78" s="414">
        <f t="shared" ref="BL78:BL141" si="32">IF(X78,-Margin%%*Z77*Face,0)</f>
        <v>0</v>
      </c>
      <c r="BM78" s="408">
        <f t="shared" ref="BM78:BM141" si="33">SUM(BK78:BL78)+IF(AND(IncludePrincipals,X78&lt;&gt;0,X79=0),-Face,0)</f>
        <v>0</v>
      </c>
    </row>
    <row r="79" spans="16:65">
      <c r="P79" s="779">
        <v>0</v>
      </c>
      <c r="Q79" s="780">
        <f t="shared" si="17"/>
        <v>0</v>
      </c>
      <c r="R79" s="776">
        <f>IF(P80,_xll.qDateYears(P79,P80,DCCfixed),0)</f>
        <v>0</v>
      </c>
      <c r="S79" s="553">
        <v>0</v>
      </c>
      <c r="T79" s="785"/>
      <c r="U79" s="409">
        <f t="shared" si="27"/>
        <v>0</v>
      </c>
      <c r="X79" s="363">
        <v>0</v>
      </c>
      <c r="Y79" s="775">
        <f t="shared" si="18"/>
        <v>0</v>
      </c>
      <c r="Z79" s="776">
        <f>IF(X80,_xll.qDateYears(X79,X80,DCCfloat),0)</f>
        <v>0</v>
      </c>
      <c r="AA79" s="553">
        <v>0</v>
      </c>
      <c r="AB79" s="789">
        <f>IF($X79=0,0,      _xll.qDateNext($X79,AB$12,"M",FRM&lt;&gt;"Calypso",CCY))</f>
        <v>0</v>
      </c>
      <c r="AC79" s="789">
        <f>IF($X79=0,0,      _xll.qDateNext($X79,AC$12,"M",FRM&lt;&gt;"Calypso",CCY))</f>
        <v>0</v>
      </c>
      <c r="AD79" s="789">
        <f>IF($X79=0,0,      _xll.qDateNext($X79,AD$12,"M",FRM&lt;&gt;"Calypso",CCY))</f>
        <v>0</v>
      </c>
      <c r="AE79" s="789">
        <f>IF($X79=0,0,      _xll.qDateNext($X79,AE$12,"M",FRM&lt;&gt;"Calypso",CCY))</f>
        <v>0</v>
      </c>
      <c r="AF79" s="789">
        <f>IF($X79=0,0,      _xll.qDateNext($X79,AF$12,"M",FRM&lt;&gt;"Calypso",CCY))</f>
        <v>0</v>
      </c>
      <c r="AG79" s="789">
        <f>IF($X79=0,0,      _xll.qDateNext($X79,AG$12,"M",FRM&lt;&gt;"Calypso",CCY))</f>
        <v>0</v>
      </c>
      <c r="AH79" s="789">
        <f>IF($X79=0,0,      _xll.qDateNext($X79,AH$12,"M",FRM&lt;&gt;"Calypso",CCY))</f>
        <v>0</v>
      </c>
      <c r="AI79" s="789">
        <f>IF($X79=0,0,      _xll.qDateNext($X79,AI$12,"M",FRM&lt;&gt;"Calypso",CCY))</f>
        <v>0</v>
      </c>
      <c r="AJ79" s="529" t="str">
        <v/>
      </c>
      <c r="AK79" s="529" t="str">
        <v/>
      </c>
      <c r="AL79" s="529" t="str">
        <v/>
      </c>
      <c r="AM79" s="529" t="str">
        <v/>
      </c>
      <c r="AN79" s="529" t="str">
        <v/>
      </c>
      <c r="AO79" s="529" t="str">
        <v/>
      </c>
      <c r="AP79" s="529" t="str">
        <v/>
      </c>
      <c r="AQ79" s="529" t="str">
        <v/>
      </c>
      <c r="AR79" s="529">
        <v>0</v>
      </c>
      <c r="AS79" s="529">
        <v>0</v>
      </c>
      <c r="AT79" s="529">
        <f t="shared" si="28"/>
        <v>0</v>
      </c>
      <c r="AU79" s="529">
        <v>0</v>
      </c>
      <c r="AV79" s="529">
        <f t="shared" si="29"/>
        <v>0</v>
      </c>
      <c r="AW79" s="529">
        <f t="shared" si="30"/>
        <v>0</v>
      </c>
      <c r="AX79" s="529">
        <v>0</v>
      </c>
      <c r="AY79" s="529">
        <v>0</v>
      </c>
      <c r="AZ79" s="761">
        <f t="shared" si="19"/>
        <v>0</v>
      </c>
      <c r="BA79" s="761">
        <f t="shared" si="20"/>
        <v>0</v>
      </c>
      <c r="BB79" s="761">
        <f t="shared" si="21"/>
        <v>0</v>
      </c>
      <c r="BC79" s="761">
        <f t="shared" si="22"/>
        <v>0</v>
      </c>
      <c r="BD79" s="761">
        <f t="shared" si="23"/>
        <v>0</v>
      </c>
      <c r="BE79" s="761">
        <f t="shared" si="24"/>
        <v>0</v>
      </c>
      <c r="BF79" s="761">
        <f t="shared" si="25"/>
        <v>0</v>
      </c>
      <c r="BG79" s="761">
        <f t="shared" si="26"/>
        <v>0</v>
      </c>
      <c r="BH79" s="777">
        <v>0</v>
      </c>
      <c r="BI79" s="755"/>
      <c r="BJ79" s="778">
        <f>IF(X80=0,0,           IF(ISNUMBER(BI79),BI79,               IF(ISTEXT(BI79),INDEX(AZ79:BG79,MATCH(BI79,$AZ$12:$BG$12,0)),             IF(BH79="INT",_xll.qInterp(X80,AB79:AI79,AZ79:BG79),            INDEX(AZ79:BG79,MATCH(BH79,$AZ$12:$BG$12,0))))))</f>
        <v>0</v>
      </c>
      <c r="BK79" s="408">
        <f t="shared" si="31"/>
        <v>0</v>
      </c>
      <c r="BL79" s="414">
        <f t="shared" si="32"/>
        <v>0</v>
      </c>
      <c r="BM79" s="408">
        <f t="shared" si="33"/>
        <v>0</v>
      </c>
    </row>
    <row r="80" spans="16:65">
      <c r="P80" s="779">
        <v>0</v>
      </c>
      <c r="Q80" s="780">
        <f t="shared" si="17"/>
        <v>0</v>
      </c>
      <c r="R80" s="776">
        <f>IF(P81,_xll.qDateYears(P80,P81,DCCfixed),0)</f>
        <v>0</v>
      </c>
      <c r="S80" s="553">
        <v>0</v>
      </c>
      <c r="T80" s="785"/>
      <c r="U80" s="409">
        <f t="shared" si="27"/>
        <v>0</v>
      </c>
      <c r="X80" s="363">
        <v>0</v>
      </c>
      <c r="Y80" s="775">
        <f t="shared" si="18"/>
        <v>0</v>
      </c>
      <c r="Z80" s="776">
        <f>IF(X81,_xll.qDateYears(X80,X81,DCCfloat),0)</f>
        <v>0</v>
      </c>
      <c r="AA80" s="553">
        <v>0</v>
      </c>
      <c r="AB80" s="789">
        <f>IF($X80=0,0,      _xll.qDateNext($X80,AB$12,"M",FRM&lt;&gt;"Calypso",CCY))</f>
        <v>0</v>
      </c>
      <c r="AC80" s="789">
        <f>IF($X80=0,0,      _xll.qDateNext($X80,AC$12,"M",FRM&lt;&gt;"Calypso",CCY))</f>
        <v>0</v>
      </c>
      <c r="AD80" s="789">
        <f>IF($X80=0,0,      _xll.qDateNext($X80,AD$12,"M",FRM&lt;&gt;"Calypso",CCY))</f>
        <v>0</v>
      </c>
      <c r="AE80" s="789">
        <f>IF($X80=0,0,      _xll.qDateNext($X80,AE$12,"M",FRM&lt;&gt;"Calypso",CCY))</f>
        <v>0</v>
      </c>
      <c r="AF80" s="789">
        <f>IF($X80=0,0,      _xll.qDateNext($X80,AF$12,"M",FRM&lt;&gt;"Calypso",CCY))</f>
        <v>0</v>
      </c>
      <c r="AG80" s="789">
        <f>IF($X80=0,0,      _xll.qDateNext($X80,AG$12,"M",FRM&lt;&gt;"Calypso",CCY))</f>
        <v>0</v>
      </c>
      <c r="AH80" s="789">
        <f>IF($X80=0,0,      _xll.qDateNext($X80,AH$12,"M",FRM&lt;&gt;"Calypso",CCY))</f>
        <v>0</v>
      </c>
      <c r="AI80" s="789">
        <f>IF($X80=0,0,      _xll.qDateNext($X80,AI$12,"M",FRM&lt;&gt;"Calypso",CCY))</f>
        <v>0</v>
      </c>
      <c r="AJ80" s="529" t="str">
        <v/>
      </c>
      <c r="AK80" s="529" t="str">
        <v/>
      </c>
      <c r="AL80" s="529" t="str">
        <v/>
      </c>
      <c r="AM80" s="529" t="str">
        <v/>
      </c>
      <c r="AN80" s="529" t="str">
        <v/>
      </c>
      <c r="AO80" s="529" t="str">
        <v/>
      </c>
      <c r="AP80" s="529" t="str">
        <v/>
      </c>
      <c r="AQ80" s="529" t="str">
        <v/>
      </c>
      <c r="AR80" s="529">
        <v>0</v>
      </c>
      <c r="AS80" s="529">
        <v>0</v>
      </c>
      <c r="AT80" s="529">
        <f t="shared" si="28"/>
        <v>0</v>
      </c>
      <c r="AU80" s="529">
        <v>0</v>
      </c>
      <c r="AV80" s="529">
        <f t="shared" si="29"/>
        <v>0</v>
      </c>
      <c r="AW80" s="529">
        <f t="shared" si="30"/>
        <v>0</v>
      </c>
      <c r="AX80" s="529">
        <v>0</v>
      </c>
      <c r="AY80" s="529">
        <v>0</v>
      </c>
      <c r="AZ80" s="761">
        <f t="shared" si="19"/>
        <v>0</v>
      </c>
      <c r="BA80" s="761">
        <f t="shared" si="20"/>
        <v>0</v>
      </c>
      <c r="BB80" s="761">
        <f t="shared" si="21"/>
        <v>0</v>
      </c>
      <c r="BC80" s="761">
        <f t="shared" si="22"/>
        <v>0</v>
      </c>
      <c r="BD80" s="761">
        <f t="shared" si="23"/>
        <v>0</v>
      </c>
      <c r="BE80" s="761">
        <f t="shared" si="24"/>
        <v>0</v>
      </c>
      <c r="BF80" s="761">
        <f t="shared" si="25"/>
        <v>0</v>
      </c>
      <c r="BG80" s="761">
        <f t="shared" si="26"/>
        <v>0</v>
      </c>
      <c r="BH80" s="777">
        <v>0</v>
      </c>
      <c r="BI80" s="755"/>
      <c r="BJ80" s="778">
        <f>IF(X81=0,0,           IF(ISNUMBER(BI80),BI80,               IF(ISTEXT(BI80),INDEX(AZ80:BG80,MATCH(BI80,$AZ$12:$BG$12,0)),             IF(BH80="INT",_xll.qInterp(X81,AB80:AI80,AZ80:BG80),            INDEX(AZ80:BG80,MATCH(BH80,$AZ$12:$BG$12,0))))))</f>
        <v>0</v>
      </c>
      <c r="BK80" s="408">
        <f t="shared" si="31"/>
        <v>0</v>
      </c>
      <c r="BL80" s="414">
        <f t="shared" si="32"/>
        <v>0</v>
      </c>
      <c r="BM80" s="408">
        <f t="shared" si="33"/>
        <v>0</v>
      </c>
    </row>
    <row r="81" spans="16:65">
      <c r="P81" s="779">
        <v>0</v>
      </c>
      <c r="Q81" s="780">
        <f t="shared" si="17"/>
        <v>0</v>
      </c>
      <c r="R81" s="776">
        <f>IF(P82,_xll.qDateYears(P81,P82,DCCfixed),0)</f>
        <v>0</v>
      </c>
      <c r="S81" s="553">
        <v>0</v>
      </c>
      <c r="T81" s="785"/>
      <c r="U81" s="409">
        <f t="shared" si="27"/>
        <v>0</v>
      </c>
      <c r="X81" s="363">
        <v>0</v>
      </c>
      <c r="Y81" s="775">
        <f t="shared" si="18"/>
        <v>0</v>
      </c>
      <c r="Z81" s="776">
        <f>IF(X82,_xll.qDateYears(X81,X82,DCCfloat),0)</f>
        <v>0</v>
      </c>
      <c r="AA81" s="553">
        <v>0</v>
      </c>
      <c r="AB81" s="789">
        <f>IF($X81=0,0,      _xll.qDateNext($X81,AB$12,"M",FRM&lt;&gt;"Calypso",CCY))</f>
        <v>0</v>
      </c>
      <c r="AC81" s="789">
        <f>IF($X81=0,0,      _xll.qDateNext($X81,AC$12,"M",FRM&lt;&gt;"Calypso",CCY))</f>
        <v>0</v>
      </c>
      <c r="AD81" s="789">
        <f>IF($X81=0,0,      _xll.qDateNext($X81,AD$12,"M",FRM&lt;&gt;"Calypso",CCY))</f>
        <v>0</v>
      </c>
      <c r="AE81" s="789">
        <f>IF($X81=0,0,      _xll.qDateNext($X81,AE$12,"M",FRM&lt;&gt;"Calypso",CCY))</f>
        <v>0</v>
      </c>
      <c r="AF81" s="789">
        <f>IF($X81=0,0,      _xll.qDateNext($X81,AF$12,"M",FRM&lt;&gt;"Calypso",CCY))</f>
        <v>0</v>
      </c>
      <c r="AG81" s="789">
        <f>IF($X81=0,0,      _xll.qDateNext($X81,AG$12,"M",FRM&lt;&gt;"Calypso",CCY))</f>
        <v>0</v>
      </c>
      <c r="AH81" s="789">
        <f>IF($X81=0,0,      _xll.qDateNext($X81,AH$12,"M",FRM&lt;&gt;"Calypso",CCY))</f>
        <v>0</v>
      </c>
      <c r="AI81" s="789">
        <f>IF($X81=0,0,      _xll.qDateNext($X81,AI$12,"M",FRM&lt;&gt;"Calypso",CCY))</f>
        <v>0</v>
      </c>
      <c r="AJ81" s="529" t="str">
        <v/>
      </c>
      <c r="AK81" s="529" t="str">
        <v/>
      </c>
      <c r="AL81" s="529" t="str">
        <v/>
      </c>
      <c r="AM81" s="529" t="str">
        <v/>
      </c>
      <c r="AN81" s="529" t="str">
        <v/>
      </c>
      <c r="AO81" s="529" t="str">
        <v/>
      </c>
      <c r="AP81" s="529" t="str">
        <v/>
      </c>
      <c r="AQ81" s="529" t="str">
        <v/>
      </c>
      <c r="AR81" s="529">
        <v>0</v>
      </c>
      <c r="AS81" s="529">
        <v>0</v>
      </c>
      <c r="AT81" s="529">
        <f t="shared" si="28"/>
        <v>0</v>
      </c>
      <c r="AU81" s="529">
        <v>0</v>
      </c>
      <c r="AV81" s="529">
        <f t="shared" si="29"/>
        <v>0</v>
      </c>
      <c r="AW81" s="529">
        <f t="shared" si="30"/>
        <v>0</v>
      </c>
      <c r="AX81" s="529">
        <v>0</v>
      </c>
      <c r="AY81" s="529">
        <v>0</v>
      </c>
      <c r="AZ81" s="761">
        <f t="shared" si="19"/>
        <v>0</v>
      </c>
      <c r="BA81" s="761">
        <f t="shared" si="20"/>
        <v>0</v>
      </c>
      <c r="BB81" s="761">
        <f t="shared" si="21"/>
        <v>0</v>
      </c>
      <c r="BC81" s="761">
        <f t="shared" si="22"/>
        <v>0</v>
      </c>
      <c r="BD81" s="761">
        <f t="shared" si="23"/>
        <v>0</v>
      </c>
      <c r="BE81" s="761">
        <f t="shared" si="24"/>
        <v>0</v>
      </c>
      <c r="BF81" s="761">
        <f t="shared" si="25"/>
        <v>0</v>
      </c>
      <c r="BG81" s="761">
        <f t="shared" si="26"/>
        <v>0</v>
      </c>
      <c r="BH81" s="777">
        <v>0</v>
      </c>
      <c r="BI81" s="755"/>
      <c r="BJ81" s="778">
        <f>IF(X82=0,0,           IF(ISNUMBER(BI81),BI81,               IF(ISTEXT(BI81),INDEX(AZ81:BG81,MATCH(BI81,$AZ$12:$BG$12,0)),             IF(BH81="INT",_xll.qInterp(X82,AB81:AI81,AZ81:BG81),            INDEX(AZ81:BG81,MATCH(BH81,$AZ$12:$BG$12,0))))))</f>
        <v>0</v>
      </c>
      <c r="BK81" s="408">
        <f t="shared" si="31"/>
        <v>0</v>
      </c>
      <c r="BL81" s="414">
        <f t="shared" si="32"/>
        <v>0</v>
      </c>
      <c r="BM81" s="408">
        <f t="shared" si="33"/>
        <v>0</v>
      </c>
    </row>
    <row r="82" spans="16:65">
      <c r="P82" s="779">
        <v>0</v>
      </c>
      <c r="Q82" s="780">
        <f t="shared" si="17"/>
        <v>0</v>
      </c>
      <c r="R82" s="776">
        <f>IF(P83,_xll.qDateYears(P82,P83,DCCfixed),0)</f>
        <v>0</v>
      </c>
      <c r="S82" s="553">
        <v>0</v>
      </c>
      <c r="T82" s="785"/>
      <c r="U82" s="409">
        <f t="shared" si="27"/>
        <v>0</v>
      </c>
      <c r="X82" s="363">
        <v>0</v>
      </c>
      <c r="Y82" s="775">
        <f t="shared" si="18"/>
        <v>0</v>
      </c>
      <c r="Z82" s="776">
        <f>IF(X83,_xll.qDateYears(X82,X83,DCCfloat),0)</f>
        <v>0</v>
      </c>
      <c r="AA82" s="553">
        <v>0</v>
      </c>
      <c r="AB82" s="789">
        <f>IF($X82=0,0,      _xll.qDateNext($X82,AB$12,"M",FRM&lt;&gt;"Calypso",CCY))</f>
        <v>0</v>
      </c>
      <c r="AC82" s="789">
        <f>IF($X82=0,0,      _xll.qDateNext($X82,AC$12,"M",FRM&lt;&gt;"Calypso",CCY))</f>
        <v>0</v>
      </c>
      <c r="AD82" s="789">
        <f>IF($X82=0,0,      _xll.qDateNext($X82,AD$12,"M",FRM&lt;&gt;"Calypso",CCY))</f>
        <v>0</v>
      </c>
      <c r="AE82" s="789">
        <f>IF($X82=0,0,      _xll.qDateNext($X82,AE$12,"M",FRM&lt;&gt;"Calypso",CCY))</f>
        <v>0</v>
      </c>
      <c r="AF82" s="789">
        <f>IF($X82=0,0,      _xll.qDateNext($X82,AF$12,"M",FRM&lt;&gt;"Calypso",CCY))</f>
        <v>0</v>
      </c>
      <c r="AG82" s="789">
        <f>IF($X82=0,0,      _xll.qDateNext($X82,AG$12,"M",FRM&lt;&gt;"Calypso",CCY))</f>
        <v>0</v>
      </c>
      <c r="AH82" s="789">
        <f>IF($X82=0,0,      _xll.qDateNext($X82,AH$12,"M",FRM&lt;&gt;"Calypso",CCY))</f>
        <v>0</v>
      </c>
      <c r="AI82" s="789">
        <f>IF($X82=0,0,      _xll.qDateNext($X82,AI$12,"M",FRM&lt;&gt;"Calypso",CCY))</f>
        <v>0</v>
      </c>
      <c r="AJ82" s="529" t="str">
        <v/>
      </c>
      <c r="AK82" s="529" t="str">
        <v/>
      </c>
      <c r="AL82" s="529" t="str">
        <v/>
      </c>
      <c r="AM82" s="529" t="str">
        <v/>
      </c>
      <c r="AN82" s="529" t="str">
        <v/>
      </c>
      <c r="AO82" s="529" t="str">
        <v/>
      </c>
      <c r="AP82" s="529" t="str">
        <v/>
      </c>
      <c r="AQ82" s="529" t="str">
        <v/>
      </c>
      <c r="AR82" s="529">
        <v>0</v>
      </c>
      <c r="AS82" s="529">
        <v>0</v>
      </c>
      <c r="AT82" s="529">
        <f t="shared" si="28"/>
        <v>0</v>
      </c>
      <c r="AU82" s="529">
        <v>0</v>
      </c>
      <c r="AV82" s="529">
        <f t="shared" si="29"/>
        <v>0</v>
      </c>
      <c r="AW82" s="529">
        <f t="shared" si="30"/>
        <v>0</v>
      </c>
      <c r="AX82" s="529">
        <v>0</v>
      </c>
      <c r="AY82" s="529">
        <v>0</v>
      </c>
      <c r="AZ82" s="761">
        <f t="shared" si="19"/>
        <v>0</v>
      </c>
      <c r="BA82" s="761">
        <f t="shared" si="20"/>
        <v>0</v>
      </c>
      <c r="BB82" s="761">
        <f t="shared" si="21"/>
        <v>0</v>
      </c>
      <c r="BC82" s="761">
        <f t="shared" si="22"/>
        <v>0</v>
      </c>
      <c r="BD82" s="761">
        <f t="shared" si="23"/>
        <v>0</v>
      </c>
      <c r="BE82" s="761">
        <f t="shared" si="24"/>
        <v>0</v>
      </c>
      <c r="BF82" s="761">
        <f t="shared" si="25"/>
        <v>0</v>
      </c>
      <c r="BG82" s="761">
        <f t="shared" si="26"/>
        <v>0</v>
      </c>
      <c r="BH82" s="777">
        <v>0</v>
      </c>
      <c r="BI82" s="755"/>
      <c r="BJ82" s="778">
        <f>IF(X83=0,0,           IF(ISNUMBER(BI82),BI82,               IF(ISTEXT(BI82),INDEX(AZ82:BG82,MATCH(BI82,$AZ$12:$BG$12,0)),             IF(BH82="INT",_xll.qInterp(X83,AB82:AI82,AZ82:BG82),            INDEX(AZ82:BG82,MATCH(BH82,$AZ$12:$BG$12,0))))))</f>
        <v>0</v>
      </c>
      <c r="BK82" s="408">
        <f t="shared" si="31"/>
        <v>0</v>
      </c>
      <c r="BL82" s="414">
        <f t="shared" si="32"/>
        <v>0</v>
      </c>
      <c r="BM82" s="408">
        <f t="shared" si="33"/>
        <v>0</v>
      </c>
    </row>
    <row r="83" spans="16:65">
      <c r="P83" s="779">
        <v>0</v>
      </c>
      <c r="Q83" s="780">
        <f t="shared" si="17"/>
        <v>0</v>
      </c>
      <c r="R83" s="776">
        <f>IF(P84,_xll.qDateYears(P83,P84,DCCfixed),0)</f>
        <v>0</v>
      </c>
      <c r="S83" s="553">
        <v>0</v>
      </c>
      <c r="T83" s="785"/>
      <c r="U83" s="409">
        <f t="shared" si="27"/>
        <v>0</v>
      </c>
      <c r="X83" s="363">
        <v>0</v>
      </c>
      <c r="Y83" s="775">
        <f t="shared" si="18"/>
        <v>0</v>
      </c>
      <c r="Z83" s="776">
        <f>IF(X84,_xll.qDateYears(X83,X84,DCCfloat),0)</f>
        <v>0</v>
      </c>
      <c r="AA83" s="553">
        <v>0</v>
      </c>
      <c r="AB83" s="789">
        <f>IF($X83=0,0,      _xll.qDateNext($X83,AB$12,"M",FRM&lt;&gt;"Calypso",CCY))</f>
        <v>0</v>
      </c>
      <c r="AC83" s="789">
        <f>IF($X83=0,0,      _xll.qDateNext($X83,AC$12,"M",FRM&lt;&gt;"Calypso",CCY))</f>
        <v>0</v>
      </c>
      <c r="AD83" s="789">
        <f>IF($X83=0,0,      _xll.qDateNext($X83,AD$12,"M",FRM&lt;&gt;"Calypso",CCY))</f>
        <v>0</v>
      </c>
      <c r="AE83" s="789">
        <f>IF($X83=0,0,      _xll.qDateNext($X83,AE$12,"M",FRM&lt;&gt;"Calypso",CCY))</f>
        <v>0</v>
      </c>
      <c r="AF83" s="789">
        <f>IF($X83=0,0,      _xll.qDateNext($X83,AF$12,"M",FRM&lt;&gt;"Calypso",CCY))</f>
        <v>0</v>
      </c>
      <c r="AG83" s="789">
        <f>IF($X83=0,0,      _xll.qDateNext($X83,AG$12,"M",FRM&lt;&gt;"Calypso",CCY))</f>
        <v>0</v>
      </c>
      <c r="AH83" s="789">
        <f>IF($X83=0,0,      _xll.qDateNext($X83,AH$12,"M",FRM&lt;&gt;"Calypso",CCY))</f>
        <v>0</v>
      </c>
      <c r="AI83" s="789">
        <f>IF($X83=0,0,      _xll.qDateNext($X83,AI$12,"M",FRM&lt;&gt;"Calypso",CCY))</f>
        <v>0</v>
      </c>
      <c r="AJ83" s="529" t="str">
        <v/>
      </c>
      <c r="AK83" s="529" t="str">
        <v/>
      </c>
      <c r="AL83" s="529" t="str">
        <v/>
      </c>
      <c r="AM83" s="529" t="str">
        <v/>
      </c>
      <c r="AN83" s="529" t="str">
        <v/>
      </c>
      <c r="AO83" s="529" t="str">
        <v/>
      </c>
      <c r="AP83" s="529" t="str">
        <v/>
      </c>
      <c r="AQ83" s="529" t="str">
        <v/>
      </c>
      <c r="AR83" s="529">
        <v>0</v>
      </c>
      <c r="AS83" s="529">
        <v>0</v>
      </c>
      <c r="AT83" s="529">
        <f t="shared" si="28"/>
        <v>0</v>
      </c>
      <c r="AU83" s="529">
        <v>0</v>
      </c>
      <c r="AV83" s="529">
        <f t="shared" si="29"/>
        <v>0</v>
      </c>
      <c r="AW83" s="529">
        <f t="shared" si="30"/>
        <v>0</v>
      </c>
      <c r="AX83" s="529">
        <v>0</v>
      </c>
      <c r="AY83" s="529">
        <v>0</v>
      </c>
      <c r="AZ83" s="761">
        <f t="shared" si="19"/>
        <v>0</v>
      </c>
      <c r="BA83" s="761">
        <f t="shared" si="20"/>
        <v>0</v>
      </c>
      <c r="BB83" s="761">
        <f t="shared" si="21"/>
        <v>0</v>
      </c>
      <c r="BC83" s="761">
        <f t="shared" si="22"/>
        <v>0</v>
      </c>
      <c r="BD83" s="761">
        <f t="shared" si="23"/>
        <v>0</v>
      </c>
      <c r="BE83" s="761">
        <f t="shared" si="24"/>
        <v>0</v>
      </c>
      <c r="BF83" s="761">
        <f t="shared" si="25"/>
        <v>0</v>
      </c>
      <c r="BG83" s="761">
        <f t="shared" si="26"/>
        <v>0</v>
      </c>
      <c r="BH83" s="777">
        <v>0</v>
      </c>
      <c r="BI83" s="755"/>
      <c r="BJ83" s="778">
        <f>IF(X84=0,0,           IF(ISNUMBER(BI83),BI83,               IF(ISTEXT(BI83),INDEX(AZ83:BG83,MATCH(BI83,$AZ$12:$BG$12,0)),             IF(BH83="INT",_xll.qInterp(X84,AB83:AI83,AZ83:BG83),            INDEX(AZ83:BG83,MATCH(BH83,$AZ$12:$BG$12,0))))))</f>
        <v>0</v>
      </c>
      <c r="BK83" s="408">
        <f t="shared" si="31"/>
        <v>0</v>
      </c>
      <c r="BL83" s="414">
        <f t="shared" si="32"/>
        <v>0</v>
      </c>
      <c r="BM83" s="408">
        <f t="shared" si="33"/>
        <v>0</v>
      </c>
    </row>
    <row r="84" spans="16:65">
      <c r="P84" s="779">
        <v>0</v>
      </c>
      <c r="Q84" s="780">
        <f t="shared" si="17"/>
        <v>0</v>
      </c>
      <c r="R84" s="776">
        <f>IF(P85,_xll.qDateYears(P84,P85,DCCfixed),0)</f>
        <v>0</v>
      </c>
      <c r="S84" s="553">
        <v>0</v>
      </c>
      <c r="T84" s="785"/>
      <c r="U84" s="409">
        <f t="shared" si="27"/>
        <v>0</v>
      </c>
      <c r="X84" s="363">
        <v>0</v>
      </c>
      <c r="Y84" s="775">
        <f t="shared" si="18"/>
        <v>0</v>
      </c>
      <c r="Z84" s="776">
        <f>IF(X85,_xll.qDateYears(X84,X85,DCCfloat),0)</f>
        <v>0</v>
      </c>
      <c r="AA84" s="553">
        <v>0</v>
      </c>
      <c r="AB84" s="789">
        <f>IF($X84=0,0,      _xll.qDateNext($X84,AB$12,"M",FRM&lt;&gt;"Calypso",CCY))</f>
        <v>0</v>
      </c>
      <c r="AC84" s="789">
        <f>IF($X84=0,0,      _xll.qDateNext($X84,AC$12,"M",FRM&lt;&gt;"Calypso",CCY))</f>
        <v>0</v>
      </c>
      <c r="AD84" s="789">
        <f>IF($X84=0,0,      _xll.qDateNext($X84,AD$12,"M",FRM&lt;&gt;"Calypso",CCY))</f>
        <v>0</v>
      </c>
      <c r="AE84" s="789">
        <f>IF($X84=0,0,      _xll.qDateNext($X84,AE$12,"M",FRM&lt;&gt;"Calypso",CCY))</f>
        <v>0</v>
      </c>
      <c r="AF84" s="789">
        <f>IF($X84=0,0,      _xll.qDateNext($X84,AF$12,"M",FRM&lt;&gt;"Calypso",CCY))</f>
        <v>0</v>
      </c>
      <c r="AG84" s="789">
        <f>IF($X84=0,0,      _xll.qDateNext($X84,AG$12,"M",FRM&lt;&gt;"Calypso",CCY))</f>
        <v>0</v>
      </c>
      <c r="AH84" s="789">
        <f>IF($X84=0,0,      _xll.qDateNext($X84,AH$12,"M",FRM&lt;&gt;"Calypso",CCY))</f>
        <v>0</v>
      </c>
      <c r="AI84" s="789">
        <f>IF($X84=0,0,      _xll.qDateNext($X84,AI$12,"M",FRM&lt;&gt;"Calypso",CCY))</f>
        <v>0</v>
      </c>
      <c r="AJ84" s="529" t="str">
        <v/>
      </c>
      <c r="AK84" s="529" t="str">
        <v/>
      </c>
      <c r="AL84" s="529" t="str">
        <v/>
      </c>
      <c r="AM84" s="529" t="str">
        <v/>
      </c>
      <c r="AN84" s="529" t="str">
        <v/>
      </c>
      <c r="AO84" s="529" t="str">
        <v/>
      </c>
      <c r="AP84" s="529" t="str">
        <v/>
      </c>
      <c r="AQ84" s="529" t="str">
        <v/>
      </c>
      <c r="AR84" s="529">
        <v>0</v>
      </c>
      <c r="AS84" s="529">
        <v>0</v>
      </c>
      <c r="AT84" s="529">
        <f t="shared" si="28"/>
        <v>0</v>
      </c>
      <c r="AU84" s="529">
        <v>0</v>
      </c>
      <c r="AV84" s="529">
        <f t="shared" si="29"/>
        <v>0</v>
      </c>
      <c r="AW84" s="529">
        <f t="shared" si="30"/>
        <v>0</v>
      </c>
      <c r="AX84" s="529">
        <v>0</v>
      </c>
      <c r="AY84" s="529">
        <v>0</v>
      </c>
      <c r="AZ84" s="761">
        <f t="shared" si="19"/>
        <v>0</v>
      </c>
      <c r="BA84" s="761">
        <f t="shared" si="20"/>
        <v>0</v>
      </c>
      <c r="BB84" s="761">
        <f t="shared" si="21"/>
        <v>0</v>
      </c>
      <c r="BC84" s="761">
        <f t="shared" si="22"/>
        <v>0</v>
      </c>
      <c r="BD84" s="761">
        <f t="shared" si="23"/>
        <v>0</v>
      </c>
      <c r="BE84" s="761">
        <f t="shared" si="24"/>
        <v>0</v>
      </c>
      <c r="BF84" s="761">
        <f t="shared" si="25"/>
        <v>0</v>
      </c>
      <c r="BG84" s="761">
        <f t="shared" si="26"/>
        <v>0</v>
      </c>
      <c r="BH84" s="777">
        <v>0</v>
      </c>
      <c r="BI84" s="755"/>
      <c r="BJ84" s="778">
        <f>IF(X85=0,0,           IF(ISNUMBER(BI84),BI84,               IF(ISTEXT(BI84),INDEX(AZ84:BG84,MATCH(BI84,$AZ$12:$BG$12,0)),             IF(BH84="INT",_xll.qInterp(X85,AB84:AI84,AZ84:BG84),            INDEX(AZ84:BG84,MATCH(BH84,$AZ$12:$BG$12,0))))))</f>
        <v>0</v>
      </c>
      <c r="BK84" s="408">
        <f t="shared" si="31"/>
        <v>0</v>
      </c>
      <c r="BL84" s="414">
        <f t="shared" si="32"/>
        <v>0</v>
      </c>
      <c r="BM84" s="408">
        <f t="shared" si="33"/>
        <v>0</v>
      </c>
    </row>
    <row r="85" spans="16:65">
      <c r="P85" s="779">
        <v>0</v>
      </c>
      <c r="Q85" s="780">
        <f t="shared" si="17"/>
        <v>0</v>
      </c>
      <c r="R85" s="776">
        <f>IF(P86,_xll.qDateYears(P85,P86,DCCfixed),0)</f>
        <v>0</v>
      </c>
      <c r="S85" s="553">
        <v>0</v>
      </c>
      <c r="T85" s="785"/>
      <c r="U85" s="409">
        <f t="shared" si="27"/>
        <v>0</v>
      </c>
      <c r="X85" s="363">
        <v>0</v>
      </c>
      <c r="Y85" s="775">
        <f t="shared" si="18"/>
        <v>0</v>
      </c>
      <c r="Z85" s="776">
        <f>IF(X86,_xll.qDateYears(X85,X86,DCCfloat),0)</f>
        <v>0</v>
      </c>
      <c r="AA85" s="553">
        <v>0</v>
      </c>
      <c r="AB85" s="789">
        <f>IF($X85=0,0,      _xll.qDateNext($X85,AB$12,"M",FRM&lt;&gt;"Calypso",CCY))</f>
        <v>0</v>
      </c>
      <c r="AC85" s="789">
        <f>IF($X85=0,0,      _xll.qDateNext($X85,AC$12,"M",FRM&lt;&gt;"Calypso",CCY))</f>
        <v>0</v>
      </c>
      <c r="AD85" s="789">
        <f>IF($X85=0,0,      _xll.qDateNext($X85,AD$12,"M",FRM&lt;&gt;"Calypso",CCY))</f>
        <v>0</v>
      </c>
      <c r="AE85" s="789">
        <f>IF($X85=0,0,      _xll.qDateNext($X85,AE$12,"M",FRM&lt;&gt;"Calypso",CCY))</f>
        <v>0</v>
      </c>
      <c r="AF85" s="789">
        <f>IF($X85=0,0,      _xll.qDateNext($X85,AF$12,"M",FRM&lt;&gt;"Calypso",CCY))</f>
        <v>0</v>
      </c>
      <c r="AG85" s="789">
        <f>IF($X85=0,0,      _xll.qDateNext($X85,AG$12,"M",FRM&lt;&gt;"Calypso",CCY))</f>
        <v>0</v>
      </c>
      <c r="AH85" s="789">
        <f>IF($X85=0,0,      _xll.qDateNext($X85,AH$12,"M",FRM&lt;&gt;"Calypso",CCY))</f>
        <v>0</v>
      </c>
      <c r="AI85" s="789">
        <f>IF($X85=0,0,      _xll.qDateNext($X85,AI$12,"M",FRM&lt;&gt;"Calypso",CCY))</f>
        <v>0</v>
      </c>
      <c r="AJ85" s="529" t="str">
        <v/>
      </c>
      <c r="AK85" s="529" t="str">
        <v/>
      </c>
      <c r="AL85" s="529" t="str">
        <v/>
      </c>
      <c r="AM85" s="529" t="str">
        <v/>
      </c>
      <c r="AN85" s="529" t="str">
        <v/>
      </c>
      <c r="AO85" s="529" t="str">
        <v/>
      </c>
      <c r="AP85" s="529" t="str">
        <v/>
      </c>
      <c r="AQ85" s="529" t="str">
        <v/>
      </c>
      <c r="AR85" s="529">
        <v>0</v>
      </c>
      <c r="AS85" s="529">
        <v>0</v>
      </c>
      <c r="AT85" s="529">
        <f t="shared" si="28"/>
        <v>0</v>
      </c>
      <c r="AU85" s="529">
        <v>0</v>
      </c>
      <c r="AV85" s="529">
        <f t="shared" si="29"/>
        <v>0</v>
      </c>
      <c r="AW85" s="529">
        <f t="shared" si="30"/>
        <v>0</v>
      </c>
      <c r="AX85" s="529">
        <v>0</v>
      </c>
      <c r="AY85" s="529">
        <v>0</v>
      </c>
      <c r="AZ85" s="761">
        <f t="shared" si="19"/>
        <v>0</v>
      </c>
      <c r="BA85" s="761">
        <f t="shared" si="20"/>
        <v>0</v>
      </c>
      <c r="BB85" s="761">
        <f t="shared" si="21"/>
        <v>0</v>
      </c>
      <c r="BC85" s="761">
        <f t="shared" si="22"/>
        <v>0</v>
      </c>
      <c r="BD85" s="761">
        <f t="shared" si="23"/>
        <v>0</v>
      </c>
      <c r="BE85" s="761">
        <f t="shared" si="24"/>
        <v>0</v>
      </c>
      <c r="BF85" s="761">
        <f t="shared" si="25"/>
        <v>0</v>
      </c>
      <c r="BG85" s="761">
        <f t="shared" si="26"/>
        <v>0</v>
      </c>
      <c r="BH85" s="777">
        <v>0</v>
      </c>
      <c r="BI85" s="755"/>
      <c r="BJ85" s="778">
        <f>IF(X86=0,0,           IF(ISNUMBER(BI85),BI85,               IF(ISTEXT(BI85),INDEX(AZ85:BG85,MATCH(BI85,$AZ$12:$BG$12,0)),             IF(BH85="INT",_xll.qInterp(X86,AB85:AI85,AZ85:BG85),            INDEX(AZ85:BG85,MATCH(BH85,$AZ$12:$BG$12,0))))))</f>
        <v>0</v>
      </c>
      <c r="BK85" s="408">
        <f t="shared" si="31"/>
        <v>0</v>
      </c>
      <c r="BL85" s="414">
        <f t="shared" si="32"/>
        <v>0</v>
      </c>
      <c r="BM85" s="408">
        <f t="shared" si="33"/>
        <v>0</v>
      </c>
    </row>
    <row r="86" spans="16:65">
      <c r="P86" s="779">
        <v>0</v>
      </c>
      <c r="Q86" s="780">
        <f t="shared" si="17"/>
        <v>0</v>
      </c>
      <c r="R86" s="776">
        <f>IF(P87,_xll.qDateYears(P86,P87,DCCfixed),0)</f>
        <v>0</v>
      </c>
      <c r="S86" s="553">
        <v>0</v>
      </c>
      <c r="T86" s="785"/>
      <c r="U86" s="409">
        <f t="shared" si="27"/>
        <v>0</v>
      </c>
      <c r="X86" s="363">
        <v>0</v>
      </c>
      <c r="Y86" s="775">
        <f t="shared" si="18"/>
        <v>0</v>
      </c>
      <c r="Z86" s="776">
        <f>IF(X87,_xll.qDateYears(X86,X87,DCCfloat),0)</f>
        <v>0</v>
      </c>
      <c r="AA86" s="553">
        <v>0</v>
      </c>
      <c r="AB86" s="789">
        <f>IF($X86=0,0,      _xll.qDateNext($X86,AB$12,"M",FRM&lt;&gt;"Calypso",CCY))</f>
        <v>0</v>
      </c>
      <c r="AC86" s="789">
        <f>IF($X86=0,0,      _xll.qDateNext($X86,AC$12,"M",FRM&lt;&gt;"Calypso",CCY))</f>
        <v>0</v>
      </c>
      <c r="AD86" s="789">
        <f>IF($X86=0,0,      _xll.qDateNext($X86,AD$12,"M",FRM&lt;&gt;"Calypso",CCY))</f>
        <v>0</v>
      </c>
      <c r="AE86" s="789">
        <f>IF($X86=0,0,      _xll.qDateNext($X86,AE$12,"M",FRM&lt;&gt;"Calypso",CCY))</f>
        <v>0</v>
      </c>
      <c r="AF86" s="789">
        <f>IF($X86=0,0,      _xll.qDateNext($X86,AF$12,"M",FRM&lt;&gt;"Calypso",CCY))</f>
        <v>0</v>
      </c>
      <c r="AG86" s="789">
        <f>IF($X86=0,0,      _xll.qDateNext($X86,AG$12,"M",FRM&lt;&gt;"Calypso",CCY))</f>
        <v>0</v>
      </c>
      <c r="AH86" s="789">
        <f>IF($X86=0,0,      _xll.qDateNext($X86,AH$12,"M",FRM&lt;&gt;"Calypso",CCY))</f>
        <v>0</v>
      </c>
      <c r="AI86" s="789">
        <f>IF($X86=0,0,      _xll.qDateNext($X86,AI$12,"M",FRM&lt;&gt;"Calypso",CCY))</f>
        <v>0</v>
      </c>
      <c r="AJ86" s="529" t="str">
        <v/>
      </c>
      <c r="AK86" s="529" t="str">
        <v/>
      </c>
      <c r="AL86" s="529" t="str">
        <v/>
      </c>
      <c r="AM86" s="529" t="str">
        <v/>
      </c>
      <c r="AN86" s="529" t="str">
        <v/>
      </c>
      <c r="AO86" s="529" t="str">
        <v/>
      </c>
      <c r="AP86" s="529" t="str">
        <v/>
      </c>
      <c r="AQ86" s="529" t="str">
        <v/>
      </c>
      <c r="AR86" s="529">
        <v>0</v>
      </c>
      <c r="AS86" s="529">
        <v>0</v>
      </c>
      <c r="AT86" s="529">
        <f t="shared" si="28"/>
        <v>0</v>
      </c>
      <c r="AU86" s="529">
        <v>0</v>
      </c>
      <c r="AV86" s="529">
        <f t="shared" si="29"/>
        <v>0</v>
      </c>
      <c r="AW86" s="529">
        <f t="shared" si="30"/>
        <v>0</v>
      </c>
      <c r="AX86" s="529">
        <v>0</v>
      </c>
      <c r="AY86" s="529">
        <v>0</v>
      </c>
      <c r="AZ86" s="761">
        <f t="shared" si="19"/>
        <v>0</v>
      </c>
      <c r="BA86" s="761">
        <f t="shared" si="20"/>
        <v>0</v>
      </c>
      <c r="BB86" s="761">
        <f t="shared" si="21"/>
        <v>0</v>
      </c>
      <c r="BC86" s="761">
        <f t="shared" si="22"/>
        <v>0</v>
      </c>
      <c r="BD86" s="761">
        <f t="shared" si="23"/>
        <v>0</v>
      </c>
      <c r="BE86" s="761">
        <f t="shared" si="24"/>
        <v>0</v>
      </c>
      <c r="BF86" s="761">
        <f t="shared" si="25"/>
        <v>0</v>
      </c>
      <c r="BG86" s="761">
        <f t="shared" si="26"/>
        <v>0</v>
      </c>
      <c r="BH86" s="777">
        <v>0</v>
      </c>
      <c r="BI86" s="755"/>
      <c r="BJ86" s="778">
        <f>IF(X87=0,0,           IF(ISNUMBER(BI86),BI86,               IF(ISTEXT(BI86),INDEX(AZ86:BG86,MATCH(BI86,$AZ$12:$BG$12,0)),             IF(BH86="INT",_xll.qInterp(X87,AB86:AI86,AZ86:BG86),            INDEX(AZ86:BG86,MATCH(BH86,$AZ$12:$BG$12,0))))))</f>
        <v>0</v>
      </c>
      <c r="BK86" s="408">
        <f t="shared" si="31"/>
        <v>0</v>
      </c>
      <c r="BL86" s="414">
        <f t="shared" si="32"/>
        <v>0</v>
      </c>
      <c r="BM86" s="408">
        <f t="shared" si="33"/>
        <v>0</v>
      </c>
    </row>
    <row r="87" spans="16:65">
      <c r="P87" s="779">
        <v>0</v>
      </c>
      <c r="Q87" s="780">
        <f t="shared" si="17"/>
        <v>0</v>
      </c>
      <c r="R87" s="776">
        <f>IF(P88,_xll.qDateYears(P87,P88,DCCfixed),0)</f>
        <v>0</v>
      </c>
      <c r="S87" s="553">
        <v>0</v>
      </c>
      <c r="T87" s="785"/>
      <c r="U87" s="409">
        <f t="shared" si="27"/>
        <v>0</v>
      </c>
      <c r="X87" s="363">
        <v>0</v>
      </c>
      <c r="Y87" s="775">
        <f t="shared" si="18"/>
        <v>0</v>
      </c>
      <c r="Z87" s="776">
        <f>IF(X88,_xll.qDateYears(X87,X88,DCCfloat),0)</f>
        <v>0</v>
      </c>
      <c r="AA87" s="553">
        <v>0</v>
      </c>
      <c r="AB87" s="789">
        <f>IF($X87=0,0,      _xll.qDateNext($X87,AB$12,"M",FRM&lt;&gt;"Calypso",CCY))</f>
        <v>0</v>
      </c>
      <c r="AC87" s="789">
        <f>IF($X87=0,0,      _xll.qDateNext($X87,AC$12,"M",FRM&lt;&gt;"Calypso",CCY))</f>
        <v>0</v>
      </c>
      <c r="AD87" s="789">
        <f>IF($X87=0,0,      _xll.qDateNext($X87,AD$12,"M",FRM&lt;&gt;"Calypso",CCY))</f>
        <v>0</v>
      </c>
      <c r="AE87" s="789">
        <f>IF($X87=0,0,      _xll.qDateNext($X87,AE$12,"M",FRM&lt;&gt;"Calypso",CCY))</f>
        <v>0</v>
      </c>
      <c r="AF87" s="789">
        <f>IF($X87=0,0,      _xll.qDateNext($X87,AF$12,"M",FRM&lt;&gt;"Calypso",CCY))</f>
        <v>0</v>
      </c>
      <c r="AG87" s="789">
        <f>IF($X87=0,0,      _xll.qDateNext($X87,AG$12,"M",FRM&lt;&gt;"Calypso",CCY))</f>
        <v>0</v>
      </c>
      <c r="AH87" s="789">
        <f>IF($X87=0,0,      _xll.qDateNext($X87,AH$12,"M",FRM&lt;&gt;"Calypso",CCY))</f>
        <v>0</v>
      </c>
      <c r="AI87" s="789">
        <f>IF($X87=0,0,      _xll.qDateNext($X87,AI$12,"M",FRM&lt;&gt;"Calypso",CCY))</f>
        <v>0</v>
      </c>
      <c r="AJ87" s="529" t="str">
        <v/>
      </c>
      <c r="AK87" s="529" t="str">
        <v/>
      </c>
      <c r="AL87" s="529" t="str">
        <v/>
      </c>
      <c r="AM87" s="529" t="str">
        <v/>
      </c>
      <c r="AN87" s="529" t="str">
        <v/>
      </c>
      <c r="AO87" s="529" t="str">
        <v/>
      </c>
      <c r="AP87" s="529" t="str">
        <v/>
      </c>
      <c r="AQ87" s="529" t="str">
        <v/>
      </c>
      <c r="AR87" s="529">
        <v>0</v>
      </c>
      <c r="AS87" s="529">
        <v>0</v>
      </c>
      <c r="AT87" s="529">
        <f t="shared" si="28"/>
        <v>0</v>
      </c>
      <c r="AU87" s="529">
        <v>0</v>
      </c>
      <c r="AV87" s="529">
        <f t="shared" si="29"/>
        <v>0</v>
      </c>
      <c r="AW87" s="529">
        <f t="shared" si="30"/>
        <v>0</v>
      </c>
      <c r="AX87" s="529">
        <v>0</v>
      </c>
      <c r="AY87" s="529">
        <v>0</v>
      </c>
      <c r="AZ87" s="761">
        <f t="shared" si="19"/>
        <v>0</v>
      </c>
      <c r="BA87" s="761">
        <f t="shared" si="20"/>
        <v>0</v>
      </c>
      <c r="BB87" s="761">
        <f t="shared" si="21"/>
        <v>0</v>
      </c>
      <c r="BC87" s="761">
        <f t="shared" si="22"/>
        <v>0</v>
      </c>
      <c r="BD87" s="761">
        <f t="shared" si="23"/>
        <v>0</v>
      </c>
      <c r="BE87" s="761">
        <f t="shared" si="24"/>
        <v>0</v>
      </c>
      <c r="BF87" s="761">
        <f t="shared" si="25"/>
        <v>0</v>
      </c>
      <c r="BG87" s="761">
        <f t="shared" si="26"/>
        <v>0</v>
      </c>
      <c r="BH87" s="777">
        <v>0</v>
      </c>
      <c r="BI87" s="755"/>
      <c r="BJ87" s="778">
        <f>IF(X88=0,0,           IF(ISNUMBER(BI87),BI87,               IF(ISTEXT(BI87),INDEX(AZ87:BG87,MATCH(BI87,$AZ$12:$BG$12,0)),             IF(BH87="INT",_xll.qInterp(X88,AB87:AI87,AZ87:BG87),            INDEX(AZ87:BG87,MATCH(BH87,$AZ$12:$BG$12,0))))))</f>
        <v>0</v>
      </c>
      <c r="BK87" s="408">
        <f t="shared" si="31"/>
        <v>0</v>
      </c>
      <c r="BL87" s="414">
        <f t="shared" si="32"/>
        <v>0</v>
      </c>
      <c r="BM87" s="408">
        <f t="shared" si="33"/>
        <v>0</v>
      </c>
    </row>
    <row r="88" spans="16:65">
      <c r="P88" s="779">
        <v>0</v>
      </c>
      <c r="Q88" s="780">
        <f t="shared" si="17"/>
        <v>0</v>
      </c>
      <c r="R88" s="776">
        <f>IF(P89,_xll.qDateYears(P88,P89,DCCfixed),0)</f>
        <v>0</v>
      </c>
      <c r="S88" s="553">
        <v>0</v>
      </c>
      <c r="T88" s="785"/>
      <c r="U88" s="409">
        <f t="shared" si="27"/>
        <v>0</v>
      </c>
      <c r="X88" s="363">
        <v>0</v>
      </c>
      <c r="Y88" s="775">
        <f t="shared" si="18"/>
        <v>0</v>
      </c>
      <c r="Z88" s="776">
        <f>IF(X89,_xll.qDateYears(X88,X89,DCCfloat),0)</f>
        <v>0</v>
      </c>
      <c r="AA88" s="553">
        <v>0</v>
      </c>
      <c r="AB88" s="789">
        <f>IF($X88=0,0,      _xll.qDateNext($X88,AB$12,"M",FRM&lt;&gt;"Calypso",CCY))</f>
        <v>0</v>
      </c>
      <c r="AC88" s="789">
        <f>IF($X88=0,0,      _xll.qDateNext($X88,AC$12,"M",FRM&lt;&gt;"Calypso",CCY))</f>
        <v>0</v>
      </c>
      <c r="AD88" s="789">
        <f>IF($X88=0,0,      _xll.qDateNext($X88,AD$12,"M",FRM&lt;&gt;"Calypso",CCY))</f>
        <v>0</v>
      </c>
      <c r="AE88" s="789">
        <f>IF($X88=0,0,      _xll.qDateNext($X88,AE$12,"M",FRM&lt;&gt;"Calypso",CCY))</f>
        <v>0</v>
      </c>
      <c r="AF88" s="789">
        <f>IF($X88=0,0,      _xll.qDateNext($X88,AF$12,"M",FRM&lt;&gt;"Calypso",CCY))</f>
        <v>0</v>
      </c>
      <c r="AG88" s="789">
        <f>IF($X88=0,0,      _xll.qDateNext($X88,AG$12,"M",FRM&lt;&gt;"Calypso",CCY))</f>
        <v>0</v>
      </c>
      <c r="AH88" s="789">
        <f>IF($X88=0,0,      _xll.qDateNext($X88,AH$12,"M",FRM&lt;&gt;"Calypso",CCY))</f>
        <v>0</v>
      </c>
      <c r="AI88" s="789">
        <f>IF($X88=0,0,      _xll.qDateNext($X88,AI$12,"M",FRM&lt;&gt;"Calypso",CCY))</f>
        <v>0</v>
      </c>
      <c r="AJ88" s="529" t="str">
        <v/>
      </c>
      <c r="AK88" s="529" t="str">
        <v/>
      </c>
      <c r="AL88" s="529" t="str">
        <v/>
      </c>
      <c r="AM88" s="529" t="str">
        <v/>
      </c>
      <c r="AN88" s="529" t="str">
        <v/>
      </c>
      <c r="AO88" s="529" t="str">
        <v/>
      </c>
      <c r="AP88" s="529" t="str">
        <v/>
      </c>
      <c r="AQ88" s="529" t="str">
        <v/>
      </c>
      <c r="AR88" s="529">
        <v>0</v>
      </c>
      <c r="AS88" s="529">
        <v>0</v>
      </c>
      <c r="AT88" s="529">
        <f t="shared" si="28"/>
        <v>0</v>
      </c>
      <c r="AU88" s="529">
        <v>0</v>
      </c>
      <c r="AV88" s="529">
        <f t="shared" si="29"/>
        <v>0</v>
      </c>
      <c r="AW88" s="529">
        <f t="shared" si="30"/>
        <v>0</v>
      </c>
      <c r="AX88" s="529">
        <v>0</v>
      </c>
      <c r="AY88" s="529">
        <v>0</v>
      </c>
      <c r="AZ88" s="761">
        <f t="shared" si="19"/>
        <v>0</v>
      </c>
      <c r="BA88" s="761">
        <f t="shared" si="20"/>
        <v>0</v>
      </c>
      <c r="BB88" s="761">
        <f t="shared" si="21"/>
        <v>0</v>
      </c>
      <c r="BC88" s="761">
        <f t="shared" si="22"/>
        <v>0</v>
      </c>
      <c r="BD88" s="761">
        <f t="shared" si="23"/>
        <v>0</v>
      </c>
      <c r="BE88" s="761">
        <f t="shared" si="24"/>
        <v>0</v>
      </c>
      <c r="BF88" s="761">
        <f t="shared" si="25"/>
        <v>0</v>
      </c>
      <c r="BG88" s="761">
        <f t="shared" si="26"/>
        <v>0</v>
      </c>
      <c r="BH88" s="777">
        <v>0</v>
      </c>
      <c r="BI88" s="755"/>
      <c r="BJ88" s="778">
        <f>IF(X89=0,0,           IF(ISNUMBER(BI88),BI88,               IF(ISTEXT(BI88),INDEX(AZ88:BG88,MATCH(BI88,$AZ$12:$BG$12,0)),             IF(BH88="INT",_xll.qInterp(X89,AB88:AI88,AZ88:BG88),            INDEX(AZ88:BG88,MATCH(BH88,$AZ$12:$BG$12,0))))))</f>
        <v>0</v>
      </c>
      <c r="BK88" s="408">
        <f t="shared" si="31"/>
        <v>0</v>
      </c>
      <c r="BL88" s="414">
        <f t="shared" si="32"/>
        <v>0</v>
      </c>
      <c r="BM88" s="408">
        <f t="shared" si="33"/>
        <v>0</v>
      </c>
    </row>
    <row r="89" spans="16:65">
      <c r="P89" s="779">
        <v>0</v>
      </c>
      <c r="Q89" s="780">
        <f t="shared" si="17"/>
        <v>0</v>
      </c>
      <c r="R89" s="776">
        <f>IF(P90,_xll.qDateYears(P89,P90,DCCfixed),0)</f>
        <v>0</v>
      </c>
      <c r="S89" s="553">
        <v>0</v>
      </c>
      <c r="T89" s="785"/>
      <c r="U89" s="409">
        <f t="shared" si="27"/>
        <v>0</v>
      </c>
      <c r="X89" s="363">
        <v>0</v>
      </c>
      <c r="Y89" s="775">
        <f t="shared" si="18"/>
        <v>0</v>
      </c>
      <c r="Z89" s="776">
        <f>IF(X90,_xll.qDateYears(X89,X90,DCCfloat),0)</f>
        <v>0</v>
      </c>
      <c r="AA89" s="553">
        <v>0</v>
      </c>
      <c r="AB89" s="789">
        <f>IF($X89=0,0,      _xll.qDateNext($X89,AB$12,"M",FRM&lt;&gt;"Calypso",CCY))</f>
        <v>0</v>
      </c>
      <c r="AC89" s="789">
        <f>IF($X89=0,0,      _xll.qDateNext($X89,AC$12,"M",FRM&lt;&gt;"Calypso",CCY))</f>
        <v>0</v>
      </c>
      <c r="AD89" s="789">
        <f>IF($X89=0,0,      _xll.qDateNext($X89,AD$12,"M",FRM&lt;&gt;"Calypso",CCY))</f>
        <v>0</v>
      </c>
      <c r="AE89" s="789">
        <f>IF($X89=0,0,      _xll.qDateNext($X89,AE$12,"M",FRM&lt;&gt;"Calypso",CCY))</f>
        <v>0</v>
      </c>
      <c r="AF89" s="789">
        <f>IF($X89=0,0,      _xll.qDateNext($X89,AF$12,"M",FRM&lt;&gt;"Calypso",CCY))</f>
        <v>0</v>
      </c>
      <c r="AG89" s="789">
        <f>IF($X89=0,0,      _xll.qDateNext($X89,AG$12,"M",FRM&lt;&gt;"Calypso",CCY))</f>
        <v>0</v>
      </c>
      <c r="AH89" s="789">
        <f>IF($X89=0,0,      _xll.qDateNext($X89,AH$12,"M",FRM&lt;&gt;"Calypso",CCY))</f>
        <v>0</v>
      </c>
      <c r="AI89" s="789">
        <f>IF($X89=0,0,      _xll.qDateNext($X89,AI$12,"M",FRM&lt;&gt;"Calypso",CCY))</f>
        <v>0</v>
      </c>
      <c r="AJ89" s="529" t="str">
        <v/>
      </c>
      <c r="AK89" s="529" t="str">
        <v/>
      </c>
      <c r="AL89" s="529" t="str">
        <v/>
      </c>
      <c r="AM89" s="529" t="str">
        <v/>
      </c>
      <c r="AN89" s="529" t="str">
        <v/>
      </c>
      <c r="AO89" s="529" t="str">
        <v/>
      </c>
      <c r="AP89" s="529" t="str">
        <v/>
      </c>
      <c r="AQ89" s="529" t="str">
        <v/>
      </c>
      <c r="AR89" s="529">
        <v>0</v>
      </c>
      <c r="AS89" s="529">
        <v>0</v>
      </c>
      <c r="AT89" s="529">
        <f t="shared" si="28"/>
        <v>0</v>
      </c>
      <c r="AU89" s="529">
        <v>0</v>
      </c>
      <c r="AV89" s="529">
        <f t="shared" si="29"/>
        <v>0</v>
      </c>
      <c r="AW89" s="529">
        <f t="shared" si="30"/>
        <v>0</v>
      </c>
      <c r="AX89" s="529">
        <v>0</v>
      </c>
      <c r="AY89" s="529">
        <v>0</v>
      </c>
      <c r="AZ89" s="761">
        <f t="shared" si="19"/>
        <v>0</v>
      </c>
      <c r="BA89" s="761">
        <f t="shared" si="20"/>
        <v>0</v>
      </c>
      <c r="BB89" s="761">
        <f t="shared" si="21"/>
        <v>0</v>
      </c>
      <c r="BC89" s="761">
        <f t="shared" si="22"/>
        <v>0</v>
      </c>
      <c r="BD89" s="761">
        <f t="shared" si="23"/>
        <v>0</v>
      </c>
      <c r="BE89" s="761">
        <f t="shared" si="24"/>
        <v>0</v>
      </c>
      <c r="BF89" s="761">
        <f t="shared" si="25"/>
        <v>0</v>
      </c>
      <c r="BG89" s="761">
        <f t="shared" si="26"/>
        <v>0</v>
      </c>
      <c r="BH89" s="777">
        <v>0</v>
      </c>
      <c r="BI89" s="755"/>
      <c r="BJ89" s="778">
        <f>IF(X90=0,0,           IF(ISNUMBER(BI89),BI89,               IF(ISTEXT(BI89),INDEX(AZ89:BG89,MATCH(BI89,$AZ$12:$BG$12,0)),             IF(BH89="INT",_xll.qInterp(X90,AB89:AI89,AZ89:BG89),            INDEX(AZ89:BG89,MATCH(BH89,$AZ$12:$BG$12,0))))))</f>
        <v>0</v>
      </c>
      <c r="BK89" s="408">
        <f t="shared" si="31"/>
        <v>0</v>
      </c>
      <c r="BL89" s="414">
        <f t="shared" si="32"/>
        <v>0</v>
      </c>
      <c r="BM89" s="408">
        <f t="shared" si="33"/>
        <v>0</v>
      </c>
    </row>
    <row r="90" spans="16:65">
      <c r="P90" s="779">
        <v>0</v>
      </c>
      <c r="Q90" s="780">
        <f t="shared" si="17"/>
        <v>0</v>
      </c>
      <c r="R90" s="776">
        <f>IF(P91,_xll.qDateYears(P90,P91,DCCfixed),0)</f>
        <v>0</v>
      </c>
      <c r="S90" s="553">
        <v>0</v>
      </c>
      <c r="T90" s="785"/>
      <c r="U90" s="409">
        <f t="shared" si="27"/>
        <v>0</v>
      </c>
      <c r="X90" s="363">
        <v>0</v>
      </c>
      <c r="Y90" s="775">
        <f t="shared" si="18"/>
        <v>0</v>
      </c>
      <c r="Z90" s="776">
        <f>IF(X91,_xll.qDateYears(X90,X91,DCCfloat),0)</f>
        <v>0</v>
      </c>
      <c r="AA90" s="553">
        <v>0</v>
      </c>
      <c r="AB90" s="789">
        <f>IF($X90=0,0,      _xll.qDateNext($X90,AB$12,"M",FRM&lt;&gt;"Calypso",CCY))</f>
        <v>0</v>
      </c>
      <c r="AC90" s="789">
        <f>IF($X90=0,0,      _xll.qDateNext($X90,AC$12,"M",FRM&lt;&gt;"Calypso",CCY))</f>
        <v>0</v>
      </c>
      <c r="AD90" s="789">
        <f>IF($X90=0,0,      _xll.qDateNext($X90,AD$12,"M",FRM&lt;&gt;"Calypso",CCY))</f>
        <v>0</v>
      </c>
      <c r="AE90" s="789">
        <f>IF($X90=0,0,      _xll.qDateNext($X90,AE$12,"M",FRM&lt;&gt;"Calypso",CCY))</f>
        <v>0</v>
      </c>
      <c r="AF90" s="789">
        <f>IF($X90=0,0,      _xll.qDateNext($X90,AF$12,"M",FRM&lt;&gt;"Calypso",CCY))</f>
        <v>0</v>
      </c>
      <c r="AG90" s="789">
        <f>IF($X90=0,0,      _xll.qDateNext($X90,AG$12,"M",FRM&lt;&gt;"Calypso",CCY))</f>
        <v>0</v>
      </c>
      <c r="AH90" s="789">
        <f>IF($X90=0,0,      _xll.qDateNext($X90,AH$12,"M",FRM&lt;&gt;"Calypso",CCY))</f>
        <v>0</v>
      </c>
      <c r="AI90" s="789">
        <f>IF($X90=0,0,      _xll.qDateNext($X90,AI$12,"M",FRM&lt;&gt;"Calypso",CCY))</f>
        <v>0</v>
      </c>
      <c r="AJ90" s="529" t="str">
        <v/>
      </c>
      <c r="AK90" s="529" t="str">
        <v/>
      </c>
      <c r="AL90" s="529" t="str">
        <v/>
      </c>
      <c r="AM90" s="529" t="str">
        <v/>
      </c>
      <c r="AN90" s="529" t="str">
        <v/>
      </c>
      <c r="AO90" s="529" t="str">
        <v/>
      </c>
      <c r="AP90" s="529" t="str">
        <v/>
      </c>
      <c r="AQ90" s="529" t="str">
        <v/>
      </c>
      <c r="AR90" s="529">
        <v>0</v>
      </c>
      <c r="AS90" s="529">
        <v>0</v>
      </c>
      <c r="AT90" s="529">
        <f t="shared" si="28"/>
        <v>0</v>
      </c>
      <c r="AU90" s="529">
        <v>0</v>
      </c>
      <c r="AV90" s="529">
        <f t="shared" si="29"/>
        <v>0</v>
      </c>
      <c r="AW90" s="529">
        <f t="shared" si="30"/>
        <v>0</v>
      </c>
      <c r="AX90" s="529">
        <v>0</v>
      </c>
      <c r="AY90" s="529">
        <v>0</v>
      </c>
      <c r="AZ90" s="761">
        <f t="shared" si="19"/>
        <v>0</v>
      </c>
      <c r="BA90" s="761">
        <f t="shared" si="20"/>
        <v>0</v>
      </c>
      <c r="BB90" s="761">
        <f t="shared" si="21"/>
        <v>0</v>
      </c>
      <c r="BC90" s="761">
        <f t="shared" si="22"/>
        <v>0</v>
      </c>
      <c r="BD90" s="761">
        <f t="shared" si="23"/>
        <v>0</v>
      </c>
      <c r="BE90" s="761">
        <f t="shared" si="24"/>
        <v>0</v>
      </c>
      <c r="BF90" s="761">
        <f t="shared" si="25"/>
        <v>0</v>
      </c>
      <c r="BG90" s="761">
        <f t="shared" si="26"/>
        <v>0</v>
      </c>
      <c r="BH90" s="777">
        <v>0</v>
      </c>
      <c r="BI90" s="755"/>
      <c r="BJ90" s="778">
        <f>IF(X91=0,0,           IF(ISNUMBER(BI90),BI90,               IF(ISTEXT(BI90),INDEX(AZ90:BG90,MATCH(BI90,$AZ$12:$BG$12,0)),             IF(BH90="INT",_xll.qInterp(X91,AB90:AI90,AZ90:BG90),            INDEX(AZ90:BG90,MATCH(BH90,$AZ$12:$BG$12,0))))))</f>
        <v>0</v>
      </c>
      <c r="BK90" s="408">
        <f t="shared" si="31"/>
        <v>0</v>
      </c>
      <c r="BL90" s="414">
        <f t="shared" si="32"/>
        <v>0</v>
      </c>
      <c r="BM90" s="408">
        <f t="shared" si="33"/>
        <v>0</v>
      </c>
    </row>
    <row r="91" spans="16:65">
      <c r="P91" s="779">
        <v>0</v>
      </c>
      <c r="Q91" s="780">
        <f t="shared" si="17"/>
        <v>0</v>
      </c>
      <c r="R91" s="776">
        <f>IF(P92,_xll.qDateYears(P91,P92,DCCfixed),0)</f>
        <v>0</v>
      </c>
      <c r="S91" s="553">
        <v>0</v>
      </c>
      <c r="T91" s="785"/>
      <c r="U91" s="409">
        <f t="shared" si="27"/>
        <v>0</v>
      </c>
      <c r="X91" s="363">
        <v>0</v>
      </c>
      <c r="Y91" s="775">
        <f t="shared" si="18"/>
        <v>0</v>
      </c>
      <c r="Z91" s="776">
        <f>IF(X92,_xll.qDateYears(X91,X92,DCCfloat),0)</f>
        <v>0</v>
      </c>
      <c r="AA91" s="553">
        <v>0</v>
      </c>
      <c r="AB91" s="789">
        <f>IF($X91=0,0,      _xll.qDateNext($X91,AB$12,"M",FRM&lt;&gt;"Calypso",CCY))</f>
        <v>0</v>
      </c>
      <c r="AC91" s="789">
        <f>IF($X91=0,0,      _xll.qDateNext($X91,AC$12,"M",FRM&lt;&gt;"Calypso",CCY))</f>
        <v>0</v>
      </c>
      <c r="AD91" s="789">
        <f>IF($X91=0,0,      _xll.qDateNext($X91,AD$12,"M",FRM&lt;&gt;"Calypso",CCY))</f>
        <v>0</v>
      </c>
      <c r="AE91" s="789">
        <f>IF($X91=0,0,      _xll.qDateNext($X91,AE$12,"M",FRM&lt;&gt;"Calypso",CCY))</f>
        <v>0</v>
      </c>
      <c r="AF91" s="789">
        <f>IF($X91=0,0,      _xll.qDateNext($X91,AF$12,"M",FRM&lt;&gt;"Calypso",CCY))</f>
        <v>0</v>
      </c>
      <c r="AG91" s="789">
        <f>IF($X91=0,0,      _xll.qDateNext($X91,AG$12,"M",FRM&lt;&gt;"Calypso",CCY))</f>
        <v>0</v>
      </c>
      <c r="AH91" s="789">
        <f>IF($X91=0,0,      _xll.qDateNext($X91,AH$12,"M",FRM&lt;&gt;"Calypso",CCY))</f>
        <v>0</v>
      </c>
      <c r="AI91" s="789">
        <f>IF($X91=0,0,      _xll.qDateNext($X91,AI$12,"M",FRM&lt;&gt;"Calypso",CCY))</f>
        <v>0</v>
      </c>
      <c r="AJ91" s="529" t="str">
        <v/>
      </c>
      <c r="AK91" s="529" t="str">
        <v/>
      </c>
      <c r="AL91" s="529" t="str">
        <v/>
      </c>
      <c r="AM91" s="529" t="str">
        <v/>
      </c>
      <c r="AN91" s="529" t="str">
        <v/>
      </c>
      <c r="AO91" s="529" t="str">
        <v/>
      </c>
      <c r="AP91" s="529" t="str">
        <v/>
      </c>
      <c r="AQ91" s="529" t="str">
        <v/>
      </c>
      <c r="AR91" s="529">
        <v>0</v>
      </c>
      <c r="AS91" s="529">
        <v>0</v>
      </c>
      <c r="AT91" s="529">
        <f t="shared" si="28"/>
        <v>0</v>
      </c>
      <c r="AU91" s="529">
        <v>0</v>
      </c>
      <c r="AV91" s="529">
        <f t="shared" si="29"/>
        <v>0</v>
      </c>
      <c r="AW91" s="529">
        <f t="shared" si="30"/>
        <v>0</v>
      </c>
      <c r="AX91" s="529">
        <v>0</v>
      </c>
      <c r="AY91" s="529">
        <v>0</v>
      </c>
      <c r="AZ91" s="761">
        <f t="shared" si="19"/>
        <v>0</v>
      </c>
      <c r="BA91" s="761">
        <f t="shared" si="20"/>
        <v>0</v>
      </c>
      <c r="BB91" s="761">
        <f t="shared" si="21"/>
        <v>0</v>
      </c>
      <c r="BC91" s="761">
        <f t="shared" si="22"/>
        <v>0</v>
      </c>
      <c r="BD91" s="761">
        <f t="shared" si="23"/>
        <v>0</v>
      </c>
      <c r="BE91" s="761">
        <f t="shared" si="24"/>
        <v>0</v>
      </c>
      <c r="BF91" s="761">
        <f t="shared" si="25"/>
        <v>0</v>
      </c>
      <c r="BG91" s="761">
        <f t="shared" si="26"/>
        <v>0</v>
      </c>
      <c r="BH91" s="777">
        <v>0</v>
      </c>
      <c r="BI91" s="755"/>
      <c r="BJ91" s="778">
        <f>IF(X92=0,0,           IF(ISNUMBER(BI91),BI91,               IF(ISTEXT(BI91),INDEX(AZ91:BG91,MATCH(BI91,$AZ$12:$BG$12,0)),             IF(BH91="INT",_xll.qInterp(X92,AB91:AI91,AZ91:BG91),            INDEX(AZ91:BG91,MATCH(BH91,$AZ$12:$BG$12,0))))))</f>
        <v>0</v>
      </c>
      <c r="BK91" s="408">
        <f t="shared" si="31"/>
        <v>0</v>
      </c>
      <c r="BL91" s="414">
        <f t="shared" si="32"/>
        <v>0</v>
      </c>
      <c r="BM91" s="408">
        <f t="shared" si="33"/>
        <v>0</v>
      </c>
    </row>
    <row r="92" spans="16:65">
      <c r="P92" s="779">
        <v>0</v>
      </c>
      <c r="Q92" s="780">
        <f t="shared" si="17"/>
        <v>0</v>
      </c>
      <c r="R92" s="776">
        <f>IF(P93,_xll.qDateYears(P92,P93,DCCfixed),0)</f>
        <v>0</v>
      </c>
      <c r="S92" s="553">
        <v>0</v>
      </c>
      <c r="T92" s="785"/>
      <c r="U92" s="409">
        <f t="shared" si="27"/>
        <v>0</v>
      </c>
      <c r="X92" s="363">
        <v>0</v>
      </c>
      <c r="Y92" s="775">
        <f t="shared" si="18"/>
        <v>0</v>
      </c>
      <c r="Z92" s="776">
        <f>IF(X93,_xll.qDateYears(X92,X93,DCCfloat),0)</f>
        <v>0</v>
      </c>
      <c r="AA92" s="553">
        <v>0</v>
      </c>
      <c r="AB92" s="789">
        <f>IF($X92=0,0,      _xll.qDateNext($X92,AB$12,"M",FRM&lt;&gt;"Calypso",CCY))</f>
        <v>0</v>
      </c>
      <c r="AC92" s="789">
        <f>IF($X92=0,0,      _xll.qDateNext($X92,AC$12,"M",FRM&lt;&gt;"Calypso",CCY))</f>
        <v>0</v>
      </c>
      <c r="AD92" s="789">
        <f>IF($X92=0,0,      _xll.qDateNext($X92,AD$12,"M",FRM&lt;&gt;"Calypso",CCY))</f>
        <v>0</v>
      </c>
      <c r="AE92" s="789">
        <f>IF($X92=0,0,      _xll.qDateNext($X92,AE$12,"M",FRM&lt;&gt;"Calypso",CCY))</f>
        <v>0</v>
      </c>
      <c r="AF92" s="789">
        <f>IF($X92=0,0,      _xll.qDateNext($X92,AF$12,"M",FRM&lt;&gt;"Calypso",CCY))</f>
        <v>0</v>
      </c>
      <c r="AG92" s="789">
        <f>IF($X92=0,0,      _xll.qDateNext($X92,AG$12,"M",FRM&lt;&gt;"Calypso",CCY))</f>
        <v>0</v>
      </c>
      <c r="AH92" s="789">
        <f>IF($X92=0,0,      _xll.qDateNext($X92,AH$12,"M",FRM&lt;&gt;"Calypso",CCY))</f>
        <v>0</v>
      </c>
      <c r="AI92" s="789">
        <f>IF($X92=0,0,      _xll.qDateNext($X92,AI$12,"M",FRM&lt;&gt;"Calypso",CCY))</f>
        <v>0</v>
      </c>
      <c r="AJ92" s="529" t="str">
        <v/>
      </c>
      <c r="AK92" s="529" t="str">
        <v/>
      </c>
      <c r="AL92" s="529" t="str">
        <v/>
      </c>
      <c r="AM92" s="529" t="str">
        <v/>
      </c>
      <c r="AN92" s="529" t="str">
        <v/>
      </c>
      <c r="AO92" s="529" t="str">
        <v/>
      </c>
      <c r="AP92" s="529" t="str">
        <v/>
      </c>
      <c r="AQ92" s="529" t="str">
        <v/>
      </c>
      <c r="AR92" s="529">
        <v>0</v>
      </c>
      <c r="AS92" s="529">
        <v>0</v>
      </c>
      <c r="AT92" s="529">
        <f t="shared" si="28"/>
        <v>0</v>
      </c>
      <c r="AU92" s="529">
        <v>0</v>
      </c>
      <c r="AV92" s="529">
        <f t="shared" si="29"/>
        <v>0</v>
      </c>
      <c r="AW92" s="529">
        <f t="shared" si="30"/>
        <v>0</v>
      </c>
      <c r="AX92" s="529">
        <v>0</v>
      </c>
      <c r="AY92" s="529">
        <v>0</v>
      </c>
      <c r="AZ92" s="761">
        <f t="shared" si="19"/>
        <v>0</v>
      </c>
      <c r="BA92" s="761">
        <f t="shared" si="20"/>
        <v>0</v>
      </c>
      <c r="BB92" s="761">
        <f t="shared" si="21"/>
        <v>0</v>
      </c>
      <c r="BC92" s="761">
        <f t="shared" si="22"/>
        <v>0</v>
      </c>
      <c r="BD92" s="761">
        <f t="shared" si="23"/>
        <v>0</v>
      </c>
      <c r="BE92" s="761">
        <f t="shared" si="24"/>
        <v>0</v>
      </c>
      <c r="BF92" s="761">
        <f t="shared" si="25"/>
        <v>0</v>
      </c>
      <c r="BG92" s="761">
        <f t="shared" si="26"/>
        <v>0</v>
      </c>
      <c r="BH92" s="777">
        <v>0</v>
      </c>
      <c r="BI92" s="755"/>
      <c r="BJ92" s="778">
        <f>IF(X93=0,0,           IF(ISNUMBER(BI92),BI92,               IF(ISTEXT(BI92),INDEX(AZ92:BG92,MATCH(BI92,$AZ$12:$BG$12,0)),             IF(BH92="INT",_xll.qInterp(X93,AB92:AI92,AZ92:BG92),            INDEX(AZ92:BG92,MATCH(BH92,$AZ$12:$BG$12,0))))))</f>
        <v>0</v>
      </c>
      <c r="BK92" s="408">
        <f t="shared" si="31"/>
        <v>0</v>
      </c>
      <c r="BL92" s="414">
        <f t="shared" si="32"/>
        <v>0</v>
      </c>
      <c r="BM92" s="408">
        <f t="shared" si="33"/>
        <v>0</v>
      </c>
    </row>
    <row r="93" spans="16:65">
      <c r="P93" s="779">
        <v>0</v>
      </c>
      <c r="Q93" s="780">
        <f t="shared" si="17"/>
        <v>0</v>
      </c>
      <c r="R93" s="776">
        <f>IF(P94,_xll.qDateYears(P93,P94,DCCfixed),0)</f>
        <v>0</v>
      </c>
      <c r="S93" s="553">
        <v>0</v>
      </c>
      <c r="T93" s="785"/>
      <c r="U93" s="409">
        <f t="shared" si="27"/>
        <v>0</v>
      </c>
      <c r="X93" s="363">
        <v>0</v>
      </c>
      <c r="Y93" s="775">
        <f t="shared" si="18"/>
        <v>0</v>
      </c>
      <c r="Z93" s="776">
        <f>IF(X94,_xll.qDateYears(X93,X94,DCCfloat),0)</f>
        <v>0</v>
      </c>
      <c r="AA93" s="553">
        <v>0</v>
      </c>
      <c r="AB93" s="789">
        <f>IF($X93=0,0,      _xll.qDateNext($X93,AB$12,"M",FRM&lt;&gt;"Calypso",CCY))</f>
        <v>0</v>
      </c>
      <c r="AC93" s="789">
        <f>IF($X93=0,0,      _xll.qDateNext($X93,AC$12,"M",FRM&lt;&gt;"Calypso",CCY))</f>
        <v>0</v>
      </c>
      <c r="AD93" s="789">
        <f>IF($X93=0,0,      _xll.qDateNext($X93,AD$12,"M",FRM&lt;&gt;"Calypso",CCY))</f>
        <v>0</v>
      </c>
      <c r="AE93" s="789">
        <f>IF($X93=0,0,      _xll.qDateNext($X93,AE$12,"M",FRM&lt;&gt;"Calypso",CCY))</f>
        <v>0</v>
      </c>
      <c r="AF93" s="789">
        <f>IF($X93=0,0,      _xll.qDateNext($X93,AF$12,"M",FRM&lt;&gt;"Calypso",CCY))</f>
        <v>0</v>
      </c>
      <c r="AG93" s="789">
        <f>IF($X93=0,0,      _xll.qDateNext($X93,AG$12,"M",FRM&lt;&gt;"Calypso",CCY))</f>
        <v>0</v>
      </c>
      <c r="AH93" s="789">
        <f>IF($X93=0,0,      _xll.qDateNext($X93,AH$12,"M",FRM&lt;&gt;"Calypso",CCY))</f>
        <v>0</v>
      </c>
      <c r="AI93" s="789">
        <f>IF($X93=0,0,      _xll.qDateNext($X93,AI$12,"M",FRM&lt;&gt;"Calypso",CCY))</f>
        <v>0</v>
      </c>
      <c r="AJ93" s="529" t="str">
        <v/>
      </c>
      <c r="AK93" s="529" t="str">
        <v/>
      </c>
      <c r="AL93" s="529" t="str">
        <v/>
      </c>
      <c r="AM93" s="529" t="str">
        <v/>
      </c>
      <c r="AN93" s="529" t="str">
        <v/>
      </c>
      <c r="AO93" s="529" t="str">
        <v/>
      </c>
      <c r="AP93" s="529" t="str">
        <v/>
      </c>
      <c r="AQ93" s="529" t="str">
        <v/>
      </c>
      <c r="AR93" s="529">
        <v>0</v>
      </c>
      <c r="AS93" s="529">
        <v>0</v>
      </c>
      <c r="AT93" s="529">
        <f t="shared" si="28"/>
        <v>0</v>
      </c>
      <c r="AU93" s="529">
        <v>0</v>
      </c>
      <c r="AV93" s="529">
        <f t="shared" si="29"/>
        <v>0</v>
      </c>
      <c r="AW93" s="529">
        <f t="shared" si="30"/>
        <v>0</v>
      </c>
      <c r="AX93" s="529">
        <v>0</v>
      </c>
      <c r="AY93" s="529">
        <v>0</v>
      </c>
      <c r="AZ93" s="761">
        <f t="shared" si="19"/>
        <v>0</v>
      </c>
      <c r="BA93" s="761">
        <f t="shared" si="20"/>
        <v>0</v>
      </c>
      <c r="BB93" s="761">
        <f t="shared" si="21"/>
        <v>0</v>
      </c>
      <c r="BC93" s="761">
        <f t="shared" si="22"/>
        <v>0</v>
      </c>
      <c r="BD93" s="761">
        <f t="shared" si="23"/>
        <v>0</v>
      </c>
      <c r="BE93" s="761">
        <f t="shared" si="24"/>
        <v>0</v>
      </c>
      <c r="BF93" s="761">
        <f t="shared" si="25"/>
        <v>0</v>
      </c>
      <c r="BG93" s="761">
        <f t="shared" si="26"/>
        <v>0</v>
      </c>
      <c r="BH93" s="777">
        <v>0</v>
      </c>
      <c r="BI93" s="755"/>
      <c r="BJ93" s="778">
        <f>IF(X94=0,0,           IF(ISNUMBER(BI93),BI93,               IF(ISTEXT(BI93),INDEX(AZ93:BG93,MATCH(BI93,$AZ$12:$BG$12,0)),             IF(BH93="INT",_xll.qInterp(X94,AB93:AI93,AZ93:BG93),            INDEX(AZ93:BG93,MATCH(BH93,$AZ$12:$BG$12,0))))))</f>
        <v>0</v>
      </c>
      <c r="BK93" s="408">
        <f t="shared" si="31"/>
        <v>0</v>
      </c>
      <c r="BL93" s="414">
        <f t="shared" si="32"/>
        <v>0</v>
      </c>
      <c r="BM93" s="408">
        <f t="shared" si="33"/>
        <v>0</v>
      </c>
    </row>
    <row r="94" spans="16:65">
      <c r="P94" s="779">
        <v>0</v>
      </c>
      <c r="Q94" s="780">
        <f t="shared" si="17"/>
        <v>0</v>
      </c>
      <c r="R94" s="776">
        <f>IF(P95,_xll.qDateYears(P94,P95,DCCfixed),0)</f>
        <v>0</v>
      </c>
      <c r="S94" s="553">
        <v>0</v>
      </c>
      <c r="T94" s="785"/>
      <c r="U94" s="409">
        <f t="shared" si="27"/>
        <v>0</v>
      </c>
      <c r="X94" s="363">
        <v>0</v>
      </c>
      <c r="Y94" s="775">
        <f t="shared" si="18"/>
        <v>0</v>
      </c>
      <c r="Z94" s="776">
        <f>IF(X95,_xll.qDateYears(X94,X95,DCCfloat),0)</f>
        <v>0</v>
      </c>
      <c r="AA94" s="553">
        <v>0</v>
      </c>
      <c r="AB94" s="789">
        <f>IF($X94=0,0,      _xll.qDateNext($X94,AB$12,"M",FRM&lt;&gt;"Calypso",CCY))</f>
        <v>0</v>
      </c>
      <c r="AC94" s="789">
        <f>IF($X94=0,0,      _xll.qDateNext($X94,AC$12,"M",FRM&lt;&gt;"Calypso",CCY))</f>
        <v>0</v>
      </c>
      <c r="AD94" s="789">
        <f>IF($X94=0,0,      _xll.qDateNext($X94,AD$12,"M",FRM&lt;&gt;"Calypso",CCY))</f>
        <v>0</v>
      </c>
      <c r="AE94" s="789">
        <f>IF($X94=0,0,      _xll.qDateNext($X94,AE$12,"M",FRM&lt;&gt;"Calypso",CCY))</f>
        <v>0</v>
      </c>
      <c r="AF94" s="789">
        <f>IF($X94=0,0,      _xll.qDateNext($X94,AF$12,"M",FRM&lt;&gt;"Calypso",CCY))</f>
        <v>0</v>
      </c>
      <c r="AG94" s="789">
        <f>IF($X94=0,0,      _xll.qDateNext($X94,AG$12,"M",FRM&lt;&gt;"Calypso",CCY))</f>
        <v>0</v>
      </c>
      <c r="AH94" s="789">
        <f>IF($X94=0,0,      _xll.qDateNext($X94,AH$12,"M",FRM&lt;&gt;"Calypso",CCY))</f>
        <v>0</v>
      </c>
      <c r="AI94" s="789">
        <f>IF($X94=0,0,      _xll.qDateNext($X94,AI$12,"M",FRM&lt;&gt;"Calypso",CCY))</f>
        <v>0</v>
      </c>
      <c r="AJ94" s="529" t="str">
        <v/>
      </c>
      <c r="AK94" s="529" t="str">
        <v/>
      </c>
      <c r="AL94" s="529" t="str">
        <v/>
      </c>
      <c r="AM94" s="529" t="str">
        <v/>
      </c>
      <c r="AN94" s="529" t="str">
        <v/>
      </c>
      <c r="AO94" s="529" t="str">
        <v/>
      </c>
      <c r="AP94" s="529" t="str">
        <v/>
      </c>
      <c r="AQ94" s="529" t="str">
        <v/>
      </c>
      <c r="AR94" s="529">
        <v>0</v>
      </c>
      <c r="AS94" s="529">
        <v>0</v>
      </c>
      <c r="AT94" s="529">
        <f t="shared" si="28"/>
        <v>0</v>
      </c>
      <c r="AU94" s="529">
        <v>0</v>
      </c>
      <c r="AV94" s="529">
        <f t="shared" si="29"/>
        <v>0</v>
      </c>
      <c r="AW94" s="529">
        <f t="shared" si="30"/>
        <v>0</v>
      </c>
      <c r="AX94" s="529">
        <v>0</v>
      </c>
      <c r="AY94" s="529">
        <v>0</v>
      </c>
      <c r="AZ94" s="761">
        <f t="shared" si="19"/>
        <v>0</v>
      </c>
      <c r="BA94" s="761">
        <f t="shared" si="20"/>
        <v>0</v>
      </c>
      <c r="BB94" s="761">
        <f t="shared" si="21"/>
        <v>0</v>
      </c>
      <c r="BC94" s="761">
        <f t="shared" si="22"/>
        <v>0</v>
      </c>
      <c r="BD94" s="761">
        <f t="shared" si="23"/>
        <v>0</v>
      </c>
      <c r="BE94" s="761">
        <f t="shared" si="24"/>
        <v>0</v>
      </c>
      <c r="BF94" s="761">
        <f t="shared" si="25"/>
        <v>0</v>
      </c>
      <c r="BG94" s="761">
        <f t="shared" si="26"/>
        <v>0</v>
      </c>
      <c r="BH94" s="777">
        <v>0</v>
      </c>
      <c r="BI94" s="755"/>
      <c r="BJ94" s="778">
        <f>IF(X95=0,0,           IF(ISNUMBER(BI94),BI94,               IF(ISTEXT(BI94),INDEX(AZ94:BG94,MATCH(BI94,$AZ$12:$BG$12,0)),             IF(BH94="INT",_xll.qInterp(X95,AB94:AI94,AZ94:BG94),            INDEX(AZ94:BG94,MATCH(BH94,$AZ$12:$BG$12,0))))))</f>
        <v>0</v>
      </c>
      <c r="BK94" s="408">
        <f t="shared" si="31"/>
        <v>0</v>
      </c>
      <c r="BL94" s="414">
        <f t="shared" si="32"/>
        <v>0</v>
      </c>
      <c r="BM94" s="408">
        <f t="shared" si="33"/>
        <v>0</v>
      </c>
    </row>
    <row r="95" spans="16:65">
      <c r="P95" s="779">
        <v>0</v>
      </c>
      <c r="Q95" s="780">
        <f t="shared" si="17"/>
        <v>0</v>
      </c>
      <c r="R95" s="776">
        <f>IF(P96,_xll.qDateYears(P95,P96,DCCfixed),0)</f>
        <v>0</v>
      </c>
      <c r="S95" s="553">
        <v>0</v>
      </c>
      <c r="T95" s="785"/>
      <c r="U95" s="409">
        <f t="shared" si="27"/>
        <v>0</v>
      </c>
      <c r="X95" s="363">
        <v>0</v>
      </c>
      <c r="Y95" s="775">
        <f t="shared" si="18"/>
        <v>0</v>
      </c>
      <c r="Z95" s="776">
        <f>IF(X96,_xll.qDateYears(X95,X96,DCCfloat),0)</f>
        <v>0</v>
      </c>
      <c r="AA95" s="553">
        <v>0</v>
      </c>
      <c r="AB95" s="789">
        <f>IF($X95=0,0,      _xll.qDateNext($X95,AB$12,"M",FRM&lt;&gt;"Calypso",CCY))</f>
        <v>0</v>
      </c>
      <c r="AC95" s="789">
        <f>IF($X95=0,0,      _xll.qDateNext($X95,AC$12,"M",FRM&lt;&gt;"Calypso",CCY))</f>
        <v>0</v>
      </c>
      <c r="AD95" s="789">
        <f>IF($X95=0,0,      _xll.qDateNext($X95,AD$12,"M",FRM&lt;&gt;"Calypso",CCY))</f>
        <v>0</v>
      </c>
      <c r="AE95" s="789">
        <f>IF($X95=0,0,      _xll.qDateNext($X95,AE$12,"M",FRM&lt;&gt;"Calypso",CCY))</f>
        <v>0</v>
      </c>
      <c r="AF95" s="789">
        <f>IF($X95=0,0,      _xll.qDateNext($X95,AF$12,"M",FRM&lt;&gt;"Calypso",CCY))</f>
        <v>0</v>
      </c>
      <c r="AG95" s="789">
        <f>IF($X95=0,0,      _xll.qDateNext($X95,AG$12,"M",FRM&lt;&gt;"Calypso",CCY))</f>
        <v>0</v>
      </c>
      <c r="AH95" s="789">
        <f>IF($X95=0,0,      _xll.qDateNext($X95,AH$12,"M",FRM&lt;&gt;"Calypso",CCY))</f>
        <v>0</v>
      </c>
      <c r="AI95" s="789">
        <f>IF($X95=0,0,      _xll.qDateNext($X95,AI$12,"M",FRM&lt;&gt;"Calypso",CCY))</f>
        <v>0</v>
      </c>
      <c r="AJ95" s="529" t="str">
        <v/>
      </c>
      <c r="AK95" s="529" t="str">
        <v/>
      </c>
      <c r="AL95" s="529" t="str">
        <v/>
      </c>
      <c r="AM95" s="529" t="str">
        <v/>
      </c>
      <c r="AN95" s="529" t="str">
        <v/>
      </c>
      <c r="AO95" s="529" t="str">
        <v/>
      </c>
      <c r="AP95" s="529" t="str">
        <v/>
      </c>
      <c r="AQ95" s="529" t="str">
        <v/>
      </c>
      <c r="AR95" s="529">
        <v>0</v>
      </c>
      <c r="AS95" s="529">
        <v>0</v>
      </c>
      <c r="AT95" s="529">
        <f t="shared" si="28"/>
        <v>0</v>
      </c>
      <c r="AU95" s="529">
        <v>0</v>
      </c>
      <c r="AV95" s="529">
        <f t="shared" si="29"/>
        <v>0</v>
      </c>
      <c r="AW95" s="529">
        <f t="shared" si="30"/>
        <v>0</v>
      </c>
      <c r="AX95" s="529">
        <v>0</v>
      </c>
      <c r="AY95" s="529">
        <v>0</v>
      </c>
      <c r="AZ95" s="761">
        <f t="shared" si="19"/>
        <v>0</v>
      </c>
      <c r="BA95" s="761">
        <f t="shared" si="20"/>
        <v>0</v>
      </c>
      <c r="BB95" s="761">
        <f t="shared" si="21"/>
        <v>0</v>
      </c>
      <c r="BC95" s="761">
        <f t="shared" si="22"/>
        <v>0</v>
      </c>
      <c r="BD95" s="761">
        <f t="shared" si="23"/>
        <v>0</v>
      </c>
      <c r="BE95" s="761">
        <f t="shared" si="24"/>
        <v>0</v>
      </c>
      <c r="BF95" s="761">
        <f t="shared" si="25"/>
        <v>0</v>
      </c>
      <c r="BG95" s="761">
        <f t="shared" si="26"/>
        <v>0</v>
      </c>
      <c r="BH95" s="777">
        <v>0</v>
      </c>
      <c r="BI95" s="755"/>
      <c r="BJ95" s="778">
        <f>IF(X96=0,0,           IF(ISNUMBER(BI95),BI95,               IF(ISTEXT(BI95),INDEX(AZ95:BG95,MATCH(BI95,$AZ$12:$BG$12,0)),             IF(BH95="INT",_xll.qInterp(X96,AB95:AI95,AZ95:BG95),            INDEX(AZ95:BG95,MATCH(BH95,$AZ$12:$BG$12,0))))))</f>
        <v>0</v>
      </c>
      <c r="BK95" s="408">
        <f t="shared" si="31"/>
        <v>0</v>
      </c>
      <c r="BL95" s="414">
        <f t="shared" si="32"/>
        <v>0</v>
      </c>
      <c r="BM95" s="408">
        <f t="shared" si="33"/>
        <v>0</v>
      </c>
    </row>
    <row r="96" spans="16:65">
      <c r="P96" s="779">
        <v>0</v>
      </c>
      <c r="Q96" s="780">
        <f t="shared" si="17"/>
        <v>0</v>
      </c>
      <c r="R96" s="776">
        <f>IF(P97,_xll.qDateYears(P96,P97,DCCfixed),0)</f>
        <v>0</v>
      </c>
      <c r="S96" s="553">
        <v>0</v>
      </c>
      <c r="T96" s="785"/>
      <c r="U96" s="409">
        <f t="shared" si="27"/>
        <v>0</v>
      </c>
      <c r="X96" s="363">
        <v>0</v>
      </c>
      <c r="Y96" s="775">
        <f t="shared" si="18"/>
        <v>0</v>
      </c>
      <c r="Z96" s="776">
        <f>IF(X97,_xll.qDateYears(X96,X97,DCCfloat),0)</f>
        <v>0</v>
      </c>
      <c r="AA96" s="553">
        <v>0</v>
      </c>
      <c r="AB96" s="789">
        <f>IF($X96=0,0,      _xll.qDateNext($X96,AB$12,"M",FRM&lt;&gt;"Calypso",CCY))</f>
        <v>0</v>
      </c>
      <c r="AC96" s="789">
        <f>IF($X96=0,0,      _xll.qDateNext($X96,AC$12,"M",FRM&lt;&gt;"Calypso",CCY))</f>
        <v>0</v>
      </c>
      <c r="AD96" s="789">
        <f>IF($X96=0,0,      _xll.qDateNext($X96,AD$12,"M",FRM&lt;&gt;"Calypso",CCY))</f>
        <v>0</v>
      </c>
      <c r="AE96" s="789">
        <f>IF($X96=0,0,      _xll.qDateNext($X96,AE$12,"M",FRM&lt;&gt;"Calypso",CCY))</f>
        <v>0</v>
      </c>
      <c r="AF96" s="789">
        <f>IF($X96=0,0,      _xll.qDateNext($X96,AF$12,"M",FRM&lt;&gt;"Calypso",CCY))</f>
        <v>0</v>
      </c>
      <c r="AG96" s="789">
        <f>IF($X96=0,0,      _xll.qDateNext($X96,AG$12,"M",FRM&lt;&gt;"Calypso",CCY))</f>
        <v>0</v>
      </c>
      <c r="AH96" s="789">
        <f>IF($X96=0,0,      _xll.qDateNext($X96,AH$12,"M",FRM&lt;&gt;"Calypso",CCY))</f>
        <v>0</v>
      </c>
      <c r="AI96" s="789">
        <f>IF($X96=0,0,      _xll.qDateNext($X96,AI$12,"M",FRM&lt;&gt;"Calypso",CCY))</f>
        <v>0</v>
      </c>
      <c r="AJ96" s="529" t="str">
        <v/>
      </c>
      <c r="AK96" s="529" t="str">
        <v/>
      </c>
      <c r="AL96" s="529" t="str">
        <v/>
      </c>
      <c r="AM96" s="529" t="str">
        <v/>
      </c>
      <c r="AN96" s="529" t="str">
        <v/>
      </c>
      <c r="AO96" s="529" t="str">
        <v/>
      </c>
      <c r="AP96" s="529" t="str">
        <v/>
      </c>
      <c r="AQ96" s="529" t="str">
        <v/>
      </c>
      <c r="AR96" s="529">
        <v>0</v>
      </c>
      <c r="AS96" s="529">
        <v>0</v>
      </c>
      <c r="AT96" s="529">
        <f t="shared" si="28"/>
        <v>0</v>
      </c>
      <c r="AU96" s="529">
        <v>0</v>
      </c>
      <c r="AV96" s="529">
        <f t="shared" si="29"/>
        <v>0</v>
      </c>
      <c r="AW96" s="529">
        <f t="shared" si="30"/>
        <v>0</v>
      </c>
      <c r="AX96" s="529">
        <v>0</v>
      </c>
      <c r="AY96" s="529">
        <v>0</v>
      </c>
      <c r="AZ96" s="761">
        <f t="shared" si="19"/>
        <v>0</v>
      </c>
      <c r="BA96" s="761">
        <f t="shared" si="20"/>
        <v>0</v>
      </c>
      <c r="BB96" s="761">
        <f t="shared" si="21"/>
        <v>0</v>
      </c>
      <c r="BC96" s="761">
        <f t="shared" si="22"/>
        <v>0</v>
      </c>
      <c r="BD96" s="761">
        <f t="shared" si="23"/>
        <v>0</v>
      </c>
      <c r="BE96" s="761">
        <f t="shared" si="24"/>
        <v>0</v>
      </c>
      <c r="BF96" s="761">
        <f t="shared" si="25"/>
        <v>0</v>
      </c>
      <c r="BG96" s="761">
        <f t="shared" si="26"/>
        <v>0</v>
      </c>
      <c r="BH96" s="777">
        <v>0</v>
      </c>
      <c r="BI96" s="755"/>
      <c r="BJ96" s="778">
        <f>IF(X97=0,0,           IF(ISNUMBER(BI96),BI96,               IF(ISTEXT(BI96),INDEX(AZ96:BG96,MATCH(BI96,$AZ$12:$BG$12,0)),             IF(BH96="INT",_xll.qInterp(X97,AB96:AI96,AZ96:BG96),            INDEX(AZ96:BG96,MATCH(BH96,$AZ$12:$BG$12,0))))))</f>
        <v>0</v>
      </c>
      <c r="BK96" s="408">
        <f t="shared" si="31"/>
        <v>0</v>
      </c>
      <c r="BL96" s="414">
        <f t="shared" si="32"/>
        <v>0</v>
      </c>
      <c r="BM96" s="408">
        <f t="shared" si="33"/>
        <v>0</v>
      </c>
    </row>
    <row r="97" spans="16:65">
      <c r="P97" s="779">
        <v>0</v>
      </c>
      <c r="Q97" s="780">
        <f t="shared" si="17"/>
        <v>0</v>
      </c>
      <c r="R97" s="776">
        <f>IF(P98,_xll.qDateYears(P97,P98,DCCfixed),0)</f>
        <v>0</v>
      </c>
      <c r="S97" s="553">
        <v>0</v>
      </c>
      <c r="T97" s="785"/>
      <c r="U97" s="409">
        <f t="shared" si="27"/>
        <v>0</v>
      </c>
      <c r="X97" s="363">
        <v>0</v>
      </c>
      <c r="Y97" s="775">
        <f t="shared" si="18"/>
        <v>0</v>
      </c>
      <c r="Z97" s="776">
        <f>IF(X98,_xll.qDateYears(X97,X98,DCCfloat),0)</f>
        <v>0</v>
      </c>
      <c r="AA97" s="553">
        <v>0</v>
      </c>
      <c r="AB97" s="789">
        <f>IF($X97=0,0,      _xll.qDateNext($X97,AB$12,"M",FRM&lt;&gt;"Calypso",CCY))</f>
        <v>0</v>
      </c>
      <c r="AC97" s="789">
        <f>IF($X97=0,0,      _xll.qDateNext($X97,AC$12,"M",FRM&lt;&gt;"Calypso",CCY))</f>
        <v>0</v>
      </c>
      <c r="AD97" s="789">
        <f>IF($X97=0,0,      _xll.qDateNext($X97,AD$12,"M",FRM&lt;&gt;"Calypso",CCY))</f>
        <v>0</v>
      </c>
      <c r="AE97" s="789">
        <f>IF($X97=0,0,      _xll.qDateNext($X97,AE$12,"M",FRM&lt;&gt;"Calypso",CCY))</f>
        <v>0</v>
      </c>
      <c r="AF97" s="789">
        <f>IF($X97=0,0,      _xll.qDateNext($X97,AF$12,"M",FRM&lt;&gt;"Calypso",CCY))</f>
        <v>0</v>
      </c>
      <c r="AG97" s="789">
        <f>IF($X97=0,0,      _xll.qDateNext($X97,AG$12,"M",FRM&lt;&gt;"Calypso",CCY))</f>
        <v>0</v>
      </c>
      <c r="AH97" s="789">
        <f>IF($X97=0,0,      _xll.qDateNext($X97,AH$12,"M",FRM&lt;&gt;"Calypso",CCY))</f>
        <v>0</v>
      </c>
      <c r="AI97" s="789">
        <f>IF($X97=0,0,      _xll.qDateNext($X97,AI$12,"M",FRM&lt;&gt;"Calypso",CCY))</f>
        <v>0</v>
      </c>
      <c r="AJ97" s="529" t="str">
        <v/>
      </c>
      <c r="AK97" s="529" t="str">
        <v/>
      </c>
      <c r="AL97" s="529" t="str">
        <v/>
      </c>
      <c r="AM97" s="529" t="str">
        <v/>
      </c>
      <c r="AN97" s="529" t="str">
        <v/>
      </c>
      <c r="AO97" s="529" t="str">
        <v/>
      </c>
      <c r="AP97" s="529" t="str">
        <v/>
      </c>
      <c r="AQ97" s="529" t="str">
        <v/>
      </c>
      <c r="AR97" s="529">
        <v>0</v>
      </c>
      <c r="AS97" s="529">
        <v>0</v>
      </c>
      <c r="AT97" s="529">
        <f t="shared" si="28"/>
        <v>0</v>
      </c>
      <c r="AU97" s="529">
        <v>0</v>
      </c>
      <c r="AV97" s="529">
        <f t="shared" si="29"/>
        <v>0</v>
      </c>
      <c r="AW97" s="529">
        <f t="shared" si="30"/>
        <v>0</v>
      </c>
      <c r="AX97" s="529">
        <v>0</v>
      </c>
      <c r="AY97" s="529">
        <v>0</v>
      </c>
      <c r="AZ97" s="761">
        <f t="shared" si="19"/>
        <v>0</v>
      </c>
      <c r="BA97" s="761">
        <f t="shared" si="20"/>
        <v>0</v>
      </c>
      <c r="BB97" s="761">
        <f t="shared" si="21"/>
        <v>0</v>
      </c>
      <c r="BC97" s="761">
        <f t="shared" si="22"/>
        <v>0</v>
      </c>
      <c r="BD97" s="761">
        <f t="shared" si="23"/>
        <v>0</v>
      </c>
      <c r="BE97" s="761">
        <f t="shared" si="24"/>
        <v>0</v>
      </c>
      <c r="BF97" s="761">
        <f t="shared" si="25"/>
        <v>0</v>
      </c>
      <c r="BG97" s="761">
        <f t="shared" si="26"/>
        <v>0</v>
      </c>
      <c r="BH97" s="777">
        <v>0</v>
      </c>
      <c r="BI97" s="755"/>
      <c r="BJ97" s="778">
        <f>IF(X98=0,0,           IF(ISNUMBER(BI97),BI97,               IF(ISTEXT(BI97),INDEX(AZ97:BG97,MATCH(BI97,$AZ$12:$BG$12,0)),             IF(BH97="INT",_xll.qInterp(X98,AB97:AI97,AZ97:BG97),            INDEX(AZ97:BG97,MATCH(BH97,$AZ$12:$BG$12,0))))))</f>
        <v>0</v>
      </c>
      <c r="BK97" s="408">
        <f t="shared" si="31"/>
        <v>0</v>
      </c>
      <c r="BL97" s="414">
        <f t="shared" si="32"/>
        <v>0</v>
      </c>
      <c r="BM97" s="408">
        <f t="shared" si="33"/>
        <v>0</v>
      </c>
    </row>
    <row r="98" spans="16:65">
      <c r="P98" s="779">
        <v>0</v>
      </c>
      <c r="Q98" s="780">
        <f t="shared" si="17"/>
        <v>0</v>
      </c>
      <c r="R98" s="776">
        <f>IF(P99,_xll.qDateYears(P98,P99,DCCfixed),0)</f>
        <v>0</v>
      </c>
      <c r="S98" s="553">
        <v>0</v>
      </c>
      <c r="T98" s="785"/>
      <c r="U98" s="409">
        <f t="shared" si="27"/>
        <v>0</v>
      </c>
      <c r="X98" s="363">
        <v>0</v>
      </c>
      <c r="Y98" s="775">
        <f t="shared" si="18"/>
        <v>0</v>
      </c>
      <c r="Z98" s="776">
        <f>IF(X99,_xll.qDateYears(X98,X99,DCCfloat),0)</f>
        <v>0</v>
      </c>
      <c r="AA98" s="553">
        <v>0</v>
      </c>
      <c r="AB98" s="789">
        <f>IF($X98=0,0,      _xll.qDateNext($X98,AB$12,"M",FRM&lt;&gt;"Calypso",CCY))</f>
        <v>0</v>
      </c>
      <c r="AC98" s="789">
        <f>IF($X98=0,0,      _xll.qDateNext($X98,AC$12,"M",FRM&lt;&gt;"Calypso",CCY))</f>
        <v>0</v>
      </c>
      <c r="AD98" s="789">
        <f>IF($X98=0,0,      _xll.qDateNext($X98,AD$12,"M",FRM&lt;&gt;"Calypso",CCY))</f>
        <v>0</v>
      </c>
      <c r="AE98" s="789">
        <f>IF($X98=0,0,      _xll.qDateNext($X98,AE$12,"M",FRM&lt;&gt;"Calypso",CCY))</f>
        <v>0</v>
      </c>
      <c r="AF98" s="789">
        <f>IF($X98=0,0,      _xll.qDateNext($X98,AF$12,"M",FRM&lt;&gt;"Calypso",CCY))</f>
        <v>0</v>
      </c>
      <c r="AG98" s="789">
        <f>IF($X98=0,0,      _xll.qDateNext($X98,AG$12,"M",FRM&lt;&gt;"Calypso",CCY))</f>
        <v>0</v>
      </c>
      <c r="AH98" s="789">
        <f>IF($X98=0,0,      _xll.qDateNext($X98,AH$12,"M",FRM&lt;&gt;"Calypso",CCY))</f>
        <v>0</v>
      </c>
      <c r="AI98" s="789">
        <f>IF($X98=0,0,      _xll.qDateNext($X98,AI$12,"M",FRM&lt;&gt;"Calypso",CCY))</f>
        <v>0</v>
      </c>
      <c r="AJ98" s="529" t="str">
        <v/>
      </c>
      <c r="AK98" s="529" t="str">
        <v/>
      </c>
      <c r="AL98" s="529" t="str">
        <v/>
      </c>
      <c r="AM98" s="529" t="str">
        <v/>
      </c>
      <c r="AN98" s="529" t="str">
        <v/>
      </c>
      <c r="AO98" s="529" t="str">
        <v/>
      </c>
      <c r="AP98" s="529" t="str">
        <v/>
      </c>
      <c r="AQ98" s="529" t="str">
        <v/>
      </c>
      <c r="AR98" s="529">
        <v>0</v>
      </c>
      <c r="AS98" s="529">
        <v>0</v>
      </c>
      <c r="AT98" s="529">
        <f t="shared" si="28"/>
        <v>0</v>
      </c>
      <c r="AU98" s="529">
        <v>0</v>
      </c>
      <c r="AV98" s="529">
        <f t="shared" si="29"/>
        <v>0</v>
      </c>
      <c r="AW98" s="529">
        <f t="shared" si="30"/>
        <v>0</v>
      </c>
      <c r="AX98" s="529">
        <v>0</v>
      </c>
      <c r="AY98" s="529">
        <v>0</v>
      </c>
      <c r="AZ98" s="761">
        <f t="shared" si="19"/>
        <v>0</v>
      </c>
      <c r="BA98" s="761">
        <f t="shared" si="20"/>
        <v>0</v>
      </c>
      <c r="BB98" s="761">
        <f t="shared" si="21"/>
        <v>0</v>
      </c>
      <c r="BC98" s="761">
        <f t="shared" si="22"/>
        <v>0</v>
      </c>
      <c r="BD98" s="761">
        <f t="shared" si="23"/>
        <v>0</v>
      </c>
      <c r="BE98" s="761">
        <f t="shared" si="24"/>
        <v>0</v>
      </c>
      <c r="BF98" s="761">
        <f t="shared" si="25"/>
        <v>0</v>
      </c>
      <c r="BG98" s="761">
        <f t="shared" si="26"/>
        <v>0</v>
      </c>
      <c r="BH98" s="777">
        <v>0</v>
      </c>
      <c r="BI98" s="755"/>
      <c r="BJ98" s="778">
        <f>IF(X99=0,0,           IF(ISNUMBER(BI98),BI98,               IF(ISTEXT(BI98),INDEX(AZ98:BG98,MATCH(BI98,$AZ$12:$BG$12,0)),             IF(BH98="INT",_xll.qInterp(X99,AB98:AI98,AZ98:BG98),            INDEX(AZ98:BG98,MATCH(BH98,$AZ$12:$BG$12,0))))))</f>
        <v>0</v>
      </c>
      <c r="BK98" s="408">
        <f t="shared" si="31"/>
        <v>0</v>
      </c>
      <c r="BL98" s="414">
        <f t="shared" si="32"/>
        <v>0</v>
      </c>
      <c r="BM98" s="408">
        <f t="shared" si="33"/>
        <v>0</v>
      </c>
    </row>
    <row r="99" spans="16:65">
      <c r="P99" s="779">
        <v>0</v>
      </c>
      <c r="Q99" s="780">
        <f t="shared" si="17"/>
        <v>0</v>
      </c>
      <c r="R99" s="776">
        <f>IF(P100,_xll.qDateYears(P99,P100,DCCfixed),0)</f>
        <v>0</v>
      </c>
      <c r="S99" s="553">
        <v>0</v>
      </c>
      <c r="T99" s="785"/>
      <c r="U99" s="409">
        <f t="shared" si="27"/>
        <v>0</v>
      </c>
      <c r="X99" s="363">
        <v>0</v>
      </c>
      <c r="Y99" s="775">
        <f t="shared" si="18"/>
        <v>0</v>
      </c>
      <c r="Z99" s="776">
        <f>IF(X100,_xll.qDateYears(X99,X100,DCCfloat),0)</f>
        <v>0</v>
      </c>
      <c r="AA99" s="553">
        <v>0</v>
      </c>
      <c r="AB99" s="789">
        <f>IF($X99=0,0,      _xll.qDateNext($X99,AB$12,"M",FRM&lt;&gt;"Calypso",CCY))</f>
        <v>0</v>
      </c>
      <c r="AC99" s="789">
        <f>IF($X99=0,0,      _xll.qDateNext($X99,AC$12,"M",FRM&lt;&gt;"Calypso",CCY))</f>
        <v>0</v>
      </c>
      <c r="AD99" s="789">
        <f>IF($X99=0,0,      _xll.qDateNext($X99,AD$12,"M",FRM&lt;&gt;"Calypso",CCY))</f>
        <v>0</v>
      </c>
      <c r="AE99" s="789">
        <f>IF($X99=0,0,      _xll.qDateNext($X99,AE$12,"M",FRM&lt;&gt;"Calypso",CCY))</f>
        <v>0</v>
      </c>
      <c r="AF99" s="789">
        <f>IF($X99=0,0,      _xll.qDateNext($X99,AF$12,"M",FRM&lt;&gt;"Calypso",CCY))</f>
        <v>0</v>
      </c>
      <c r="AG99" s="789">
        <f>IF($X99=0,0,      _xll.qDateNext($X99,AG$12,"M",FRM&lt;&gt;"Calypso",CCY))</f>
        <v>0</v>
      </c>
      <c r="AH99" s="789">
        <f>IF($X99=0,0,      _xll.qDateNext($X99,AH$12,"M",FRM&lt;&gt;"Calypso",CCY))</f>
        <v>0</v>
      </c>
      <c r="AI99" s="789">
        <f>IF($X99=0,0,      _xll.qDateNext($X99,AI$12,"M",FRM&lt;&gt;"Calypso",CCY))</f>
        <v>0</v>
      </c>
      <c r="AJ99" s="529" t="str">
        <v/>
      </c>
      <c r="AK99" s="529" t="str">
        <v/>
      </c>
      <c r="AL99" s="529" t="str">
        <v/>
      </c>
      <c r="AM99" s="529" t="str">
        <v/>
      </c>
      <c r="AN99" s="529" t="str">
        <v/>
      </c>
      <c r="AO99" s="529" t="str">
        <v/>
      </c>
      <c r="AP99" s="529" t="str">
        <v/>
      </c>
      <c r="AQ99" s="529" t="str">
        <v/>
      </c>
      <c r="AR99" s="529">
        <v>0</v>
      </c>
      <c r="AS99" s="529">
        <v>0</v>
      </c>
      <c r="AT99" s="529">
        <f t="shared" si="28"/>
        <v>0</v>
      </c>
      <c r="AU99" s="529">
        <v>0</v>
      </c>
      <c r="AV99" s="529">
        <f t="shared" si="29"/>
        <v>0</v>
      </c>
      <c r="AW99" s="529">
        <f t="shared" si="30"/>
        <v>0</v>
      </c>
      <c r="AX99" s="529">
        <v>0</v>
      </c>
      <c r="AY99" s="529">
        <v>0</v>
      </c>
      <c r="AZ99" s="761">
        <f t="shared" si="19"/>
        <v>0</v>
      </c>
      <c r="BA99" s="761">
        <f t="shared" si="20"/>
        <v>0</v>
      </c>
      <c r="BB99" s="761">
        <f t="shared" si="21"/>
        <v>0</v>
      </c>
      <c r="BC99" s="761">
        <f t="shared" si="22"/>
        <v>0</v>
      </c>
      <c r="BD99" s="761">
        <f t="shared" si="23"/>
        <v>0</v>
      </c>
      <c r="BE99" s="761">
        <f t="shared" si="24"/>
        <v>0</v>
      </c>
      <c r="BF99" s="761">
        <f t="shared" si="25"/>
        <v>0</v>
      </c>
      <c r="BG99" s="761">
        <f t="shared" si="26"/>
        <v>0</v>
      </c>
      <c r="BH99" s="777">
        <v>0</v>
      </c>
      <c r="BI99" s="755"/>
      <c r="BJ99" s="778">
        <f>IF(X100=0,0,           IF(ISNUMBER(BI99),BI99,               IF(ISTEXT(BI99),INDEX(AZ99:BG99,MATCH(BI99,$AZ$12:$BG$12,0)),             IF(BH99="INT",_xll.qInterp(X100,AB99:AI99,AZ99:BG99),            INDEX(AZ99:BG99,MATCH(BH99,$AZ$12:$BG$12,0))))))</f>
        <v>0</v>
      </c>
      <c r="BK99" s="408">
        <f t="shared" si="31"/>
        <v>0</v>
      </c>
      <c r="BL99" s="414">
        <f t="shared" si="32"/>
        <v>0</v>
      </c>
      <c r="BM99" s="408">
        <f t="shared" si="33"/>
        <v>0</v>
      </c>
    </row>
    <row r="100" spans="16:65">
      <c r="P100" s="779">
        <v>0</v>
      </c>
      <c r="Q100" s="780">
        <f t="shared" si="17"/>
        <v>0</v>
      </c>
      <c r="R100" s="776">
        <f>IF(P101,_xll.qDateYears(P100,P101,DCCfixed),0)</f>
        <v>0</v>
      </c>
      <c r="S100" s="553">
        <v>0</v>
      </c>
      <c r="T100" s="785"/>
      <c r="U100" s="409">
        <f t="shared" si="27"/>
        <v>0</v>
      </c>
      <c r="X100" s="363">
        <v>0</v>
      </c>
      <c r="Y100" s="775">
        <f t="shared" si="18"/>
        <v>0</v>
      </c>
      <c r="Z100" s="776">
        <f>IF(X101,_xll.qDateYears(X100,X101,DCCfloat),0)</f>
        <v>0</v>
      </c>
      <c r="AA100" s="553">
        <v>0</v>
      </c>
      <c r="AB100" s="789">
        <f>IF($X100=0,0,      _xll.qDateNext($X100,AB$12,"M",FRM&lt;&gt;"Calypso",CCY))</f>
        <v>0</v>
      </c>
      <c r="AC100" s="789">
        <f>IF($X100=0,0,      _xll.qDateNext($X100,AC$12,"M",FRM&lt;&gt;"Calypso",CCY))</f>
        <v>0</v>
      </c>
      <c r="AD100" s="789">
        <f>IF($X100=0,0,      _xll.qDateNext($X100,AD$12,"M",FRM&lt;&gt;"Calypso",CCY))</f>
        <v>0</v>
      </c>
      <c r="AE100" s="789">
        <f>IF($X100=0,0,      _xll.qDateNext($X100,AE$12,"M",FRM&lt;&gt;"Calypso",CCY))</f>
        <v>0</v>
      </c>
      <c r="AF100" s="789">
        <f>IF($X100=0,0,      _xll.qDateNext($X100,AF$12,"M",FRM&lt;&gt;"Calypso",CCY))</f>
        <v>0</v>
      </c>
      <c r="AG100" s="789">
        <f>IF($X100=0,0,      _xll.qDateNext($X100,AG$12,"M",FRM&lt;&gt;"Calypso",CCY))</f>
        <v>0</v>
      </c>
      <c r="AH100" s="789">
        <f>IF($X100=0,0,      _xll.qDateNext($X100,AH$12,"M",FRM&lt;&gt;"Calypso",CCY))</f>
        <v>0</v>
      </c>
      <c r="AI100" s="789">
        <f>IF($X100=0,0,      _xll.qDateNext($X100,AI$12,"M",FRM&lt;&gt;"Calypso",CCY))</f>
        <v>0</v>
      </c>
      <c r="AJ100" s="529" t="str">
        <v/>
      </c>
      <c r="AK100" s="529" t="str">
        <v/>
      </c>
      <c r="AL100" s="529" t="str">
        <v/>
      </c>
      <c r="AM100" s="529" t="str">
        <v/>
      </c>
      <c r="AN100" s="529" t="str">
        <v/>
      </c>
      <c r="AO100" s="529" t="str">
        <v/>
      </c>
      <c r="AP100" s="529" t="str">
        <v/>
      </c>
      <c r="AQ100" s="529" t="str">
        <v/>
      </c>
      <c r="AR100" s="529">
        <v>0</v>
      </c>
      <c r="AS100" s="529">
        <v>0</v>
      </c>
      <c r="AT100" s="529">
        <f t="shared" si="28"/>
        <v>0</v>
      </c>
      <c r="AU100" s="529">
        <v>0</v>
      </c>
      <c r="AV100" s="529">
        <f t="shared" si="29"/>
        <v>0</v>
      </c>
      <c r="AW100" s="529">
        <f t="shared" si="30"/>
        <v>0</v>
      </c>
      <c r="AX100" s="529">
        <v>0</v>
      </c>
      <c r="AY100" s="529">
        <v>0</v>
      </c>
      <c r="AZ100" s="761">
        <f t="shared" si="19"/>
        <v>0</v>
      </c>
      <c r="BA100" s="761">
        <f t="shared" si="20"/>
        <v>0</v>
      </c>
      <c r="BB100" s="761">
        <f t="shared" si="21"/>
        <v>0</v>
      </c>
      <c r="BC100" s="761">
        <f t="shared" si="22"/>
        <v>0</v>
      </c>
      <c r="BD100" s="761">
        <f t="shared" si="23"/>
        <v>0</v>
      </c>
      <c r="BE100" s="761">
        <f t="shared" si="24"/>
        <v>0</v>
      </c>
      <c r="BF100" s="761">
        <f t="shared" si="25"/>
        <v>0</v>
      </c>
      <c r="BG100" s="761">
        <f t="shared" si="26"/>
        <v>0</v>
      </c>
      <c r="BH100" s="777">
        <v>0</v>
      </c>
      <c r="BI100" s="755"/>
      <c r="BJ100" s="778">
        <f>IF(X101=0,0,           IF(ISNUMBER(BI100),BI100,               IF(ISTEXT(BI100),INDEX(AZ100:BG100,MATCH(BI100,$AZ$12:$BG$12,0)),             IF(BH100="INT",_xll.qInterp(X101,AB100:AI100,AZ100:BG100),            INDEX(AZ100:BG100,MATCH(BH100,$AZ$12:$BG$12,0))))))</f>
        <v>0</v>
      </c>
      <c r="BK100" s="408">
        <f t="shared" si="31"/>
        <v>0</v>
      </c>
      <c r="BL100" s="414">
        <f t="shared" si="32"/>
        <v>0</v>
      </c>
      <c r="BM100" s="408">
        <f t="shared" si="33"/>
        <v>0</v>
      </c>
    </row>
    <row r="101" spans="16:65">
      <c r="P101" s="779">
        <v>0</v>
      </c>
      <c r="Q101" s="780">
        <f t="shared" si="17"/>
        <v>0</v>
      </c>
      <c r="R101" s="776">
        <f>IF(P102,_xll.qDateYears(P101,P102,DCCfixed),0)</f>
        <v>0</v>
      </c>
      <c r="S101" s="553">
        <v>0</v>
      </c>
      <c r="T101" s="785"/>
      <c r="U101" s="409">
        <f t="shared" si="27"/>
        <v>0</v>
      </c>
      <c r="X101" s="363">
        <v>0</v>
      </c>
      <c r="Y101" s="775">
        <f t="shared" si="18"/>
        <v>0</v>
      </c>
      <c r="Z101" s="776">
        <f>IF(X102,_xll.qDateYears(X101,X102,DCCfloat),0)</f>
        <v>0</v>
      </c>
      <c r="AA101" s="553">
        <v>0</v>
      </c>
      <c r="AB101" s="789">
        <f>IF($X101=0,0,      _xll.qDateNext($X101,AB$12,"M",FRM&lt;&gt;"Calypso",CCY))</f>
        <v>0</v>
      </c>
      <c r="AC101" s="789">
        <f>IF($X101=0,0,      _xll.qDateNext($X101,AC$12,"M",FRM&lt;&gt;"Calypso",CCY))</f>
        <v>0</v>
      </c>
      <c r="AD101" s="789">
        <f>IF($X101=0,0,      _xll.qDateNext($X101,AD$12,"M",FRM&lt;&gt;"Calypso",CCY))</f>
        <v>0</v>
      </c>
      <c r="AE101" s="789">
        <f>IF($X101=0,0,      _xll.qDateNext($X101,AE$12,"M",FRM&lt;&gt;"Calypso",CCY))</f>
        <v>0</v>
      </c>
      <c r="AF101" s="789">
        <f>IF($X101=0,0,      _xll.qDateNext($X101,AF$12,"M",FRM&lt;&gt;"Calypso",CCY))</f>
        <v>0</v>
      </c>
      <c r="AG101" s="789">
        <f>IF($X101=0,0,      _xll.qDateNext($X101,AG$12,"M",FRM&lt;&gt;"Calypso",CCY))</f>
        <v>0</v>
      </c>
      <c r="AH101" s="789">
        <f>IF($X101=0,0,      _xll.qDateNext($X101,AH$12,"M",FRM&lt;&gt;"Calypso",CCY))</f>
        <v>0</v>
      </c>
      <c r="AI101" s="789">
        <f>IF($X101=0,0,      _xll.qDateNext($X101,AI$12,"M",FRM&lt;&gt;"Calypso",CCY))</f>
        <v>0</v>
      </c>
      <c r="AJ101" s="529" t="str">
        <v/>
      </c>
      <c r="AK101" s="529" t="str">
        <v/>
      </c>
      <c r="AL101" s="529" t="str">
        <v/>
      </c>
      <c r="AM101" s="529" t="str">
        <v/>
      </c>
      <c r="AN101" s="529" t="str">
        <v/>
      </c>
      <c r="AO101" s="529" t="str">
        <v/>
      </c>
      <c r="AP101" s="529" t="str">
        <v/>
      </c>
      <c r="AQ101" s="529" t="str">
        <v/>
      </c>
      <c r="AR101" s="529">
        <v>0</v>
      </c>
      <c r="AS101" s="529">
        <v>0</v>
      </c>
      <c r="AT101" s="529">
        <f t="shared" si="28"/>
        <v>0</v>
      </c>
      <c r="AU101" s="529">
        <v>0</v>
      </c>
      <c r="AV101" s="529">
        <f t="shared" si="29"/>
        <v>0</v>
      </c>
      <c r="AW101" s="529">
        <f t="shared" si="30"/>
        <v>0</v>
      </c>
      <c r="AX101" s="529">
        <v>0</v>
      </c>
      <c r="AY101" s="529">
        <v>0</v>
      </c>
      <c r="AZ101" s="761">
        <f t="shared" si="19"/>
        <v>0</v>
      </c>
      <c r="BA101" s="761">
        <f t="shared" si="20"/>
        <v>0</v>
      </c>
      <c r="BB101" s="761">
        <f t="shared" si="21"/>
        <v>0</v>
      </c>
      <c r="BC101" s="761">
        <f t="shared" si="22"/>
        <v>0</v>
      </c>
      <c r="BD101" s="761">
        <f t="shared" si="23"/>
        <v>0</v>
      </c>
      <c r="BE101" s="761">
        <f t="shared" si="24"/>
        <v>0</v>
      </c>
      <c r="BF101" s="761">
        <f t="shared" si="25"/>
        <v>0</v>
      </c>
      <c r="BG101" s="761">
        <f t="shared" si="26"/>
        <v>0</v>
      </c>
      <c r="BH101" s="777">
        <v>0</v>
      </c>
      <c r="BI101" s="755"/>
      <c r="BJ101" s="778">
        <f>IF(X102=0,0,           IF(ISNUMBER(BI101),BI101,               IF(ISTEXT(BI101),INDEX(AZ101:BG101,MATCH(BI101,$AZ$12:$BG$12,0)),             IF(BH101="INT",_xll.qInterp(X102,AB101:AI101,AZ101:BG101),            INDEX(AZ101:BG101,MATCH(BH101,$AZ$12:$BG$12,0))))))</f>
        <v>0</v>
      </c>
      <c r="BK101" s="408">
        <f t="shared" si="31"/>
        <v>0</v>
      </c>
      <c r="BL101" s="414">
        <f t="shared" si="32"/>
        <v>0</v>
      </c>
      <c r="BM101" s="408">
        <f t="shared" si="33"/>
        <v>0</v>
      </c>
    </row>
    <row r="102" spans="16:65">
      <c r="P102" s="779">
        <v>0</v>
      </c>
      <c r="Q102" s="780">
        <f t="shared" si="17"/>
        <v>0</v>
      </c>
      <c r="R102" s="776">
        <f>IF(P103,_xll.qDateYears(P102,P103,DCCfixed),0)</f>
        <v>0</v>
      </c>
      <c r="S102" s="553">
        <v>0</v>
      </c>
      <c r="T102" s="785"/>
      <c r="U102" s="409">
        <f t="shared" si="27"/>
        <v>0</v>
      </c>
      <c r="X102" s="363">
        <v>0</v>
      </c>
      <c r="Y102" s="775">
        <f t="shared" si="18"/>
        <v>0</v>
      </c>
      <c r="Z102" s="776">
        <f>IF(X103,_xll.qDateYears(X102,X103,DCCfloat),0)</f>
        <v>0</v>
      </c>
      <c r="AA102" s="553">
        <v>0</v>
      </c>
      <c r="AB102" s="789">
        <f>IF($X102=0,0,      _xll.qDateNext($X102,AB$12,"M",FRM&lt;&gt;"Calypso",CCY))</f>
        <v>0</v>
      </c>
      <c r="AC102" s="789">
        <f>IF($X102=0,0,      _xll.qDateNext($X102,AC$12,"M",FRM&lt;&gt;"Calypso",CCY))</f>
        <v>0</v>
      </c>
      <c r="AD102" s="789">
        <f>IF($X102=0,0,      _xll.qDateNext($X102,AD$12,"M",FRM&lt;&gt;"Calypso",CCY))</f>
        <v>0</v>
      </c>
      <c r="AE102" s="789">
        <f>IF($X102=0,0,      _xll.qDateNext($X102,AE$12,"M",FRM&lt;&gt;"Calypso",CCY))</f>
        <v>0</v>
      </c>
      <c r="AF102" s="789">
        <f>IF($X102=0,0,      _xll.qDateNext($X102,AF$12,"M",FRM&lt;&gt;"Calypso",CCY))</f>
        <v>0</v>
      </c>
      <c r="AG102" s="789">
        <f>IF($X102=0,0,      _xll.qDateNext($X102,AG$12,"M",FRM&lt;&gt;"Calypso",CCY))</f>
        <v>0</v>
      </c>
      <c r="AH102" s="789">
        <f>IF($X102=0,0,      _xll.qDateNext($X102,AH$12,"M",FRM&lt;&gt;"Calypso",CCY))</f>
        <v>0</v>
      </c>
      <c r="AI102" s="789">
        <f>IF($X102=0,0,      _xll.qDateNext($X102,AI$12,"M",FRM&lt;&gt;"Calypso",CCY))</f>
        <v>0</v>
      </c>
      <c r="AJ102" s="529" t="str">
        <v/>
      </c>
      <c r="AK102" s="529" t="str">
        <v/>
      </c>
      <c r="AL102" s="529" t="str">
        <v/>
      </c>
      <c r="AM102" s="529" t="str">
        <v/>
      </c>
      <c r="AN102" s="529" t="str">
        <v/>
      </c>
      <c r="AO102" s="529" t="str">
        <v/>
      </c>
      <c r="AP102" s="529" t="str">
        <v/>
      </c>
      <c r="AQ102" s="529" t="str">
        <v/>
      </c>
      <c r="AR102" s="529">
        <v>0</v>
      </c>
      <c r="AS102" s="529">
        <v>0</v>
      </c>
      <c r="AT102" s="529">
        <f t="shared" si="28"/>
        <v>0</v>
      </c>
      <c r="AU102" s="529">
        <v>0</v>
      </c>
      <c r="AV102" s="529">
        <f t="shared" si="29"/>
        <v>0</v>
      </c>
      <c r="AW102" s="529">
        <f t="shared" si="30"/>
        <v>0</v>
      </c>
      <c r="AX102" s="529">
        <v>0</v>
      </c>
      <c r="AY102" s="529">
        <v>0</v>
      </c>
      <c r="AZ102" s="761">
        <f t="shared" si="19"/>
        <v>0</v>
      </c>
      <c r="BA102" s="761">
        <f t="shared" si="20"/>
        <v>0</v>
      </c>
      <c r="BB102" s="761">
        <f t="shared" si="21"/>
        <v>0</v>
      </c>
      <c r="BC102" s="761">
        <f t="shared" si="22"/>
        <v>0</v>
      </c>
      <c r="BD102" s="761">
        <f t="shared" si="23"/>
        <v>0</v>
      </c>
      <c r="BE102" s="761">
        <f t="shared" si="24"/>
        <v>0</v>
      </c>
      <c r="BF102" s="761">
        <f t="shared" si="25"/>
        <v>0</v>
      </c>
      <c r="BG102" s="761">
        <f t="shared" si="26"/>
        <v>0</v>
      </c>
      <c r="BH102" s="777">
        <v>0</v>
      </c>
      <c r="BI102" s="755"/>
      <c r="BJ102" s="778">
        <f>IF(X103=0,0,           IF(ISNUMBER(BI102),BI102,               IF(ISTEXT(BI102),INDEX(AZ102:BG102,MATCH(BI102,$AZ$12:$BG$12,0)),             IF(BH102="INT",_xll.qInterp(X103,AB102:AI102,AZ102:BG102),            INDEX(AZ102:BG102,MATCH(BH102,$AZ$12:$BG$12,0))))))</f>
        <v>0</v>
      </c>
      <c r="BK102" s="408">
        <f t="shared" si="31"/>
        <v>0</v>
      </c>
      <c r="BL102" s="414">
        <f t="shared" si="32"/>
        <v>0</v>
      </c>
      <c r="BM102" s="408">
        <f t="shared" si="33"/>
        <v>0</v>
      </c>
    </row>
    <row r="103" spans="16:65">
      <c r="P103" s="779">
        <v>0</v>
      </c>
      <c r="Q103" s="780">
        <f t="shared" si="17"/>
        <v>0</v>
      </c>
      <c r="R103" s="776">
        <f>IF(P104,_xll.qDateYears(P103,P104,DCCfixed),0)</f>
        <v>0</v>
      </c>
      <c r="S103" s="553">
        <v>0</v>
      </c>
      <c r="T103" s="785"/>
      <c r="U103" s="409">
        <f t="shared" si="27"/>
        <v>0</v>
      </c>
      <c r="X103" s="363">
        <v>0</v>
      </c>
      <c r="Y103" s="775">
        <f t="shared" si="18"/>
        <v>0</v>
      </c>
      <c r="Z103" s="776">
        <f>IF(X104,_xll.qDateYears(X103,X104,DCCfloat),0)</f>
        <v>0</v>
      </c>
      <c r="AA103" s="553">
        <v>0</v>
      </c>
      <c r="AB103" s="789">
        <f>IF($X103=0,0,      _xll.qDateNext($X103,AB$12,"M",FRM&lt;&gt;"Calypso",CCY))</f>
        <v>0</v>
      </c>
      <c r="AC103" s="789">
        <f>IF($X103=0,0,      _xll.qDateNext($X103,AC$12,"M",FRM&lt;&gt;"Calypso",CCY))</f>
        <v>0</v>
      </c>
      <c r="AD103" s="789">
        <f>IF($X103=0,0,      _xll.qDateNext($X103,AD$12,"M",FRM&lt;&gt;"Calypso",CCY))</f>
        <v>0</v>
      </c>
      <c r="AE103" s="789">
        <f>IF($X103=0,0,      _xll.qDateNext($X103,AE$12,"M",FRM&lt;&gt;"Calypso",CCY))</f>
        <v>0</v>
      </c>
      <c r="AF103" s="789">
        <f>IF($X103=0,0,      _xll.qDateNext($X103,AF$12,"M",FRM&lt;&gt;"Calypso",CCY))</f>
        <v>0</v>
      </c>
      <c r="AG103" s="789">
        <f>IF($X103=0,0,      _xll.qDateNext($X103,AG$12,"M",FRM&lt;&gt;"Calypso",CCY))</f>
        <v>0</v>
      </c>
      <c r="AH103" s="789">
        <f>IF($X103=0,0,      _xll.qDateNext($X103,AH$12,"M",FRM&lt;&gt;"Calypso",CCY))</f>
        <v>0</v>
      </c>
      <c r="AI103" s="789">
        <f>IF($X103=0,0,      _xll.qDateNext($X103,AI$12,"M",FRM&lt;&gt;"Calypso",CCY))</f>
        <v>0</v>
      </c>
      <c r="AJ103" s="529" t="str">
        <v/>
      </c>
      <c r="AK103" s="529" t="str">
        <v/>
      </c>
      <c r="AL103" s="529" t="str">
        <v/>
      </c>
      <c r="AM103" s="529" t="str">
        <v/>
      </c>
      <c r="AN103" s="529" t="str">
        <v/>
      </c>
      <c r="AO103" s="529" t="str">
        <v/>
      </c>
      <c r="AP103" s="529" t="str">
        <v/>
      </c>
      <c r="AQ103" s="529" t="str">
        <v/>
      </c>
      <c r="AR103" s="529">
        <v>0</v>
      </c>
      <c r="AS103" s="529">
        <v>0</v>
      </c>
      <c r="AT103" s="529">
        <f t="shared" si="28"/>
        <v>0</v>
      </c>
      <c r="AU103" s="529">
        <v>0</v>
      </c>
      <c r="AV103" s="529">
        <f t="shared" si="29"/>
        <v>0</v>
      </c>
      <c r="AW103" s="529">
        <f t="shared" si="30"/>
        <v>0</v>
      </c>
      <c r="AX103" s="529">
        <v>0</v>
      </c>
      <c r="AY103" s="529">
        <v>0</v>
      </c>
      <c r="AZ103" s="761">
        <f t="shared" si="19"/>
        <v>0</v>
      </c>
      <c r="BA103" s="761">
        <f t="shared" si="20"/>
        <v>0</v>
      </c>
      <c r="BB103" s="761">
        <f t="shared" si="21"/>
        <v>0</v>
      </c>
      <c r="BC103" s="761">
        <f t="shared" si="22"/>
        <v>0</v>
      </c>
      <c r="BD103" s="761">
        <f t="shared" si="23"/>
        <v>0</v>
      </c>
      <c r="BE103" s="761">
        <f t="shared" si="24"/>
        <v>0</v>
      </c>
      <c r="BF103" s="761">
        <f t="shared" si="25"/>
        <v>0</v>
      </c>
      <c r="BG103" s="761">
        <f t="shared" si="26"/>
        <v>0</v>
      </c>
      <c r="BH103" s="777">
        <v>0</v>
      </c>
      <c r="BI103" s="755"/>
      <c r="BJ103" s="778">
        <f>IF(X104=0,0,           IF(ISNUMBER(BI103),BI103,               IF(ISTEXT(BI103),INDEX(AZ103:BG103,MATCH(BI103,$AZ$12:$BG$12,0)),             IF(BH103="INT",_xll.qInterp(X104,AB103:AI103,AZ103:BG103),            INDEX(AZ103:BG103,MATCH(BH103,$AZ$12:$BG$12,0))))))</f>
        <v>0</v>
      </c>
      <c r="BK103" s="408">
        <f t="shared" si="31"/>
        <v>0</v>
      </c>
      <c r="BL103" s="414">
        <f t="shared" si="32"/>
        <v>0</v>
      </c>
      <c r="BM103" s="408">
        <f t="shared" si="33"/>
        <v>0</v>
      </c>
    </row>
    <row r="104" spans="16:65">
      <c r="P104" s="779">
        <v>0</v>
      </c>
      <c r="Q104" s="780">
        <f t="shared" si="17"/>
        <v>0</v>
      </c>
      <c r="R104" s="776">
        <f>IF(P105,_xll.qDateYears(P104,P105,DCCfixed),0)</f>
        <v>0</v>
      </c>
      <c r="S104" s="553">
        <v>0</v>
      </c>
      <c r="T104" s="785"/>
      <c r="U104" s="409">
        <f t="shared" si="27"/>
        <v>0</v>
      </c>
      <c r="X104" s="363">
        <v>0</v>
      </c>
      <c r="Y104" s="775">
        <f t="shared" si="18"/>
        <v>0</v>
      </c>
      <c r="Z104" s="776">
        <f>IF(X105,_xll.qDateYears(X104,X105,DCCfloat),0)</f>
        <v>0</v>
      </c>
      <c r="AA104" s="553">
        <v>0</v>
      </c>
      <c r="AB104" s="789">
        <f>IF($X104=0,0,      _xll.qDateNext($X104,AB$12,"M",FRM&lt;&gt;"Calypso",CCY))</f>
        <v>0</v>
      </c>
      <c r="AC104" s="789">
        <f>IF($X104=0,0,      _xll.qDateNext($X104,AC$12,"M",FRM&lt;&gt;"Calypso",CCY))</f>
        <v>0</v>
      </c>
      <c r="AD104" s="789">
        <f>IF($X104=0,0,      _xll.qDateNext($X104,AD$12,"M",FRM&lt;&gt;"Calypso",CCY))</f>
        <v>0</v>
      </c>
      <c r="AE104" s="789">
        <f>IF($X104=0,0,      _xll.qDateNext($X104,AE$12,"M",FRM&lt;&gt;"Calypso",CCY))</f>
        <v>0</v>
      </c>
      <c r="AF104" s="789">
        <f>IF($X104=0,0,      _xll.qDateNext($X104,AF$12,"M",FRM&lt;&gt;"Calypso",CCY))</f>
        <v>0</v>
      </c>
      <c r="AG104" s="789">
        <f>IF($X104=0,0,      _xll.qDateNext($X104,AG$12,"M",FRM&lt;&gt;"Calypso",CCY))</f>
        <v>0</v>
      </c>
      <c r="AH104" s="789">
        <f>IF($X104=0,0,      _xll.qDateNext($X104,AH$12,"M",FRM&lt;&gt;"Calypso",CCY))</f>
        <v>0</v>
      </c>
      <c r="AI104" s="789">
        <f>IF($X104=0,0,      _xll.qDateNext($X104,AI$12,"M",FRM&lt;&gt;"Calypso",CCY))</f>
        <v>0</v>
      </c>
      <c r="AJ104" s="529" t="str">
        <v/>
      </c>
      <c r="AK104" s="529" t="str">
        <v/>
      </c>
      <c r="AL104" s="529" t="str">
        <v/>
      </c>
      <c r="AM104" s="529" t="str">
        <v/>
      </c>
      <c r="AN104" s="529" t="str">
        <v/>
      </c>
      <c r="AO104" s="529" t="str">
        <v/>
      </c>
      <c r="AP104" s="529" t="str">
        <v/>
      </c>
      <c r="AQ104" s="529" t="str">
        <v/>
      </c>
      <c r="AR104" s="529">
        <v>0</v>
      </c>
      <c r="AS104" s="529">
        <v>0</v>
      </c>
      <c r="AT104" s="529">
        <f t="shared" si="28"/>
        <v>0</v>
      </c>
      <c r="AU104" s="529">
        <v>0</v>
      </c>
      <c r="AV104" s="529">
        <f t="shared" si="29"/>
        <v>0</v>
      </c>
      <c r="AW104" s="529">
        <f t="shared" si="30"/>
        <v>0</v>
      </c>
      <c r="AX104" s="529">
        <v>0</v>
      </c>
      <c r="AY104" s="529">
        <v>0</v>
      </c>
      <c r="AZ104" s="761">
        <f t="shared" si="19"/>
        <v>0</v>
      </c>
      <c r="BA104" s="761">
        <f t="shared" si="20"/>
        <v>0</v>
      </c>
      <c r="BB104" s="761">
        <f t="shared" si="21"/>
        <v>0</v>
      </c>
      <c r="BC104" s="761">
        <f t="shared" si="22"/>
        <v>0</v>
      </c>
      <c r="BD104" s="761">
        <f t="shared" si="23"/>
        <v>0</v>
      </c>
      <c r="BE104" s="761">
        <f t="shared" si="24"/>
        <v>0</v>
      </c>
      <c r="BF104" s="761">
        <f t="shared" si="25"/>
        <v>0</v>
      </c>
      <c r="BG104" s="761">
        <f t="shared" si="26"/>
        <v>0</v>
      </c>
      <c r="BH104" s="777">
        <v>0</v>
      </c>
      <c r="BI104" s="755"/>
      <c r="BJ104" s="778">
        <f>IF(X105=0,0,           IF(ISNUMBER(BI104),BI104,               IF(ISTEXT(BI104),INDEX(AZ104:BG104,MATCH(BI104,$AZ$12:$BG$12,0)),             IF(BH104="INT",_xll.qInterp(X105,AB104:AI104,AZ104:BG104),            INDEX(AZ104:BG104,MATCH(BH104,$AZ$12:$BG$12,0))))))</f>
        <v>0</v>
      </c>
      <c r="BK104" s="408">
        <f t="shared" si="31"/>
        <v>0</v>
      </c>
      <c r="BL104" s="414">
        <f t="shared" si="32"/>
        <v>0</v>
      </c>
      <c r="BM104" s="408">
        <f t="shared" si="33"/>
        <v>0</v>
      </c>
    </row>
    <row r="105" spans="16:65">
      <c r="P105" s="779">
        <v>0</v>
      </c>
      <c r="Q105" s="780">
        <f t="shared" si="17"/>
        <v>0</v>
      </c>
      <c r="R105" s="776">
        <f>IF(P106,_xll.qDateYears(P105,P106,DCCfixed),0)</f>
        <v>0</v>
      </c>
      <c r="S105" s="553">
        <v>0</v>
      </c>
      <c r="T105" s="785"/>
      <c r="U105" s="409">
        <f t="shared" si="27"/>
        <v>0</v>
      </c>
      <c r="X105" s="363">
        <v>0</v>
      </c>
      <c r="Y105" s="775">
        <f t="shared" si="18"/>
        <v>0</v>
      </c>
      <c r="Z105" s="776">
        <f>IF(X106,_xll.qDateYears(X105,X106,DCCfloat),0)</f>
        <v>0</v>
      </c>
      <c r="AA105" s="553">
        <v>0</v>
      </c>
      <c r="AB105" s="789">
        <f>IF($X105=0,0,      _xll.qDateNext($X105,AB$12,"M",FRM&lt;&gt;"Calypso",CCY))</f>
        <v>0</v>
      </c>
      <c r="AC105" s="789">
        <f>IF($X105=0,0,      _xll.qDateNext($X105,AC$12,"M",FRM&lt;&gt;"Calypso",CCY))</f>
        <v>0</v>
      </c>
      <c r="AD105" s="789">
        <f>IF($X105=0,0,      _xll.qDateNext($X105,AD$12,"M",FRM&lt;&gt;"Calypso",CCY))</f>
        <v>0</v>
      </c>
      <c r="AE105" s="789">
        <f>IF($X105=0,0,      _xll.qDateNext($X105,AE$12,"M",FRM&lt;&gt;"Calypso",CCY))</f>
        <v>0</v>
      </c>
      <c r="AF105" s="789">
        <f>IF($X105=0,0,      _xll.qDateNext($X105,AF$12,"M",FRM&lt;&gt;"Calypso",CCY))</f>
        <v>0</v>
      </c>
      <c r="AG105" s="789">
        <f>IF($X105=0,0,      _xll.qDateNext($X105,AG$12,"M",FRM&lt;&gt;"Calypso",CCY))</f>
        <v>0</v>
      </c>
      <c r="AH105" s="789">
        <f>IF($X105=0,0,      _xll.qDateNext($X105,AH$12,"M",FRM&lt;&gt;"Calypso",CCY))</f>
        <v>0</v>
      </c>
      <c r="AI105" s="789">
        <f>IF($X105=0,0,      _xll.qDateNext($X105,AI$12,"M",FRM&lt;&gt;"Calypso",CCY))</f>
        <v>0</v>
      </c>
      <c r="AJ105" s="529" t="str">
        <v/>
      </c>
      <c r="AK105" s="529" t="str">
        <v/>
      </c>
      <c r="AL105" s="529" t="str">
        <v/>
      </c>
      <c r="AM105" s="529" t="str">
        <v/>
      </c>
      <c r="AN105" s="529" t="str">
        <v/>
      </c>
      <c r="AO105" s="529" t="str">
        <v/>
      </c>
      <c r="AP105" s="529" t="str">
        <v/>
      </c>
      <c r="AQ105" s="529" t="str">
        <v/>
      </c>
      <c r="AR105" s="529">
        <v>0</v>
      </c>
      <c r="AS105" s="529">
        <v>0</v>
      </c>
      <c r="AT105" s="529">
        <f t="shared" si="28"/>
        <v>0</v>
      </c>
      <c r="AU105" s="529">
        <v>0</v>
      </c>
      <c r="AV105" s="529">
        <f t="shared" si="29"/>
        <v>0</v>
      </c>
      <c r="AW105" s="529">
        <f t="shared" si="30"/>
        <v>0</v>
      </c>
      <c r="AX105" s="529">
        <v>0</v>
      </c>
      <c r="AY105" s="529">
        <v>0</v>
      </c>
      <c r="AZ105" s="761">
        <f t="shared" si="19"/>
        <v>0</v>
      </c>
      <c r="BA105" s="761">
        <f t="shared" si="20"/>
        <v>0</v>
      </c>
      <c r="BB105" s="761">
        <f t="shared" si="21"/>
        <v>0</v>
      </c>
      <c r="BC105" s="761">
        <f t="shared" si="22"/>
        <v>0</v>
      </c>
      <c r="BD105" s="761">
        <f t="shared" si="23"/>
        <v>0</v>
      </c>
      <c r="BE105" s="761">
        <f t="shared" si="24"/>
        <v>0</v>
      </c>
      <c r="BF105" s="761">
        <f t="shared" si="25"/>
        <v>0</v>
      </c>
      <c r="BG105" s="761">
        <f t="shared" si="26"/>
        <v>0</v>
      </c>
      <c r="BH105" s="777">
        <v>0</v>
      </c>
      <c r="BI105" s="755"/>
      <c r="BJ105" s="778">
        <f>IF(X106=0,0,           IF(ISNUMBER(BI105),BI105,               IF(ISTEXT(BI105),INDEX(AZ105:BG105,MATCH(BI105,$AZ$12:$BG$12,0)),             IF(BH105="INT",_xll.qInterp(X106,AB105:AI105,AZ105:BG105),            INDEX(AZ105:BG105,MATCH(BH105,$AZ$12:$BG$12,0))))))</f>
        <v>0</v>
      </c>
      <c r="BK105" s="408">
        <f t="shared" si="31"/>
        <v>0</v>
      </c>
      <c r="BL105" s="414">
        <f t="shared" si="32"/>
        <v>0</v>
      </c>
      <c r="BM105" s="408">
        <f t="shared" si="33"/>
        <v>0</v>
      </c>
    </row>
    <row r="106" spans="16:65">
      <c r="P106" s="779">
        <v>0</v>
      </c>
      <c r="Q106" s="780">
        <f t="shared" si="17"/>
        <v>0</v>
      </c>
      <c r="R106" s="776">
        <f>IF(P107,_xll.qDateYears(P106,P107,DCCfixed),0)</f>
        <v>0</v>
      </c>
      <c r="S106" s="553">
        <v>0</v>
      </c>
      <c r="T106" s="785"/>
      <c r="U106" s="409">
        <f t="shared" si="27"/>
        <v>0</v>
      </c>
      <c r="X106" s="363">
        <v>0</v>
      </c>
      <c r="Y106" s="775">
        <f t="shared" si="18"/>
        <v>0</v>
      </c>
      <c r="Z106" s="776">
        <f>IF(X107,_xll.qDateYears(X106,X107,DCCfloat),0)</f>
        <v>0</v>
      </c>
      <c r="AA106" s="553">
        <v>0</v>
      </c>
      <c r="AB106" s="789">
        <f>IF($X106=0,0,      _xll.qDateNext($X106,AB$12,"M",FRM&lt;&gt;"Calypso",CCY))</f>
        <v>0</v>
      </c>
      <c r="AC106" s="789">
        <f>IF($X106=0,0,      _xll.qDateNext($X106,AC$12,"M",FRM&lt;&gt;"Calypso",CCY))</f>
        <v>0</v>
      </c>
      <c r="AD106" s="789">
        <f>IF($X106=0,0,      _xll.qDateNext($X106,AD$12,"M",FRM&lt;&gt;"Calypso",CCY))</f>
        <v>0</v>
      </c>
      <c r="AE106" s="789">
        <f>IF($X106=0,0,      _xll.qDateNext($X106,AE$12,"M",FRM&lt;&gt;"Calypso",CCY))</f>
        <v>0</v>
      </c>
      <c r="AF106" s="789">
        <f>IF($X106=0,0,      _xll.qDateNext($X106,AF$12,"M",FRM&lt;&gt;"Calypso",CCY))</f>
        <v>0</v>
      </c>
      <c r="AG106" s="789">
        <f>IF($X106=0,0,      _xll.qDateNext($X106,AG$12,"M",FRM&lt;&gt;"Calypso",CCY))</f>
        <v>0</v>
      </c>
      <c r="AH106" s="789">
        <f>IF($X106=0,0,      _xll.qDateNext($X106,AH$12,"M",FRM&lt;&gt;"Calypso",CCY))</f>
        <v>0</v>
      </c>
      <c r="AI106" s="789">
        <f>IF($X106=0,0,      _xll.qDateNext($X106,AI$12,"M",FRM&lt;&gt;"Calypso",CCY))</f>
        <v>0</v>
      </c>
      <c r="AJ106" s="529" t="str">
        <v/>
      </c>
      <c r="AK106" s="529" t="str">
        <v/>
      </c>
      <c r="AL106" s="529" t="str">
        <v/>
      </c>
      <c r="AM106" s="529" t="str">
        <v/>
      </c>
      <c r="AN106" s="529" t="str">
        <v/>
      </c>
      <c r="AO106" s="529" t="str">
        <v/>
      </c>
      <c r="AP106" s="529" t="str">
        <v/>
      </c>
      <c r="AQ106" s="529" t="str">
        <v/>
      </c>
      <c r="AR106" s="529">
        <v>0</v>
      </c>
      <c r="AS106" s="529">
        <v>0</v>
      </c>
      <c r="AT106" s="529">
        <f t="shared" si="28"/>
        <v>0</v>
      </c>
      <c r="AU106" s="529">
        <v>0</v>
      </c>
      <c r="AV106" s="529">
        <f t="shared" si="29"/>
        <v>0</v>
      </c>
      <c r="AW106" s="529">
        <f t="shared" si="30"/>
        <v>0</v>
      </c>
      <c r="AX106" s="529">
        <v>0</v>
      </c>
      <c r="AY106" s="529">
        <v>0</v>
      </c>
      <c r="AZ106" s="761">
        <f t="shared" si="19"/>
        <v>0</v>
      </c>
      <c r="BA106" s="761">
        <f t="shared" si="20"/>
        <v>0</v>
      </c>
      <c r="BB106" s="761">
        <f t="shared" si="21"/>
        <v>0</v>
      </c>
      <c r="BC106" s="761">
        <f t="shared" si="22"/>
        <v>0</v>
      </c>
      <c r="BD106" s="761">
        <f t="shared" si="23"/>
        <v>0</v>
      </c>
      <c r="BE106" s="761">
        <f t="shared" si="24"/>
        <v>0</v>
      </c>
      <c r="BF106" s="761">
        <f t="shared" si="25"/>
        <v>0</v>
      </c>
      <c r="BG106" s="761">
        <f t="shared" si="26"/>
        <v>0</v>
      </c>
      <c r="BH106" s="777">
        <v>0</v>
      </c>
      <c r="BI106" s="755"/>
      <c r="BJ106" s="778">
        <f>IF(X107=0,0,           IF(ISNUMBER(BI106),BI106,               IF(ISTEXT(BI106),INDEX(AZ106:BG106,MATCH(BI106,$AZ$12:$BG$12,0)),             IF(BH106="INT",_xll.qInterp(X107,AB106:AI106,AZ106:BG106),            INDEX(AZ106:BG106,MATCH(BH106,$AZ$12:$BG$12,0))))))</f>
        <v>0</v>
      </c>
      <c r="BK106" s="408">
        <f t="shared" si="31"/>
        <v>0</v>
      </c>
      <c r="BL106" s="414">
        <f t="shared" si="32"/>
        <v>0</v>
      </c>
      <c r="BM106" s="408">
        <f t="shared" si="33"/>
        <v>0</v>
      </c>
    </row>
    <row r="107" spans="16:65">
      <c r="P107" s="779">
        <v>0</v>
      </c>
      <c r="Q107" s="780">
        <f t="shared" si="17"/>
        <v>0</v>
      </c>
      <c r="R107" s="776">
        <f>IF(P108,_xll.qDateYears(P107,P108,DCCfixed),0)</f>
        <v>0</v>
      </c>
      <c r="S107" s="553">
        <v>0</v>
      </c>
      <c r="T107" s="785"/>
      <c r="U107" s="409">
        <f t="shared" si="27"/>
        <v>0</v>
      </c>
      <c r="X107" s="363">
        <v>0</v>
      </c>
      <c r="Y107" s="775">
        <f t="shared" si="18"/>
        <v>0</v>
      </c>
      <c r="Z107" s="776">
        <f>IF(X108,_xll.qDateYears(X107,X108,DCCfloat),0)</f>
        <v>0</v>
      </c>
      <c r="AA107" s="553">
        <v>0</v>
      </c>
      <c r="AB107" s="789">
        <f>IF($X107=0,0,      _xll.qDateNext($X107,AB$12,"M",FRM&lt;&gt;"Calypso",CCY))</f>
        <v>0</v>
      </c>
      <c r="AC107" s="789">
        <f>IF($X107=0,0,      _xll.qDateNext($X107,AC$12,"M",FRM&lt;&gt;"Calypso",CCY))</f>
        <v>0</v>
      </c>
      <c r="AD107" s="789">
        <f>IF($X107=0,0,      _xll.qDateNext($X107,AD$12,"M",FRM&lt;&gt;"Calypso",CCY))</f>
        <v>0</v>
      </c>
      <c r="AE107" s="789">
        <f>IF($X107=0,0,      _xll.qDateNext($X107,AE$12,"M",FRM&lt;&gt;"Calypso",CCY))</f>
        <v>0</v>
      </c>
      <c r="AF107" s="789">
        <f>IF($X107=0,0,      _xll.qDateNext($X107,AF$12,"M",FRM&lt;&gt;"Calypso",CCY))</f>
        <v>0</v>
      </c>
      <c r="AG107" s="789">
        <f>IF($X107=0,0,      _xll.qDateNext($X107,AG$12,"M",FRM&lt;&gt;"Calypso",CCY))</f>
        <v>0</v>
      </c>
      <c r="AH107" s="789">
        <f>IF($X107=0,0,      _xll.qDateNext($X107,AH$12,"M",FRM&lt;&gt;"Calypso",CCY))</f>
        <v>0</v>
      </c>
      <c r="AI107" s="789">
        <f>IF($X107=0,0,      _xll.qDateNext($X107,AI$12,"M",FRM&lt;&gt;"Calypso",CCY))</f>
        <v>0</v>
      </c>
      <c r="AJ107" s="529" t="str">
        <v/>
      </c>
      <c r="AK107" s="529" t="str">
        <v/>
      </c>
      <c r="AL107" s="529" t="str">
        <v/>
      </c>
      <c r="AM107" s="529" t="str">
        <v/>
      </c>
      <c r="AN107" s="529" t="str">
        <v/>
      </c>
      <c r="AO107" s="529" t="str">
        <v/>
      </c>
      <c r="AP107" s="529" t="str">
        <v/>
      </c>
      <c r="AQ107" s="529" t="str">
        <v/>
      </c>
      <c r="AR107" s="529">
        <v>0</v>
      </c>
      <c r="AS107" s="529">
        <v>0</v>
      </c>
      <c r="AT107" s="529">
        <f t="shared" si="28"/>
        <v>0</v>
      </c>
      <c r="AU107" s="529">
        <v>0</v>
      </c>
      <c r="AV107" s="529">
        <f t="shared" si="29"/>
        <v>0</v>
      </c>
      <c r="AW107" s="529">
        <f t="shared" si="30"/>
        <v>0</v>
      </c>
      <c r="AX107" s="529">
        <v>0</v>
      </c>
      <c r="AY107" s="529">
        <v>0</v>
      </c>
      <c r="AZ107" s="761">
        <f t="shared" si="19"/>
        <v>0</v>
      </c>
      <c r="BA107" s="761">
        <f t="shared" si="20"/>
        <v>0</v>
      </c>
      <c r="BB107" s="761">
        <f t="shared" si="21"/>
        <v>0</v>
      </c>
      <c r="BC107" s="761">
        <f t="shared" si="22"/>
        <v>0</v>
      </c>
      <c r="BD107" s="761">
        <f t="shared" si="23"/>
        <v>0</v>
      </c>
      <c r="BE107" s="761">
        <f t="shared" si="24"/>
        <v>0</v>
      </c>
      <c r="BF107" s="761">
        <f t="shared" si="25"/>
        <v>0</v>
      </c>
      <c r="BG107" s="761">
        <f t="shared" si="26"/>
        <v>0</v>
      </c>
      <c r="BH107" s="777">
        <v>0</v>
      </c>
      <c r="BI107" s="755"/>
      <c r="BJ107" s="778">
        <f>IF(X108=0,0,           IF(ISNUMBER(BI107),BI107,               IF(ISTEXT(BI107),INDEX(AZ107:BG107,MATCH(BI107,$AZ$12:$BG$12,0)),             IF(BH107="INT",_xll.qInterp(X108,AB107:AI107,AZ107:BG107),            INDEX(AZ107:BG107,MATCH(BH107,$AZ$12:$BG$12,0))))))</f>
        <v>0</v>
      </c>
      <c r="BK107" s="408">
        <f t="shared" si="31"/>
        <v>0</v>
      </c>
      <c r="BL107" s="414">
        <f t="shared" si="32"/>
        <v>0</v>
      </c>
      <c r="BM107" s="408">
        <f t="shared" si="33"/>
        <v>0</v>
      </c>
    </row>
    <row r="108" spans="16:65">
      <c r="P108" s="779">
        <v>0</v>
      </c>
      <c r="Q108" s="780">
        <f t="shared" si="17"/>
        <v>0</v>
      </c>
      <c r="R108" s="776">
        <f>IF(P109,_xll.qDateYears(P108,P109,DCCfixed),0)</f>
        <v>0</v>
      </c>
      <c r="S108" s="553">
        <v>0</v>
      </c>
      <c r="T108" s="785"/>
      <c r="U108" s="409">
        <f t="shared" si="27"/>
        <v>0</v>
      </c>
      <c r="X108" s="363">
        <v>0</v>
      </c>
      <c r="Y108" s="775">
        <f t="shared" si="18"/>
        <v>0</v>
      </c>
      <c r="Z108" s="776">
        <f>IF(X109,_xll.qDateYears(X108,X109,DCCfloat),0)</f>
        <v>0</v>
      </c>
      <c r="AA108" s="553">
        <v>0</v>
      </c>
      <c r="AB108" s="789">
        <f>IF($X108=0,0,      _xll.qDateNext($X108,AB$12,"M",FRM&lt;&gt;"Calypso",CCY))</f>
        <v>0</v>
      </c>
      <c r="AC108" s="789">
        <f>IF($X108=0,0,      _xll.qDateNext($X108,AC$12,"M",FRM&lt;&gt;"Calypso",CCY))</f>
        <v>0</v>
      </c>
      <c r="AD108" s="789">
        <f>IF($X108=0,0,      _xll.qDateNext($X108,AD$12,"M",FRM&lt;&gt;"Calypso",CCY))</f>
        <v>0</v>
      </c>
      <c r="AE108" s="789">
        <f>IF($X108=0,0,      _xll.qDateNext($X108,AE$12,"M",FRM&lt;&gt;"Calypso",CCY))</f>
        <v>0</v>
      </c>
      <c r="AF108" s="789">
        <f>IF($X108=0,0,      _xll.qDateNext($X108,AF$12,"M",FRM&lt;&gt;"Calypso",CCY))</f>
        <v>0</v>
      </c>
      <c r="AG108" s="789">
        <f>IF($X108=0,0,      _xll.qDateNext($X108,AG$12,"M",FRM&lt;&gt;"Calypso",CCY))</f>
        <v>0</v>
      </c>
      <c r="AH108" s="789">
        <f>IF($X108=0,0,      _xll.qDateNext($X108,AH$12,"M",FRM&lt;&gt;"Calypso",CCY))</f>
        <v>0</v>
      </c>
      <c r="AI108" s="789">
        <f>IF($X108=0,0,      _xll.qDateNext($X108,AI$12,"M",FRM&lt;&gt;"Calypso",CCY))</f>
        <v>0</v>
      </c>
      <c r="AJ108" s="529" t="str">
        <v/>
      </c>
      <c r="AK108" s="529" t="str">
        <v/>
      </c>
      <c r="AL108" s="529" t="str">
        <v/>
      </c>
      <c r="AM108" s="529" t="str">
        <v/>
      </c>
      <c r="AN108" s="529" t="str">
        <v/>
      </c>
      <c r="AO108" s="529" t="str">
        <v/>
      </c>
      <c r="AP108" s="529" t="str">
        <v/>
      </c>
      <c r="AQ108" s="529" t="str">
        <v/>
      </c>
      <c r="AR108" s="529">
        <v>0</v>
      </c>
      <c r="AS108" s="529">
        <v>0</v>
      </c>
      <c r="AT108" s="529">
        <f t="shared" si="28"/>
        <v>0</v>
      </c>
      <c r="AU108" s="529">
        <v>0</v>
      </c>
      <c r="AV108" s="529">
        <f t="shared" si="29"/>
        <v>0</v>
      </c>
      <c r="AW108" s="529">
        <f t="shared" si="30"/>
        <v>0</v>
      </c>
      <c r="AX108" s="529">
        <v>0</v>
      </c>
      <c r="AY108" s="529">
        <v>0</v>
      </c>
      <c r="AZ108" s="761">
        <f t="shared" si="19"/>
        <v>0</v>
      </c>
      <c r="BA108" s="761">
        <f t="shared" si="20"/>
        <v>0</v>
      </c>
      <c r="BB108" s="761">
        <f t="shared" si="21"/>
        <v>0</v>
      </c>
      <c r="BC108" s="761">
        <f t="shared" si="22"/>
        <v>0</v>
      </c>
      <c r="BD108" s="761">
        <f t="shared" si="23"/>
        <v>0</v>
      </c>
      <c r="BE108" s="761">
        <f t="shared" si="24"/>
        <v>0</v>
      </c>
      <c r="BF108" s="761">
        <f t="shared" si="25"/>
        <v>0</v>
      </c>
      <c r="BG108" s="761">
        <f t="shared" si="26"/>
        <v>0</v>
      </c>
      <c r="BH108" s="777">
        <v>0</v>
      </c>
      <c r="BI108" s="755"/>
      <c r="BJ108" s="778">
        <f>IF(X109=0,0,           IF(ISNUMBER(BI108),BI108,               IF(ISTEXT(BI108),INDEX(AZ108:BG108,MATCH(BI108,$AZ$12:$BG$12,0)),             IF(BH108="INT",_xll.qInterp(X109,AB108:AI108,AZ108:BG108),            INDEX(AZ108:BG108,MATCH(BH108,$AZ$12:$BG$12,0))))))</f>
        <v>0</v>
      </c>
      <c r="BK108" s="408">
        <f t="shared" si="31"/>
        <v>0</v>
      </c>
      <c r="BL108" s="414">
        <f t="shared" si="32"/>
        <v>0</v>
      </c>
      <c r="BM108" s="408">
        <f t="shared" si="33"/>
        <v>0</v>
      </c>
    </row>
    <row r="109" spans="16:65">
      <c r="P109" s="779">
        <v>0</v>
      </c>
      <c r="Q109" s="780">
        <f t="shared" si="17"/>
        <v>0</v>
      </c>
      <c r="R109" s="776">
        <f>IF(P110,_xll.qDateYears(P109,P110,DCCfixed),0)</f>
        <v>0</v>
      </c>
      <c r="S109" s="553">
        <v>0</v>
      </c>
      <c r="T109" s="785"/>
      <c r="U109" s="409">
        <f t="shared" si="27"/>
        <v>0</v>
      </c>
      <c r="X109" s="363">
        <v>0</v>
      </c>
      <c r="Y109" s="775">
        <f t="shared" si="18"/>
        <v>0</v>
      </c>
      <c r="Z109" s="776">
        <f>IF(X110,_xll.qDateYears(X109,X110,DCCfloat),0)</f>
        <v>0</v>
      </c>
      <c r="AA109" s="553">
        <v>0</v>
      </c>
      <c r="AB109" s="789">
        <f>IF($X109=0,0,      _xll.qDateNext($X109,AB$12,"M",FRM&lt;&gt;"Calypso",CCY))</f>
        <v>0</v>
      </c>
      <c r="AC109" s="789">
        <f>IF($X109=0,0,      _xll.qDateNext($X109,AC$12,"M",FRM&lt;&gt;"Calypso",CCY))</f>
        <v>0</v>
      </c>
      <c r="AD109" s="789">
        <f>IF($X109=0,0,      _xll.qDateNext($X109,AD$12,"M",FRM&lt;&gt;"Calypso",CCY))</f>
        <v>0</v>
      </c>
      <c r="AE109" s="789">
        <f>IF($X109=0,0,      _xll.qDateNext($X109,AE$12,"M",FRM&lt;&gt;"Calypso",CCY))</f>
        <v>0</v>
      </c>
      <c r="AF109" s="789">
        <f>IF($X109=0,0,      _xll.qDateNext($X109,AF$12,"M",FRM&lt;&gt;"Calypso",CCY))</f>
        <v>0</v>
      </c>
      <c r="AG109" s="789">
        <f>IF($X109=0,0,      _xll.qDateNext($X109,AG$12,"M",FRM&lt;&gt;"Calypso",CCY))</f>
        <v>0</v>
      </c>
      <c r="AH109" s="789">
        <f>IF($X109=0,0,      _xll.qDateNext($X109,AH$12,"M",FRM&lt;&gt;"Calypso",CCY))</f>
        <v>0</v>
      </c>
      <c r="AI109" s="789">
        <f>IF($X109=0,0,      _xll.qDateNext($X109,AI$12,"M",FRM&lt;&gt;"Calypso",CCY))</f>
        <v>0</v>
      </c>
      <c r="AJ109" s="529" t="str">
        <v/>
      </c>
      <c r="AK109" s="529" t="str">
        <v/>
      </c>
      <c r="AL109" s="529" t="str">
        <v/>
      </c>
      <c r="AM109" s="529" t="str">
        <v/>
      </c>
      <c r="AN109" s="529" t="str">
        <v/>
      </c>
      <c r="AO109" s="529" t="str">
        <v/>
      </c>
      <c r="AP109" s="529" t="str">
        <v/>
      </c>
      <c r="AQ109" s="529" t="str">
        <v/>
      </c>
      <c r="AR109" s="529">
        <v>0</v>
      </c>
      <c r="AS109" s="529">
        <v>0</v>
      </c>
      <c r="AT109" s="529">
        <f t="shared" si="28"/>
        <v>0</v>
      </c>
      <c r="AU109" s="529">
        <v>0</v>
      </c>
      <c r="AV109" s="529">
        <f t="shared" si="29"/>
        <v>0</v>
      </c>
      <c r="AW109" s="529">
        <f t="shared" si="30"/>
        <v>0</v>
      </c>
      <c r="AX109" s="529">
        <v>0</v>
      </c>
      <c r="AY109" s="529">
        <v>0</v>
      </c>
      <c r="AZ109" s="761">
        <f t="shared" si="19"/>
        <v>0</v>
      </c>
      <c r="BA109" s="761">
        <f t="shared" si="20"/>
        <v>0</v>
      </c>
      <c r="BB109" s="761">
        <f t="shared" si="21"/>
        <v>0</v>
      </c>
      <c r="BC109" s="761">
        <f t="shared" si="22"/>
        <v>0</v>
      </c>
      <c r="BD109" s="761">
        <f t="shared" si="23"/>
        <v>0</v>
      </c>
      <c r="BE109" s="761">
        <f t="shared" si="24"/>
        <v>0</v>
      </c>
      <c r="BF109" s="761">
        <f t="shared" si="25"/>
        <v>0</v>
      </c>
      <c r="BG109" s="761">
        <f t="shared" si="26"/>
        <v>0</v>
      </c>
      <c r="BH109" s="777">
        <v>0</v>
      </c>
      <c r="BI109" s="755"/>
      <c r="BJ109" s="778">
        <f>IF(X110=0,0,           IF(ISNUMBER(BI109),BI109,               IF(ISTEXT(BI109),INDEX(AZ109:BG109,MATCH(BI109,$AZ$12:$BG$12,0)),             IF(BH109="INT",_xll.qInterp(X110,AB109:AI109,AZ109:BG109),            INDEX(AZ109:BG109,MATCH(BH109,$AZ$12:$BG$12,0))))))</f>
        <v>0</v>
      </c>
      <c r="BK109" s="408">
        <f t="shared" si="31"/>
        <v>0</v>
      </c>
      <c r="BL109" s="414">
        <f t="shared" si="32"/>
        <v>0</v>
      </c>
      <c r="BM109" s="408">
        <f t="shared" si="33"/>
        <v>0</v>
      </c>
    </row>
    <row r="110" spans="16:65">
      <c r="P110" s="779">
        <v>0</v>
      </c>
      <c r="Q110" s="780">
        <f t="shared" si="17"/>
        <v>0</v>
      </c>
      <c r="R110" s="776">
        <f>IF(P111,_xll.qDateYears(P110,P111,DCCfixed),0)</f>
        <v>0</v>
      </c>
      <c r="S110" s="553">
        <v>0</v>
      </c>
      <c r="T110" s="785"/>
      <c r="U110" s="409">
        <f t="shared" si="27"/>
        <v>0</v>
      </c>
      <c r="X110" s="363">
        <v>0</v>
      </c>
      <c r="Y110" s="775">
        <f t="shared" si="18"/>
        <v>0</v>
      </c>
      <c r="Z110" s="776">
        <f>IF(X111,_xll.qDateYears(X110,X111,DCCfloat),0)</f>
        <v>0</v>
      </c>
      <c r="AA110" s="553">
        <v>0</v>
      </c>
      <c r="AB110" s="789">
        <f>IF($X110=0,0,      _xll.qDateNext($X110,AB$12,"M",FRM&lt;&gt;"Calypso",CCY))</f>
        <v>0</v>
      </c>
      <c r="AC110" s="789">
        <f>IF($X110=0,0,      _xll.qDateNext($X110,AC$12,"M",FRM&lt;&gt;"Calypso",CCY))</f>
        <v>0</v>
      </c>
      <c r="AD110" s="789">
        <f>IF($X110=0,0,      _xll.qDateNext($X110,AD$12,"M",FRM&lt;&gt;"Calypso",CCY))</f>
        <v>0</v>
      </c>
      <c r="AE110" s="789">
        <f>IF($X110=0,0,      _xll.qDateNext($X110,AE$12,"M",FRM&lt;&gt;"Calypso",CCY))</f>
        <v>0</v>
      </c>
      <c r="AF110" s="789">
        <f>IF($X110=0,0,      _xll.qDateNext($X110,AF$12,"M",FRM&lt;&gt;"Calypso",CCY))</f>
        <v>0</v>
      </c>
      <c r="AG110" s="789">
        <f>IF($X110=0,0,      _xll.qDateNext($X110,AG$12,"M",FRM&lt;&gt;"Calypso",CCY))</f>
        <v>0</v>
      </c>
      <c r="AH110" s="789">
        <f>IF($X110=0,0,      _xll.qDateNext($X110,AH$12,"M",FRM&lt;&gt;"Calypso",CCY))</f>
        <v>0</v>
      </c>
      <c r="AI110" s="789">
        <f>IF($X110=0,0,      _xll.qDateNext($X110,AI$12,"M",FRM&lt;&gt;"Calypso",CCY))</f>
        <v>0</v>
      </c>
      <c r="AJ110" s="529" t="str">
        <v/>
      </c>
      <c r="AK110" s="529" t="str">
        <v/>
      </c>
      <c r="AL110" s="529" t="str">
        <v/>
      </c>
      <c r="AM110" s="529" t="str">
        <v/>
      </c>
      <c r="AN110" s="529" t="str">
        <v/>
      </c>
      <c r="AO110" s="529" t="str">
        <v/>
      </c>
      <c r="AP110" s="529" t="str">
        <v/>
      </c>
      <c r="AQ110" s="529" t="str">
        <v/>
      </c>
      <c r="AR110" s="529">
        <v>0</v>
      </c>
      <c r="AS110" s="529">
        <v>0</v>
      </c>
      <c r="AT110" s="529">
        <f t="shared" si="28"/>
        <v>0</v>
      </c>
      <c r="AU110" s="529">
        <v>0</v>
      </c>
      <c r="AV110" s="529">
        <f t="shared" si="29"/>
        <v>0</v>
      </c>
      <c r="AW110" s="529">
        <f t="shared" si="30"/>
        <v>0</v>
      </c>
      <c r="AX110" s="529">
        <v>0</v>
      </c>
      <c r="AY110" s="529">
        <v>0</v>
      </c>
      <c r="AZ110" s="761">
        <f t="shared" si="19"/>
        <v>0</v>
      </c>
      <c r="BA110" s="761">
        <f t="shared" si="20"/>
        <v>0</v>
      </c>
      <c r="BB110" s="761">
        <f t="shared" si="21"/>
        <v>0</v>
      </c>
      <c r="BC110" s="761">
        <f t="shared" si="22"/>
        <v>0</v>
      </c>
      <c r="BD110" s="761">
        <f t="shared" si="23"/>
        <v>0</v>
      </c>
      <c r="BE110" s="761">
        <f t="shared" si="24"/>
        <v>0</v>
      </c>
      <c r="BF110" s="761">
        <f t="shared" si="25"/>
        <v>0</v>
      </c>
      <c r="BG110" s="761">
        <f t="shared" si="26"/>
        <v>0</v>
      </c>
      <c r="BH110" s="777">
        <v>0</v>
      </c>
      <c r="BI110" s="755"/>
      <c r="BJ110" s="778">
        <f>IF(X111=0,0,           IF(ISNUMBER(BI110),BI110,               IF(ISTEXT(BI110),INDEX(AZ110:BG110,MATCH(BI110,$AZ$12:$BG$12,0)),             IF(BH110="INT",_xll.qInterp(X111,AB110:AI110,AZ110:BG110),            INDEX(AZ110:BG110,MATCH(BH110,$AZ$12:$BG$12,0))))))</f>
        <v>0</v>
      </c>
      <c r="BK110" s="408">
        <f t="shared" si="31"/>
        <v>0</v>
      </c>
      <c r="BL110" s="414">
        <f t="shared" si="32"/>
        <v>0</v>
      </c>
      <c r="BM110" s="408">
        <f t="shared" si="33"/>
        <v>0</v>
      </c>
    </row>
    <row r="111" spans="16:65">
      <c r="P111" s="779">
        <v>0</v>
      </c>
      <c r="Q111" s="780">
        <f t="shared" si="17"/>
        <v>0</v>
      </c>
      <c r="R111" s="776">
        <f>IF(P112,_xll.qDateYears(P111,P112,DCCfixed),0)</f>
        <v>0</v>
      </c>
      <c r="S111" s="553">
        <v>0</v>
      </c>
      <c r="T111" s="785"/>
      <c r="U111" s="409">
        <f t="shared" si="27"/>
        <v>0</v>
      </c>
      <c r="X111" s="363">
        <v>0</v>
      </c>
      <c r="Y111" s="775">
        <f t="shared" si="18"/>
        <v>0</v>
      </c>
      <c r="Z111" s="776">
        <f>IF(X112,_xll.qDateYears(X111,X112,DCCfloat),0)</f>
        <v>0</v>
      </c>
      <c r="AA111" s="553">
        <v>0</v>
      </c>
      <c r="AB111" s="789">
        <f>IF($X111=0,0,      _xll.qDateNext($X111,AB$12,"M",FRM&lt;&gt;"Calypso",CCY))</f>
        <v>0</v>
      </c>
      <c r="AC111" s="789">
        <f>IF($X111=0,0,      _xll.qDateNext($X111,AC$12,"M",FRM&lt;&gt;"Calypso",CCY))</f>
        <v>0</v>
      </c>
      <c r="AD111" s="789">
        <f>IF($X111=0,0,      _xll.qDateNext($X111,AD$12,"M",FRM&lt;&gt;"Calypso",CCY))</f>
        <v>0</v>
      </c>
      <c r="AE111" s="789">
        <f>IF($X111=0,0,      _xll.qDateNext($X111,AE$12,"M",FRM&lt;&gt;"Calypso",CCY))</f>
        <v>0</v>
      </c>
      <c r="AF111" s="789">
        <f>IF($X111=0,0,      _xll.qDateNext($X111,AF$12,"M",FRM&lt;&gt;"Calypso",CCY))</f>
        <v>0</v>
      </c>
      <c r="AG111" s="789">
        <f>IF($X111=0,0,      _xll.qDateNext($X111,AG$12,"M",FRM&lt;&gt;"Calypso",CCY))</f>
        <v>0</v>
      </c>
      <c r="AH111" s="789">
        <f>IF($X111=0,0,      _xll.qDateNext($X111,AH$12,"M",FRM&lt;&gt;"Calypso",CCY))</f>
        <v>0</v>
      </c>
      <c r="AI111" s="789">
        <f>IF($X111=0,0,      _xll.qDateNext($X111,AI$12,"M",FRM&lt;&gt;"Calypso",CCY))</f>
        <v>0</v>
      </c>
      <c r="AJ111" s="529" t="str">
        <v/>
      </c>
      <c r="AK111" s="529" t="str">
        <v/>
      </c>
      <c r="AL111" s="529" t="str">
        <v/>
      </c>
      <c r="AM111" s="529" t="str">
        <v/>
      </c>
      <c r="AN111" s="529" t="str">
        <v/>
      </c>
      <c r="AO111" s="529" t="str">
        <v/>
      </c>
      <c r="AP111" s="529" t="str">
        <v/>
      </c>
      <c r="AQ111" s="529" t="str">
        <v/>
      </c>
      <c r="AR111" s="529">
        <v>0</v>
      </c>
      <c r="AS111" s="529">
        <v>0</v>
      </c>
      <c r="AT111" s="529">
        <f t="shared" si="28"/>
        <v>0</v>
      </c>
      <c r="AU111" s="529">
        <v>0</v>
      </c>
      <c r="AV111" s="529">
        <f t="shared" si="29"/>
        <v>0</v>
      </c>
      <c r="AW111" s="529">
        <f t="shared" si="30"/>
        <v>0</v>
      </c>
      <c r="AX111" s="529">
        <v>0</v>
      </c>
      <c r="AY111" s="529">
        <v>0</v>
      </c>
      <c r="AZ111" s="761">
        <f t="shared" si="19"/>
        <v>0</v>
      </c>
      <c r="BA111" s="761">
        <f t="shared" si="20"/>
        <v>0</v>
      </c>
      <c r="BB111" s="761">
        <f t="shared" si="21"/>
        <v>0</v>
      </c>
      <c r="BC111" s="761">
        <f t="shared" si="22"/>
        <v>0</v>
      </c>
      <c r="BD111" s="761">
        <f t="shared" si="23"/>
        <v>0</v>
      </c>
      <c r="BE111" s="761">
        <f t="shared" si="24"/>
        <v>0</v>
      </c>
      <c r="BF111" s="761">
        <f t="shared" si="25"/>
        <v>0</v>
      </c>
      <c r="BG111" s="761">
        <f t="shared" si="26"/>
        <v>0</v>
      </c>
      <c r="BH111" s="777">
        <v>0</v>
      </c>
      <c r="BI111" s="755"/>
      <c r="BJ111" s="778">
        <f>IF(X112=0,0,           IF(ISNUMBER(BI111),BI111,               IF(ISTEXT(BI111),INDEX(AZ111:BG111,MATCH(BI111,$AZ$12:$BG$12,0)),             IF(BH111="INT",_xll.qInterp(X112,AB111:AI111,AZ111:BG111),            INDEX(AZ111:BG111,MATCH(BH111,$AZ$12:$BG$12,0))))))</f>
        <v>0</v>
      </c>
      <c r="BK111" s="408">
        <f t="shared" si="31"/>
        <v>0</v>
      </c>
      <c r="BL111" s="414">
        <f t="shared" si="32"/>
        <v>0</v>
      </c>
      <c r="BM111" s="408">
        <f t="shared" si="33"/>
        <v>0</v>
      </c>
    </row>
    <row r="112" spans="16:65">
      <c r="P112" s="779">
        <v>0</v>
      </c>
      <c r="Q112" s="780">
        <f t="shared" si="17"/>
        <v>0</v>
      </c>
      <c r="R112" s="776">
        <f>IF(P113,_xll.qDateYears(P112,P113,DCCfixed),0)</f>
        <v>0</v>
      </c>
      <c r="S112" s="553">
        <v>0</v>
      </c>
      <c r="T112" s="785"/>
      <c r="U112" s="409">
        <f t="shared" si="27"/>
        <v>0</v>
      </c>
      <c r="X112" s="363">
        <v>0</v>
      </c>
      <c r="Y112" s="775">
        <f t="shared" si="18"/>
        <v>0</v>
      </c>
      <c r="Z112" s="776">
        <f>IF(X113,_xll.qDateYears(X112,X113,DCCfloat),0)</f>
        <v>0</v>
      </c>
      <c r="AA112" s="553">
        <v>0</v>
      </c>
      <c r="AB112" s="789">
        <f>IF($X112=0,0,      _xll.qDateNext($X112,AB$12,"M",FRM&lt;&gt;"Calypso",CCY))</f>
        <v>0</v>
      </c>
      <c r="AC112" s="789">
        <f>IF($X112=0,0,      _xll.qDateNext($X112,AC$12,"M",FRM&lt;&gt;"Calypso",CCY))</f>
        <v>0</v>
      </c>
      <c r="AD112" s="789">
        <f>IF($X112=0,0,      _xll.qDateNext($X112,AD$12,"M",FRM&lt;&gt;"Calypso",CCY))</f>
        <v>0</v>
      </c>
      <c r="AE112" s="789">
        <f>IF($X112=0,0,      _xll.qDateNext($X112,AE$12,"M",FRM&lt;&gt;"Calypso",CCY))</f>
        <v>0</v>
      </c>
      <c r="AF112" s="789">
        <f>IF($X112=0,0,      _xll.qDateNext($X112,AF$12,"M",FRM&lt;&gt;"Calypso",CCY))</f>
        <v>0</v>
      </c>
      <c r="AG112" s="789">
        <f>IF($X112=0,0,      _xll.qDateNext($X112,AG$12,"M",FRM&lt;&gt;"Calypso",CCY))</f>
        <v>0</v>
      </c>
      <c r="AH112" s="789">
        <f>IF($X112=0,0,      _xll.qDateNext($X112,AH$12,"M",FRM&lt;&gt;"Calypso",CCY))</f>
        <v>0</v>
      </c>
      <c r="AI112" s="789">
        <f>IF($X112=0,0,      _xll.qDateNext($X112,AI$12,"M",FRM&lt;&gt;"Calypso",CCY))</f>
        <v>0</v>
      </c>
      <c r="AJ112" s="529" t="str">
        <v/>
      </c>
      <c r="AK112" s="529" t="str">
        <v/>
      </c>
      <c r="AL112" s="529" t="str">
        <v/>
      </c>
      <c r="AM112" s="529" t="str">
        <v/>
      </c>
      <c r="AN112" s="529" t="str">
        <v/>
      </c>
      <c r="AO112" s="529" t="str">
        <v/>
      </c>
      <c r="AP112" s="529" t="str">
        <v/>
      </c>
      <c r="AQ112" s="529" t="str">
        <v/>
      </c>
      <c r="AR112" s="529">
        <v>0</v>
      </c>
      <c r="AS112" s="529">
        <v>0</v>
      </c>
      <c r="AT112" s="529">
        <f t="shared" si="28"/>
        <v>0</v>
      </c>
      <c r="AU112" s="529">
        <v>0</v>
      </c>
      <c r="AV112" s="529">
        <f t="shared" si="29"/>
        <v>0</v>
      </c>
      <c r="AW112" s="529">
        <f t="shared" si="30"/>
        <v>0</v>
      </c>
      <c r="AX112" s="529">
        <v>0</v>
      </c>
      <c r="AY112" s="529">
        <v>0</v>
      </c>
      <c r="AZ112" s="761">
        <f t="shared" si="19"/>
        <v>0</v>
      </c>
      <c r="BA112" s="761">
        <f t="shared" si="20"/>
        <v>0</v>
      </c>
      <c r="BB112" s="761">
        <f t="shared" si="21"/>
        <v>0</v>
      </c>
      <c r="BC112" s="761">
        <f t="shared" si="22"/>
        <v>0</v>
      </c>
      <c r="BD112" s="761">
        <f t="shared" si="23"/>
        <v>0</v>
      </c>
      <c r="BE112" s="761">
        <f t="shared" si="24"/>
        <v>0</v>
      </c>
      <c r="BF112" s="761">
        <f t="shared" si="25"/>
        <v>0</v>
      </c>
      <c r="BG112" s="761">
        <f t="shared" si="26"/>
        <v>0</v>
      </c>
      <c r="BH112" s="777">
        <v>0</v>
      </c>
      <c r="BI112" s="755"/>
      <c r="BJ112" s="778">
        <f>IF(X113=0,0,           IF(ISNUMBER(BI112),BI112,               IF(ISTEXT(BI112),INDEX(AZ112:BG112,MATCH(BI112,$AZ$12:$BG$12,0)),             IF(BH112="INT",_xll.qInterp(X113,AB112:AI112,AZ112:BG112),            INDEX(AZ112:BG112,MATCH(BH112,$AZ$12:$BG$12,0))))))</f>
        <v>0</v>
      </c>
      <c r="BK112" s="408">
        <f t="shared" si="31"/>
        <v>0</v>
      </c>
      <c r="BL112" s="414">
        <f t="shared" si="32"/>
        <v>0</v>
      </c>
      <c r="BM112" s="408">
        <f t="shared" si="33"/>
        <v>0</v>
      </c>
    </row>
    <row r="113" spans="16:65">
      <c r="P113" s="779">
        <v>0</v>
      </c>
      <c r="Q113" s="780">
        <f t="shared" si="17"/>
        <v>0</v>
      </c>
      <c r="R113" s="776">
        <f>IF(P114,_xll.qDateYears(P113,P114,DCCfixed),0)</f>
        <v>0</v>
      </c>
      <c r="S113" s="553">
        <v>0</v>
      </c>
      <c r="T113" s="785"/>
      <c r="U113" s="409">
        <f t="shared" si="27"/>
        <v>0</v>
      </c>
      <c r="X113" s="363">
        <v>0</v>
      </c>
      <c r="Y113" s="775">
        <f t="shared" si="18"/>
        <v>0</v>
      </c>
      <c r="Z113" s="776">
        <f>IF(X114,_xll.qDateYears(X113,X114,DCCfloat),0)</f>
        <v>0</v>
      </c>
      <c r="AA113" s="553">
        <v>0</v>
      </c>
      <c r="AB113" s="789">
        <f>IF($X113=0,0,      _xll.qDateNext($X113,AB$12,"M",FRM&lt;&gt;"Calypso",CCY))</f>
        <v>0</v>
      </c>
      <c r="AC113" s="789">
        <f>IF($X113=0,0,      _xll.qDateNext($X113,AC$12,"M",FRM&lt;&gt;"Calypso",CCY))</f>
        <v>0</v>
      </c>
      <c r="AD113" s="789">
        <f>IF($X113=0,0,      _xll.qDateNext($X113,AD$12,"M",FRM&lt;&gt;"Calypso",CCY))</f>
        <v>0</v>
      </c>
      <c r="AE113" s="789">
        <f>IF($X113=0,0,      _xll.qDateNext($X113,AE$12,"M",FRM&lt;&gt;"Calypso",CCY))</f>
        <v>0</v>
      </c>
      <c r="AF113" s="789">
        <f>IF($X113=0,0,      _xll.qDateNext($X113,AF$12,"M",FRM&lt;&gt;"Calypso",CCY))</f>
        <v>0</v>
      </c>
      <c r="AG113" s="789">
        <f>IF($X113=0,0,      _xll.qDateNext($X113,AG$12,"M",FRM&lt;&gt;"Calypso",CCY))</f>
        <v>0</v>
      </c>
      <c r="AH113" s="789">
        <f>IF($X113=0,0,      _xll.qDateNext($X113,AH$12,"M",FRM&lt;&gt;"Calypso",CCY))</f>
        <v>0</v>
      </c>
      <c r="AI113" s="789">
        <f>IF($X113=0,0,      _xll.qDateNext($X113,AI$12,"M",FRM&lt;&gt;"Calypso",CCY))</f>
        <v>0</v>
      </c>
      <c r="AJ113" s="529" t="str">
        <v/>
      </c>
      <c r="AK113" s="529" t="str">
        <v/>
      </c>
      <c r="AL113" s="529" t="str">
        <v/>
      </c>
      <c r="AM113" s="529" t="str">
        <v/>
      </c>
      <c r="AN113" s="529" t="str">
        <v/>
      </c>
      <c r="AO113" s="529" t="str">
        <v/>
      </c>
      <c r="AP113" s="529" t="str">
        <v/>
      </c>
      <c r="AQ113" s="529" t="str">
        <v/>
      </c>
      <c r="AR113" s="529">
        <v>0</v>
      </c>
      <c r="AS113" s="529">
        <v>0</v>
      </c>
      <c r="AT113" s="529">
        <f t="shared" si="28"/>
        <v>0</v>
      </c>
      <c r="AU113" s="529">
        <v>0</v>
      </c>
      <c r="AV113" s="529">
        <f t="shared" si="29"/>
        <v>0</v>
      </c>
      <c r="AW113" s="529">
        <f t="shared" si="30"/>
        <v>0</v>
      </c>
      <c r="AX113" s="529">
        <v>0</v>
      </c>
      <c r="AY113" s="529">
        <v>0</v>
      </c>
      <c r="AZ113" s="761">
        <f t="shared" si="19"/>
        <v>0</v>
      </c>
      <c r="BA113" s="761">
        <f t="shared" si="20"/>
        <v>0</v>
      </c>
      <c r="BB113" s="761">
        <f t="shared" si="21"/>
        <v>0</v>
      </c>
      <c r="BC113" s="761">
        <f t="shared" si="22"/>
        <v>0</v>
      </c>
      <c r="BD113" s="761">
        <f t="shared" si="23"/>
        <v>0</v>
      </c>
      <c r="BE113" s="761">
        <f t="shared" si="24"/>
        <v>0</v>
      </c>
      <c r="BF113" s="761">
        <f t="shared" si="25"/>
        <v>0</v>
      </c>
      <c r="BG113" s="761">
        <f t="shared" si="26"/>
        <v>0</v>
      </c>
      <c r="BH113" s="777">
        <v>0</v>
      </c>
      <c r="BI113" s="755"/>
      <c r="BJ113" s="778">
        <f>IF(X114=0,0,           IF(ISNUMBER(BI113),BI113,               IF(ISTEXT(BI113),INDEX(AZ113:BG113,MATCH(BI113,$AZ$12:$BG$12,0)),             IF(BH113="INT",_xll.qInterp(X114,AB113:AI113,AZ113:BG113),            INDEX(AZ113:BG113,MATCH(BH113,$AZ$12:$BG$12,0))))))</f>
        <v>0</v>
      </c>
      <c r="BK113" s="408">
        <f t="shared" si="31"/>
        <v>0</v>
      </c>
      <c r="BL113" s="414">
        <f t="shared" si="32"/>
        <v>0</v>
      </c>
      <c r="BM113" s="408">
        <f t="shared" si="33"/>
        <v>0</v>
      </c>
    </row>
    <row r="114" spans="16:65">
      <c r="P114" s="779">
        <v>0</v>
      </c>
      <c r="Q114" s="780">
        <f t="shared" si="17"/>
        <v>0</v>
      </c>
      <c r="R114" s="776">
        <f>IF(P115,_xll.qDateYears(P114,P115,DCCfixed),0)</f>
        <v>0</v>
      </c>
      <c r="S114" s="553">
        <v>0</v>
      </c>
      <c r="T114" s="785"/>
      <c r="U114" s="409">
        <f t="shared" si="27"/>
        <v>0</v>
      </c>
      <c r="X114" s="363">
        <v>0</v>
      </c>
      <c r="Y114" s="775">
        <f t="shared" si="18"/>
        <v>0</v>
      </c>
      <c r="Z114" s="776">
        <f>IF(X115,_xll.qDateYears(X114,X115,DCCfloat),0)</f>
        <v>0</v>
      </c>
      <c r="AA114" s="553">
        <v>0</v>
      </c>
      <c r="AB114" s="789">
        <f>IF($X114=0,0,      _xll.qDateNext($X114,AB$12,"M",FRM&lt;&gt;"Calypso",CCY))</f>
        <v>0</v>
      </c>
      <c r="AC114" s="789">
        <f>IF($X114=0,0,      _xll.qDateNext($X114,AC$12,"M",FRM&lt;&gt;"Calypso",CCY))</f>
        <v>0</v>
      </c>
      <c r="AD114" s="789">
        <f>IF($X114=0,0,      _xll.qDateNext($X114,AD$12,"M",FRM&lt;&gt;"Calypso",CCY))</f>
        <v>0</v>
      </c>
      <c r="AE114" s="789">
        <f>IF($X114=0,0,      _xll.qDateNext($X114,AE$12,"M",FRM&lt;&gt;"Calypso",CCY))</f>
        <v>0</v>
      </c>
      <c r="AF114" s="789">
        <f>IF($X114=0,0,      _xll.qDateNext($X114,AF$12,"M",FRM&lt;&gt;"Calypso",CCY))</f>
        <v>0</v>
      </c>
      <c r="AG114" s="789">
        <f>IF($X114=0,0,      _xll.qDateNext($X114,AG$12,"M",FRM&lt;&gt;"Calypso",CCY))</f>
        <v>0</v>
      </c>
      <c r="AH114" s="789">
        <f>IF($X114=0,0,      _xll.qDateNext($X114,AH$12,"M",FRM&lt;&gt;"Calypso",CCY))</f>
        <v>0</v>
      </c>
      <c r="AI114" s="789">
        <f>IF($X114=0,0,      _xll.qDateNext($X114,AI$12,"M",FRM&lt;&gt;"Calypso",CCY))</f>
        <v>0</v>
      </c>
      <c r="AJ114" s="529" t="str">
        <v/>
      </c>
      <c r="AK114" s="529" t="str">
        <v/>
      </c>
      <c r="AL114" s="529" t="str">
        <v/>
      </c>
      <c r="AM114" s="529" t="str">
        <v/>
      </c>
      <c r="AN114" s="529" t="str">
        <v/>
      </c>
      <c r="AO114" s="529" t="str">
        <v/>
      </c>
      <c r="AP114" s="529" t="str">
        <v/>
      </c>
      <c r="AQ114" s="529" t="str">
        <v/>
      </c>
      <c r="AR114" s="529">
        <v>0</v>
      </c>
      <c r="AS114" s="529">
        <v>0</v>
      </c>
      <c r="AT114" s="529">
        <f t="shared" si="28"/>
        <v>0</v>
      </c>
      <c r="AU114" s="529">
        <v>0</v>
      </c>
      <c r="AV114" s="529">
        <f t="shared" si="29"/>
        <v>0</v>
      </c>
      <c r="AW114" s="529">
        <f t="shared" si="30"/>
        <v>0</v>
      </c>
      <c r="AX114" s="529">
        <v>0</v>
      </c>
      <c r="AY114" s="529">
        <v>0</v>
      </c>
      <c r="AZ114" s="761">
        <f t="shared" si="19"/>
        <v>0</v>
      </c>
      <c r="BA114" s="761">
        <f t="shared" si="20"/>
        <v>0</v>
      </c>
      <c r="BB114" s="761">
        <f t="shared" si="21"/>
        <v>0</v>
      </c>
      <c r="BC114" s="761">
        <f t="shared" si="22"/>
        <v>0</v>
      </c>
      <c r="BD114" s="761">
        <f t="shared" si="23"/>
        <v>0</v>
      </c>
      <c r="BE114" s="761">
        <f t="shared" si="24"/>
        <v>0</v>
      </c>
      <c r="BF114" s="761">
        <f t="shared" si="25"/>
        <v>0</v>
      </c>
      <c r="BG114" s="761">
        <f t="shared" si="26"/>
        <v>0</v>
      </c>
      <c r="BH114" s="777">
        <v>0</v>
      </c>
      <c r="BI114" s="755"/>
      <c r="BJ114" s="778">
        <f>IF(X115=0,0,           IF(ISNUMBER(BI114),BI114,               IF(ISTEXT(BI114),INDEX(AZ114:BG114,MATCH(BI114,$AZ$12:$BG$12,0)),             IF(BH114="INT",_xll.qInterp(X115,AB114:AI114,AZ114:BG114),            INDEX(AZ114:BG114,MATCH(BH114,$AZ$12:$BG$12,0))))))</f>
        <v>0</v>
      </c>
      <c r="BK114" s="408">
        <f t="shared" si="31"/>
        <v>0</v>
      </c>
      <c r="BL114" s="414">
        <f t="shared" si="32"/>
        <v>0</v>
      </c>
      <c r="BM114" s="408">
        <f t="shared" si="33"/>
        <v>0</v>
      </c>
    </row>
    <row r="115" spans="16:65">
      <c r="P115" s="779">
        <v>0</v>
      </c>
      <c r="Q115" s="780">
        <f t="shared" si="17"/>
        <v>0</v>
      </c>
      <c r="R115" s="776">
        <f>IF(P116,_xll.qDateYears(P115,P116,DCCfixed),0)</f>
        <v>0</v>
      </c>
      <c r="S115" s="553">
        <v>0</v>
      </c>
      <c r="T115" s="785"/>
      <c r="U115" s="409">
        <f t="shared" si="27"/>
        <v>0</v>
      </c>
      <c r="X115" s="363">
        <v>0</v>
      </c>
      <c r="Y115" s="775">
        <f t="shared" si="18"/>
        <v>0</v>
      </c>
      <c r="Z115" s="776">
        <f>IF(X116,_xll.qDateYears(X115,X116,DCCfloat),0)</f>
        <v>0</v>
      </c>
      <c r="AA115" s="553">
        <v>0</v>
      </c>
      <c r="AB115" s="789">
        <f>IF($X115=0,0,      _xll.qDateNext($X115,AB$12,"M",FRM&lt;&gt;"Calypso",CCY))</f>
        <v>0</v>
      </c>
      <c r="AC115" s="789">
        <f>IF($X115=0,0,      _xll.qDateNext($X115,AC$12,"M",FRM&lt;&gt;"Calypso",CCY))</f>
        <v>0</v>
      </c>
      <c r="AD115" s="789">
        <f>IF($X115=0,0,      _xll.qDateNext($X115,AD$12,"M",FRM&lt;&gt;"Calypso",CCY))</f>
        <v>0</v>
      </c>
      <c r="AE115" s="789">
        <f>IF($X115=0,0,      _xll.qDateNext($X115,AE$12,"M",FRM&lt;&gt;"Calypso",CCY))</f>
        <v>0</v>
      </c>
      <c r="AF115" s="789">
        <f>IF($X115=0,0,      _xll.qDateNext($X115,AF$12,"M",FRM&lt;&gt;"Calypso",CCY))</f>
        <v>0</v>
      </c>
      <c r="AG115" s="789">
        <f>IF($X115=0,0,      _xll.qDateNext($X115,AG$12,"M",FRM&lt;&gt;"Calypso",CCY))</f>
        <v>0</v>
      </c>
      <c r="AH115" s="789">
        <f>IF($X115=0,0,      _xll.qDateNext($X115,AH$12,"M",FRM&lt;&gt;"Calypso",CCY))</f>
        <v>0</v>
      </c>
      <c r="AI115" s="789">
        <f>IF($X115=0,0,      _xll.qDateNext($X115,AI$12,"M",FRM&lt;&gt;"Calypso",CCY))</f>
        <v>0</v>
      </c>
      <c r="AJ115" s="529" t="str">
        <v/>
      </c>
      <c r="AK115" s="529" t="str">
        <v/>
      </c>
      <c r="AL115" s="529" t="str">
        <v/>
      </c>
      <c r="AM115" s="529" t="str">
        <v/>
      </c>
      <c r="AN115" s="529" t="str">
        <v/>
      </c>
      <c r="AO115" s="529" t="str">
        <v/>
      </c>
      <c r="AP115" s="529" t="str">
        <v/>
      </c>
      <c r="AQ115" s="529" t="str">
        <v/>
      </c>
      <c r="AR115" s="529">
        <v>0</v>
      </c>
      <c r="AS115" s="529">
        <v>0</v>
      </c>
      <c r="AT115" s="529">
        <f t="shared" si="28"/>
        <v>0</v>
      </c>
      <c r="AU115" s="529">
        <v>0</v>
      </c>
      <c r="AV115" s="529">
        <f t="shared" si="29"/>
        <v>0</v>
      </c>
      <c r="AW115" s="529">
        <f t="shared" si="30"/>
        <v>0</v>
      </c>
      <c r="AX115" s="529">
        <v>0</v>
      </c>
      <c r="AY115" s="529">
        <v>0</v>
      </c>
      <c r="AZ115" s="761">
        <f t="shared" si="19"/>
        <v>0</v>
      </c>
      <c r="BA115" s="761">
        <f t="shared" si="20"/>
        <v>0</v>
      </c>
      <c r="BB115" s="761">
        <f t="shared" si="21"/>
        <v>0</v>
      </c>
      <c r="BC115" s="761">
        <f t="shared" si="22"/>
        <v>0</v>
      </c>
      <c r="BD115" s="761">
        <f t="shared" si="23"/>
        <v>0</v>
      </c>
      <c r="BE115" s="761">
        <f t="shared" si="24"/>
        <v>0</v>
      </c>
      <c r="BF115" s="761">
        <f t="shared" si="25"/>
        <v>0</v>
      </c>
      <c r="BG115" s="761">
        <f t="shared" si="26"/>
        <v>0</v>
      </c>
      <c r="BH115" s="777">
        <v>0</v>
      </c>
      <c r="BI115" s="755"/>
      <c r="BJ115" s="778">
        <f>IF(X116=0,0,           IF(ISNUMBER(BI115),BI115,               IF(ISTEXT(BI115),INDEX(AZ115:BG115,MATCH(BI115,$AZ$12:$BG$12,0)),             IF(BH115="INT",_xll.qInterp(X116,AB115:AI115,AZ115:BG115),            INDEX(AZ115:BG115,MATCH(BH115,$AZ$12:$BG$12,0))))))</f>
        <v>0</v>
      </c>
      <c r="BK115" s="408">
        <f t="shared" si="31"/>
        <v>0</v>
      </c>
      <c r="BL115" s="414">
        <f t="shared" si="32"/>
        <v>0</v>
      </c>
      <c r="BM115" s="408">
        <f t="shared" si="33"/>
        <v>0</v>
      </c>
    </row>
    <row r="116" spans="16:65">
      <c r="P116" s="779">
        <v>0</v>
      </c>
      <c r="Q116" s="780">
        <f t="shared" si="17"/>
        <v>0</v>
      </c>
      <c r="R116" s="776">
        <f>IF(P117,_xll.qDateYears(P116,P117,DCCfixed),0)</f>
        <v>0</v>
      </c>
      <c r="S116" s="553">
        <v>0</v>
      </c>
      <c r="T116" s="785"/>
      <c r="U116" s="409">
        <f t="shared" si="27"/>
        <v>0</v>
      </c>
      <c r="X116" s="363">
        <v>0</v>
      </c>
      <c r="Y116" s="775">
        <f t="shared" si="18"/>
        <v>0</v>
      </c>
      <c r="Z116" s="776">
        <f>IF(X117,_xll.qDateYears(X116,X117,DCCfloat),0)</f>
        <v>0</v>
      </c>
      <c r="AA116" s="553">
        <v>0</v>
      </c>
      <c r="AB116" s="789">
        <f>IF($X116=0,0,      _xll.qDateNext($X116,AB$12,"M",FRM&lt;&gt;"Calypso",CCY))</f>
        <v>0</v>
      </c>
      <c r="AC116" s="789">
        <f>IF($X116=0,0,      _xll.qDateNext($X116,AC$12,"M",FRM&lt;&gt;"Calypso",CCY))</f>
        <v>0</v>
      </c>
      <c r="AD116" s="789">
        <f>IF($X116=0,0,      _xll.qDateNext($X116,AD$12,"M",FRM&lt;&gt;"Calypso",CCY))</f>
        <v>0</v>
      </c>
      <c r="AE116" s="789">
        <f>IF($X116=0,0,      _xll.qDateNext($X116,AE$12,"M",FRM&lt;&gt;"Calypso",CCY))</f>
        <v>0</v>
      </c>
      <c r="AF116" s="789">
        <f>IF($X116=0,0,      _xll.qDateNext($X116,AF$12,"M",FRM&lt;&gt;"Calypso",CCY))</f>
        <v>0</v>
      </c>
      <c r="AG116" s="789">
        <f>IF($X116=0,0,      _xll.qDateNext($X116,AG$12,"M",FRM&lt;&gt;"Calypso",CCY))</f>
        <v>0</v>
      </c>
      <c r="AH116" s="789">
        <f>IF($X116=0,0,      _xll.qDateNext($X116,AH$12,"M",FRM&lt;&gt;"Calypso",CCY))</f>
        <v>0</v>
      </c>
      <c r="AI116" s="789">
        <f>IF($X116=0,0,      _xll.qDateNext($X116,AI$12,"M",FRM&lt;&gt;"Calypso",CCY))</f>
        <v>0</v>
      </c>
      <c r="AJ116" s="529" t="str">
        <v/>
      </c>
      <c r="AK116" s="529" t="str">
        <v/>
      </c>
      <c r="AL116" s="529" t="str">
        <v/>
      </c>
      <c r="AM116" s="529" t="str">
        <v/>
      </c>
      <c r="AN116" s="529" t="str">
        <v/>
      </c>
      <c r="AO116" s="529" t="str">
        <v/>
      </c>
      <c r="AP116" s="529" t="str">
        <v/>
      </c>
      <c r="AQ116" s="529" t="str">
        <v/>
      </c>
      <c r="AR116" s="529">
        <v>0</v>
      </c>
      <c r="AS116" s="529">
        <v>0</v>
      </c>
      <c r="AT116" s="529">
        <f t="shared" si="28"/>
        <v>0</v>
      </c>
      <c r="AU116" s="529">
        <v>0</v>
      </c>
      <c r="AV116" s="529">
        <f t="shared" si="29"/>
        <v>0</v>
      </c>
      <c r="AW116" s="529">
        <f t="shared" si="30"/>
        <v>0</v>
      </c>
      <c r="AX116" s="529">
        <v>0</v>
      </c>
      <c r="AY116" s="529">
        <v>0</v>
      </c>
      <c r="AZ116" s="761">
        <f t="shared" si="19"/>
        <v>0</v>
      </c>
      <c r="BA116" s="761">
        <f t="shared" si="20"/>
        <v>0</v>
      </c>
      <c r="BB116" s="761">
        <f t="shared" si="21"/>
        <v>0</v>
      </c>
      <c r="BC116" s="761">
        <f t="shared" si="22"/>
        <v>0</v>
      </c>
      <c r="BD116" s="761">
        <f t="shared" si="23"/>
        <v>0</v>
      </c>
      <c r="BE116" s="761">
        <f t="shared" si="24"/>
        <v>0</v>
      </c>
      <c r="BF116" s="761">
        <f t="shared" si="25"/>
        <v>0</v>
      </c>
      <c r="BG116" s="761">
        <f t="shared" si="26"/>
        <v>0</v>
      </c>
      <c r="BH116" s="777">
        <v>0</v>
      </c>
      <c r="BI116" s="755"/>
      <c r="BJ116" s="778">
        <f>IF(X117=0,0,           IF(ISNUMBER(BI116),BI116,               IF(ISTEXT(BI116),INDEX(AZ116:BG116,MATCH(BI116,$AZ$12:$BG$12,0)),             IF(BH116="INT",_xll.qInterp(X117,AB116:AI116,AZ116:BG116),            INDEX(AZ116:BG116,MATCH(BH116,$AZ$12:$BG$12,0))))))</f>
        <v>0</v>
      </c>
      <c r="BK116" s="408">
        <f t="shared" si="31"/>
        <v>0</v>
      </c>
      <c r="BL116" s="414">
        <f t="shared" si="32"/>
        <v>0</v>
      </c>
      <c r="BM116" s="408">
        <f t="shared" si="33"/>
        <v>0</v>
      </c>
    </row>
    <row r="117" spans="16:65">
      <c r="P117" s="779">
        <v>0</v>
      </c>
      <c r="Q117" s="780">
        <f t="shared" si="17"/>
        <v>0</v>
      </c>
      <c r="R117" s="776">
        <f>IF(P118,_xll.qDateYears(P117,P118,DCCfixed),0)</f>
        <v>0</v>
      </c>
      <c r="S117" s="553">
        <v>0</v>
      </c>
      <c r="T117" s="785"/>
      <c r="U117" s="409">
        <f t="shared" si="27"/>
        <v>0</v>
      </c>
      <c r="X117" s="363">
        <v>0</v>
      </c>
      <c r="Y117" s="775">
        <f t="shared" si="18"/>
        <v>0</v>
      </c>
      <c r="Z117" s="776">
        <f>IF(X118,_xll.qDateYears(X117,X118,DCCfloat),0)</f>
        <v>0</v>
      </c>
      <c r="AA117" s="553">
        <v>0</v>
      </c>
      <c r="AB117" s="789">
        <f>IF($X117=0,0,      _xll.qDateNext($X117,AB$12,"M",FRM&lt;&gt;"Calypso",CCY))</f>
        <v>0</v>
      </c>
      <c r="AC117" s="789">
        <f>IF($X117=0,0,      _xll.qDateNext($X117,AC$12,"M",FRM&lt;&gt;"Calypso",CCY))</f>
        <v>0</v>
      </c>
      <c r="AD117" s="789">
        <f>IF($X117=0,0,      _xll.qDateNext($X117,AD$12,"M",FRM&lt;&gt;"Calypso",CCY))</f>
        <v>0</v>
      </c>
      <c r="AE117" s="789">
        <f>IF($X117=0,0,      _xll.qDateNext($X117,AE$12,"M",FRM&lt;&gt;"Calypso",CCY))</f>
        <v>0</v>
      </c>
      <c r="AF117" s="789">
        <f>IF($X117=0,0,      _xll.qDateNext($X117,AF$12,"M",FRM&lt;&gt;"Calypso",CCY))</f>
        <v>0</v>
      </c>
      <c r="AG117" s="789">
        <f>IF($X117=0,0,      _xll.qDateNext($X117,AG$12,"M",FRM&lt;&gt;"Calypso",CCY))</f>
        <v>0</v>
      </c>
      <c r="AH117" s="789">
        <f>IF($X117=0,0,      _xll.qDateNext($X117,AH$12,"M",FRM&lt;&gt;"Calypso",CCY))</f>
        <v>0</v>
      </c>
      <c r="AI117" s="789">
        <f>IF($X117=0,0,      _xll.qDateNext($X117,AI$12,"M",FRM&lt;&gt;"Calypso",CCY))</f>
        <v>0</v>
      </c>
      <c r="AJ117" s="529" t="str">
        <v/>
      </c>
      <c r="AK117" s="529" t="str">
        <v/>
      </c>
      <c r="AL117" s="529" t="str">
        <v/>
      </c>
      <c r="AM117" s="529" t="str">
        <v/>
      </c>
      <c r="AN117" s="529" t="str">
        <v/>
      </c>
      <c r="AO117" s="529" t="str">
        <v/>
      </c>
      <c r="AP117" s="529" t="str">
        <v/>
      </c>
      <c r="AQ117" s="529" t="str">
        <v/>
      </c>
      <c r="AR117" s="529">
        <v>0</v>
      </c>
      <c r="AS117" s="529">
        <v>0</v>
      </c>
      <c r="AT117" s="529">
        <f t="shared" si="28"/>
        <v>0</v>
      </c>
      <c r="AU117" s="529">
        <v>0</v>
      </c>
      <c r="AV117" s="529">
        <f t="shared" si="29"/>
        <v>0</v>
      </c>
      <c r="AW117" s="529">
        <f t="shared" si="30"/>
        <v>0</v>
      </c>
      <c r="AX117" s="529">
        <v>0</v>
      </c>
      <c r="AY117" s="529">
        <v>0</v>
      </c>
      <c r="AZ117" s="761">
        <f t="shared" si="19"/>
        <v>0</v>
      </c>
      <c r="BA117" s="761">
        <f t="shared" si="20"/>
        <v>0</v>
      </c>
      <c r="BB117" s="761">
        <f t="shared" si="21"/>
        <v>0</v>
      </c>
      <c r="BC117" s="761">
        <f t="shared" si="22"/>
        <v>0</v>
      </c>
      <c r="BD117" s="761">
        <f t="shared" si="23"/>
        <v>0</v>
      </c>
      <c r="BE117" s="761">
        <f t="shared" si="24"/>
        <v>0</v>
      </c>
      <c r="BF117" s="761">
        <f t="shared" si="25"/>
        <v>0</v>
      </c>
      <c r="BG117" s="761">
        <f t="shared" si="26"/>
        <v>0</v>
      </c>
      <c r="BH117" s="777">
        <v>0</v>
      </c>
      <c r="BI117" s="755"/>
      <c r="BJ117" s="778">
        <f>IF(X118=0,0,           IF(ISNUMBER(BI117),BI117,               IF(ISTEXT(BI117),INDEX(AZ117:BG117,MATCH(BI117,$AZ$12:$BG$12,0)),             IF(BH117="INT",_xll.qInterp(X118,AB117:AI117,AZ117:BG117),            INDEX(AZ117:BG117,MATCH(BH117,$AZ$12:$BG$12,0))))))</f>
        <v>0</v>
      </c>
      <c r="BK117" s="408">
        <f t="shared" si="31"/>
        <v>0</v>
      </c>
      <c r="BL117" s="414">
        <f t="shared" si="32"/>
        <v>0</v>
      </c>
      <c r="BM117" s="408">
        <f t="shared" si="33"/>
        <v>0</v>
      </c>
    </row>
    <row r="118" spans="16:65">
      <c r="P118" s="779">
        <v>0</v>
      </c>
      <c r="Q118" s="780">
        <f t="shared" si="17"/>
        <v>0</v>
      </c>
      <c r="R118" s="776">
        <f>IF(P119,_xll.qDateYears(P118,P119,DCCfixed),0)</f>
        <v>0</v>
      </c>
      <c r="S118" s="553">
        <v>0</v>
      </c>
      <c r="T118" s="785"/>
      <c r="U118" s="409">
        <f t="shared" si="27"/>
        <v>0</v>
      </c>
      <c r="X118" s="363">
        <v>0</v>
      </c>
      <c r="Y118" s="775">
        <f t="shared" si="18"/>
        <v>0</v>
      </c>
      <c r="Z118" s="776">
        <f>IF(X119,_xll.qDateYears(X118,X119,DCCfloat),0)</f>
        <v>0</v>
      </c>
      <c r="AA118" s="553">
        <v>0</v>
      </c>
      <c r="AB118" s="789">
        <f>IF($X118=0,0,      _xll.qDateNext($X118,AB$12,"M",FRM&lt;&gt;"Calypso",CCY))</f>
        <v>0</v>
      </c>
      <c r="AC118" s="789">
        <f>IF($X118=0,0,      _xll.qDateNext($X118,AC$12,"M",FRM&lt;&gt;"Calypso",CCY))</f>
        <v>0</v>
      </c>
      <c r="AD118" s="789">
        <f>IF($X118=0,0,      _xll.qDateNext($X118,AD$12,"M",FRM&lt;&gt;"Calypso",CCY))</f>
        <v>0</v>
      </c>
      <c r="AE118" s="789">
        <f>IF($X118=0,0,      _xll.qDateNext($X118,AE$12,"M",FRM&lt;&gt;"Calypso",CCY))</f>
        <v>0</v>
      </c>
      <c r="AF118" s="789">
        <f>IF($X118=0,0,      _xll.qDateNext($X118,AF$12,"M",FRM&lt;&gt;"Calypso",CCY))</f>
        <v>0</v>
      </c>
      <c r="AG118" s="789">
        <f>IF($X118=0,0,      _xll.qDateNext($X118,AG$12,"M",FRM&lt;&gt;"Calypso",CCY))</f>
        <v>0</v>
      </c>
      <c r="AH118" s="789">
        <f>IF($X118=0,0,      _xll.qDateNext($X118,AH$12,"M",FRM&lt;&gt;"Calypso",CCY))</f>
        <v>0</v>
      </c>
      <c r="AI118" s="789">
        <f>IF($X118=0,0,      _xll.qDateNext($X118,AI$12,"M",FRM&lt;&gt;"Calypso",CCY))</f>
        <v>0</v>
      </c>
      <c r="AJ118" s="529" t="str">
        <v/>
      </c>
      <c r="AK118" s="529" t="str">
        <v/>
      </c>
      <c r="AL118" s="529" t="str">
        <v/>
      </c>
      <c r="AM118" s="529" t="str">
        <v/>
      </c>
      <c r="AN118" s="529" t="str">
        <v/>
      </c>
      <c r="AO118" s="529" t="str">
        <v/>
      </c>
      <c r="AP118" s="529" t="str">
        <v/>
      </c>
      <c r="AQ118" s="529" t="str">
        <v/>
      </c>
      <c r="AR118" s="529">
        <v>0</v>
      </c>
      <c r="AS118" s="529">
        <v>0</v>
      </c>
      <c r="AT118" s="529">
        <f t="shared" si="28"/>
        <v>0</v>
      </c>
      <c r="AU118" s="529">
        <v>0</v>
      </c>
      <c r="AV118" s="529">
        <f t="shared" si="29"/>
        <v>0</v>
      </c>
      <c r="AW118" s="529">
        <f t="shared" si="30"/>
        <v>0</v>
      </c>
      <c r="AX118" s="529">
        <v>0</v>
      </c>
      <c r="AY118" s="529">
        <v>0</v>
      </c>
      <c r="AZ118" s="761">
        <f t="shared" si="19"/>
        <v>0</v>
      </c>
      <c r="BA118" s="761">
        <f t="shared" si="20"/>
        <v>0</v>
      </c>
      <c r="BB118" s="761">
        <f t="shared" si="21"/>
        <v>0</v>
      </c>
      <c r="BC118" s="761">
        <f t="shared" si="22"/>
        <v>0</v>
      </c>
      <c r="BD118" s="761">
        <f t="shared" si="23"/>
        <v>0</v>
      </c>
      <c r="BE118" s="761">
        <f t="shared" si="24"/>
        <v>0</v>
      </c>
      <c r="BF118" s="761">
        <f t="shared" si="25"/>
        <v>0</v>
      </c>
      <c r="BG118" s="761">
        <f t="shared" si="26"/>
        <v>0</v>
      </c>
      <c r="BH118" s="777">
        <v>0</v>
      </c>
      <c r="BI118" s="755"/>
      <c r="BJ118" s="778">
        <f>IF(X119=0,0,           IF(ISNUMBER(BI118),BI118,               IF(ISTEXT(BI118),INDEX(AZ118:BG118,MATCH(BI118,$AZ$12:$BG$12,0)),             IF(BH118="INT",_xll.qInterp(X119,AB118:AI118,AZ118:BG118),            INDEX(AZ118:BG118,MATCH(BH118,$AZ$12:$BG$12,0))))))</f>
        <v>0</v>
      </c>
      <c r="BK118" s="408">
        <f t="shared" si="31"/>
        <v>0</v>
      </c>
      <c r="BL118" s="414">
        <f t="shared" si="32"/>
        <v>0</v>
      </c>
      <c r="BM118" s="408">
        <f t="shared" si="33"/>
        <v>0</v>
      </c>
    </row>
    <row r="119" spans="16:65">
      <c r="P119" s="779">
        <v>0</v>
      </c>
      <c r="Q119" s="780">
        <f t="shared" si="17"/>
        <v>0</v>
      </c>
      <c r="R119" s="776">
        <f>IF(P120,_xll.qDateYears(P119,P120,DCCfixed),0)</f>
        <v>0</v>
      </c>
      <c r="S119" s="553">
        <v>0</v>
      </c>
      <c r="T119" s="785"/>
      <c r="U119" s="409">
        <f t="shared" si="27"/>
        <v>0</v>
      </c>
      <c r="X119" s="363">
        <v>0</v>
      </c>
      <c r="Y119" s="775">
        <f t="shared" si="18"/>
        <v>0</v>
      </c>
      <c r="Z119" s="776">
        <f>IF(X120,_xll.qDateYears(X119,X120,DCCfloat),0)</f>
        <v>0</v>
      </c>
      <c r="AA119" s="553">
        <v>0</v>
      </c>
      <c r="AB119" s="789">
        <f>IF($X119=0,0,      _xll.qDateNext($X119,AB$12,"M",FRM&lt;&gt;"Calypso",CCY))</f>
        <v>0</v>
      </c>
      <c r="AC119" s="789">
        <f>IF($X119=0,0,      _xll.qDateNext($X119,AC$12,"M",FRM&lt;&gt;"Calypso",CCY))</f>
        <v>0</v>
      </c>
      <c r="AD119" s="789">
        <f>IF($X119=0,0,      _xll.qDateNext($X119,AD$12,"M",FRM&lt;&gt;"Calypso",CCY))</f>
        <v>0</v>
      </c>
      <c r="AE119" s="789">
        <f>IF($X119=0,0,      _xll.qDateNext($X119,AE$12,"M",FRM&lt;&gt;"Calypso",CCY))</f>
        <v>0</v>
      </c>
      <c r="AF119" s="789">
        <f>IF($X119=0,0,      _xll.qDateNext($X119,AF$12,"M",FRM&lt;&gt;"Calypso",CCY))</f>
        <v>0</v>
      </c>
      <c r="AG119" s="789">
        <f>IF($X119=0,0,      _xll.qDateNext($X119,AG$12,"M",FRM&lt;&gt;"Calypso",CCY))</f>
        <v>0</v>
      </c>
      <c r="AH119" s="789">
        <f>IF($X119=0,0,      _xll.qDateNext($X119,AH$12,"M",FRM&lt;&gt;"Calypso",CCY))</f>
        <v>0</v>
      </c>
      <c r="AI119" s="789">
        <f>IF($X119=0,0,      _xll.qDateNext($X119,AI$12,"M",FRM&lt;&gt;"Calypso",CCY))</f>
        <v>0</v>
      </c>
      <c r="AJ119" s="529" t="str">
        <v/>
      </c>
      <c r="AK119" s="529" t="str">
        <v/>
      </c>
      <c r="AL119" s="529" t="str">
        <v/>
      </c>
      <c r="AM119" s="529" t="str">
        <v/>
      </c>
      <c r="AN119" s="529" t="str">
        <v/>
      </c>
      <c r="AO119" s="529" t="str">
        <v/>
      </c>
      <c r="AP119" s="529" t="str">
        <v/>
      </c>
      <c r="AQ119" s="529" t="str">
        <v/>
      </c>
      <c r="AR119" s="529">
        <v>0</v>
      </c>
      <c r="AS119" s="529">
        <v>0</v>
      </c>
      <c r="AT119" s="529">
        <f t="shared" si="28"/>
        <v>0</v>
      </c>
      <c r="AU119" s="529">
        <v>0</v>
      </c>
      <c r="AV119" s="529">
        <f t="shared" si="29"/>
        <v>0</v>
      </c>
      <c r="AW119" s="529">
        <f t="shared" si="30"/>
        <v>0</v>
      </c>
      <c r="AX119" s="529">
        <v>0</v>
      </c>
      <c r="AY119" s="529">
        <v>0</v>
      </c>
      <c r="AZ119" s="761">
        <f t="shared" si="19"/>
        <v>0</v>
      </c>
      <c r="BA119" s="761">
        <f t="shared" si="20"/>
        <v>0</v>
      </c>
      <c r="BB119" s="761">
        <f t="shared" si="21"/>
        <v>0</v>
      </c>
      <c r="BC119" s="761">
        <f t="shared" si="22"/>
        <v>0</v>
      </c>
      <c r="BD119" s="761">
        <f t="shared" si="23"/>
        <v>0</v>
      </c>
      <c r="BE119" s="761">
        <f t="shared" si="24"/>
        <v>0</v>
      </c>
      <c r="BF119" s="761">
        <f t="shared" si="25"/>
        <v>0</v>
      </c>
      <c r="BG119" s="761">
        <f t="shared" si="26"/>
        <v>0</v>
      </c>
      <c r="BH119" s="777">
        <v>0</v>
      </c>
      <c r="BI119" s="755"/>
      <c r="BJ119" s="778">
        <f>IF(X120=0,0,           IF(ISNUMBER(BI119),BI119,               IF(ISTEXT(BI119),INDEX(AZ119:BG119,MATCH(BI119,$AZ$12:$BG$12,0)),             IF(BH119="INT",_xll.qInterp(X120,AB119:AI119,AZ119:BG119),            INDEX(AZ119:BG119,MATCH(BH119,$AZ$12:$BG$12,0))))))</f>
        <v>0</v>
      </c>
      <c r="BK119" s="408">
        <f t="shared" si="31"/>
        <v>0</v>
      </c>
      <c r="BL119" s="414">
        <f t="shared" si="32"/>
        <v>0</v>
      </c>
      <c r="BM119" s="408">
        <f t="shared" si="33"/>
        <v>0</v>
      </c>
    </row>
    <row r="120" spans="16:65">
      <c r="P120" s="779">
        <v>0</v>
      </c>
      <c r="Q120" s="780">
        <f t="shared" si="17"/>
        <v>0</v>
      </c>
      <c r="R120" s="776">
        <f>IF(P121,_xll.qDateYears(P120,P121,DCCfixed),0)</f>
        <v>0</v>
      </c>
      <c r="S120" s="553">
        <v>0</v>
      </c>
      <c r="T120" s="785"/>
      <c r="U120" s="409">
        <f t="shared" si="27"/>
        <v>0</v>
      </c>
      <c r="X120" s="363">
        <v>0</v>
      </c>
      <c r="Y120" s="775">
        <f t="shared" si="18"/>
        <v>0</v>
      </c>
      <c r="Z120" s="776">
        <f>IF(X121,_xll.qDateYears(X120,X121,DCCfloat),0)</f>
        <v>0</v>
      </c>
      <c r="AA120" s="553">
        <v>0</v>
      </c>
      <c r="AB120" s="789">
        <f>IF($X120=0,0,      _xll.qDateNext($X120,AB$12,"M",FRM&lt;&gt;"Calypso",CCY))</f>
        <v>0</v>
      </c>
      <c r="AC120" s="789">
        <f>IF($X120=0,0,      _xll.qDateNext($X120,AC$12,"M",FRM&lt;&gt;"Calypso",CCY))</f>
        <v>0</v>
      </c>
      <c r="AD120" s="789">
        <f>IF($X120=0,0,      _xll.qDateNext($X120,AD$12,"M",FRM&lt;&gt;"Calypso",CCY))</f>
        <v>0</v>
      </c>
      <c r="AE120" s="789">
        <f>IF($X120=0,0,      _xll.qDateNext($X120,AE$12,"M",FRM&lt;&gt;"Calypso",CCY))</f>
        <v>0</v>
      </c>
      <c r="AF120" s="789">
        <f>IF($X120=0,0,      _xll.qDateNext($X120,AF$12,"M",FRM&lt;&gt;"Calypso",CCY))</f>
        <v>0</v>
      </c>
      <c r="AG120" s="789">
        <f>IF($X120=0,0,      _xll.qDateNext($X120,AG$12,"M",FRM&lt;&gt;"Calypso",CCY))</f>
        <v>0</v>
      </c>
      <c r="AH120" s="789">
        <f>IF($X120=0,0,      _xll.qDateNext($X120,AH$12,"M",FRM&lt;&gt;"Calypso",CCY))</f>
        <v>0</v>
      </c>
      <c r="AI120" s="789">
        <f>IF($X120=0,0,      _xll.qDateNext($X120,AI$12,"M",FRM&lt;&gt;"Calypso",CCY))</f>
        <v>0</v>
      </c>
      <c r="AJ120" s="529" t="str">
        <v/>
      </c>
      <c r="AK120" s="529" t="str">
        <v/>
      </c>
      <c r="AL120" s="529" t="str">
        <v/>
      </c>
      <c r="AM120" s="529" t="str">
        <v/>
      </c>
      <c r="AN120" s="529" t="str">
        <v/>
      </c>
      <c r="AO120" s="529" t="str">
        <v/>
      </c>
      <c r="AP120" s="529" t="str">
        <v/>
      </c>
      <c r="AQ120" s="529" t="str">
        <v/>
      </c>
      <c r="AR120" s="529">
        <v>0</v>
      </c>
      <c r="AS120" s="529">
        <v>0</v>
      </c>
      <c r="AT120" s="529">
        <f t="shared" si="28"/>
        <v>0</v>
      </c>
      <c r="AU120" s="529">
        <v>0</v>
      </c>
      <c r="AV120" s="529">
        <f t="shared" si="29"/>
        <v>0</v>
      </c>
      <c r="AW120" s="529">
        <f t="shared" si="30"/>
        <v>0</v>
      </c>
      <c r="AX120" s="529">
        <v>0</v>
      </c>
      <c r="AY120" s="529">
        <v>0</v>
      </c>
      <c r="AZ120" s="761">
        <f t="shared" si="19"/>
        <v>0</v>
      </c>
      <c r="BA120" s="761">
        <f t="shared" si="20"/>
        <v>0</v>
      </c>
      <c r="BB120" s="761">
        <f t="shared" si="21"/>
        <v>0</v>
      </c>
      <c r="BC120" s="761">
        <f t="shared" si="22"/>
        <v>0</v>
      </c>
      <c r="BD120" s="761">
        <f t="shared" si="23"/>
        <v>0</v>
      </c>
      <c r="BE120" s="761">
        <f t="shared" si="24"/>
        <v>0</v>
      </c>
      <c r="BF120" s="761">
        <f t="shared" si="25"/>
        <v>0</v>
      </c>
      <c r="BG120" s="761">
        <f t="shared" si="26"/>
        <v>0</v>
      </c>
      <c r="BH120" s="777">
        <v>0</v>
      </c>
      <c r="BI120" s="755"/>
      <c r="BJ120" s="778">
        <f>IF(X121=0,0,           IF(ISNUMBER(BI120),BI120,               IF(ISTEXT(BI120),INDEX(AZ120:BG120,MATCH(BI120,$AZ$12:$BG$12,0)),             IF(BH120="INT",_xll.qInterp(X121,AB120:AI120,AZ120:BG120),            INDEX(AZ120:BG120,MATCH(BH120,$AZ$12:$BG$12,0))))))</f>
        <v>0</v>
      </c>
      <c r="BK120" s="408">
        <f t="shared" si="31"/>
        <v>0</v>
      </c>
      <c r="BL120" s="414">
        <f t="shared" si="32"/>
        <v>0</v>
      </c>
      <c r="BM120" s="408">
        <f t="shared" si="33"/>
        <v>0</v>
      </c>
    </row>
    <row r="121" spans="16:65">
      <c r="P121" s="779">
        <v>0</v>
      </c>
      <c r="Q121" s="780">
        <f t="shared" si="17"/>
        <v>0</v>
      </c>
      <c r="R121" s="776">
        <f>IF(P122,_xll.qDateYears(P121,P122,DCCfixed),0)</f>
        <v>0</v>
      </c>
      <c r="S121" s="553">
        <v>0</v>
      </c>
      <c r="T121" s="785"/>
      <c r="U121" s="409">
        <f t="shared" si="27"/>
        <v>0</v>
      </c>
      <c r="X121" s="363">
        <v>0</v>
      </c>
      <c r="Y121" s="775">
        <f t="shared" si="18"/>
        <v>0</v>
      </c>
      <c r="Z121" s="776">
        <f>IF(X122,_xll.qDateYears(X121,X122,DCCfloat),0)</f>
        <v>0</v>
      </c>
      <c r="AA121" s="553">
        <v>0</v>
      </c>
      <c r="AB121" s="789">
        <f>IF($X121=0,0,      _xll.qDateNext($X121,AB$12,"M",FRM&lt;&gt;"Calypso",CCY))</f>
        <v>0</v>
      </c>
      <c r="AC121" s="789">
        <f>IF($X121=0,0,      _xll.qDateNext($X121,AC$12,"M",FRM&lt;&gt;"Calypso",CCY))</f>
        <v>0</v>
      </c>
      <c r="AD121" s="789">
        <f>IF($X121=0,0,      _xll.qDateNext($X121,AD$12,"M",FRM&lt;&gt;"Calypso",CCY))</f>
        <v>0</v>
      </c>
      <c r="AE121" s="789">
        <f>IF($X121=0,0,      _xll.qDateNext($X121,AE$12,"M",FRM&lt;&gt;"Calypso",CCY))</f>
        <v>0</v>
      </c>
      <c r="AF121" s="789">
        <f>IF($X121=0,0,      _xll.qDateNext($X121,AF$12,"M",FRM&lt;&gt;"Calypso",CCY))</f>
        <v>0</v>
      </c>
      <c r="AG121" s="789">
        <f>IF($X121=0,0,      _xll.qDateNext($X121,AG$12,"M",FRM&lt;&gt;"Calypso",CCY))</f>
        <v>0</v>
      </c>
      <c r="AH121" s="789">
        <f>IF($X121=0,0,      _xll.qDateNext($X121,AH$12,"M",FRM&lt;&gt;"Calypso",CCY))</f>
        <v>0</v>
      </c>
      <c r="AI121" s="789">
        <f>IF($X121=0,0,      _xll.qDateNext($X121,AI$12,"M",FRM&lt;&gt;"Calypso",CCY))</f>
        <v>0</v>
      </c>
      <c r="AJ121" s="529" t="str">
        <v/>
      </c>
      <c r="AK121" s="529" t="str">
        <v/>
      </c>
      <c r="AL121" s="529" t="str">
        <v/>
      </c>
      <c r="AM121" s="529" t="str">
        <v/>
      </c>
      <c r="AN121" s="529" t="str">
        <v/>
      </c>
      <c r="AO121" s="529" t="str">
        <v/>
      </c>
      <c r="AP121" s="529" t="str">
        <v/>
      </c>
      <c r="AQ121" s="529" t="str">
        <v/>
      </c>
      <c r="AR121" s="529">
        <v>0</v>
      </c>
      <c r="AS121" s="529">
        <v>0</v>
      </c>
      <c r="AT121" s="529">
        <f t="shared" si="28"/>
        <v>0</v>
      </c>
      <c r="AU121" s="529">
        <v>0</v>
      </c>
      <c r="AV121" s="529">
        <f t="shared" si="29"/>
        <v>0</v>
      </c>
      <c r="AW121" s="529">
        <f t="shared" si="30"/>
        <v>0</v>
      </c>
      <c r="AX121" s="529">
        <v>0</v>
      </c>
      <c r="AY121" s="529">
        <v>0</v>
      </c>
      <c r="AZ121" s="761">
        <f t="shared" si="19"/>
        <v>0</v>
      </c>
      <c r="BA121" s="761">
        <f t="shared" si="20"/>
        <v>0</v>
      </c>
      <c r="BB121" s="761">
        <f t="shared" si="21"/>
        <v>0</v>
      </c>
      <c r="BC121" s="761">
        <f t="shared" si="22"/>
        <v>0</v>
      </c>
      <c r="BD121" s="761">
        <f t="shared" si="23"/>
        <v>0</v>
      </c>
      <c r="BE121" s="761">
        <f t="shared" si="24"/>
        <v>0</v>
      </c>
      <c r="BF121" s="761">
        <f t="shared" si="25"/>
        <v>0</v>
      </c>
      <c r="BG121" s="761">
        <f t="shared" si="26"/>
        <v>0</v>
      </c>
      <c r="BH121" s="777">
        <v>0</v>
      </c>
      <c r="BI121" s="755"/>
      <c r="BJ121" s="778">
        <f>IF(X122=0,0,           IF(ISNUMBER(BI121),BI121,               IF(ISTEXT(BI121),INDEX(AZ121:BG121,MATCH(BI121,$AZ$12:$BG$12,0)),             IF(BH121="INT",_xll.qInterp(X122,AB121:AI121,AZ121:BG121),            INDEX(AZ121:BG121,MATCH(BH121,$AZ$12:$BG$12,0))))))</f>
        <v>0</v>
      </c>
      <c r="BK121" s="408">
        <f t="shared" si="31"/>
        <v>0</v>
      </c>
      <c r="BL121" s="414">
        <f t="shared" si="32"/>
        <v>0</v>
      </c>
      <c r="BM121" s="408">
        <f t="shared" si="33"/>
        <v>0</v>
      </c>
    </row>
    <row r="122" spans="16:65">
      <c r="P122" s="779">
        <v>0</v>
      </c>
      <c r="Q122" s="780">
        <f t="shared" si="17"/>
        <v>0</v>
      </c>
      <c r="R122" s="776">
        <f>IF(P123,_xll.qDateYears(P122,P123,DCCfixed),0)</f>
        <v>0</v>
      </c>
      <c r="S122" s="553">
        <v>0</v>
      </c>
      <c r="T122" s="785"/>
      <c r="U122" s="409">
        <f t="shared" si="27"/>
        <v>0</v>
      </c>
      <c r="X122" s="363">
        <v>0</v>
      </c>
      <c r="Y122" s="775">
        <f t="shared" si="18"/>
        <v>0</v>
      </c>
      <c r="Z122" s="776">
        <f>IF(X123,_xll.qDateYears(X122,X123,DCCfloat),0)</f>
        <v>0</v>
      </c>
      <c r="AA122" s="553">
        <v>0</v>
      </c>
      <c r="AB122" s="789">
        <f>IF($X122=0,0,      _xll.qDateNext($X122,AB$12,"M",FRM&lt;&gt;"Calypso",CCY))</f>
        <v>0</v>
      </c>
      <c r="AC122" s="789">
        <f>IF($X122=0,0,      _xll.qDateNext($X122,AC$12,"M",FRM&lt;&gt;"Calypso",CCY))</f>
        <v>0</v>
      </c>
      <c r="AD122" s="789">
        <f>IF($X122=0,0,      _xll.qDateNext($X122,AD$12,"M",FRM&lt;&gt;"Calypso",CCY))</f>
        <v>0</v>
      </c>
      <c r="AE122" s="789">
        <f>IF($X122=0,0,      _xll.qDateNext($X122,AE$12,"M",FRM&lt;&gt;"Calypso",CCY))</f>
        <v>0</v>
      </c>
      <c r="AF122" s="789">
        <f>IF($X122=0,0,      _xll.qDateNext($X122,AF$12,"M",FRM&lt;&gt;"Calypso",CCY))</f>
        <v>0</v>
      </c>
      <c r="AG122" s="789">
        <f>IF($X122=0,0,      _xll.qDateNext($X122,AG$12,"M",FRM&lt;&gt;"Calypso",CCY))</f>
        <v>0</v>
      </c>
      <c r="AH122" s="789">
        <f>IF($X122=0,0,      _xll.qDateNext($X122,AH$12,"M",FRM&lt;&gt;"Calypso",CCY))</f>
        <v>0</v>
      </c>
      <c r="AI122" s="789">
        <f>IF($X122=0,0,      _xll.qDateNext($X122,AI$12,"M",FRM&lt;&gt;"Calypso",CCY))</f>
        <v>0</v>
      </c>
      <c r="AJ122" s="529" t="str">
        <v/>
      </c>
      <c r="AK122" s="529" t="str">
        <v/>
      </c>
      <c r="AL122" s="529" t="str">
        <v/>
      </c>
      <c r="AM122" s="529" t="str">
        <v/>
      </c>
      <c r="AN122" s="529" t="str">
        <v/>
      </c>
      <c r="AO122" s="529" t="str">
        <v/>
      </c>
      <c r="AP122" s="529" t="str">
        <v/>
      </c>
      <c r="AQ122" s="529" t="str">
        <v/>
      </c>
      <c r="AR122" s="529">
        <v>0</v>
      </c>
      <c r="AS122" s="529">
        <v>0</v>
      </c>
      <c r="AT122" s="529">
        <f t="shared" si="28"/>
        <v>0</v>
      </c>
      <c r="AU122" s="529">
        <v>0</v>
      </c>
      <c r="AV122" s="529">
        <f t="shared" si="29"/>
        <v>0</v>
      </c>
      <c r="AW122" s="529">
        <f t="shared" si="30"/>
        <v>0</v>
      </c>
      <c r="AX122" s="529">
        <v>0</v>
      </c>
      <c r="AY122" s="529">
        <v>0</v>
      </c>
      <c r="AZ122" s="761">
        <f t="shared" si="19"/>
        <v>0</v>
      </c>
      <c r="BA122" s="761">
        <f t="shared" si="20"/>
        <v>0</v>
      </c>
      <c r="BB122" s="761">
        <f t="shared" si="21"/>
        <v>0</v>
      </c>
      <c r="BC122" s="761">
        <f t="shared" si="22"/>
        <v>0</v>
      </c>
      <c r="BD122" s="761">
        <f t="shared" si="23"/>
        <v>0</v>
      </c>
      <c r="BE122" s="761">
        <f t="shared" si="24"/>
        <v>0</v>
      </c>
      <c r="BF122" s="761">
        <f t="shared" si="25"/>
        <v>0</v>
      </c>
      <c r="BG122" s="761">
        <f t="shared" si="26"/>
        <v>0</v>
      </c>
      <c r="BH122" s="777">
        <v>0</v>
      </c>
      <c r="BI122" s="755"/>
      <c r="BJ122" s="778">
        <f>IF(X123=0,0,           IF(ISNUMBER(BI122),BI122,               IF(ISTEXT(BI122),INDEX(AZ122:BG122,MATCH(BI122,$AZ$12:$BG$12,0)),             IF(BH122="INT",_xll.qInterp(X123,AB122:AI122,AZ122:BG122),            INDEX(AZ122:BG122,MATCH(BH122,$AZ$12:$BG$12,0))))))</f>
        <v>0</v>
      </c>
      <c r="BK122" s="408">
        <f t="shared" si="31"/>
        <v>0</v>
      </c>
      <c r="BL122" s="414">
        <f t="shared" si="32"/>
        <v>0</v>
      </c>
      <c r="BM122" s="408">
        <f t="shared" si="33"/>
        <v>0</v>
      </c>
    </row>
    <row r="123" spans="16:65">
      <c r="P123" s="779">
        <v>0</v>
      </c>
      <c r="Q123" s="780">
        <f t="shared" si="17"/>
        <v>0</v>
      </c>
      <c r="R123" s="776">
        <f>IF(P124,_xll.qDateYears(P123,P124,DCCfixed),0)</f>
        <v>0</v>
      </c>
      <c r="S123" s="553">
        <v>0</v>
      </c>
      <c r="T123" s="785"/>
      <c r="U123" s="409">
        <f t="shared" si="27"/>
        <v>0</v>
      </c>
      <c r="X123" s="363">
        <v>0</v>
      </c>
      <c r="Y123" s="775">
        <f t="shared" si="18"/>
        <v>0</v>
      </c>
      <c r="Z123" s="776">
        <f>IF(X124,_xll.qDateYears(X123,X124,DCCfloat),0)</f>
        <v>0</v>
      </c>
      <c r="AA123" s="553">
        <v>0</v>
      </c>
      <c r="AB123" s="789">
        <f>IF($X123=0,0,      _xll.qDateNext($X123,AB$12,"M",FRM&lt;&gt;"Calypso",CCY))</f>
        <v>0</v>
      </c>
      <c r="AC123" s="789">
        <f>IF($X123=0,0,      _xll.qDateNext($X123,AC$12,"M",FRM&lt;&gt;"Calypso",CCY))</f>
        <v>0</v>
      </c>
      <c r="AD123" s="789">
        <f>IF($X123=0,0,      _xll.qDateNext($X123,AD$12,"M",FRM&lt;&gt;"Calypso",CCY))</f>
        <v>0</v>
      </c>
      <c r="AE123" s="789">
        <f>IF($X123=0,0,      _xll.qDateNext($X123,AE$12,"M",FRM&lt;&gt;"Calypso",CCY))</f>
        <v>0</v>
      </c>
      <c r="AF123" s="789">
        <f>IF($X123=0,0,      _xll.qDateNext($X123,AF$12,"M",FRM&lt;&gt;"Calypso",CCY))</f>
        <v>0</v>
      </c>
      <c r="AG123" s="789">
        <f>IF($X123=0,0,      _xll.qDateNext($X123,AG$12,"M",FRM&lt;&gt;"Calypso",CCY))</f>
        <v>0</v>
      </c>
      <c r="AH123" s="789">
        <f>IF($X123=0,0,      _xll.qDateNext($X123,AH$12,"M",FRM&lt;&gt;"Calypso",CCY))</f>
        <v>0</v>
      </c>
      <c r="AI123" s="789">
        <f>IF($X123=0,0,      _xll.qDateNext($X123,AI$12,"M",FRM&lt;&gt;"Calypso",CCY))</f>
        <v>0</v>
      </c>
      <c r="AJ123" s="529" t="str">
        <v/>
      </c>
      <c r="AK123" s="529" t="str">
        <v/>
      </c>
      <c r="AL123" s="529" t="str">
        <v/>
      </c>
      <c r="AM123" s="529" t="str">
        <v/>
      </c>
      <c r="AN123" s="529" t="str">
        <v/>
      </c>
      <c r="AO123" s="529" t="str">
        <v/>
      </c>
      <c r="AP123" s="529" t="str">
        <v/>
      </c>
      <c r="AQ123" s="529" t="str">
        <v/>
      </c>
      <c r="AR123" s="529">
        <v>0</v>
      </c>
      <c r="AS123" s="529">
        <v>0</v>
      </c>
      <c r="AT123" s="529">
        <f t="shared" si="28"/>
        <v>0</v>
      </c>
      <c r="AU123" s="529">
        <v>0</v>
      </c>
      <c r="AV123" s="529">
        <f t="shared" si="29"/>
        <v>0</v>
      </c>
      <c r="AW123" s="529">
        <f t="shared" si="30"/>
        <v>0</v>
      </c>
      <c r="AX123" s="529">
        <v>0</v>
      </c>
      <c r="AY123" s="529">
        <v>0</v>
      </c>
      <c r="AZ123" s="761">
        <f t="shared" si="19"/>
        <v>0</v>
      </c>
      <c r="BA123" s="761">
        <f t="shared" si="20"/>
        <v>0</v>
      </c>
      <c r="BB123" s="761">
        <f t="shared" si="21"/>
        <v>0</v>
      </c>
      <c r="BC123" s="761">
        <f t="shared" si="22"/>
        <v>0</v>
      </c>
      <c r="BD123" s="761">
        <f t="shared" si="23"/>
        <v>0</v>
      </c>
      <c r="BE123" s="761">
        <f t="shared" si="24"/>
        <v>0</v>
      </c>
      <c r="BF123" s="761">
        <f t="shared" si="25"/>
        <v>0</v>
      </c>
      <c r="BG123" s="761">
        <f t="shared" si="26"/>
        <v>0</v>
      </c>
      <c r="BH123" s="777">
        <v>0</v>
      </c>
      <c r="BI123" s="755"/>
      <c r="BJ123" s="778">
        <f>IF(X124=0,0,           IF(ISNUMBER(BI123),BI123,               IF(ISTEXT(BI123),INDEX(AZ123:BG123,MATCH(BI123,$AZ$12:$BG$12,0)),             IF(BH123="INT",_xll.qInterp(X124,AB123:AI123,AZ123:BG123),            INDEX(AZ123:BG123,MATCH(BH123,$AZ$12:$BG$12,0))))))</f>
        <v>0</v>
      </c>
      <c r="BK123" s="408">
        <f t="shared" si="31"/>
        <v>0</v>
      </c>
      <c r="BL123" s="414">
        <f t="shared" si="32"/>
        <v>0</v>
      </c>
      <c r="BM123" s="408">
        <f t="shared" si="33"/>
        <v>0</v>
      </c>
    </row>
    <row r="124" spans="16:65">
      <c r="P124" s="779">
        <v>0</v>
      </c>
      <c r="Q124" s="780">
        <f t="shared" si="17"/>
        <v>0</v>
      </c>
      <c r="R124" s="776">
        <f>IF(P125,_xll.qDateYears(P124,P125,DCCfixed),0)</f>
        <v>0</v>
      </c>
      <c r="S124" s="553">
        <v>0</v>
      </c>
      <c r="T124" s="785"/>
      <c r="U124" s="409">
        <f t="shared" si="27"/>
        <v>0</v>
      </c>
      <c r="X124" s="363">
        <v>0</v>
      </c>
      <c r="Y124" s="775">
        <f t="shared" si="18"/>
        <v>0</v>
      </c>
      <c r="Z124" s="776">
        <f>IF(X125,_xll.qDateYears(X124,X125,DCCfloat),0)</f>
        <v>0</v>
      </c>
      <c r="AA124" s="553">
        <v>0</v>
      </c>
      <c r="AB124" s="789">
        <f>IF($X124=0,0,      _xll.qDateNext($X124,AB$12,"M",FRM&lt;&gt;"Calypso",CCY))</f>
        <v>0</v>
      </c>
      <c r="AC124" s="789">
        <f>IF($X124=0,0,      _xll.qDateNext($X124,AC$12,"M",FRM&lt;&gt;"Calypso",CCY))</f>
        <v>0</v>
      </c>
      <c r="AD124" s="789">
        <f>IF($X124=0,0,      _xll.qDateNext($X124,AD$12,"M",FRM&lt;&gt;"Calypso",CCY))</f>
        <v>0</v>
      </c>
      <c r="AE124" s="789">
        <f>IF($X124=0,0,      _xll.qDateNext($X124,AE$12,"M",FRM&lt;&gt;"Calypso",CCY))</f>
        <v>0</v>
      </c>
      <c r="AF124" s="789">
        <f>IF($X124=0,0,      _xll.qDateNext($X124,AF$12,"M",FRM&lt;&gt;"Calypso",CCY))</f>
        <v>0</v>
      </c>
      <c r="AG124" s="789">
        <f>IF($X124=0,0,      _xll.qDateNext($X124,AG$12,"M",FRM&lt;&gt;"Calypso",CCY))</f>
        <v>0</v>
      </c>
      <c r="AH124" s="789">
        <f>IF($X124=0,0,      _xll.qDateNext($X124,AH$12,"M",FRM&lt;&gt;"Calypso",CCY))</f>
        <v>0</v>
      </c>
      <c r="AI124" s="789">
        <f>IF($X124=0,0,      _xll.qDateNext($X124,AI$12,"M",FRM&lt;&gt;"Calypso",CCY))</f>
        <v>0</v>
      </c>
      <c r="AJ124" s="529" t="str">
        <v/>
      </c>
      <c r="AK124" s="529" t="str">
        <v/>
      </c>
      <c r="AL124" s="529" t="str">
        <v/>
      </c>
      <c r="AM124" s="529" t="str">
        <v/>
      </c>
      <c r="AN124" s="529" t="str">
        <v/>
      </c>
      <c r="AO124" s="529" t="str">
        <v/>
      </c>
      <c r="AP124" s="529" t="str">
        <v/>
      </c>
      <c r="AQ124" s="529" t="str">
        <v/>
      </c>
      <c r="AR124" s="529">
        <v>0</v>
      </c>
      <c r="AS124" s="529">
        <v>0</v>
      </c>
      <c r="AT124" s="529">
        <f t="shared" si="28"/>
        <v>0</v>
      </c>
      <c r="AU124" s="529">
        <v>0</v>
      </c>
      <c r="AV124" s="529">
        <f t="shared" si="29"/>
        <v>0</v>
      </c>
      <c r="AW124" s="529">
        <f t="shared" si="30"/>
        <v>0</v>
      </c>
      <c r="AX124" s="529">
        <v>0</v>
      </c>
      <c r="AY124" s="529">
        <v>0</v>
      </c>
      <c r="AZ124" s="761">
        <f t="shared" si="19"/>
        <v>0</v>
      </c>
      <c r="BA124" s="761">
        <f t="shared" si="20"/>
        <v>0</v>
      </c>
      <c r="BB124" s="761">
        <f t="shared" si="21"/>
        <v>0</v>
      </c>
      <c r="BC124" s="761">
        <f t="shared" si="22"/>
        <v>0</v>
      </c>
      <c r="BD124" s="761">
        <f t="shared" si="23"/>
        <v>0</v>
      </c>
      <c r="BE124" s="761">
        <f t="shared" si="24"/>
        <v>0</v>
      </c>
      <c r="BF124" s="761">
        <f t="shared" si="25"/>
        <v>0</v>
      </c>
      <c r="BG124" s="761">
        <f t="shared" si="26"/>
        <v>0</v>
      </c>
      <c r="BH124" s="777">
        <v>0</v>
      </c>
      <c r="BI124" s="755"/>
      <c r="BJ124" s="778">
        <f>IF(X125=0,0,           IF(ISNUMBER(BI124),BI124,               IF(ISTEXT(BI124),INDEX(AZ124:BG124,MATCH(BI124,$AZ$12:$BG$12,0)),             IF(BH124="INT",_xll.qInterp(X125,AB124:AI124,AZ124:BG124),            INDEX(AZ124:BG124,MATCH(BH124,$AZ$12:$BG$12,0))))))</f>
        <v>0</v>
      </c>
      <c r="BK124" s="408">
        <f t="shared" si="31"/>
        <v>0</v>
      </c>
      <c r="BL124" s="414">
        <f t="shared" si="32"/>
        <v>0</v>
      </c>
      <c r="BM124" s="408">
        <f t="shared" si="33"/>
        <v>0</v>
      </c>
    </row>
    <row r="125" spans="16:65">
      <c r="P125" s="779">
        <v>0</v>
      </c>
      <c r="Q125" s="780">
        <f t="shared" si="17"/>
        <v>0</v>
      </c>
      <c r="R125" s="776">
        <f>IF(P126,_xll.qDateYears(P125,P126,DCCfixed),0)</f>
        <v>0</v>
      </c>
      <c r="S125" s="553">
        <v>0</v>
      </c>
      <c r="T125" s="785"/>
      <c r="U125" s="409">
        <f t="shared" si="27"/>
        <v>0</v>
      </c>
      <c r="X125" s="363">
        <v>0</v>
      </c>
      <c r="Y125" s="775">
        <f t="shared" si="18"/>
        <v>0</v>
      </c>
      <c r="Z125" s="776">
        <f>IF(X126,_xll.qDateYears(X125,X126,DCCfloat),0)</f>
        <v>0</v>
      </c>
      <c r="AA125" s="553">
        <v>0</v>
      </c>
      <c r="AB125" s="789">
        <f>IF($X125=0,0,      _xll.qDateNext($X125,AB$12,"M",FRM&lt;&gt;"Calypso",CCY))</f>
        <v>0</v>
      </c>
      <c r="AC125" s="789">
        <f>IF($X125=0,0,      _xll.qDateNext($X125,AC$12,"M",FRM&lt;&gt;"Calypso",CCY))</f>
        <v>0</v>
      </c>
      <c r="AD125" s="789">
        <f>IF($X125=0,0,      _xll.qDateNext($X125,AD$12,"M",FRM&lt;&gt;"Calypso",CCY))</f>
        <v>0</v>
      </c>
      <c r="AE125" s="789">
        <f>IF($X125=0,0,      _xll.qDateNext($X125,AE$12,"M",FRM&lt;&gt;"Calypso",CCY))</f>
        <v>0</v>
      </c>
      <c r="AF125" s="789">
        <f>IF($X125=0,0,      _xll.qDateNext($X125,AF$12,"M",FRM&lt;&gt;"Calypso",CCY))</f>
        <v>0</v>
      </c>
      <c r="AG125" s="789">
        <f>IF($X125=0,0,      _xll.qDateNext($X125,AG$12,"M",FRM&lt;&gt;"Calypso",CCY))</f>
        <v>0</v>
      </c>
      <c r="AH125" s="789">
        <f>IF($X125=0,0,      _xll.qDateNext($X125,AH$12,"M",FRM&lt;&gt;"Calypso",CCY))</f>
        <v>0</v>
      </c>
      <c r="AI125" s="789">
        <f>IF($X125=0,0,      _xll.qDateNext($X125,AI$12,"M",FRM&lt;&gt;"Calypso",CCY))</f>
        <v>0</v>
      </c>
      <c r="AJ125" s="529" t="str">
        <v/>
      </c>
      <c r="AK125" s="529" t="str">
        <v/>
      </c>
      <c r="AL125" s="529" t="str">
        <v/>
      </c>
      <c r="AM125" s="529" t="str">
        <v/>
      </c>
      <c r="AN125" s="529" t="str">
        <v/>
      </c>
      <c r="AO125" s="529" t="str">
        <v/>
      </c>
      <c r="AP125" s="529" t="str">
        <v/>
      </c>
      <c r="AQ125" s="529" t="str">
        <v/>
      </c>
      <c r="AR125" s="529">
        <v>0</v>
      </c>
      <c r="AS125" s="529">
        <v>0</v>
      </c>
      <c r="AT125" s="529">
        <f t="shared" si="28"/>
        <v>0</v>
      </c>
      <c r="AU125" s="529">
        <v>0</v>
      </c>
      <c r="AV125" s="529">
        <f t="shared" si="29"/>
        <v>0</v>
      </c>
      <c r="AW125" s="529">
        <f t="shared" si="30"/>
        <v>0</v>
      </c>
      <c r="AX125" s="529">
        <v>0</v>
      </c>
      <c r="AY125" s="529">
        <v>0</v>
      </c>
      <c r="AZ125" s="761">
        <f t="shared" si="19"/>
        <v>0</v>
      </c>
      <c r="BA125" s="761">
        <f t="shared" si="20"/>
        <v>0</v>
      </c>
      <c r="BB125" s="761">
        <f t="shared" si="21"/>
        <v>0</v>
      </c>
      <c r="BC125" s="761">
        <f t="shared" si="22"/>
        <v>0</v>
      </c>
      <c r="BD125" s="761">
        <f t="shared" si="23"/>
        <v>0</v>
      </c>
      <c r="BE125" s="761">
        <f t="shared" si="24"/>
        <v>0</v>
      </c>
      <c r="BF125" s="761">
        <f t="shared" si="25"/>
        <v>0</v>
      </c>
      <c r="BG125" s="761">
        <f t="shared" si="26"/>
        <v>0</v>
      </c>
      <c r="BH125" s="777">
        <v>0</v>
      </c>
      <c r="BI125" s="755"/>
      <c r="BJ125" s="778">
        <f>IF(X126=0,0,           IF(ISNUMBER(BI125),BI125,               IF(ISTEXT(BI125),INDEX(AZ125:BG125,MATCH(BI125,$AZ$12:$BG$12,0)),             IF(BH125="INT",_xll.qInterp(X126,AB125:AI125,AZ125:BG125),            INDEX(AZ125:BG125,MATCH(BH125,$AZ$12:$BG$12,0))))))</f>
        <v>0</v>
      </c>
      <c r="BK125" s="408">
        <f t="shared" si="31"/>
        <v>0</v>
      </c>
      <c r="BL125" s="414">
        <f t="shared" si="32"/>
        <v>0</v>
      </c>
      <c r="BM125" s="408">
        <f t="shared" si="33"/>
        <v>0</v>
      </c>
    </row>
    <row r="126" spans="16:65">
      <c r="P126" s="779">
        <v>0</v>
      </c>
      <c r="Q126" s="780">
        <f t="shared" si="17"/>
        <v>0</v>
      </c>
      <c r="R126" s="776">
        <f>IF(P127,_xll.qDateYears(P126,P127,DCCfixed),0)</f>
        <v>0</v>
      </c>
      <c r="S126" s="553">
        <v>0</v>
      </c>
      <c r="T126" s="785"/>
      <c r="U126" s="409">
        <f t="shared" si="27"/>
        <v>0</v>
      </c>
      <c r="X126" s="363">
        <v>0</v>
      </c>
      <c r="Y126" s="775">
        <f t="shared" si="18"/>
        <v>0</v>
      </c>
      <c r="Z126" s="776">
        <f>IF(X127,_xll.qDateYears(X126,X127,DCCfloat),0)</f>
        <v>0</v>
      </c>
      <c r="AA126" s="553">
        <v>0</v>
      </c>
      <c r="AB126" s="789">
        <f>IF($X126=0,0,      _xll.qDateNext($X126,AB$12,"M",FRM&lt;&gt;"Calypso",CCY))</f>
        <v>0</v>
      </c>
      <c r="AC126" s="789">
        <f>IF($X126=0,0,      _xll.qDateNext($X126,AC$12,"M",FRM&lt;&gt;"Calypso",CCY))</f>
        <v>0</v>
      </c>
      <c r="AD126" s="789">
        <f>IF($X126=0,0,      _xll.qDateNext($X126,AD$12,"M",FRM&lt;&gt;"Calypso",CCY))</f>
        <v>0</v>
      </c>
      <c r="AE126" s="789">
        <f>IF($X126=0,0,      _xll.qDateNext($X126,AE$12,"M",FRM&lt;&gt;"Calypso",CCY))</f>
        <v>0</v>
      </c>
      <c r="AF126" s="789">
        <f>IF($X126=0,0,      _xll.qDateNext($X126,AF$12,"M",FRM&lt;&gt;"Calypso",CCY))</f>
        <v>0</v>
      </c>
      <c r="AG126" s="789">
        <f>IF($X126=0,0,      _xll.qDateNext($X126,AG$12,"M",FRM&lt;&gt;"Calypso",CCY))</f>
        <v>0</v>
      </c>
      <c r="AH126" s="789">
        <f>IF($X126=0,0,      _xll.qDateNext($X126,AH$12,"M",FRM&lt;&gt;"Calypso",CCY))</f>
        <v>0</v>
      </c>
      <c r="AI126" s="789">
        <f>IF($X126=0,0,      _xll.qDateNext($X126,AI$12,"M",FRM&lt;&gt;"Calypso",CCY))</f>
        <v>0</v>
      </c>
      <c r="AJ126" s="529" t="str">
        <v/>
      </c>
      <c r="AK126" s="529" t="str">
        <v/>
      </c>
      <c r="AL126" s="529" t="str">
        <v/>
      </c>
      <c r="AM126" s="529" t="str">
        <v/>
      </c>
      <c r="AN126" s="529" t="str">
        <v/>
      </c>
      <c r="AO126" s="529" t="str">
        <v/>
      </c>
      <c r="AP126" s="529" t="str">
        <v/>
      </c>
      <c r="AQ126" s="529" t="str">
        <v/>
      </c>
      <c r="AR126" s="529">
        <v>0</v>
      </c>
      <c r="AS126" s="529">
        <v>0</v>
      </c>
      <c r="AT126" s="529">
        <f t="shared" si="28"/>
        <v>0</v>
      </c>
      <c r="AU126" s="529">
        <v>0</v>
      </c>
      <c r="AV126" s="529">
        <f t="shared" si="29"/>
        <v>0</v>
      </c>
      <c r="AW126" s="529">
        <f t="shared" si="30"/>
        <v>0</v>
      </c>
      <c r="AX126" s="529">
        <v>0</v>
      </c>
      <c r="AY126" s="529">
        <v>0</v>
      </c>
      <c r="AZ126" s="761">
        <f t="shared" si="19"/>
        <v>0</v>
      </c>
      <c r="BA126" s="761">
        <f t="shared" si="20"/>
        <v>0</v>
      </c>
      <c r="BB126" s="761">
        <f t="shared" si="21"/>
        <v>0</v>
      </c>
      <c r="BC126" s="761">
        <f t="shared" si="22"/>
        <v>0</v>
      </c>
      <c r="BD126" s="761">
        <f t="shared" si="23"/>
        <v>0</v>
      </c>
      <c r="BE126" s="761">
        <f t="shared" si="24"/>
        <v>0</v>
      </c>
      <c r="BF126" s="761">
        <f t="shared" si="25"/>
        <v>0</v>
      </c>
      <c r="BG126" s="761">
        <f t="shared" si="26"/>
        <v>0</v>
      </c>
      <c r="BH126" s="777">
        <v>0</v>
      </c>
      <c r="BI126" s="755"/>
      <c r="BJ126" s="778">
        <f>IF(X127=0,0,           IF(ISNUMBER(BI126),BI126,               IF(ISTEXT(BI126),INDEX(AZ126:BG126,MATCH(BI126,$AZ$12:$BG$12,0)),             IF(BH126="INT",_xll.qInterp(X127,AB126:AI126,AZ126:BG126),            INDEX(AZ126:BG126,MATCH(BH126,$AZ$12:$BG$12,0))))))</f>
        <v>0</v>
      </c>
      <c r="BK126" s="408">
        <f t="shared" si="31"/>
        <v>0</v>
      </c>
      <c r="BL126" s="414">
        <f t="shared" si="32"/>
        <v>0</v>
      </c>
      <c r="BM126" s="408">
        <f t="shared" si="33"/>
        <v>0</v>
      </c>
    </row>
    <row r="127" spans="16:65">
      <c r="P127" s="779">
        <v>0</v>
      </c>
      <c r="Q127" s="780">
        <f t="shared" si="17"/>
        <v>0</v>
      </c>
      <c r="R127" s="776">
        <f>IF(P128,_xll.qDateYears(P127,P128,DCCfixed),0)</f>
        <v>0</v>
      </c>
      <c r="S127" s="553">
        <v>0</v>
      </c>
      <c r="T127" s="785"/>
      <c r="U127" s="409">
        <f t="shared" si="27"/>
        <v>0</v>
      </c>
      <c r="X127" s="363">
        <v>0</v>
      </c>
      <c r="Y127" s="775">
        <f t="shared" si="18"/>
        <v>0</v>
      </c>
      <c r="Z127" s="776">
        <f>IF(X128,_xll.qDateYears(X127,X128,DCCfloat),0)</f>
        <v>0</v>
      </c>
      <c r="AA127" s="553">
        <v>0</v>
      </c>
      <c r="AB127" s="789">
        <f>IF($X127=0,0,      _xll.qDateNext($X127,AB$12,"M",FRM&lt;&gt;"Calypso",CCY))</f>
        <v>0</v>
      </c>
      <c r="AC127" s="789">
        <f>IF($X127=0,0,      _xll.qDateNext($X127,AC$12,"M",FRM&lt;&gt;"Calypso",CCY))</f>
        <v>0</v>
      </c>
      <c r="AD127" s="789">
        <f>IF($X127=0,0,      _xll.qDateNext($X127,AD$12,"M",FRM&lt;&gt;"Calypso",CCY))</f>
        <v>0</v>
      </c>
      <c r="AE127" s="789">
        <f>IF($X127=0,0,      _xll.qDateNext($X127,AE$12,"M",FRM&lt;&gt;"Calypso",CCY))</f>
        <v>0</v>
      </c>
      <c r="AF127" s="789">
        <f>IF($X127=0,0,      _xll.qDateNext($X127,AF$12,"M",FRM&lt;&gt;"Calypso",CCY))</f>
        <v>0</v>
      </c>
      <c r="AG127" s="789">
        <f>IF($X127=0,0,      _xll.qDateNext($X127,AG$12,"M",FRM&lt;&gt;"Calypso",CCY))</f>
        <v>0</v>
      </c>
      <c r="AH127" s="789">
        <f>IF($X127=0,0,      _xll.qDateNext($X127,AH$12,"M",FRM&lt;&gt;"Calypso",CCY))</f>
        <v>0</v>
      </c>
      <c r="AI127" s="789">
        <f>IF($X127=0,0,      _xll.qDateNext($X127,AI$12,"M",FRM&lt;&gt;"Calypso",CCY))</f>
        <v>0</v>
      </c>
      <c r="AJ127" s="529" t="str">
        <v/>
      </c>
      <c r="AK127" s="529" t="str">
        <v/>
      </c>
      <c r="AL127" s="529" t="str">
        <v/>
      </c>
      <c r="AM127" s="529" t="str">
        <v/>
      </c>
      <c r="AN127" s="529" t="str">
        <v/>
      </c>
      <c r="AO127" s="529" t="str">
        <v/>
      </c>
      <c r="AP127" s="529" t="str">
        <v/>
      </c>
      <c r="AQ127" s="529" t="str">
        <v/>
      </c>
      <c r="AR127" s="529">
        <v>0</v>
      </c>
      <c r="AS127" s="529">
        <v>0</v>
      </c>
      <c r="AT127" s="529">
        <f t="shared" si="28"/>
        <v>0</v>
      </c>
      <c r="AU127" s="529">
        <v>0</v>
      </c>
      <c r="AV127" s="529">
        <f t="shared" si="29"/>
        <v>0</v>
      </c>
      <c r="AW127" s="529">
        <f t="shared" si="30"/>
        <v>0</v>
      </c>
      <c r="AX127" s="529">
        <v>0</v>
      </c>
      <c r="AY127" s="529">
        <v>0</v>
      </c>
      <c r="AZ127" s="761">
        <f t="shared" si="19"/>
        <v>0</v>
      </c>
      <c r="BA127" s="761">
        <f t="shared" si="20"/>
        <v>0</v>
      </c>
      <c r="BB127" s="761">
        <f t="shared" si="21"/>
        <v>0</v>
      </c>
      <c r="BC127" s="761">
        <f t="shared" si="22"/>
        <v>0</v>
      </c>
      <c r="BD127" s="761">
        <f t="shared" si="23"/>
        <v>0</v>
      </c>
      <c r="BE127" s="761">
        <f t="shared" si="24"/>
        <v>0</v>
      </c>
      <c r="BF127" s="761">
        <f t="shared" si="25"/>
        <v>0</v>
      </c>
      <c r="BG127" s="761">
        <f t="shared" si="26"/>
        <v>0</v>
      </c>
      <c r="BH127" s="777">
        <v>0</v>
      </c>
      <c r="BI127" s="755"/>
      <c r="BJ127" s="778">
        <f>IF(X128=0,0,           IF(ISNUMBER(BI127),BI127,               IF(ISTEXT(BI127),INDEX(AZ127:BG127,MATCH(BI127,$AZ$12:$BG$12,0)),             IF(BH127="INT",_xll.qInterp(X128,AB127:AI127,AZ127:BG127),            INDEX(AZ127:BG127,MATCH(BH127,$AZ$12:$BG$12,0))))))</f>
        <v>0</v>
      </c>
      <c r="BK127" s="408">
        <f t="shared" si="31"/>
        <v>0</v>
      </c>
      <c r="BL127" s="414">
        <f t="shared" si="32"/>
        <v>0</v>
      </c>
      <c r="BM127" s="408">
        <f t="shared" si="33"/>
        <v>0</v>
      </c>
    </row>
    <row r="128" spans="16:65">
      <c r="P128" s="779">
        <v>0</v>
      </c>
      <c r="Q128" s="780">
        <f t="shared" si="17"/>
        <v>0</v>
      </c>
      <c r="R128" s="776">
        <f>IF(P129,_xll.qDateYears(P128,P129,DCCfixed),0)</f>
        <v>0</v>
      </c>
      <c r="S128" s="553">
        <v>0</v>
      </c>
      <c r="T128" s="785"/>
      <c r="U128" s="409">
        <f t="shared" si="27"/>
        <v>0</v>
      </c>
      <c r="X128" s="363">
        <v>0</v>
      </c>
      <c r="Y128" s="775">
        <f t="shared" si="18"/>
        <v>0</v>
      </c>
      <c r="Z128" s="776">
        <f>IF(X129,_xll.qDateYears(X128,X129,DCCfloat),0)</f>
        <v>0</v>
      </c>
      <c r="AA128" s="553">
        <v>0</v>
      </c>
      <c r="AB128" s="789">
        <f>IF($X128=0,0,      _xll.qDateNext($X128,AB$12,"M",FRM&lt;&gt;"Calypso",CCY))</f>
        <v>0</v>
      </c>
      <c r="AC128" s="789">
        <f>IF($X128=0,0,      _xll.qDateNext($X128,AC$12,"M",FRM&lt;&gt;"Calypso",CCY))</f>
        <v>0</v>
      </c>
      <c r="AD128" s="789">
        <f>IF($X128=0,0,      _xll.qDateNext($X128,AD$12,"M",FRM&lt;&gt;"Calypso",CCY))</f>
        <v>0</v>
      </c>
      <c r="AE128" s="789">
        <f>IF($X128=0,0,      _xll.qDateNext($X128,AE$12,"M",FRM&lt;&gt;"Calypso",CCY))</f>
        <v>0</v>
      </c>
      <c r="AF128" s="789">
        <f>IF($X128=0,0,      _xll.qDateNext($X128,AF$12,"M",FRM&lt;&gt;"Calypso",CCY))</f>
        <v>0</v>
      </c>
      <c r="AG128" s="789">
        <f>IF($X128=0,0,      _xll.qDateNext($X128,AG$12,"M",FRM&lt;&gt;"Calypso",CCY))</f>
        <v>0</v>
      </c>
      <c r="AH128" s="789">
        <f>IF($X128=0,0,      _xll.qDateNext($X128,AH$12,"M",FRM&lt;&gt;"Calypso",CCY))</f>
        <v>0</v>
      </c>
      <c r="AI128" s="789">
        <f>IF($X128=0,0,      _xll.qDateNext($X128,AI$12,"M",FRM&lt;&gt;"Calypso",CCY))</f>
        <v>0</v>
      </c>
      <c r="AJ128" s="529" t="str">
        <v/>
      </c>
      <c r="AK128" s="529" t="str">
        <v/>
      </c>
      <c r="AL128" s="529" t="str">
        <v/>
      </c>
      <c r="AM128" s="529" t="str">
        <v/>
      </c>
      <c r="AN128" s="529" t="str">
        <v/>
      </c>
      <c r="AO128" s="529" t="str">
        <v/>
      </c>
      <c r="AP128" s="529" t="str">
        <v/>
      </c>
      <c r="AQ128" s="529" t="str">
        <v/>
      </c>
      <c r="AR128" s="529">
        <v>0</v>
      </c>
      <c r="AS128" s="529">
        <v>0</v>
      </c>
      <c r="AT128" s="529">
        <f t="shared" si="28"/>
        <v>0</v>
      </c>
      <c r="AU128" s="529">
        <v>0</v>
      </c>
      <c r="AV128" s="529">
        <f t="shared" si="29"/>
        <v>0</v>
      </c>
      <c r="AW128" s="529">
        <f t="shared" si="30"/>
        <v>0</v>
      </c>
      <c r="AX128" s="529">
        <v>0</v>
      </c>
      <c r="AY128" s="529">
        <v>0</v>
      </c>
      <c r="AZ128" s="761">
        <f t="shared" si="19"/>
        <v>0</v>
      </c>
      <c r="BA128" s="761">
        <f t="shared" si="20"/>
        <v>0</v>
      </c>
      <c r="BB128" s="761">
        <f t="shared" si="21"/>
        <v>0</v>
      </c>
      <c r="BC128" s="761">
        <f t="shared" si="22"/>
        <v>0</v>
      </c>
      <c r="BD128" s="761">
        <f t="shared" si="23"/>
        <v>0</v>
      </c>
      <c r="BE128" s="761">
        <f t="shared" si="24"/>
        <v>0</v>
      </c>
      <c r="BF128" s="761">
        <f t="shared" si="25"/>
        <v>0</v>
      </c>
      <c r="BG128" s="761">
        <f t="shared" si="26"/>
        <v>0</v>
      </c>
      <c r="BH128" s="777">
        <v>0</v>
      </c>
      <c r="BI128" s="755"/>
      <c r="BJ128" s="778">
        <f>IF(X129=0,0,           IF(ISNUMBER(BI128),BI128,               IF(ISTEXT(BI128),INDEX(AZ128:BG128,MATCH(BI128,$AZ$12:$BG$12,0)),             IF(BH128="INT",_xll.qInterp(X129,AB128:AI128,AZ128:BG128),            INDEX(AZ128:BG128,MATCH(BH128,$AZ$12:$BG$12,0))))))</f>
        <v>0</v>
      </c>
      <c r="BK128" s="408">
        <f t="shared" si="31"/>
        <v>0</v>
      </c>
      <c r="BL128" s="414">
        <f t="shared" si="32"/>
        <v>0</v>
      </c>
      <c r="BM128" s="408">
        <f t="shared" si="33"/>
        <v>0</v>
      </c>
    </row>
    <row r="129" spans="16:65">
      <c r="P129" s="779">
        <v>0</v>
      </c>
      <c r="Q129" s="780">
        <f t="shared" si="17"/>
        <v>0</v>
      </c>
      <c r="R129" s="776">
        <f>IF(P130,_xll.qDateYears(P129,P130,DCCfixed),0)</f>
        <v>0</v>
      </c>
      <c r="S129" s="553">
        <v>0</v>
      </c>
      <c r="T129" s="785"/>
      <c r="U129" s="409">
        <f t="shared" si="27"/>
        <v>0</v>
      </c>
      <c r="X129" s="363">
        <v>0</v>
      </c>
      <c r="Y129" s="775">
        <f t="shared" si="18"/>
        <v>0</v>
      </c>
      <c r="Z129" s="776">
        <f>IF(X130,_xll.qDateYears(X129,X130,DCCfloat),0)</f>
        <v>0</v>
      </c>
      <c r="AA129" s="553">
        <v>0</v>
      </c>
      <c r="AB129" s="789">
        <f>IF($X129=0,0,      _xll.qDateNext($X129,AB$12,"M",FRM&lt;&gt;"Calypso",CCY))</f>
        <v>0</v>
      </c>
      <c r="AC129" s="789">
        <f>IF($X129=0,0,      _xll.qDateNext($X129,AC$12,"M",FRM&lt;&gt;"Calypso",CCY))</f>
        <v>0</v>
      </c>
      <c r="AD129" s="789">
        <f>IF($X129=0,0,      _xll.qDateNext($X129,AD$12,"M",FRM&lt;&gt;"Calypso",CCY))</f>
        <v>0</v>
      </c>
      <c r="AE129" s="789">
        <f>IF($X129=0,0,      _xll.qDateNext($X129,AE$12,"M",FRM&lt;&gt;"Calypso",CCY))</f>
        <v>0</v>
      </c>
      <c r="AF129" s="789">
        <f>IF($X129=0,0,      _xll.qDateNext($X129,AF$12,"M",FRM&lt;&gt;"Calypso",CCY))</f>
        <v>0</v>
      </c>
      <c r="AG129" s="789">
        <f>IF($X129=0,0,      _xll.qDateNext($X129,AG$12,"M",FRM&lt;&gt;"Calypso",CCY))</f>
        <v>0</v>
      </c>
      <c r="AH129" s="789">
        <f>IF($X129=0,0,      _xll.qDateNext($X129,AH$12,"M",FRM&lt;&gt;"Calypso",CCY))</f>
        <v>0</v>
      </c>
      <c r="AI129" s="789">
        <f>IF($X129=0,0,      _xll.qDateNext($X129,AI$12,"M",FRM&lt;&gt;"Calypso",CCY))</f>
        <v>0</v>
      </c>
      <c r="AJ129" s="529" t="str">
        <v/>
      </c>
      <c r="AK129" s="529" t="str">
        <v/>
      </c>
      <c r="AL129" s="529" t="str">
        <v/>
      </c>
      <c r="AM129" s="529" t="str">
        <v/>
      </c>
      <c r="AN129" s="529" t="str">
        <v/>
      </c>
      <c r="AO129" s="529" t="str">
        <v/>
      </c>
      <c r="AP129" s="529" t="str">
        <v/>
      </c>
      <c r="AQ129" s="529" t="str">
        <v/>
      </c>
      <c r="AR129" s="529">
        <v>0</v>
      </c>
      <c r="AS129" s="529">
        <v>0</v>
      </c>
      <c r="AT129" s="529">
        <f t="shared" si="28"/>
        <v>0</v>
      </c>
      <c r="AU129" s="529">
        <v>0</v>
      </c>
      <c r="AV129" s="529">
        <f t="shared" si="29"/>
        <v>0</v>
      </c>
      <c r="AW129" s="529">
        <f t="shared" si="30"/>
        <v>0</v>
      </c>
      <c r="AX129" s="529">
        <v>0</v>
      </c>
      <c r="AY129" s="529">
        <v>0</v>
      </c>
      <c r="AZ129" s="761">
        <f t="shared" si="19"/>
        <v>0</v>
      </c>
      <c r="BA129" s="761">
        <f t="shared" si="20"/>
        <v>0</v>
      </c>
      <c r="BB129" s="761">
        <f t="shared" si="21"/>
        <v>0</v>
      </c>
      <c r="BC129" s="761">
        <f t="shared" si="22"/>
        <v>0</v>
      </c>
      <c r="BD129" s="761">
        <f t="shared" si="23"/>
        <v>0</v>
      </c>
      <c r="BE129" s="761">
        <f t="shared" si="24"/>
        <v>0</v>
      </c>
      <c r="BF129" s="761">
        <f t="shared" si="25"/>
        <v>0</v>
      </c>
      <c r="BG129" s="761">
        <f t="shared" si="26"/>
        <v>0</v>
      </c>
      <c r="BH129" s="777">
        <v>0</v>
      </c>
      <c r="BI129" s="755"/>
      <c r="BJ129" s="778">
        <f>IF(X130=0,0,           IF(ISNUMBER(BI129),BI129,               IF(ISTEXT(BI129),INDEX(AZ129:BG129,MATCH(BI129,$AZ$12:$BG$12,0)),             IF(BH129="INT",_xll.qInterp(X130,AB129:AI129,AZ129:BG129),            INDEX(AZ129:BG129,MATCH(BH129,$AZ$12:$BG$12,0))))))</f>
        <v>0</v>
      </c>
      <c r="BK129" s="408">
        <f t="shared" si="31"/>
        <v>0</v>
      </c>
      <c r="BL129" s="414">
        <f t="shared" si="32"/>
        <v>0</v>
      </c>
      <c r="BM129" s="408">
        <f t="shared" si="33"/>
        <v>0</v>
      </c>
    </row>
    <row r="130" spans="16:65">
      <c r="P130" s="779">
        <v>0</v>
      </c>
      <c r="Q130" s="780">
        <f t="shared" si="17"/>
        <v>0</v>
      </c>
      <c r="R130" s="776">
        <f>IF(P131,_xll.qDateYears(P130,P131,DCCfixed),0)</f>
        <v>0</v>
      </c>
      <c r="S130" s="553">
        <v>0</v>
      </c>
      <c r="T130" s="785"/>
      <c r="U130" s="409">
        <f t="shared" si="27"/>
        <v>0</v>
      </c>
      <c r="X130" s="363">
        <v>0</v>
      </c>
      <c r="Y130" s="775">
        <f t="shared" si="18"/>
        <v>0</v>
      </c>
      <c r="Z130" s="776">
        <f>IF(X131,_xll.qDateYears(X130,X131,DCCfloat),0)</f>
        <v>0</v>
      </c>
      <c r="AA130" s="553">
        <v>0</v>
      </c>
      <c r="AB130" s="789">
        <f>IF($X130=0,0,      _xll.qDateNext($X130,AB$12,"M",FRM&lt;&gt;"Calypso",CCY))</f>
        <v>0</v>
      </c>
      <c r="AC130" s="789">
        <f>IF($X130=0,0,      _xll.qDateNext($X130,AC$12,"M",FRM&lt;&gt;"Calypso",CCY))</f>
        <v>0</v>
      </c>
      <c r="AD130" s="789">
        <f>IF($X130=0,0,      _xll.qDateNext($X130,AD$12,"M",FRM&lt;&gt;"Calypso",CCY))</f>
        <v>0</v>
      </c>
      <c r="AE130" s="789">
        <f>IF($X130=0,0,      _xll.qDateNext($X130,AE$12,"M",FRM&lt;&gt;"Calypso",CCY))</f>
        <v>0</v>
      </c>
      <c r="AF130" s="789">
        <f>IF($X130=0,0,      _xll.qDateNext($X130,AF$12,"M",FRM&lt;&gt;"Calypso",CCY))</f>
        <v>0</v>
      </c>
      <c r="AG130" s="789">
        <f>IF($X130=0,0,      _xll.qDateNext($X130,AG$12,"M",FRM&lt;&gt;"Calypso",CCY))</f>
        <v>0</v>
      </c>
      <c r="AH130" s="789">
        <f>IF($X130=0,0,      _xll.qDateNext($X130,AH$12,"M",FRM&lt;&gt;"Calypso",CCY))</f>
        <v>0</v>
      </c>
      <c r="AI130" s="789">
        <f>IF($X130=0,0,      _xll.qDateNext($X130,AI$12,"M",FRM&lt;&gt;"Calypso",CCY))</f>
        <v>0</v>
      </c>
      <c r="AJ130" s="529" t="str">
        <v/>
      </c>
      <c r="AK130" s="529" t="str">
        <v/>
      </c>
      <c r="AL130" s="529" t="str">
        <v/>
      </c>
      <c r="AM130" s="529" t="str">
        <v/>
      </c>
      <c r="AN130" s="529" t="str">
        <v/>
      </c>
      <c r="AO130" s="529" t="str">
        <v/>
      </c>
      <c r="AP130" s="529" t="str">
        <v/>
      </c>
      <c r="AQ130" s="529" t="str">
        <v/>
      </c>
      <c r="AR130" s="529">
        <v>0</v>
      </c>
      <c r="AS130" s="529">
        <v>0</v>
      </c>
      <c r="AT130" s="529">
        <f t="shared" si="28"/>
        <v>0</v>
      </c>
      <c r="AU130" s="529">
        <v>0</v>
      </c>
      <c r="AV130" s="529">
        <f t="shared" si="29"/>
        <v>0</v>
      </c>
      <c r="AW130" s="529">
        <f t="shared" si="30"/>
        <v>0</v>
      </c>
      <c r="AX130" s="529">
        <v>0</v>
      </c>
      <c r="AY130" s="529">
        <v>0</v>
      </c>
      <c r="AZ130" s="761">
        <f t="shared" si="19"/>
        <v>0</v>
      </c>
      <c r="BA130" s="761">
        <f t="shared" si="20"/>
        <v>0</v>
      </c>
      <c r="BB130" s="761">
        <f t="shared" si="21"/>
        <v>0</v>
      </c>
      <c r="BC130" s="761">
        <f t="shared" si="22"/>
        <v>0</v>
      </c>
      <c r="BD130" s="761">
        <f t="shared" si="23"/>
        <v>0</v>
      </c>
      <c r="BE130" s="761">
        <f t="shared" si="24"/>
        <v>0</v>
      </c>
      <c r="BF130" s="761">
        <f t="shared" si="25"/>
        <v>0</v>
      </c>
      <c r="BG130" s="761">
        <f t="shared" si="26"/>
        <v>0</v>
      </c>
      <c r="BH130" s="777">
        <v>0</v>
      </c>
      <c r="BI130" s="755"/>
      <c r="BJ130" s="778">
        <f>IF(X131=0,0,           IF(ISNUMBER(BI130),BI130,               IF(ISTEXT(BI130),INDEX(AZ130:BG130,MATCH(BI130,$AZ$12:$BG$12,0)),             IF(BH130="INT",_xll.qInterp(X131,AB130:AI130,AZ130:BG130),            INDEX(AZ130:BG130,MATCH(BH130,$AZ$12:$BG$12,0))))))</f>
        <v>0</v>
      </c>
      <c r="BK130" s="408">
        <f t="shared" si="31"/>
        <v>0</v>
      </c>
      <c r="BL130" s="414">
        <f t="shared" si="32"/>
        <v>0</v>
      </c>
      <c r="BM130" s="408">
        <f t="shared" si="33"/>
        <v>0</v>
      </c>
    </row>
    <row r="131" spans="16:65">
      <c r="P131" s="779">
        <v>0</v>
      </c>
      <c r="Q131" s="780">
        <f t="shared" si="17"/>
        <v>0</v>
      </c>
      <c r="R131" s="776">
        <f>IF(P132,_xll.qDateYears(P131,P132,DCCfixed),0)</f>
        <v>0</v>
      </c>
      <c r="S131" s="553">
        <v>0</v>
      </c>
      <c r="T131" s="785"/>
      <c r="U131" s="409">
        <f t="shared" si="27"/>
        <v>0</v>
      </c>
      <c r="X131" s="363">
        <v>0</v>
      </c>
      <c r="Y131" s="775">
        <f t="shared" si="18"/>
        <v>0</v>
      </c>
      <c r="Z131" s="776">
        <f>IF(X132,_xll.qDateYears(X131,X132,DCCfloat),0)</f>
        <v>0</v>
      </c>
      <c r="AA131" s="553">
        <v>0</v>
      </c>
      <c r="AB131" s="789">
        <f>IF($X131=0,0,      _xll.qDateNext($X131,AB$12,"M",FRM&lt;&gt;"Calypso",CCY))</f>
        <v>0</v>
      </c>
      <c r="AC131" s="789">
        <f>IF($X131=0,0,      _xll.qDateNext($X131,AC$12,"M",FRM&lt;&gt;"Calypso",CCY))</f>
        <v>0</v>
      </c>
      <c r="AD131" s="789">
        <f>IF($X131=0,0,      _xll.qDateNext($X131,AD$12,"M",FRM&lt;&gt;"Calypso",CCY))</f>
        <v>0</v>
      </c>
      <c r="AE131" s="789">
        <f>IF($X131=0,0,      _xll.qDateNext($X131,AE$12,"M",FRM&lt;&gt;"Calypso",CCY))</f>
        <v>0</v>
      </c>
      <c r="AF131" s="789">
        <f>IF($X131=0,0,      _xll.qDateNext($X131,AF$12,"M",FRM&lt;&gt;"Calypso",CCY))</f>
        <v>0</v>
      </c>
      <c r="AG131" s="789">
        <f>IF($X131=0,0,      _xll.qDateNext($X131,AG$12,"M",FRM&lt;&gt;"Calypso",CCY))</f>
        <v>0</v>
      </c>
      <c r="AH131" s="789">
        <f>IF($X131=0,0,      _xll.qDateNext($X131,AH$12,"M",FRM&lt;&gt;"Calypso",CCY))</f>
        <v>0</v>
      </c>
      <c r="AI131" s="789">
        <f>IF($X131=0,0,      _xll.qDateNext($X131,AI$12,"M",FRM&lt;&gt;"Calypso",CCY))</f>
        <v>0</v>
      </c>
      <c r="AJ131" s="529" t="str">
        <v/>
      </c>
      <c r="AK131" s="529" t="str">
        <v/>
      </c>
      <c r="AL131" s="529" t="str">
        <v/>
      </c>
      <c r="AM131" s="529" t="str">
        <v/>
      </c>
      <c r="AN131" s="529" t="str">
        <v/>
      </c>
      <c r="AO131" s="529" t="str">
        <v/>
      </c>
      <c r="AP131" s="529" t="str">
        <v/>
      </c>
      <c r="AQ131" s="529" t="str">
        <v/>
      </c>
      <c r="AR131" s="529">
        <v>0</v>
      </c>
      <c r="AS131" s="529">
        <v>0</v>
      </c>
      <c r="AT131" s="529">
        <f t="shared" si="28"/>
        <v>0</v>
      </c>
      <c r="AU131" s="529">
        <v>0</v>
      </c>
      <c r="AV131" s="529">
        <f t="shared" si="29"/>
        <v>0</v>
      </c>
      <c r="AW131" s="529">
        <f t="shared" si="30"/>
        <v>0</v>
      </c>
      <c r="AX131" s="529">
        <v>0</v>
      </c>
      <c r="AY131" s="529">
        <v>0</v>
      </c>
      <c r="AZ131" s="761">
        <f t="shared" si="19"/>
        <v>0</v>
      </c>
      <c r="BA131" s="761">
        <f t="shared" si="20"/>
        <v>0</v>
      </c>
      <c r="BB131" s="761">
        <f t="shared" si="21"/>
        <v>0</v>
      </c>
      <c r="BC131" s="761">
        <f t="shared" si="22"/>
        <v>0</v>
      </c>
      <c r="BD131" s="761">
        <f t="shared" si="23"/>
        <v>0</v>
      </c>
      <c r="BE131" s="761">
        <f t="shared" si="24"/>
        <v>0</v>
      </c>
      <c r="BF131" s="761">
        <f t="shared" si="25"/>
        <v>0</v>
      </c>
      <c r="BG131" s="761">
        <f t="shared" si="26"/>
        <v>0</v>
      </c>
      <c r="BH131" s="777">
        <v>0</v>
      </c>
      <c r="BI131" s="755"/>
      <c r="BJ131" s="778">
        <f>IF(X132=0,0,           IF(ISNUMBER(BI131),BI131,               IF(ISTEXT(BI131),INDEX(AZ131:BG131,MATCH(BI131,$AZ$12:$BG$12,0)),             IF(BH131="INT",_xll.qInterp(X132,AB131:AI131,AZ131:BG131),            INDEX(AZ131:BG131,MATCH(BH131,$AZ$12:$BG$12,0))))))</f>
        <v>0</v>
      </c>
      <c r="BK131" s="408">
        <f t="shared" si="31"/>
        <v>0</v>
      </c>
      <c r="BL131" s="414">
        <f t="shared" si="32"/>
        <v>0</v>
      </c>
      <c r="BM131" s="408">
        <f t="shared" si="33"/>
        <v>0</v>
      </c>
    </row>
    <row r="132" spans="16:65">
      <c r="P132" s="779">
        <v>0</v>
      </c>
      <c r="Q132" s="780">
        <f t="shared" si="17"/>
        <v>0</v>
      </c>
      <c r="R132" s="776">
        <f>IF(P133,_xll.qDateYears(P132,P133,DCCfixed),0)</f>
        <v>0</v>
      </c>
      <c r="S132" s="553">
        <v>0</v>
      </c>
      <c r="T132" s="785"/>
      <c r="U132" s="409">
        <f t="shared" si="27"/>
        <v>0</v>
      </c>
      <c r="X132" s="363">
        <v>0</v>
      </c>
      <c r="Y132" s="775">
        <f t="shared" si="18"/>
        <v>0</v>
      </c>
      <c r="Z132" s="776">
        <f>IF(X133,_xll.qDateYears(X132,X133,DCCfloat),0)</f>
        <v>0</v>
      </c>
      <c r="AA132" s="553">
        <v>0</v>
      </c>
      <c r="AB132" s="789">
        <f>IF($X132=0,0,      _xll.qDateNext($X132,AB$12,"M",FRM&lt;&gt;"Calypso",CCY))</f>
        <v>0</v>
      </c>
      <c r="AC132" s="789">
        <f>IF($X132=0,0,      _xll.qDateNext($X132,AC$12,"M",FRM&lt;&gt;"Calypso",CCY))</f>
        <v>0</v>
      </c>
      <c r="AD132" s="789">
        <f>IF($X132=0,0,      _xll.qDateNext($X132,AD$12,"M",FRM&lt;&gt;"Calypso",CCY))</f>
        <v>0</v>
      </c>
      <c r="AE132" s="789">
        <f>IF($X132=0,0,      _xll.qDateNext($X132,AE$12,"M",FRM&lt;&gt;"Calypso",CCY))</f>
        <v>0</v>
      </c>
      <c r="AF132" s="789">
        <f>IF($X132=0,0,      _xll.qDateNext($X132,AF$12,"M",FRM&lt;&gt;"Calypso",CCY))</f>
        <v>0</v>
      </c>
      <c r="AG132" s="789">
        <f>IF($X132=0,0,      _xll.qDateNext($X132,AG$12,"M",FRM&lt;&gt;"Calypso",CCY))</f>
        <v>0</v>
      </c>
      <c r="AH132" s="789">
        <f>IF($X132=0,0,      _xll.qDateNext($X132,AH$12,"M",FRM&lt;&gt;"Calypso",CCY))</f>
        <v>0</v>
      </c>
      <c r="AI132" s="789">
        <f>IF($X132=0,0,      _xll.qDateNext($X132,AI$12,"M",FRM&lt;&gt;"Calypso",CCY))</f>
        <v>0</v>
      </c>
      <c r="AJ132" s="529" t="str">
        <v/>
      </c>
      <c r="AK132" s="529" t="str">
        <v/>
      </c>
      <c r="AL132" s="529" t="str">
        <v/>
      </c>
      <c r="AM132" s="529" t="str">
        <v/>
      </c>
      <c r="AN132" s="529" t="str">
        <v/>
      </c>
      <c r="AO132" s="529" t="str">
        <v/>
      </c>
      <c r="AP132" s="529" t="str">
        <v/>
      </c>
      <c r="AQ132" s="529" t="str">
        <v/>
      </c>
      <c r="AR132" s="529">
        <v>0</v>
      </c>
      <c r="AS132" s="529">
        <v>0</v>
      </c>
      <c r="AT132" s="529">
        <f t="shared" si="28"/>
        <v>0</v>
      </c>
      <c r="AU132" s="529">
        <v>0</v>
      </c>
      <c r="AV132" s="529">
        <f t="shared" si="29"/>
        <v>0</v>
      </c>
      <c r="AW132" s="529">
        <f t="shared" si="30"/>
        <v>0</v>
      </c>
      <c r="AX132" s="529">
        <v>0</v>
      </c>
      <c r="AY132" s="529">
        <v>0</v>
      </c>
      <c r="AZ132" s="761">
        <f t="shared" si="19"/>
        <v>0</v>
      </c>
      <c r="BA132" s="761">
        <f t="shared" si="20"/>
        <v>0</v>
      </c>
      <c r="BB132" s="761">
        <f t="shared" si="21"/>
        <v>0</v>
      </c>
      <c r="BC132" s="761">
        <f t="shared" si="22"/>
        <v>0</v>
      </c>
      <c r="BD132" s="761">
        <f t="shared" si="23"/>
        <v>0</v>
      </c>
      <c r="BE132" s="761">
        <f t="shared" si="24"/>
        <v>0</v>
      </c>
      <c r="BF132" s="761">
        <f t="shared" si="25"/>
        <v>0</v>
      </c>
      <c r="BG132" s="761">
        <f t="shared" si="26"/>
        <v>0</v>
      </c>
      <c r="BH132" s="777">
        <v>0</v>
      </c>
      <c r="BI132" s="755"/>
      <c r="BJ132" s="778">
        <f>IF(X133=0,0,           IF(ISNUMBER(BI132),BI132,               IF(ISTEXT(BI132),INDEX(AZ132:BG132,MATCH(BI132,$AZ$12:$BG$12,0)),             IF(BH132="INT",_xll.qInterp(X133,AB132:AI132,AZ132:BG132),            INDEX(AZ132:BG132,MATCH(BH132,$AZ$12:$BG$12,0))))))</f>
        <v>0</v>
      </c>
      <c r="BK132" s="408">
        <f t="shared" si="31"/>
        <v>0</v>
      </c>
      <c r="BL132" s="414">
        <f t="shared" si="32"/>
        <v>0</v>
      </c>
      <c r="BM132" s="408">
        <f t="shared" si="33"/>
        <v>0</v>
      </c>
    </row>
    <row r="133" spans="16:65">
      <c r="P133" s="779">
        <v>0</v>
      </c>
      <c r="Q133" s="780">
        <f t="shared" si="17"/>
        <v>0</v>
      </c>
      <c r="R133" s="776">
        <f>IF(P134,_xll.qDateYears(P133,P134,DCCfixed),0)</f>
        <v>0</v>
      </c>
      <c r="S133" s="553">
        <v>0</v>
      </c>
      <c r="T133" s="785"/>
      <c r="U133" s="409">
        <f t="shared" si="27"/>
        <v>0</v>
      </c>
      <c r="X133" s="363">
        <v>0</v>
      </c>
      <c r="Y133" s="775">
        <f t="shared" si="18"/>
        <v>0</v>
      </c>
      <c r="Z133" s="776">
        <f>IF(X134,_xll.qDateYears(X133,X134,DCCfloat),0)</f>
        <v>0</v>
      </c>
      <c r="AA133" s="553">
        <v>0</v>
      </c>
      <c r="AB133" s="789">
        <f>IF($X133=0,0,      _xll.qDateNext($X133,AB$12,"M",FRM&lt;&gt;"Calypso",CCY))</f>
        <v>0</v>
      </c>
      <c r="AC133" s="789">
        <f>IF($X133=0,0,      _xll.qDateNext($X133,AC$12,"M",FRM&lt;&gt;"Calypso",CCY))</f>
        <v>0</v>
      </c>
      <c r="AD133" s="789">
        <f>IF($X133=0,0,      _xll.qDateNext($X133,AD$12,"M",FRM&lt;&gt;"Calypso",CCY))</f>
        <v>0</v>
      </c>
      <c r="AE133" s="789">
        <f>IF($X133=0,0,      _xll.qDateNext($X133,AE$12,"M",FRM&lt;&gt;"Calypso",CCY))</f>
        <v>0</v>
      </c>
      <c r="AF133" s="789">
        <f>IF($X133=0,0,      _xll.qDateNext($X133,AF$12,"M",FRM&lt;&gt;"Calypso",CCY))</f>
        <v>0</v>
      </c>
      <c r="AG133" s="789">
        <f>IF($X133=0,0,      _xll.qDateNext($X133,AG$12,"M",FRM&lt;&gt;"Calypso",CCY))</f>
        <v>0</v>
      </c>
      <c r="AH133" s="789">
        <f>IF($X133=0,0,      _xll.qDateNext($X133,AH$12,"M",FRM&lt;&gt;"Calypso",CCY))</f>
        <v>0</v>
      </c>
      <c r="AI133" s="789">
        <f>IF($X133=0,0,      _xll.qDateNext($X133,AI$12,"M",FRM&lt;&gt;"Calypso",CCY))</f>
        <v>0</v>
      </c>
      <c r="AJ133" s="529" t="str">
        <v/>
      </c>
      <c r="AK133" s="529" t="str">
        <v/>
      </c>
      <c r="AL133" s="529" t="str">
        <v/>
      </c>
      <c r="AM133" s="529" t="str">
        <v/>
      </c>
      <c r="AN133" s="529" t="str">
        <v/>
      </c>
      <c r="AO133" s="529" t="str">
        <v/>
      </c>
      <c r="AP133" s="529" t="str">
        <v/>
      </c>
      <c r="AQ133" s="529" t="str">
        <v/>
      </c>
      <c r="AR133" s="529">
        <v>0</v>
      </c>
      <c r="AS133" s="529">
        <v>0</v>
      </c>
      <c r="AT133" s="529">
        <f t="shared" si="28"/>
        <v>0</v>
      </c>
      <c r="AU133" s="529">
        <v>0</v>
      </c>
      <c r="AV133" s="529">
        <f t="shared" si="29"/>
        <v>0</v>
      </c>
      <c r="AW133" s="529">
        <f t="shared" si="30"/>
        <v>0</v>
      </c>
      <c r="AX133" s="529">
        <v>0</v>
      </c>
      <c r="AY133" s="529">
        <v>0</v>
      </c>
      <c r="AZ133" s="761">
        <f t="shared" si="19"/>
        <v>0</v>
      </c>
      <c r="BA133" s="761">
        <f t="shared" si="20"/>
        <v>0</v>
      </c>
      <c r="BB133" s="761">
        <f t="shared" si="21"/>
        <v>0</v>
      </c>
      <c r="BC133" s="761">
        <f t="shared" si="22"/>
        <v>0</v>
      </c>
      <c r="BD133" s="761">
        <f t="shared" si="23"/>
        <v>0</v>
      </c>
      <c r="BE133" s="761">
        <f t="shared" si="24"/>
        <v>0</v>
      </c>
      <c r="BF133" s="761">
        <f t="shared" si="25"/>
        <v>0</v>
      </c>
      <c r="BG133" s="761">
        <f t="shared" si="26"/>
        <v>0</v>
      </c>
      <c r="BH133" s="777">
        <v>0</v>
      </c>
      <c r="BI133" s="755"/>
      <c r="BJ133" s="778">
        <f>IF(X134=0,0,           IF(ISNUMBER(BI133),BI133,               IF(ISTEXT(BI133),INDEX(AZ133:BG133,MATCH(BI133,$AZ$12:$BG$12,0)),             IF(BH133="INT",_xll.qInterp(X134,AB133:AI133,AZ133:BG133),            INDEX(AZ133:BG133,MATCH(BH133,$AZ$12:$BG$12,0))))))</f>
        <v>0</v>
      </c>
      <c r="BK133" s="408">
        <f t="shared" si="31"/>
        <v>0</v>
      </c>
      <c r="BL133" s="414">
        <f t="shared" si="32"/>
        <v>0</v>
      </c>
      <c r="BM133" s="408">
        <f t="shared" si="33"/>
        <v>0</v>
      </c>
    </row>
    <row r="134" spans="16:65">
      <c r="P134" s="779">
        <v>0</v>
      </c>
      <c r="Q134" s="780">
        <f t="shared" si="17"/>
        <v>0</v>
      </c>
      <c r="R134" s="776">
        <f>IF(P135,_xll.qDateYears(P134,P135,DCCfixed),0)</f>
        <v>0</v>
      </c>
      <c r="S134" s="553">
        <v>0</v>
      </c>
      <c r="T134" s="785"/>
      <c r="U134" s="409">
        <f t="shared" si="27"/>
        <v>0</v>
      </c>
      <c r="X134" s="363">
        <v>0</v>
      </c>
      <c r="Y134" s="775">
        <f t="shared" si="18"/>
        <v>0</v>
      </c>
      <c r="Z134" s="776">
        <f>IF(X135,_xll.qDateYears(X134,X135,DCCfloat),0)</f>
        <v>0</v>
      </c>
      <c r="AA134" s="553">
        <v>0</v>
      </c>
      <c r="AB134" s="789">
        <f>IF($X134=0,0,      _xll.qDateNext($X134,AB$12,"M",FRM&lt;&gt;"Calypso",CCY))</f>
        <v>0</v>
      </c>
      <c r="AC134" s="789">
        <f>IF($X134=0,0,      _xll.qDateNext($X134,AC$12,"M",FRM&lt;&gt;"Calypso",CCY))</f>
        <v>0</v>
      </c>
      <c r="AD134" s="789">
        <f>IF($X134=0,0,      _xll.qDateNext($X134,AD$12,"M",FRM&lt;&gt;"Calypso",CCY))</f>
        <v>0</v>
      </c>
      <c r="AE134" s="789">
        <f>IF($X134=0,0,      _xll.qDateNext($X134,AE$12,"M",FRM&lt;&gt;"Calypso",CCY))</f>
        <v>0</v>
      </c>
      <c r="AF134" s="789">
        <f>IF($X134=0,0,      _xll.qDateNext($X134,AF$12,"M",FRM&lt;&gt;"Calypso",CCY))</f>
        <v>0</v>
      </c>
      <c r="AG134" s="789">
        <f>IF($X134=0,0,      _xll.qDateNext($X134,AG$12,"M",FRM&lt;&gt;"Calypso",CCY))</f>
        <v>0</v>
      </c>
      <c r="AH134" s="789">
        <f>IF($X134=0,0,      _xll.qDateNext($X134,AH$12,"M",FRM&lt;&gt;"Calypso",CCY))</f>
        <v>0</v>
      </c>
      <c r="AI134" s="789">
        <f>IF($X134=0,0,      _xll.qDateNext($X134,AI$12,"M",FRM&lt;&gt;"Calypso",CCY))</f>
        <v>0</v>
      </c>
      <c r="AJ134" s="529" t="str">
        <v/>
      </c>
      <c r="AK134" s="529" t="str">
        <v/>
      </c>
      <c r="AL134" s="529" t="str">
        <v/>
      </c>
      <c r="AM134" s="529" t="str">
        <v/>
      </c>
      <c r="AN134" s="529" t="str">
        <v/>
      </c>
      <c r="AO134" s="529" t="str">
        <v/>
      </c>
      <c r="AP134" s="529" t="str">
        <v/>
      </c>
      <c r="AQ134" s="529" t="str">
        <v/>
      </c>
      <c r="AR134" s="529">
        <v>0</v>
      </c>
      <c r="AS134" s="529">
        <v>0</v>
      </c>
      <c r="AT134" s="529">
        <f t="shared" si="28"/>
        <v>0</v>
      </c>
      <c r="AU134" s="529">
        <v>0</v>
      </c>
      <c r="AV134" s="529">
        <f t="shared" si="29"/>
        <v>0</v>
      </c>
      <c r="AW134" s="529">
        <f t="shared" si="30"/>
        <v>0</v>
      </c>
      <c r="AX134" s="529">
        <v>0</v>
      </c>
      <c r="AY134" s="529">
        <v>0</v>
      </c>
      <c r="AZ134" s="761">
        <f t="shared" si="19"/>
        <v>0</v>
      </c>
      <c r="BA134" s="761">
        <f t="shared" si="20"/>
        <v>0</v>
      </c>
      <c r="BB134" s="761">
        <f t="shared" si="21"/>
        <v>0</v>
      </c>
      <c r="BC134" s="761">
        <f t="shared" si="22"/>
        <v>0</v>
      </c>
      <c r="BD134" s="761">
        <f t="shared" si="23"/>
        <v>0</v>
      </c>
      <c r="BE134" s="761">
        <f t="shared" si="24"/>
        <v>0</v>
      </c>
      <c r="BF134" s="761">
        <f t="shared" si="25"/>
        <v>0</v>
      </c>
      <c r="BG134" s="761">
        <f t="shared" si="26"/>
        <v>0</v>
      </c>
      <c r="BH134" s="777">
        <v>0</v>
      </c>
      <c r="BI134" s="755"/>
      <c r="BJ134" s="778">
        <f>IF(X135=0,0,           IF(ISNUMBER(BI134),BI134,               IF(ISTEXT(BI134),INDEX(AZ134:BG134,MATCH(BI134,$AZ$12:$BG$12,0)),             IF(BH134="INT",_xll.qInterp(X135,AB134:AI134,AZ134:BG134),            INDEX(AZ134:BG134,MATCH(BH134,$AZ$12:$BG$12,0))))))</f>
        <v>0</v>
      </c>
      <c r="BK134" s="408">
        <f t="shared" si="31"/>
        <v>0</v>
      </c>
      <c r="BL134" s="414">
        <f t="shared" si="32"/>
        <v>0</v>
      </c>
      <c r="BM134" s="408">
        <f t="shared" si="33"/>
        <v>0</v>
      </c>
    </row>
    <row r="135" spans="16:65">
      <c r="P135" s="779">
        <v>0</v>
      </c>
      <c r="Q135" s="780">
        <f t="shared" si="17"/>
        <v>0</v>
      </c>
      <c r="R135" s="776">
        <f>IF(P136,_xll.qDateYears(P135,P136,DCCfixed),0)</f>
        <v>0</v>
      </c>
      <c r="S135" s="553">
        <v>0</v>
      </c>
      <c r="T135" s="785"/>
      <c r="U135" s="409">
        <f t="shared" si="27"/>
        <v>0</v>
      </c>
      <c r="X135" s="363">
        <v>0</v>
      </c>
      <c r="Y135" s="775">
        <f t="shared" si="18"/>
        <v>0</v>
      </c>
      <c r="Z135" s="776">
        <f>IF(X136,_xll.qDateYears(X135,X136,DCCfloat),0)</f>
        <v>0</v>
      </c>
      <c r="AA135" s="553">
        <v>0</v>
      </c>
      <c r="AB135" s="789">
        <f>IF($X135=0,0,      _xll.qDateNext($X135,AB$12,"M",FRM&lt;&gt;"Calypso",CCY))</f>
        <v>0</v>
      </c>
      <c r="AC135" s="789">
        <f>IF($X135=0,0,      _xll.qDateNext($X135,AC$12,"M",FRM&lt;&gt;"Calypso",CCY))</f>
        <v>0</v>
      </c>
      <c r="AD135" s="789">
        <f>IF($X135=0,0,      _xll.qDateNext($X135,AD$12,"M",FRM&lt;&gt;"Calypso",CCY))</f>
        <v>0</v>
      </c>
      <c r="AE135" s="789">
        <f>IF($X135=0,0,      _xll.qDateNext($X135,AE$12,"M",FRM&lt;&gt;"Calypso",CCY))</f>
        <v>0</v>
      </c>
      <c r="AF135" s="789">
        <f>IF($X135=0,0,      _xll.qDateNext($X135,AF$12,"M",FRM&lt;&gt;"Calypso",CCY))</f>
        <v>0</v>
      </c>
      <c r="AG135" s="789">
        <f>IF($X135=0,0,      _xll.qDateNext($X135,AG$12,"M",FRM&lt;&gt;"Calypso",CCY))</f>
        <v>0</v>
      </c>
      <c r="AH135" s="789">
        <f>IF($X135=0,0,      _xll.qDateNext($X135,AH$12,"M",FRM&lt;&gt;"Calypso",CCY))</f>
        <v>0</v>
      </c>
      <c r="AI135" s="789">
        <f>IF($X135=0,0,      _xll.qDateNext($X135,AI$12,"M",FRM&lt;&gt;"Calypso",CCY))</f>
        <v>0</v>
      </c>
      <c r="AJ135" s="529" t="str">
        <v/>
      </c>
      <c r="AK135" s="529" t="str">
        <v/>
      </c>
      <c r="AL135" s="529" t="str">
        <v/>
      </c>
      <c r="AM135" s="529" t="str">
        <v/>
      </c>
      <c r="AN135" s="529" t="str">
        <v/>
      </c>
      <c r="AO135" s="529" t="str">
        <v/>
      </c>
      <c r="AP135" s="529" t="str">
        <v/>
      </c>
      <c r="AQ135" s="529" t="str">
        <v/>
      </c>
      <c r="AR135" s="529">
        <v>0</v>
      </c>
      <c r="AS135" s="529">
        <v>0</v>
      </c>
      <c r="AT135" s="529">
        <f t="shared" si="28"/>
        <v>0</v>
      </c>
      <c r="AU135" s="529">
        <v>0</v>
      </c>
      <c r="AV135" s="529">
        <f t="shared" si="29"/>
        <v>0</v>
      </c>
      <c r="AW135" s="529">
        <f t="shared" si="30"/>
        <v>0</v>
      </c>
      <c r="AX135" s="529">
        <v>0</v>
      </c>
      <c r="AY135" s="529">
        <v>0</v>
      </c>
      <c r="AZ135" s="761">
        <f t="shared" si="19"/>
        <v>0</v>
      </c>
      <c r="BA135" s="761">
        <f t="shared" si="20"/>
        <v>0</v>
      </c>
      <c r="BB135" s="761">
        <f t="shared" si="21"/>
        <v>0</v>
      </c>
      <c r="BC135" s="761">
        <f t="shared" si="22"/>
        <v>0</v>
      </c>
      <c r="BD135" s="761">
        <f t="shared" si="23"/>
        <v>0</v>
      </c>
      <c r="BE135" s="761">
        <f t="shared" si="24"/>
        <v>0</v>
      </c>
      <c r="BF135" s="761">
        <f t="shared" si="25"/>
        <v>0</v>
      </c>
      <c r="BG135" s="761">
        <f t="shared" si="26"/>
        <v>0</v>
      </c>
      <c r="BH135" s="777">
        <v>0</v>
      </c>
      <c r="BI135" s="755"/>
      <c r="BJ135" s="778">
        <f>IF(X136=0,0,           IF(ISNUMBER(BI135),BI135,               IF(ISTEXT(BI135),INDEX(AZ135:BG135,MATCH(BI135,$AZ$12:$BG$12,0)),             IF(BH135="INT",_xll.qInterp(X136,AB135:AI135,AZ135:BG135),            INDEX(AZ135:BG135,MATCH(BH135,$AZ$12:$BG$12,0))))))</f>
        <v>0</v>
      </c>
      <c r="BK135" s="408">
        <f t="shared" si="31"/>
        <v>0</v>
      </c>
      <c r="BL135" s="414">
        <f t="shared" si="32"/>
        <v>0</v>
      </c>
      <c r="BM135" s="408">
        <f t="shared" si="33"/>
        <v>0</v>
      </c>
    </row>
    <row r="136" spans="16:65">
      <c r="P136" s="779">
        <v>0</v>
      </c>
      <c r="Q136" s="780">
        <f t="shared" si="17"/>
        <v>0</v>
      </c>
      <c r="R136" s="776">
        <f>IF(P137,_xll.qDateYears(P136,P137,DCCfixed),0)</f>
        <v>0</v>
      </c>
      <c r="S136" s="553">
        <v>0</v>
      </c>
      <c r="T136" s="785"/>
      <c r="U136" s="409">
        <f t="shared" si="27"/>
        <v>0</v>
      </c>
      <c r="X136" s="363">
        <v>0</v>
      </c>
      <c r="Y136" s="775">
        <f t="shared" si="18"/>
        <v>0</v>
      </c>
      <c r="Z136" s="776">
        <f>IF(X137,_xll.qDateYears(X136,X137,DCCfloat),0)</f>
        <v>0</v>
      </c>
      <c r="AA136" s="553">
        <v>0</v>
      </c>
      <c r="AB136" s="789">
        <f>IF($X136=0,0,      _xll.qDateNext($X136,AB$12,"M",FRM&lt;&gt;"Calypso",CCY))</f>
        <v>0</v>
      </c>
      <c r="AC136" s="789">
        <f>IF($X136=0,0,      _xll.qDateNext($X136,AC$12,"M",FRM&lt;&gt;"Calypso",CCY))</f>
        <v>0</v>
      </c>
      <c r="AD136" s="789">
        <f>IF($X136=0,0,      _xll.qDateNext($X136,AD$12,"M",FRM&lt;&gt;"Calypso",CCY))</f>
        <v>0</v>
      </c>
      <c r="AE136" s="789">
        <f>IF($X136=0,0,      _xll.qDateNext($X136,AE$12,"M",FRM&lt;&gt;"Calypso",CCY))</f>
        <v>0</v>
      </c>
      <c r="AF136" s="789">
        <f>IF($X136=0,0,      _xll.qDateNext($X136,AF$12,"M",FRM&lt;&gt;"Calypso",CCY))</f>
        <v>0</v>
      </c>
      <c r="AG136" s="789">
        <f>IF($X136=0,0,      _xll.qDateNext($X136,AG$12,"M",FRM&lt;&gt;"Calypso",CCY))</f>
        <v>0</v>
      </c>
      <c r="AH136" s="789">
        <f>IF($X136=0,0,      _xll.qDateNext($X136,AH$12,"M",FRM&lt;&gt;"Calypso",CCY))</f>
        <v>0</v>
      </c>
      <c r="AI136" s="789">
        <f>IF($X136=0,0,      _xll.qDateNext($X136,AI$12,"M",FRM&lt;&gt;"Calypso",CCY))</f>
        <v>0</v>
      </c>
      <c r="AJ136" s="529" t="str">
        <v/>
      </c>
      <c r="AK136" s="529" t="str">
        <v/>
      </c>
      <c r="AL136" s="529" t="str">
        <v/>
      </c>
      <c r="AM136" s="529" t="str">
        <v/>
      </c>
      <c r="AN136" s="529" t="str">
        <v/>
      </c>
      <c r="AO136" s="529" t="str">
        <v/>
      </c>
      <c r="AP136" s="529" t="str">
        <v/>
      </c>
      <c r="AQ136" s="529" t="str">
        <v/>
      </c>
      <c r="AR136" s="529">
        <v>0</v>
      </c>
      <c r="AS136" s="529">
        <v>0</v>
      </c>
      <c r="AT136" s="529">
        <f t="shared" si="28"/>
        <v>0</v>
      </c>
      <c r="AU136" s="529">
        <v>0</v>
      </c>
      <c r="AV136" s="529">
        <f t="shared" si="29"/>
        <v>0</v>
      </c>
      <c r="AW136" s="529">
        <f t="shared" si="30"/>
        <v>0</v>
      </c>
      <c r="AX136" s="529">
        <v>0</v>
      </c>
      <c r="AY136" s="529">
        <v>0</v>
      </c>
      <c r="AZ136" s="761">
        <f t="shared" si="19"/>
        <v>0</v>
      </c>
      <c r="BA136" s="761">
        <f t="shared" si="20"/>
        <v>0</v>
      </c>
      <c r="BB136" s="761">
        <f t="shared" si="21"/>
        <v>0</v>
      </c>
      <c r="BC136" s="761">
        <f t="shared" si="22"/>
        <v>0</v>
      </c>
      <c r="BD136" s="761">
        <f t="shared" si="23"/>
        <v>0</v>
      </c>
      <c r="BE136" s="761">
        <f t="shared" si="24"/>
        <v>0</v>
      </c>
      <c r="BF136" s="761">
        <f t="shared" si="25"/>
        <v>0</v>
      </c>
      <c r="BG136" s="761">
        <f t="shared" si="26"/>
        <v>0</v>
      </c>
      <c r="BH136" s="777">
        <v>0</v>
      </c>
      <c r="BI136" s="755"/>
      <c r="BJ136" s="778">
        <f>IF(X137=0,0,           IF(ISNUMBER(BI136),BI136,               IF(ISTEXT(BI136),INDEX(AZ136:BG136,MATCH(BI136,$AZ$12:$BG$12,0)),             IF(BH136="INT",_xll.qInterp(X137,AB136:AI136,AZ136:BG136),            INDEX(AZ136:BG136,MATCH(BH136,$AZ$12:$BG$12,0))))))</f>
        <v>0</v>
      </c>
      <c r="BK136" s="408">
        <f t="shared" si="31"/>
        <v>0</v>
      </c>
      <c r="BL136" s="414">
        <f t="shared" si="32"/>
        <v>0</v>
      </c>
      <c r="BM136" s="408">
        <f t="shared" si="33"/>
        <v>0</v>
      </c>
    </row>
    <row r="137" spans="16:65">
      <c r="P137" s="779">
        <v>0</v>
      </c>
      <c r="Q137" s="780">
        <f t="shared" si="17"/>
        <v>0</v>
      </c>
      <c r="R137" s="776">
        <f>IF(P138,_xll.qDateYears(P137,P138,DCCfixed),0)</f>
        <v>0</v>
      </c>
      <c r="S137" s="553">
        <v>0</v>
      </c>
      <c r="T137" s="785"/>
      <c r="U137" s="409">
        <f t="shared" si="27"/>
        <v>0</v>
      </c>
      <c r="X137" s="363">
        <v>0</v>
      </c>
      <c r="Y137" s="775">
        <f t="shared" si="18"/>
        <v>0</v>
      </c>
      <c r="Z137" s="776">
        <f>IF(X138,_xll.qDateYears(X137,X138,DCCfloat),0)</f>
        <v>0</v>
      </c>
      <c r="AA137" s="553">
        <v>0</v>
      </c>
      <c r="AB137" s="789">
        <f>IF($X137=0,0,      _xll.qDateNext($X137,AB$12,"M",FRM&lt;&gt;"Calypso",CCY))</f>
        <v>0</v>
      </c>
      <c r="AC137" s="789">
        <f>IF($X137=0,0,      _xll.qDateNext($X137,AC$12,"M",FRM&lt;&gt;"Calypso",CCY))</f>
        <v>0</v>
      </c>
      <c r="AD137" s="789">
        <f>IF($X137=0,0,      _xll.qDateNext($X137,AD$12,"M",FRM&lt;&gt;"Calypso",CCY))</f>
        <v>0</v>
      </c>
      <c r="AE137" s="789">
        <f>IF($X137=0,0,      _xll.qDateNext($X137,AE$12,"M",FRM&lt;&gt;"Calypso",CCY))</f>
        <v>0</v>
      </c>
      <c r="AF137" s="789">
        <f>IF($X137=0,0,      _xll.qDateNext($X137,AF$12,"M",FRM&lt;&gt;"Calypso",CCY))</f>
        <v>0</v>
      </c>
      <c r="AG137" s="789">
        <f>IF($X137=0,0,      _xll.qDateNext($X137,AG$12,"M",FRM&lt;&gt;"Calypso",CCY))</f>
        <v>0</v>
      </c>
      <c r="AH137" s="789">
        <f>IF($X137=0,0,      _xll.qDateNext($X137,AH$12,"M",FRM&lt;&gt;"Calypso",CCY))</f>
        <v>0</v>
      </c>
      <c r="AI137" s="789">
        <f>IF($X137=0,0,      _xll.qDateNext($X137,AI$12,"M",FRM&lt;&gt;"Calypso",CCY))</f>
        <v>0</v>
      </c>
      <c r="AJ137" s="529" t="str">
        <v/>
      </c>
      <c r="AK137" s="529" t="str">
        <v/>
      </c>
      <c r="AL137" s="529" t="str">
        <v/>
      </c>
      <c r="AM137" s="529" t="str">
        <v/>
      </c>
      <c r="AN137" s="529" t="str">
        <v/>
      </c>
      <c r="AO137" s="529" t="str">
        <v/>
      </c>
      <c r="AP137" s="529" t="str">
        <v/>
      </c>
      <c r="AQ137" s="529" t="str">
        <v/>
      </c>
      <c r="AR137" s="529">
        <v>0</v>
      </c>
      <c r="AS137" s="529">
        <v>0</v>
      </c>
      <c r="AT137" s="529">
        <f t="shared" si="28"/>
        <v>0</v>
      </c>
      <c r="AU137" s="529">
        <v>0</v>
      </c>
      <c r="AV137" s="529">
        <f t="shared" si="29"/>
        <v>0</v>
      </c>
      <c r="AW137" s="529">
        <f t="shared" si="30"/>
        <v>0</v>
      </c>
      <c r="AX137" s="529">
        <v>0</v>
      </c>
      <c r="AY137" s="529">
        <v>0</v>
      </c>
      <c r="AZ137" s="761">
        <f t="shared" si="19"/>
        <v>0</v>
      </c>
      <c r="BA137" s="761">
        <f t="shared" si="20"/>
        <v>0</v>
      </c>
      <c r="BB137" s="761">
        <f t="shared" si="21"/>
        <v>0</v>
      </c>
      <c r="BC137" s="761">
        <f t="shared" si="22"/>
        <v>0</v>
      </c>
      <c r="BD137" s="761">
        <f t="shared" si="23"/>
        <v>0</v>
      </c>
      <c r="BE137" s="761">
        <f t="shared" si="24"/>
        <v>0</v>
      </c>
      <c r="BF137" s="761">
        <f t="shared" si="25"/>
        <v>0</v>
      </c>
      <c r="BG137" s="761">
        <f t="shared" si="26"/>
        <v>0</v>
      </c>
      <c r="BH137" s="777">
        <v>0</v>
      </c>
      <c r="BI137" s="755"/>
      <c r="BJ137" s="778">
        <f>IF(X138=0,0,           IF(ISNUMBER(BI137),BI137,               IF(ISTEXT(BI137),INDEX(AZ137:BG137,MATCH(BI137,$AZ$12:$BG$12,0)),             IF(BH137="INT",_xll.qInterp(X138,AB137:AI137,AZ137:BG137),            INDEX(AZ137:BG137,MATCH(BH137,$AZ$12:$BG$12,0))))))</f>
        <v>0</v>
      </c>
      <c r="BK137" s="408">
        <f t="shared" si="31"/>
        <v>0</v>
      </c>
      <c r="BL137" s="414">
        <f t="shared" si="32"/>
        <v>0</v>
      </c>
      <c r="BM137" s="408">
        <f t="shared" si="33"/>
        <v>0</v>
      </c>
    </row>
    <row r="138" spans="16:65">
      <c r="P138" s="779">
        <v>0</v>
      </c>
      <c r="Q138" s="780">
        <f t="shared" si="17"/>
        <v>0</v>
      </c>
      <c r="R138" s="776">
        <f>IF(P139,_xll.qDateYears(P138,P139,DCCfixed),0)</f>
        <v>0</v>
      </c>
      <c r="S138" s="553">
        <v>0</v>
      </c>
      <c r="T138" s="785"/>
      <c r="U138" s="409">
        <f t="shared" si="27"/>
        <v>0</v>
      </c>
      <c r="X138" s="363">
        <v>0</v>
      </c>
      <c r="Y138" s="775">
        <f t="shared" si="18"/>
        <v>0</v>
      </c>
      <c r="Z138" s="776">
        <f>IF(X139,_xll.qDateYears(X138,X139,DCCfloat),0)</f>
        <v>0</v>
      </c>
      <c r="AA138" s="553">
        <v>0</v>
      </c>
      <c r="AB138" s="789">
        <f>IF($X138=0,0,      _xll.qDateNext($X138,AB$12,"M",FRM&lt;&gt;"Calypso",CCY))</f>
        <v>0</v>
      </c>
      <c r="AC138" s="789">
        <f>IF($X138=0,0,      _xll.qDateNext($X138,AC$12,"M",FRM&lt;&gt;"Calypso",CCY))</f>
        <v>0</v>
      </c>
      <c r="AD138" s="789">
        <f>IF($X138=0,0,      _xll.qDateNext($X138,AD$12,"M",FRM&lt;&gt;"Calypso",CCY))</f>
        <v>0</v>
      </c>
      <c r="AE138" s="789">
        <f>IF($X138=0,0,      _xll.qDateNext($X138,AE$12,"M",FRM&lt;&gt;"Calypso",CCY))</f>
        <v>0</v>
      </c>
      <c r="AF138" s="789">
        <f>IF($X138=0,0,      _xll.qDateNext($X138,AF$12,"M",FRM&lt;&gt;"Calypso",CCY))</f>
        <v>0</v>
      </c>
      <c r="AG138" s="789">
        <f>IF($X138=0,0,      _xll.qDateNext($X138,AG$12,"M",FRM&lt;&gt;"Calypso",CCY))</f>
        <v>0</v>
      </c>
      <c r="AH138" s="789">
        <f>IF($X138=0,0,      _xll.qDateNext($X138,AH$12,"M",FRM&lt;&gt;"Calypso",CCY))</f>
        <v>0</v>
      </c>
      <c r="AI138" s="789">
        <f>IF($X138=0,0,      _xll.qDateNext($X138,AI$12,"M",FRM&lt;&gt;"Calypso",CCY))</f>
        <v>0</v>
      </c>
      <c r="AJ138" s="529" t="str">
        <v/>
      </c>
      <c r="AK138" s="529" t="str">
        <v/>
      </c>
      <c r="AL138" s="529" t="str">
        <v/>
      </c>
      <c r="AM138" s="529" t="str">
        <v/>
      </c>
      <c r="AN138" s="529" t="str">
        <v/>
      </c>
      <c r="AO138" s="529" t="str">
        <v/>
      </c>
      <c r="AP138" s="529" t="str">
        <v/>
      </c>
      <c r="AQ138" s="529" t="str">
        <v/>
      </c>
      <c r="AR138" s="529">
        <v>0</v>
      </c>
      <c r="AS138" s="529">
        <v>0</v>
      </c>
      <c r="AT138" s="529">
        <f t="shared" si="28"/>
        <v>0</v>
      </c>
      <c r="AU138" s="529">
        <v>0</v>
      </c>
      <c r="AV138" s="529">
        <f t="shared" si="29"/>
        <v>0</v>
      </c>
      <c r="AW138" s="529">
        <f t="shared" si="30"/>
        <v>0</v>
      </c>
      <c r="AX138" s="529">
        <v>0</v>
      </c>
      <c r="AY138" s="529">
        <v>0</v>
      </c>
      <c r="AZ138" s="761">
        <f t="shared" si="19"/>
        <v>0</v>
      </c>
      <c r="BA138" s="761">
        <f t="shared" si="20"/>
        <v>0</v>
      </c>
      <c r="BB138" s="761">
        <f t="shared" si="21"/>
        <v>0</v>
      </c>
      <c r="BC138" s="761">
        <f t="shared" si="22"/>
        <v>0</v>
      </c>
      <c r="BD138" s="761">
        <f t="shared" si="23"/>
        <v>0</v>
      </c>
      <c r="BE138" s="761">
        <f t="shared" si="24"/>
        <v>0</v>
      </c>
      <c r="BF138" s="761">
        <f t="shared" si="25"/>
        <v>0</v>
      </c>
      <c r="BG138" s="761">
        <f t="shared" si="26"/>
        <v>0</v>
      </c>
      <c r="BH138" s="777">
        <v>0</v>
      </c>
      <c r="BI138" s="755"/>
      <c r="BJ138" s="778">
        <f>IF(X139=0,0,           IF(ISNUMBER(BI138),BI138,               IF(ISTEXT(BI138),INDEX(AZ138:BG138,MATCH(BI138,$AZ$12:$BG$12,0)),             IF(BH138="INT",_xll.qInterp(X139,AB138:AI138,AZ138:BG138),            INDEX(AZ138:BG138,MATCH(BH138,$AZ$12:$BG$12,0))))))</f>
        <v>0</v>
      </c>
      <c r="BK138" s="408">
        <f t="shared" si="31"/>
        <v>0</v>
      </c>
      <c r="BL138" s="414">
        <f t="shared" si="32"/>
        <v>0</v>
      </c>
      <c r="BM138" s="408">
        <f t="shared" si="33"/>
        <v>0</v>
      </c>
    </row>
    <row r="139" spans="16:65">
      <c r="P139" s="779">
        <v>0</v>
      </c>
      <c r="Q139" s="780">
        <f t="shared" si="17"/>
        <v>0</v>
      </c>
      <c r="R139" s="776">
        <f>IF(P140,_xll.qDateYears(P139,P140,DCCfixed),0)</f>
        <v>0</v>
      </c>
      <c r="S139" s="553">
        <v>0</v>
      </c>
      <c r="T139" s="785"/>
      <c r="U139" s="409">
        <f t="shared" si="27"/>
        <v>0</v>
      </c>
      <c r="X139" s="363">
        <v>0</v>
      </c>
      <c r="Y139" s="775">
        <f t="shared" si="18"/>
        <v>0</v>
      </c>
      <c r="Z139" s="776">
        <f>IF(X140,_xll.qDateYears(X139,X140,DCCfloat),0)</f>
        <v>0</v>
      </c>
      <c r="AA139" s="553">
        <v>0</v>
      </c>
      <c r="AB139" s="789">
        <f>IF($X139=0,0,      _xll.qDateNext($X139,AB$12,"M",FRM&lt;&gt;"Calypso",CCY))</f>
        <v>0</v>
      </c>
      <c r="AC139" s="789">
        <f>IF($X139=0,0,      _xll.qDateNext($X139,AC$12,"M",FRM&lt;&gt;"Calypso",CCY))</f>
        <v>0</v>
      </c>
      <c r="AD139" s="789">
        <f>IF($X139=0,0,      _xll.qDateNext($X139,AD$12,"M",FRM&lt;&gt;"Calypso",CCY))</f>
        <v>0</v>
      </c>
      <c r="AE139" s="789">
        <f>IF($X139=0,0,      _xll.qDateNext($X139,AE$12,"M",FRM&lt;&gt;"Calypso",CCY))</f>
        <v>0</v>
      </c>
      <c r="AF139" s="789">
        <f>IF($X139=0,0,      _xll.qDateNext($X139,AF$12,"M",FRM&lt;&gt;"Calypso",CCY))</f>
        <v>0</v>
      </c>
      <c r="AG139" s="789">
        <f>IF($X139=0,0,      _xll.qDateNext($X139,AG$12,"M",FRM&lt;&gt;"Calypso",CCY))</f>
        <v>0</v>
      </c>
      <c r="AH139" s="789">
        <f>IF($X139=0,0,      _xll.qDateNext($X139,AH$12,"M",FRM&lt;&gt;"Calypso",CCY))</f>
        <v>0</v>
      </c>
      <c r="AI139" s="789">
        <f>IF($X139=0,0,      _xll.qDateNext($X139,AI$12,"M",FRM&lt;&gt;"Calypso",CCY))</f>
        <v>0</v>
      </c>
      <c r="AJ139" s="529" t="str">
        <v/>
      </c>
      <c r="AK139" s="529" t="str">
        <v/>
      </c>
      <c r="AL139" s="529" t="str">
        <v/>
      </c>
      <c r="AM139" s="529" t="str">
        <v/>
      </c>
      <c r="AN139" s="529" t="str">
        <v/>
      </c>
      <c r="AO139" s="529" t="str">
        <v/>
      </c>
      <c r="AP139" s="529" t="str">
        <v/>
      </c>
      <c r="AQ139" s="529" t="str">
        <v/>
      </c>
      <c r="AR139" s="529">
        <v>0</v>
      </c>
      <c r="AS139" s="529">
        <v>0</v>
      </c>
      <c r="AT139" s="529">
        <f t="shared" si="28"/>
        <v>0</v>
      </c>
      <c r="AU139" s="529">
        <v>0</v>
      </c>
      <c r="AV139" s="529">
        <f t="shared" si="29"/>
        <v>0</v>
      </c>
      <c r="AW139" s="529">
        <f t="shared" si="30"/>
        <v>0</v>
      </c>
      <c r="AX139" s="529">
        <v>0</v>
      </c>
      <c r="AY139" s="529">
        <v>0</v>
      </c>
      <c r="AZ139" s="761">
        <f t="shared" si="19"/>
        <v>0</v>
      </c>
      <c r="BA139" s="761">
        <f t="shared" si="20"/>
        <v>0</v>
      </c>
      <c r="BB139" s="761">
        <f t="shared" si="21"/>
        <v>0</v>
      </c>
      <c r="BC139" s="761">
        <f t="shared" si="22"/>
        <v>0</v>
      </c>
      <c r="BD139" s="761">
        <f t="shared" si="23"/>
        <v>0</v>
      </c>
      <c r="BE139" s="761">
        <f t="shared" si="24"/>
        <v>0</v>
      </c>
      <c r="BF139" s="761">
        <f t="shared" si="25"/>
        <v>0</v>
      </c>
      <c r="BG139" s="761">
        <f t="shared" si="26"/>
        <v>0</v>
      </c>
      <c r="BH139" s="777">
        <v>0</v>
      </c>
      <c r="BI139" s="755"/>
      <c r="BJ139" s="778">
        <f>IF(X140=0,0,           IF(ISNUMBER(BI139),BI139,               IF(ISTEXT(BI139),INDEX(AZ139:BG139,MATCH(BI139,$AZ$12:$BG$12,0)),             IF(BH139="INT",_xll.qInterp(X140,AB139:AI139,AZ139:BG139),            INDEX(AZ139:BG139,MATCH(BH139,$AZ$12:$BG$12,0))))))</f>
        <v>0</v>
      </c>
      <c r="BK139" s="408">
        <f t="shared" si="31"/>
        <v>0</v>
      </c>
      <c r="BL139" s="414">
        <f t="shared" si="32"/>
        <v>0</v>
      </c>
      <c r="BM139" s="408">
        <f t="shared" si="33"/>
        <v>0</v>
      </c>
    </row>
    <row r="140" spans="16:65">
      <c r="P140" s="779">
        <v>0</v>
      </c>
      <c r="Q140" s="780">
        <f t="shared" si="17"/>
        <v>0</v>
      </c>
      <c r="R140" s="776">
        <f>IF(P141,_xll.qDateYears(P140,P141,DCCfixed),0)</f>
        <v>0</v>
      </c>
      <c r="S140" s="553">
        <v>0</v>
      </c>
      <c r="T140" s="785"/>
      <c r="U140" s="409">
        <f t="shared" si="27"/>
        <v>0</v>
      </c>
      <c r="X140" s="363">
        <v>0</v>
      </c>
      <c r="Y140" s="775">
        <f t="shared" si="18"/>
        <v>0</v>
      </c>
      <c r="Z140" s="776">
        <f>IF(X141,_xll.qDateYears(X140,X141,DCCfloat),0)</f>
        <v>0</v>
      </c>
      <c r="AA140" s="553">
        <v>0</v>
      </c>
      <c r="AB140" s="789">
        <f>IF($X140=0,0,      _xll.qDateNext($X140,AB$12,"M",FRM&lt;&gt;"Calypso",CCY))</f>
        <v>0</v>
      </c>
      <c r="AC140" s="789">
        <f>IF($X140=0,0,      _xll.qDateNext($X140,AC$12,"M",FRM&lt;&gt;"Calypso",CCY))</f>
        <v>0</v>
      </c>
      <c r="AD140" s="789">
        <f>IF($X140=0,0,      _xll.qDateNext($X140,AD$12,"M",FRM&lt;&gt;"Calypso",CCY))</f>
        <v>0</v>
      </c>
      <c r="AE140" s="789">
        <f>IF($X140=0,0,      _xll.qDateNext($X140,AE$12,"M",FRM&lt;&gt;"Calypso",CCY))</f>
        <v>0</v>
      </c>
      <c r="AF140" s="789">
        <f>IF($X140=0,0,      _xll.qDateNext($X140,AF$12,"M",FRM&lt;&gt;"Calypso",CCY))</f>
        <v>0</v>
      </c>
      <c r="AG140" s="789">
        <f>IF($X140=0,0,      _xll.qDateNext($X140,AG$12,"M",FRM&lt;&gt;"Calypso",CCY))</f>
        <v>0</v>
      </c>
      <c r="AH140" s="789">
        <f>IF($X140=0,0,      _xll.qDateNext($X140,AH$12,"M",FRM&lt;&gt;"Calypso",CCY))</f>
        <v>0</v>
      </c>
      <c r="AI140" s="789">
        <f>IF($X140=0,0,      _xll.qDateNext($X140,AI$12,"M",FRM&lt;&gt;"Calypso",CCY))</f>
        <v>0</v>
      </c>
      <c r="AJ140" s="529" t="str">
        <v/>
      </c>
      <c r="AK140" s="529" t="str">
        <v/>
      </c>
      <c r="AL140" s="529" t="str">
        <v/>
      </c>
      <c r="AM140" s="529" t="str">
        <v/>
      </c>
      <c r="AN140" s="529" t="str">
        <v/>
      </c>
      <c r="AO140" s="529" t="str">
        <v/>
      </c>
      <c r="AP140" s="529" t="str">
        <v/>
      </c>
      <c r="AQ140" s="529" t="str">
        <v/>
      </c>
      <c r="AR140" s="529">
        <v>0</v>
      </c>
      <c r="AS140" s="529">
        <v>0</v>
      </c>
      <c r="AT140" s="529">
        <f t="shared" si="28"/>
        <v>0</v>
      </c>
      <c r="AU140" s="529">
        <v>0</v>
      </c>
      <c r="AV140" s="529">
        <f t="shared" si="29"/>
        <v>0</v>
      </c>
      <c r="AW140" s="529">
        <f t="shared" si="30"/>
        <v>0</v>
      </c>
      <c r="AX140" s="529">
        <v>0</v>
      </c>
      <c r="AY140" s="529">
        <v>0</v>
      </c>
      <c r="AZ140" s="761">
        <f t="shared" si="19"/>
        <v>0</v>
      </c>
      <c r="BA140" s="761">
        <f t="shared" si="20"/>
        <v>0</v>
      </c>
      <c r="BB140" s="761">
        <f t="shared" si="21"/>
        <v>0</v>
      </c>
      <c r="BC140" s="761">
        <f t="shared" si="22"/>
        <v>0</v>
      </c>
      <c r="BD140" s="761">
        <f t="shared" si="23"/>
        <v>0</v>
      </c>
      <c r="BE140" s="761">
        <f t="shared" si="24"/>
        <v>0</v>
      </c>
      <c r="BF140" s="761">
        <f t="shared" si="25"/>
        <v>0</v>
      </c>
      <c r="BG140" s="761">
        <f t="shared" si="26"/>
        <v>0</v>
      </c>
      <c r="BH140" s="777">
        <v>0</v>
      </c>
      <c r="BI140" s="755"/>
      <c r="BJ140" s="778">
        <f>IF(X141=0,0,           IF(ISNUMBER(BI140),BI140,               IF(ISTEXT(BI140),INDEX(AZ140:BG140,MATCH(BI140,$AZ$12:$BG$12,0)),             IF(BH140="INT",_xll.qInterp(X141,AB140:AI140,AZ140:BG140),            INDEX(AZ140:BG140,MATCH(BH140,$AZ$12:$BG$12,0))))))</f>
        <v>0</v>
      </c>
      <c r="BK140" s="408">
        <f t="shared" si="31"/>
        <v>0</v>
      </c>
      <c r="BL140" s="414">
        <f t="shared" si="32"/>
        <v>0</v>
      </c>
      <c r="BM140" s="408">
        <f t="shared" si="33"/>
        <v>0</v>
      </c>
    </row>
    <row r="141" spans="16:65">
      <c r="P141" s="779">
        <v>0</v>
      </c>
      <c r="Q141" s="780">
        <f t="shared" ref="Q141:Q204" si="34">IF(P142,IF(LEFT(DCCfixed,3)="Act",P142-P141,DAYS360(P141,P142)),0)</f>
        <v>0</v>
      </c>
      <c r="R141" s="776">
        <f>IF(P142,_xll.qDateYears(P141,P142,DCCfixed),0)</f>
        <v>0</v>
      </c>
      <c r="S141" s="553">
        <v>0</v>
      </c>
      <c r="T141" s="785"/>
      <c r="U141" s="409">
        <f t="shared" si="27"/>
        <v>0</v>
      </c>
      <c r="X141" s="363">
        <v>0</v>
      </c>
      <c r="Y141" s="775">
        <f t="shared" ref="Y141:Y204" si="35">IF(X142,IF(LEFT(DCCfloat,3)="Act",X142-X141,DAYS360(X141,X142)),0)</f>
        <v>0</v>
      </c>
      <c r="Z141" s="776">
        <f>IF(X142,_xll.qDateYears(X141,X142,DCCfloat),0)</f>
        <v>0</v>
      </c>
      <c r="AA141" s="553">
        <v>0</v>
      </c>
      <c r="AB141" s="789">
        <f>IF($X141=0,0,      _xll.qDateNext($X141,AB$12,"M",FRM&lt;&gt;"Calypso",CCY))</f>
        <v>0</v>
      </c>
      <c r="AC141" s="789">
        <f>IF($X141=0,0,      _xll.qDateNext($X141,AC$12,"M",FRM&lt;&gt;"Calypso",CCY))</f>
        <v>0</v>
      </c>
      <c r="AD141" s="789">
        <f>IF($X141=0,0,      _xll.qDateNext($X141,AD$12,"M",FRM&lt;&gt;"Calypso",CCY))</f>
        <v>0</v>
      </c>
      <c r="AE141" s="789">
        <f>IF($X141=0,0,      _xll.qDateNext($X141,AE$12,"M",FRM&lt;&gt;"Calypso",CCY))</f>
        <v>0</v>
      </c>
      <c r="AF141" s="789">
        <f>IF($X141=0,0,      _xll.qDateNext($X141,AF$12,"M",FRM&lt;&gt;"Calypso",CCY))</f>
        <v>0</v>
      </c>
      <c r="AG141" s="789">
        <f>IF($X141=0,0,      _xll.qDateNext($X141,AG$12,"M",FRM&lt;&gt;"Calypso",CCY))</f>
        <v>0</v>
      </c>
      <c r="AH141" s="789">
        <f>IF($X141=0,0,      _xll.qDateNext($X141,AH$12,"M",FRM&lt;&gt;"Calypso",CCY))</f>
        <v>0</v>
      </c>
      <c r="AI141" s="789">
        <f>IF($X141=0,0,      _xll.qDateNext($X141,AI$12,"M",FRM&lt;&gt;"Calypso",CCY))</f>
        <v>0</v>
      </c>
      <c r="AJ141" s="529" t="str">
        <v/>
      </c>
      <c r="AK141" s="529" t="str">
        <v/>
      </c>
      <c r="AL141" s="529" t="str">
        <v/>
      </c>
      <c r="AM141" s="529" t="str">
        <v/>
      </c>
      <c r="AN141" s="529" t="str">
        <v/>
      </c>
      <c r="AO141" s="529" t="str">
        <v/>
      </c>
      <c r="AP141" s="529" t="str">
        <v/>
      </c>
      <c r="AQ141" s="529" t="str">
        <v/>
      </c>
      <c r="AR141" s="529">
        <v>0</v>
      </c>
      <c r="AS141" s="529">
        <v>0</v>
      </c>
      <c r="AT141" s="529">
        <f t="shared" si="28"/>
        <v>0</v>
      </c>
      <c r="AU141" s="529">
        <v>0</v>
      </c>
      <c r="AV141" s="529">
        <f t="shared" si="29"/>
        <v>0</v>
      </c>
      <c r="AW141" s="529">
        <f t="shared" si="30"/>
        <v>0</v>
      </c>
      <c r="AX141" s="529">
        <v>0</v>
      </c>
      <c r="AY141" s="529">
        <v>0</v>
      </c>
      <c r="AZ141" s="761">
        <f t="shared" ref="AZ141:AZ204" si="36">IF($X141=0,0,   IF(ISNUMBER(AJ141),AJ141,AR141))</f>
        <v>0</v>
      </c>
      <c r="BA141" s="761">
        <f t="shared" ref="BA141:BA204" si="37">IF($X141=0,0,   IF(ISNUMBER(AK141),AK141,AS141))</f>
        <v>0</v>
      </c>
      <c r="BB141" s="761">
        <f t="shared" ref="BB141:BB204" si="38">IF($X141=0,0,   IF(ISNUMBER(AL141),AL141,AT141))</f>
        <v>0</v>
      </c>
      <c r="BC141" s="761">
        <f t="shared" ref="BC141:BC204" si="39">IF($X141=0,0,   IF(ISNUMBER(AM141),AM141,AU141))</f>
        <v>0</v>
      </c>
      <c r="BD141" s="761">
        <f t="shared" ref="BD141:BD204" si="40">IF($X141=0,0,   IF(ISNUMBER(AN141),AN141,AV141))</f>
        <v>0</v>
      </c>
      <c r="BE141" s="761">
        <f t="shared" ref="BE141:BE204" si="41">IF($X141=0,0,   IF(ISNUMBER(AO141),AO141,AW141))</f>
        <v>0</v>
      </c>
      <c r="BF141" s="761">
        <f t="shared" ref="BF141:BF204" si="42">IF($X141=0,0,   IF(ISNUMBER(AP141),AP141,AX141))</f>
        <v>0</v>
      </c>
      <c r="BG141" s="761">
        <f t="shared" ref="BG141:BG204" si="43">IF($X141=0,0,   IF(ISNUMBER(AQ141),AQ141,AY141))</f>
        <v>0</v>
      </c>
      <c r="BH141" s="777">
        <v>0</v>
      </c>
      <c r="BI141" s="755"/>
      <c r="BJ141" s="778">
        <f>IF(X142=0,0,           IF(ISNUMBER(BI141),BI141,               IF(ISTEXT(BI141),INDEX(AZ141:BG141,MATCH(BI141,$AZ$12:$BG$12,0)),             IF(BH141="INT",_xll.qInterp(X142,AB141:AI141,AZ141:BG141),            INDEX(AZ141:BG141,MATCH(BH141,$AZ$12:$BG$12,0))))))</f>
        <v>0</v>
      </c>
      <c r="BK141" s="408">
        <f t="shared" si="31"/>
        <v>0</v>
      </c>
      <c r="BL141" s="414">
        <f t="shared" si="32"/>
        <v>0</v>
      </c>
      <c r="BM141" s="408">
        <f t="shared" si="33"/>
        <v>0</v>
      </c>
    </row>
    <row r="142" spans="16:65">
      <c r="P142" s="779">
        <v>0</v>
      </c>
      <c r="Q142" s="780">
        <f t="shared" si="34"/>
        <v>0</v>
      </c>
      <c r="R142" s="776">
        <f>IF(P143,_xll.qDateYears(P142,P143,DCCfixed),0)</f>
        <v>0</v>
      </c>
      <c r="S142" s="553">
        <v>0</v>
      </c>
      <c r="T142" s="785"/>
      <c r="U142" s="409">
        <f t="shared" ref="U142:U205" si="44">IF(P142,$U$5%*R141*Face,0) + IF(AND(IncludePrincipals,P142&gt;0,P143=0),Face,0) + IF(P142,T142,0)</f>
        <v>0</v>
      </c>
      <c r="X142" s="363">
        <v>0</v>
      </c>
      <c r="Y142" s="775">
        <f t="shared" si="35"/>
        <v>0</v>
      </c>
      <c r="Z142" s="776">
        <f>IF(X143,_xll.qDateYears(X142,X143,DCCfloat),0)</f>
        <v>0</v>
      </c>
      <c r="AA142" s="553">
        <v>0</v>
      </c>
      <c r="AB142" s="789">
        <f>IF($X142=0,0,      _xll.qDateNext($X142,AB$12,"M",FRM&lt;&gt;"Calypso",CCY))</f>
        <v>0</v>
      </c>
      <c r="AC142" s="789">
        <f>IF($X142=0,0,      _xll.qDateNext($X142,AC$12,"M",FRM&lt;&gt;"Calypso",CCY))</f>
        <v>0</v>
      </c>
      <c r="AD142" s="789">
        <f>IF($X142=0,0,      _xll.qDateNext($X142,AD$12,"M",FRM&lt;&gt;"Calypso",CCY))</f>
        <v>0</v>
      </c>
      <c r="AE142" s="789">
        <f>IF($X142=0,0,      _xll.qDateNext($X142,AE$12,"M",FRM&lt;&gt;"Calypso",CCY))</f>
        <v>0</v>
      </c>
      <c r="AF142" s="789">
        <f>IF($X142=0,0,      _xll.qDateNext($X142,AF$12,"M",FRM&lt;&gt;"Calypso",CCY))</f>
        <v>0</v>
      </c>
      <c r="AG142" s="789">
        <f>IF($X142=0,0,      _xll.qDateNext($X142,AG$12,"M",FRM&lt;&gt;"Calypso",CCY))</f>
        <v>0</v>
      </c>
      <c r="AH142" s="789">
        <f>IF($X142=0,0,      _xll.qDateNext($X142,AH$12,"M",FRM&lt;&gt;"Calypso",CCY))</f>
        <v>0</v>
      </c>
      <c r="AI142" s="789">
        <f>IF($X142=0,0,      _xll.qDateNext($X142,AI$12,"M",FRM&lt;&gt;"Calypso",CCY))</f>
        <v>0</v>
      </c>
      <c r="AJ142" s="529" t="str">
        <v/>
      </c>
      <c r="AK142" s="529" t="str">
        <v/>
      </c>
      <c r="AL142" s="529" t="str">
        <v/>
      </c>
      <c r="AM142" s="529" t="str">
        <v/>
      </c>
      <c r="AN142" s="529" t="str">
        <v/>
      </c>
      <c r="AO142" s="529" t="str">
        <v/>
      </c>
      <c r="AP142" s="529" t="str">
        <v/>
      </c>
      <c r="AQ142" s="529" t="str">
        <v/>
      </c>
      <c r="AR142" s="529">
        <v>0</v>
      </c>
      <c r="AS142" s="529">
        <v>0</v>
      </c>
      <c r="AT142" s="529">
        <f t="shared" ref="AT142:AT205" si="45">IF($X142,AVERAGE(AS142,AU142),0)</f>
        <v>0</v>
      </c>
      <c r="AU142" s="529">
        <v>0</v>
      </c>
      <c r="AV142" s="529">
        <f t="shared" ref="AV142:AV205" si="46">IF($X142,AU142+(AX142-AU142)/3,0)</f>
        <v>0</v>
      </c>
      <c r="AW142" s="529">
        <f t="shared" ref="AW142:AW205" si="47">IF($X142,AVERAGE(AV142,AX142),0)</f>
        <v>0</v>
      </c>
      <c r="AX142" s="529">
        <v>0</v>
      </c>
      <c r="AY142" s="529">
        <v>0</v>
      </c>
      <c r="AZ142" s="761">
        <f t="shared" si="36"/>
        <v>0</v>
      </c>
      <c r="BA142" s="761">
        <f t="shared" si="37"/>
        <v>0</v>
      </c>
      <c r="BB142" s="761">
        <f t="shared" si="38"/>
        <v>0</v>
      </c>
      <c r="BC142" s="761">
        <f t="shared" si="39"/>
        <v>0</v>
      </c>
      <c r="BD142" s="761">
        <f t="shared" si="40"/>
        <v>0</v>
      </c>
      <c r="BE142" s="761">
        <f t="shared" si="41"/>
        <v>0</v>
      </c>
      <c r="BF142" s="761">
        <f t="shared" si="42"/>
        <v>0</v>
      </c>
      <c r="BG142" s="761">
        <f t="shared" si="43"/>
        <v>0</v>
      </c>
      <c r="BH142" s="777">
        <v>0</v>
      </c>
      <c r="BI142" s="755"/>
      <c r="BJ142" s="778">
        <f>IF(X143=0,0,           IF(ISNUMBER(BI142),BI142,               IF(ISTEXT(BI142),INDEX(AZ142:BG142,MATCH(BI142,$AZ$12:$BG$12,0)),             IF(BH142="INT",_xll.qInterp(X143,AB142:AI142,AZ142:BG142),            INDEX(AZ142:BG142,MATCH(BH142,$AZ$12:$BG$12,0))))))</f>
        <v>0</v>
      </c>
      <c r="BK142" s="408">
        <f t="shared" ref="BK142:BK205" si="48">IF(X142,-BJ141%*Face*Z141,0)</f>
        <v>0</v>
      </c>
      <c r="BL142" s="414">
        <f t="shared" ref="BL142:BL205" si="49">IF(X142,-Margin%%*Z141*Face,0)</f>
        <v>0</v>
      </c>
      <c r="BM142" s="408">
        <f t="shared" ref="BM142:BM205" si="50">SUM(BK142:BL142)+IF(AND(IncludePrincipals,X142&lt;&gt;0,X143=0),-Face,0)</f>
        <v>0</v>
      </c>
    </row>
    <row r="143" spans="16:65">
      <c r="P143" s="779">
        <v>0</v>
      </c>
      <c r="Q143" s="780">
        <f t="shared" si="34"/>
        <v>0</v>
      </c>
      <c r="R143" s="776">
        <f>IF(P144,_xll.qDateYears(P143,P144,DCCfixed),0)</f>
        <v>0</v>
      </c>
      <c r="S143" s="553">
        <v>0</v>
      </c>
      <c r="T143" s="785"/>
      <c r="U143" s="409">
        <f t="shared" si="44"/>
        <v>0</v>
      </c>
      <c r="X143" s="363">
        <v>0</v>
      </c>
      <c r="Y143" s="775">
        <f t="shared" si="35"/>
        <v>0</v>
      </c>
      <c r="Z143" s="776">
        <f>IF(X144,_xll.qDateYears(X143,X144,DCCfloat),0)</f>
        <v>0</v>
      </c>
      <c r="AA143" s="553">
        <v>0</v>
      </c>
      <c r="AB143" s="789">
        <f>IF($X143=0,0,      _xll.qDateNext($X143,AB$12,"M",FRM&lt;&gt;"Calypso",CCY))</f>
        <v>0</v>
      </c>
      <c r="AC143" s="789">
        <f>IF($X143=0,0,      _xll.qDateNext($X143,AC$12,"M",FRM&lt;&gt;"Calypso",CCY))</f>
        <v>0</v>
      </c>
      <c r="AD143" s="789">
        <f>IF($X143=0,0,      _xll.qDateNext($X143,AD$12,"M",FRM&lt;&gt;"Calypso",CCY))</f>
        <v>0</v>
      </c>
      <c r="AE143" s="789">
        <f>IF($X143=0,0,      _xll.qDateNext($X143,AE$12,"M",FRM&lt;&gt;"Calypso",CCY))</f>
        <v>0</v>
      </c>
      <c r="AF143" s="789">
        <f>IF($X143=0,0,      _xll.qDateNext($X143,AF$12,"M",FRM&lt;&gt;"Calypso",CCY))</f>
        <v>0</v>
      </c>
      <c r="AG143" s="789">
        <f>IF($X143=0,0,      _xll.qDateNext($X143,AG$12,"M",FRM&lt;&gt;"Calypso",CCY))</f>
        <v>0</v>
      </c>
      <c r="AH143" s="789">
        <f>IF($X143=0,0,      _xll.qDateNext($X143,AH$12,"M",FRM&lt;&gt;"Calypso",CCY))</f>
        <v>0</v>
      </c>
      <c r="AI143" s="789">
        <f>IF($X143=0,0,      _xll.qDateNext($X143,AI$12,"M",FRM&lt;&gt;"Calypso",CCY))</f>
        <v>0</v>
      </c>
      <c r="AJ143" s="529" t="str">
        <v/>
      </c>
      <c r="AK143" s="529" t="str">
        <v/>
      </c>
      <c r="AL143" s="529" t="str">
        <v/>
      </c>
      <c r="AM143" s="529" t="str">
        <v/>
      </c>
      <c r="AN143" s="529" t="str">
        <v/>
      </c>
      <c r="AO143" s="529" t="str">
        <v/>
      </c>
      <c r="AP143" s="529" t="str">
        <v/>
      </c>
      <c r="AQ143" s="529" t="str">
        <v/>
      </c>
      <c r="AR143" s="529">
        <v>0</v>
      </c>
      <c r="AS143" s="529">
        <v>0</v>
      </c>
      <c r="AT143" s="529">
        <f t="shared" si="45"/>
        <v>0</v>
      </c>
      <c r="AU143" s="529">
        <v>0</v>
      </c>
      <c r="AV143" s="529">
        <f t="shared" si="46"/>
        <v>0</v>
      </c>
      <c r="AW143" s="529">
        <f t="shared" si="47"/>
        <v>0</v>
      </c>
      <c r="AX143" s="529">
        <v>0</v>
      </c>
      <c r="AY143" s="529">
        <v>0</v>
      </c>
      <c r="AZ143" s="761">
        <f t="shared" si="36"/>
        <v>0</v>
      </c>
      <c r="BA143" s="761">
        <f t="shared" si="37"/>
        <v>0</v>
      </c>
      <c r="BB143" s="761">
        <f t="shared" si="38"/>
        <v>0</v>
      </c>
      <c r="BC143" s="761">
        <f t="shared" si="39"/>
        <v>0</v>
      </c>
      <c r="BD143" s="761">
        <f t="shared" si="40"/>
        <v>0</v>
      </c>
      <c r="BE143" s="761">
        <f t="shared" si="41"/>
        <v>0</v>
      </c>
      <c r="BF143" s="761">
        <f t="shared" si="42"/>
        <v>0</v>
      </c>
      <c r="BG143" s="761">
        <f t="shared" si="43"/>
        <v>0</v>
      </c>
      <c r="BH143" s="777">
        <v>0</v>
      </c>
      <c r="BI143" s="755"/>
      <c r="BJ143" s="778">
        <f>IF(X144=0,0,           IF(ISNUMBER(BI143),BI143,               IF(ISTEXT(BI143),INDEX(AZ143:BG143,MATCH(BI143,$AZ$12:$BG$12,0)),             IF(BH143="INT",_xll.qInterp(X144,AB143:AI143,AZ143:BG143),            INDEX(AZ143:BG143,MATCH(BH143,$AZ$12:$BG$12,0))))))</f>
        <v>0</v>
      </c>
      <c r="BK143" s="408">
        <f t="shared" si="48"/>
        <v>0</v>
      </c>
      <c r="BL143" s="414">
        <f t="shared" si="49"/>
        <v>0</v>
      </c>
      <c r="BM143" s="408">
        <f t="shared" si="50"/>
        <v>0</v>
      </c>
    </row>
    <row r="144" spans="16:65">
      <c r="P144" s="779">
        <v>0</v>
      </c>
      <c r="Q144" s="780">
        <f t="shared" si="34"/>
        <v>0</v>
      </c>
      <c r="R144" s="776">
        <f>IF(P145,_xll.qDateYears(P144,P145,DCCfixed),0)</f>
        <v>0</v>
      </c>
      <c r="S144" s="553">
        <v>0</v>
      </c>
      <c r="T144" s="785"/>
      <c r="U144" s="409">
        <f t="shared" si="44"/>
        <v>0</v>
      </c>
      <c r="X144" s="363">
        <v>0</v>
      </c>
      <c r="Y144" s="775">
        <f t="shared" si="35"/>
        <v>0</v>
      </c>
      <c r="Z144" s="776">
        <f>IF(X145,_xll.qDateYears(X144,X145,DCCfloat),0)</f>
        <v>0</v>
      </c>
      <c r="AA144" s="553">
        <v>0</v>
      </c>
      <c r="AB144" s="789">
        <f>IF($X144=0,0,      _xll.qDateNext($X144,AB$12,"M",FRM&lt;&gt;"Calypso",CCY))</f>
        <v>0</v>
      </c>
      <c r="AC144" s="789">
        <f>IF($X144=0,0,      _xll.qDateNext($X144,AC$12,"M",FRM&lt;&gt;"Calypso",CCY))</f>
        <v>0</v>
      </c>
      <c r="AD144" s="789">
        <f>IF($X144=0,0,      _xll.qDateNext($X144,AD$12,"M",FRM&lt;&gt;"Calypso",CCY))</f>
        <v>0</v>
      </c>
      <c r="AE144" s="789">
        <f>IF($X144=0,0,      _xll.qDateNext($X144,AE$12,"M",FRM&lt;&gt;"Calypso",CCY))</f>
        <v>0</v>
      </c>
      <c r="AF144" s="789">
        <f>IF($X144=0,0,      _xll.qDateNext($X144,AF$12,"M",FRM&lt;&gt;"Calypso",CCY))</f>
        <v>0</v>
      </c>
      <c r="AG144" s="789">
        <f>IF($X144=0,0,      _xll.qDateNext($X144,AG$12,"M",FRM&lt;&gt;"Calypso",CCY))</f>
        <v>0</v>
      </c>
      <c r="AH144" s="789">
        <f>IF($X144=0,0,      _xll.qDateNext($X144,AH$12,"M",FRM&lt;&gt;"Calypso",CCY))</f>
        <v>0</v>
      </c>
      <c r="AI144" s="789">
        <f>IF($X144=0,0,      _xll.qDateNext($X144,AI$12,"M",FRM&lt;&gt;"Calypso",CCY))</f>
        <v>0</v>
      </c>
      <c r="AJ144" s="529" t="str">
        <v/>
      </c>
      <c r="AK144" s="529" t="str">
        <v/>
      </c>
      <c r="AL144" s="529" t="str">
        <v/>
      </c>
      <c r="AM144" s="529" t="str">
        <v/>
      </c>
      <c r="AN144" s="529" t="str">
        <v/>
      </c>
      <c r="AO144" s="529" t="str">
        <v/>
      </c>
      <c r="AP144" s="529" t="str">
        <v/>
      </c>
      <c r="AQ144" s="529" t="str">
        <v/>
      </c>
      <c r="AR144" s="529">
        <v>0</v>
      </c>
      <c r="AS144" s="529">
        <v>0</v>
      </c>
      <c r="AT144" s="529">
        <f t="shared" si="45"/>
        <v>0</v>
      </c>
      <c r="AU144" s="529">
        <v>0</v>
      </c>
      <c r="AV144" s="529">
        <f t="shared" si="46"/>
        <v>0</v>
      </c>
      <c r="AW144" s="529">
        <f t="shared" si="47"/>
        <v>0</v>
      </c>
      <c r="AX144" s="529">
        <v>0</v>
      </c>
      <c r="AY144" s="529">
        <v>0</v>
      </c>
      <c r="AZ144" s="761">
        <f t="shared" si="36"/>
        <v>0</v>
      </c>
      <c r="BA144" s="761">
        <f t="shared" si="37"/>
        <v>0</v>
      </c>
      <c r="BB144" s="761">
        <f t="shared" si="38"/>
        <v>0</v>
      </c>
      <c r="BC144" s="761">
        <f t="shared" si="39"/>
        <v>0</v>
      </c>
      <c r="BD144" s="761">
        <f t="shared" si="40"/>
        <v>0</v>
      </c>
      <c r="BE144" s="761">
        <f t="shared" si="41"/>
        <v>0</v>
      </c>
      <c r="BF144" s="761">
        <f t="shared" si="42"/>
        <v>0</v>
      </c>
      <c r="BG144" s="761">
        <f t="shared" si="43"/>
        <v>0</v>
      </c>
      <c r="BH144" s="777">
        <v>0</v>
      </c>
      <c r="BI144" s="755"/>
      <c r="BJ144" s="778">
        <f>IF(X145=0,0,           IF(ISNUMBER(BI144),BI144,               IF(ISTEXT(BI144),INDEX(AZ144:BG144,MATCH(BI144,$AZ$12:$BG$12,0)),             IF(BH144="INT",_xll.qInterp(X145,AB144:AI144,AZ144:BG144),            INDEX(AZ144:BG144,MATCH(BH144,$AZ$12:$BG$12,0))))))</f>
        <v>0</v>
      </c>
      <c r="BK144" s="408">
        <f t="shared" si="48"/>
        <v>0</v>
      </c>
      <c r="BL144" s="414">
        <f t="shared" si="49"/>
        <v>0</v>
      </c>
      <c r="BM144" s="408">
        <f t="shared" si="50"/>
        <v>0</v>
      </c>
    </row>
    <row r="145" spans="16:65">
      <c r="P145" s="779">
        <v>0</v>
      </c>
      <c r="Q145" s="780">
        <f t="shared" si="34"/>
        <v>0</v>
      </c>
      <c r="R145" s="776">
        <f>IF(P146,_xll.qDateYears(P145,P146,DCCfixed),0)</f>
        <v>0</v>
      </c>
      <c r="S145" s="553">
        <v>0</v>
      </c>
      <c r="T145" s="785"/>
      <c r="U145" s="409">
        <f t="shared" si="44"/>
        <v>0</v>
      </c>
      <c r="X145" s="363">
        <v>0</v>
      </c>
      <c r="Y145" s="775">
        <f t="shared" si="35"/>
        <v>0</v>
      </c>
      <c r="Z145" s="776">
        <f>IF(X146,_xll.qDateYears(X145,X146,DCCfloat),0)</f>
        <v>0</v>
      </c>
      <c r="AA145" s="553">
        <v>0</v>
      </c>
      <c r="AB145" s="789">
        <f>IF($X145=0,0,      _xll.qDateNext($X145,AB$12,"M",FRM&lt;&gt;"Calypso",CCY))</f>
        <v>0</v>
      </c>
      <c r="AC145" s="789">
        <f>IF($X145=0,0,      _xll.qDateNext($X145,AC$12,"M",FRM&lt;&gt;"Calypso",CCY))</f>
        <v>0</v>
      </c>
      <c r="AD145" s="789">
        <f>IF($X145=0,0,      _xll.qDateNext($X145,AD$12,"M",FRM&lt;&gt;"Calypso",CCY))</f>
        <v>0</v>
      </c>
      <c r="AE145" s="789">
        <f>IF($X145=0,0,      _xll.qDateNext($X145,AE$12,"M",FRM&lt;&gt;"Calypso",CCY))</f>
        <v>0</v>
      </c>
      <c r="AF145" s="789">
        <f>IF($X145=0,0,      _xll.qDateNext($X145,AF$12,"M",FRM&lt;&gt;"Calypso",CCY))</f>
        <v>0</v>
      </c>
      <c r="AG145" s="789">
        <f>IF($X145=0,0,      _xll.qDateNext($X145,AG$12,"M",FRM&lt;&gt;"Calypso",CCY))</f>
        <v>0</v>
      </c>
      <c r="AH145" s="789">
        <f>IF($X145=0,0,      _xll.qDateNext($X145,AH$12,"M",FRM&lt;&gt;"Calypso",CCY))</f>
        <v>0</v>
      </c>
      <c r="AI145" s="789">
        <f>IF($X145=0,0,      _xll.qDateNext($X145,AI$12,"M",FRM&lt;&gt;"Calypso",CCY))</f>
        <v>0</v>
      </c>
      <c r="AJ145" s="529" t="str">
        <v/>
      </c>
      <c r="AK145" s="529" t="str">
        <v/>
      </c>
      <c r="AL145" s="529" t="str">
        <v/>
      </c>
      <c r="AM145" s="529" t="str">
        <v/>
      </c>
      <c r="AN145" s="529" t="str">
        <v/>
      </c>
      <c r="AO145" s="529" t="str">
        <v/>
      </c>
      <c r="AP145" s="529" t="str">
        <v/>
      </c>
      <c r="AQ145" s="529" t="str">
        <v/>
      </c>
      <c r="AR145" s="529">
        <v>0</v>
      </c>
      <c r="AS145" s="529">
        <v>0</v>
      </c>
      <c r="AT145" s="529">
        <f t="shared" si="45"/>
        <v>0</v>
      </c>
      <c r="AU145" s="529">
        <v>0</v>
      </c>
      <c r="AV145" s="529">
        <f t="shared" si="46"/>
        <v>0</v>
      </c>
      <c r="AW145" s="529">
        <f t="shared" si="47"/>
        <v>0</v>
      </c>
      <c r="AX145" s="529">
        <v>0</v>
      </c>
      <c r="AY145" s="529">
        <v>0</v>
      </c>
      <c r="AZ145" s="761">
        <f t="shared" si="36"/>
        <v>0</v>
      </c>
      <c r="BA145" s="761">
        <f t="shared" si="37"/>
        <v>0</v>
      </c>
      <c r="BB145" s="761">
        <f t="shared" si="38"/>
        <v>0</v>
      </c>
      <c r="BC145" s="761">
        <f t="shared" si="39"/>
        <v>0</v>
      </c>
      <c r="BD145" s="761">
        <f t="shared" si="40"/>
        <v>0</v>
      </c>
      <c r="BE145" s="761">
        <f t="shared" si="41"/>
        <v>0</v>
      </c>
      <c r="BF145" s="761">
        <f t="shared" si="42"/>
        <v>0</v>
      </c>
      <c r="BG145" s="761">
        <f t="shared" si="43"/>
        <v>0</v>
      </c>
      <c r="BH145" s="777">
        <v>0</v>
      </c>
      <c r="BI145" s="755"/>
      <c r="BJ145" s="778">
        <f>IF(X146=0,0,           IF(ISNUMBER(BI145),BI145,               IF(ISTEXT(BI145),INDEX(AZ145:BG145,MATCH(BI145,$AZ$12:$BG$12,0)),             IF(BH145="INT",_xll.qInterp(X146,AB145:AI145,AZ145:BG145),            INDEX(AZ145:BG145,MATCH(BH145,$AZ$12:$BG$12,0))))))</f>
        <v>0</v>
      </c>
      <c r="BK145" s="408">
        <f t="shared" si="48"/>
        <v>0</v>
      </c>
      <c r="BL145" s="414">
        <f t="shared" si="49"/>
        <v>0</v>
      </c>
      <c r="BM145" s="408">
        <f t="shared" si="50"/>
        <v>0</v>
      </c>
    </row>
    <row r="146" spans="16:65">
      <c r="P146" s="779">
        <v>0</v>
      </c>
      <c r="Q146" s="780">
        <f t="shared" si="34"/>
        <v>0</v>
      </c>
      <c r="R146" s="776">
        <f>IF(P147,_xll.qDateYears(P146,P147,DCCfixed),0)</f>
        <v>0</v>
      </c>
      <c r="S146" s="553">
        <v>0</v>
      </c>
      <c r="T146" s="785"/>
      <c r="U146" s="409">
        <f t="shared" si="44"/>
        <v>0</v>
      </c>
      <c r="X146" s="363">
        <v>0</v>
      </c>
      <c r="Y146" s="775">
        <f t="shared" si="35"/>
        <v>0</v>
      </c>
      <c r="Z146" s="776">
        <f>IF(X147,_xll.qDateYears(X146,X147,DCCfloat),0)</f>
        <v>0</v>
      </c>
      <c r="AA146" s="553">
        <v>0</v>
      </c>
      <c r="AB146" s="789">
        <f>IF($X146=0,0,      _xll.qDateNext($X146,AB$12,"M",FRM&lt;&gt;"Calypso",CCY))</f>
        <v>0</v>
      </c>
      <c r="AC146" s="789">
        <f>IF($X146=0,0,      _xll.qDateNext($X146,AC$12,"M",FRM&lt;&gt;"Calypso",CCY))</f>
        <v>0</v>
      </c>
      <c r="AD146" s="789">
        <f>IF($X146=0,0,      _xll.qDateNext($X146,AD$12,"M",FRM&lt;&gt;"Calypso",CCY))</f>
        <v>0</v>
      </c>
      <c r="AE146" s="789">
        <f>IF($X146=0,0,      _xll.qDateNext($X146,AE$12,"M",FRM&lt;&gt;"Calypso",CCY))</f>
        <v>0</v>
      </c>
      <c r="AF146" s="789">
        <f>IF($X146=0,0,      _xll.qDateNext($X146,AF$12,"M",FRM&lt;&gt;"Calypso",CCY))</f>
        <v>0</v>
      </c>
      <c r="AG146" s="789">
        <f>IF($X146=0,0,      _xll.qDateNext($X146,AG$12,"M",FRM&lt;&gt;"Calypso",CCY))</f>
        <v>0</v>
      </c>
      <c r="AH146" s="789">
        <f>IF($X146=0,0,      _xll.qDateNext($X146,AH$12,"M",FRM&lt;&gt;"Calypso",CCY))</f>
        <v>0</v>
      </c>
      <c r="AI146" s="789">
        <f>IF($X146=0,0,      _xll.qDateNext($X146,AI$12,"M",FRM&lt;&gt;"Calypso",CCY))</f>
        <v>0</v>
      </c>
      <c r="AJ146" s="529" t="str">
        <v/>
      </c>
      <c r="AK146" s="529" t="str">
        <v/>
      </c>
      <c r="AL146" s="529" t="str">
        <v/>
      </c>
      <c r="AM146" s="529" t="str">
        <v/>
      </c>
      <c r="AN146" s="529" t="str">
        <v/>
      </c>
      <c r="AO146" s="529" t="str">
        <v/>
      </c>
      <c r="AP146" s="529" t="str">
        <v/>
      </c>
      <c r="AQ146" s="529" t="str">
        <v/>
      </c>
      <c r="AR146" s="529">
        <v>0</v>
      </c>
      <c r="AS146" s="529">
        <v>0</v>
      </c>
      <c r="AT146" s="529">
        <f t="shared" si="45"/>
        <v>0</v>
      </c>
      <c r="AU146" s="529">
        <v>0</v>
      </c>
      <c r="AV146" s="529">
        <f t="shared" si="46"/>
        <v>0</v>
      </c>
      <c r="AW146" s="529">
        <f t="shared" si="47"/>
        <v>0</v>
      </c>
      <c r="AX146" s="529">
        <v>0</v>
      </c>
      <c r="AY146" s="529">
        <v>0</v>
      </c>
      <c r="AZ146" s="761">
        <f t="shared" si="36"/>
        <v>0</v>
      </c>
      <c r="BA146" s="761">
        <f t="shared" si="37"/>
        <v>0</v>
      </c>
      <c r="BB146" s="761">
        <f t="shared" si="38"/>
        <v>0</v>
      </c>
      <c r="BC146" s="761">
        <f t="shared" si="39"/>
        <v>0</v>
      </c>
      <c r="BD146" s="761">
        <f t="shared" si="40"/>
        <v>0</v>
      </c>
      <c r="BE146" s="761">
        <f t="shared" si="41"/>
        <v>0</v>
      </c>
      <c r="BF146" s="761">
        <f t="shared" si="42"/>
        <v>0</v>
      </c>
      <c r="BG146" s="761">
        <f t="shared" si="43"/>
        <v>0</v>
      </c>
      <c r="BH146" s="777">
        <v>0</v>
      </c>
      <c r="BI146" s="755"/>
      <c r="BJ146" s="778">
        <f>IF(X147=0,0,           IF(ISNUMBER(BI146),BI146,               IF(ISTEXT(BI146),INDEX(AZ146:BG146,MATCH(BI146,$AZ$12:$BG$12,0)),             IF(BH146="INT",_xll.qInterp(X147,AB146:AI146,AZ146:BG146),            INDEX(AZ146:BG146,MATCH(BH146,$AZ$12:$BG$12,0))))))</f>
        <v>0</v>
      </c>
      <c r="BK146" s="408">
        <f t="shared" si="48"/>
        <v>0</v>
      </c>
      <c r="BL146" s="414">
        <f t="shared" si="49"/>
        <v>0</v>
      </c>
      <c r="BM146" s="408">
        <f t="shared" si="50"/>
        <v>0</v>
      </c>
    </row>
    <row r="147" spans="16:65">
      <c r="P147" s="779">
        <v>0</v>
      </c>
      <c r="Q147" s="780">
        <f t="shared" si="34"/>
        <v>0</v>
      </c>
      <c r="R147" s="776">
        <f>IF(P148,_xll.qDateYears(P147,P148,DCCfixed),0)</f>
        <v>0</v>
      </c>
      <c r="S147" s="553">
        <v>0</v>
      </c>
      <c r="T147" s="785"/>
      <c r="U147" s="409">
        <f t="shared" si="44"/>
        <v>0</v>
      </c>
      <c r="X147" s="363">
        <v>0</v>
      </c>
      <c r="Y147" s="775">
        <f t="shared" si="35"/>
        <v>0</v>
      </c>
      <c r="Z147" s="776">
        <f>IF(X148,_xll.qDateYears(X147,X148,DCCfloat),0)</f>
        <v>0</v>
      </c>
      <c r="AA147" s="553">
        <v>0</v>
      </c>
      <c r="AB147" s="789">
        <f>IF($X147=0,0,      _xll.qDateNext($X147,AB$12,"M",FRM&lt;&gt;"Calypso",CCY))</f>
        <v>0</v>
      </c>
      <c r="AC147" s="789">
        <f>IF($X147=0,0,      _xll.qDateNext($X147,AC$12,"M",FRM&lt;&gt;"Calypso",CCY))</f>
        <v>0</v>
      </c>
      <c r="AD147" s="789">
        <f>IF($X147=0,0,      _xll.qDateNext($X147,AD$12,"M",FRM&lt;&gt;"Calypso",CCY))</f>
        <v>0</v>
      </c>
      <c r="AE147" s="789">
        <f>IF($X147=0,0,      _xll.qDateNext($X147,AE$12,"M",FRM&lt;&gt;"Calypso",CCY))</f>
        <v>0</v>
      </c>
      <c r="AF147" s="789">
        <f>IF($X147=0,0,      _xll.qDateNext($X147,AF$12,"M",FRM&lt;&gt;"Calypso",CCY))</f>
        <v>0</v>
      </c>
      <c r="AG147" s="789">
        <f>IF($X147=0,0,      _xll.qDateNext($X147,AG$12,"M",FRM&lt;&gt;"Calypso",CCY))</f>
        <v>0</v>
      </c>
      <c r="AH147" s="789">
        <f>IF($X147=0,0,      _xll.qDateNext($X147,AH$12,"M",FRM&lt;&gt;"Calypso",CCY))</f>
        <v>0</v>
      </c>
      <c r="AI147" s="789">
        <f>IF($X147=0,0,      _xll.qDateNext($X147,AI$12,"M",FRM&lt;&gt;"Calypso",CCY))</f>
        <v>0</v>
      </c>
      <c r="AJ147" s="529" t="str">
        <v/>
      </c>
      <c r="AK147" s="529" t="str">
        <v/>
      </c>
      <c r="AL147" s="529" t="str">
        <v/>
      </c>
      <c r="AM147" s="529" t="str">
        <v/>
      </c>
      <c r="AN147" s="529" t="str">
        <v/>
      </c>
      <c r="AO147" s="529" t="str">
        <v/>
      </c>
      <c r="AP147" s="529" t="str">
        <v/>
      </c>
      <c r="AQ147" s="529" t="str">
        <v/>
      </c>
      <c r="AR147" s="529">
        <v>0</v>
      </c>
      <c r="AS147" s="529">
        <v>0</v>
      </c>
      <c r="AT147" s="529">
        <f t="shared" si="45"/>
        <v>0</v>
      </c>
      <c r="AU147" s="529">
        <v>0</v>
      </c>
      <c r="AV147" s="529">
        <f t="shared" si="46"/>
        <v>0</v>
      </c>
      <c r="AW147" s="529">
        <f t="shared" si="47"/>
        <v>0</v>
      </c>
      <c r="AX147" s="529">
        <v>0</v>
      </c>
      <c r="AY147" s="529">
        <v>0</v>
      </c>
      <c r="AZ147" s="761">
        <f t="shared" si="36"/>
        <v>0</v>
      </c>
      <c r="BA147" s="761">
        <f t="shared" si="37"/>
        <v>0</v>
      </c>
      <c r="BB147" s="761">
        <f t="shared" si="38"/>
        <v>0</v>
      </c>
      <c r="BC147" s="761">
        <f t="shared" si="39"/>
        <v>0</v>
      </c>
      <c r="BD147" s="761">
        <f t="shared" si="40"/>
        <v>0</v>
      </c>
      <c r="BE147" s="761">
        <f t="shared" si="41"/>
        <v>0</v>
      </c>
      <c r="BF147" s="761">
        <f t="shared" si="42"/>
        <v>0</v>
      </c>
      <c r="BG147" s="761">
        <f t="shared" si="43"/>
        <v>0</v>
      </c>
      <c r="BH147" s="777">
        <v>0</v>
      </c>
      <c r="BI147" s="755"/>
      <c r="BJ147" s="778">
        <f>IF(X148=0,0,           IF(ISNUMBER(BI147),BI147,               IF(ISTEXT(BI147),INDEX(AZ147:BG147,MATCH(BI147,$AZ$12:$BG$12,0)),             IF(BH147="INT",_xll.qInterp(X148,AB147:AI147,AZ147:BG147),            INDEX(AZ147:BG147,MATCH(BH147,$AZ$12:$BG$12,0))))))</f>
        <v>0</v>
      </c>
      <c r="BK147" s="408">
        <f t="shared" si="48"/>
        <v>0</v>
      </c>
      <c r="BL147" s="414">
        <f t="shared" si="49"/>
        <v>0</v>
      </c>
      <c r="BM147" s="408">
        <f t="shared" si="50"/>
        <v>0</v>
      </c>
    </row>
    <row r="148" spans="16:65">
      <c r="P148" s="779">
        <v>0</v>
      </c>
      <c r="Q148" s="780">
        <f t="shared" si="34"/>
        <v>0</v>
      </c>
      <c r="R148" s="776">
        <f>IF(P149,_xll.qDateYears(P148,P149,DCCfixed),0)</f>
        <v>0</v>
      </c>
      <c r="S148" s="553">
        <v>0</v>
      </c>
      <c r="T148" s="785"/>
      <c r="U148" s="409">
        <f t="shared" si="44"/>
        <v>0</v>
      </c>
      <c r="X148" s="363">
        <v>0</v>
      </c>
      <c r="Y148" s="775">
        <f t="shared" si="35"/>
        <v>0</v>
      </c>
      <c r="Z148" s="776">
        <f>IF(X149,_xll.qDateYears(X148,X149,DCCfloat),0)</f>
        <v>0</v>
      </c>
      <c r="AA148" s="553">
        <v>0</v>
      </c>
      <c r="AB148" s="789">
        <f>IF($X148=0,0,      _xll.qDateNext($X148,AB$12,"M",FRM&lt;&gt;"Calypso",CCY))</f>
        <v>0</v>
      </c>
      <c r="AC148" s="789">
        <f>IF($X148=0,0,      _xll.qDateNext($X148,AC$12,"M",FRM&lt;&gt;"Calypso",CCY))</f>
        <v>0</v>
      </c>
      <c r="AD148" s="789">
        <f>IF($X148=0,0,      _xll.qDateNext($X148,AD$12,"M",FRM&lt;&gt;"Calypso",CCY))</f>
        <v>0</v>
      </c>
      <c r="AE148" s="789">
        <f>IF($X148=0,0,      _xll.qDateNext($X148,AE$12,"M",FRM&lt;&gt;"Calypso",CCY))</f>
        <v>0</v>
      </c>
      <c r="AF148" s="789">
        <f>IF($X148=0,0,      _xll.qDateNext($X148,AF$12,"M",FRM&lt;&gt;"Calypso",CCY))</f>
        <v>0</v>
      </c>
      <c r="AG148" s="789">
        <f>IF($X148=0,0,      _xll.qDateNext($X148,AG$12,"M",FRM&lt;&gt;"Calypso",CCY))</f>
        <v>0</v>
      </c>
      <c r="AH148" s="789">
        <f>IF($X148=0,0,      _xll.qDateNext($X148,AH$12,"M",FRM&lt;&gt;"Calypso",CCY))</f>
        <v>0</v>
      </c>
      <c r="AI148" s="789">
        <f>IF($X148=0,0,      _xll.qDateNext($X148,AI$12,"M",FRM&lt;&gt;"Calypso",CCY))</f>
        <v>0</v>
      </c>
      <c r="AJ148" s="529" t="str">
        <v/>
      </c>
      <c r="AK148" s="529" t="str">
        <v/>
      </c>
      <c r="AL148" s="529" t="str">
        <v/>
      </c>
      <c r="AM148" s="529" t="str">
        <v/>
      </c>
      <c r="AN148" s="529" t="str">
        <v/>
      </c>
      <c r="AO148" s="529" t="str">
        <v/>
      </c>
      <c r="AP148" s="529" t="str">
        <v/>
      </c>
      <c r="AQ148" s="529" t="str">
        <v/>
      </c>
      <c r="AR148" s="529">
        <v>0</v>
      </c>
      <c r="AS148" s="529">
        <v>0</v>
      </c>
      <c r="AT148" s="529">
        <f t="shared" si="45"/>
        <v>0</v>
      </c>
      <c r="AU148" s="529">
        <v>0</v>
      </c>
      <c r="AV148" s="529">
        <f t="shared" si="46"/>
        <v>0</v>
      </c>
      <c r="AW148" s="529">
        <f t="shared" si="47"/>
        <v>0</v>
      </c>
      <c r="AX148" s="529">
        <v>0</v>
      </c>
      <c r="AY148" s="529">
        <v>0</v>
      </c>
      <c r="AZ148" s="761">
        <f t="shared" si="36"/>
        <v>0</v>
      </c>
      <c r="BA148" s="761">
        <f t="shared" si="37"/>
        <v>0</v>
      </c>
      <c r="BB148" s="761">
        <f t="shared" si="38"/>
        <v>0</v>
      </c>
      <c r="BC148" s="761">
        <f t="shared" si="39"/>
        <v>0</v>
      </c>
      <c r="BD148" s="761">
        <f t="shared" si="40"/>
        <v>0</v>
      </c>
      <c r="BE148" s="761">
        <f t="shared" si="41"/>
        <v>0</v>
      </c>
      <c r="BF148" s="761">
        <f t="shared" si="42"/>
        <v>0</v>
      </c>
      <c r="BG148" s="761">
        <f t="shared" si="43"/>
        <v>0</v>
      </c>
      <c r="BH148" s="777">
        <v>0</v>
      </c>
      <c r="BI148" s="755"/>
      <c r="BJ148" s="778">
        <f>IF(X149=0,0,           IF(ISNUMBER(BI148),BI148,               IF(ISTEXT(BI148),INDEX(AZ148:BG148,MATCH(BI148,$AZ$12:$BG$12,0)),             IF(BH148="INT",_xll.qInterp(X149,AB148:AI148,AZ148:BG148),            INDEX(AZ148:BG148,MATCH(BH148,$AZ$12:$BG$12,0))))))</f>
        <v>0</v>
      </c>
      <c r="BK148" s="408">
        <f t="shared" si="48"/>
        <v>0</v>
      </c>
      <c r="BL148" s="414">
        <f t="shared" si="49"/>
        <v>0</v>
      </c>
      <c r="BM148" s="408">
        <f t="shared" si="50"/>
        <v>0</v>
      </c>
    </row>
    <row r="149" spans="16:65">
      <c r="P149" s="779">
        <v>0</v>
      </c>
      <c r="Q149" s="780">
        <f t="shared" si="34"/>
        <v>0</v>
      </c>
      <c r="R149" s="776">
        <f>IF(P150,_xll.qDateYears(P149,P150,DCCfixed),0)</f>
        <v>0</v>
      </c>
      <c r="S149" s="553">
        <v>0</v>
      </c>
      <c r="T149" s="785"/>
      <c r="U149" s="409">
        <f t="shared" si="44"/>
        <v>0</v>
      </c>
      <c r="X149" s="363">
        <v>0</v>
      </c>
      <c r="Y149" s="775">
        <f t="shared" si="35"/>
        <v>0</v>
      </c>
      <c r="Z149" s="776">
        <f>IF(X150,_xll.qDateYears(X149,X150,DCCfloat),0)</f>
        <v>0</v>
      </c>
      <c r="AA149" s="553">
        <v>0</v>
      </c>
      <c r="AB149" s="789">
        <f>IF($X149=0,0,      _xll.qDateNext($X149,AB$12,"M",FRM&lt;&gt;"Calypso",CCY))</f>
        <v>0</v>
      </c>
      <c r="AC149" s="789">
        <f>IF($X149=0,0,      _xll.qDateNext($X149,AC$12,"M",FRM&lt;&gt;"Calypso",CCY))</f>
        <v>0</v>
      </c>
      <c r="AD149" s="789">
        <f>IF($X149=0,0,      _xll.qDateNext($X149,AD$12,"M",FRM&lt;&gt;"Calypso",CCY))</f>
        <v>0</v>
      </c>
      <c r="AE149" s="789">
        <f>IF($X149=0,0,      _xll.qDateNext($X149,AE$12,"M",FRM&lt;&gt;"Calypso",CCY))</f>
        <v>0</v>
      </c>
      <c r="AF149" s="789">
        <f>IF($X149=0,0,      _xll.qDateNext($X149,AF$12,"M",FRM&lt;&gt;"Calypso",CCY))</f>
        <v>0</v>
      </c>
      <c r="AG149" s="789">
        <f>IF($X149=0,0,      _xll.qDateNext($X149,AG$12,"M",FRM&lt;&gt;"Calypso",CCY))</f>
        <v>0</v>
      </c>
      <c r="AH149" s="789">
        <f>IF($X149=0,0,      _xll.qDateNext($X149,AH$12,"M",FRM&lt;&gt;"Calypso",CCY))</f>
        <v>0</v>
      </c>
      <c r="AI149" s="789">
        <f>IF($X149=0,0,      _xll.qDateNext($X149,AI$12,"M",FRM&lt;&gt;"Calypso",CCY))</f>
        <v>0</v>
      </c>
      <c r="AJ149" s="529" t="str">
        <v/>
      </c>
      <c r="AK149" s="529" t="str">
        <v/>
      </c>
      <c r="AL149" s="529" t="str">
        <v/>
      </c>
      <c r="AM149" s="529" t="str">
        <v/>
      </c>
      <c r="AN149" s="529" t="str">
        <v/>
      </c>
      <c r="AO149" s="529" t="str">
        <v/>
      </c>
      <c r="AP149" s="529" t="str">
        <v/>
      </c>
      <c r="AQ149" s="529" t="str">
        <v/>
      </c>
      <c r="AR149" s="529">
        <v>0</v>
      </c>
      <c r="AS149" s="529">
        <v>0</v>
      </c>
      <c r="AT149" s="529">
        <f t="shared" si="45"/>
        <v>0</v>
      </c>
      <c r="AU149" s="529">
        <v>0</v>
      </c>
      <c r="AV149" s="529">
        <f t="shared" si="46"/>
        <v>0</v>
      </c>
      <c r="AW149" s="529">
        <f t="shared" si="47"/>
        <v>0</v>
      </c>
      <c r="AX149" s="529">
        <v>0</v>
      </c>
      <c r="AY149" s="529">
        <v>0</v>
      </c>
      <c r="AZ149" s="761">
        <f t="shared" si="36"/>
        <v>0</v>
      </c>
      <c r="BA149" s="761">
        <f t="shared" si="37"/>
        <v>0</v>
      </c>
      <c r="BB149" s="761">
        <f t="shared" si="38"/>
        <v>0</v>
      </c>
      <c r="BC149" s="761">
        <f t="shared" si="39"/>
        <v>0</v>
      </c>
      <c r="BD149" s="761">
        <f t="shared" si="40"/>
        <v>0</v>
      </c>
      <c r="BE149" s="761">
        <f t="shared" si="41"/>
        <v>0</v>
      </c>
      <c r="BF149" s="761">
        <f t="shared" si="42"/>
        <v>0</v>
      </c>
      <c r="BG149" s="761">
        <f t="shared" si="43"/>
        <v>0</v>
      </c>
      <c r="BH149" s="777">
        <v>0</v>
      </c>
      <c r="BI149" s="755"/>
      <c r="BJ149" s="778">
        <f>IF(X150=0,0,           IF(ISNUMBER(BI149),BI149,               IF(ISTEXT(BI149),INDEX(AZ149:BG149,MATCH(BI149,$AZ$12:$BG$12,0)),             IF(BH149="INT",_xll.qInterp(X150,AB149:AI149,AZ149:BG149),            INDEX(AZ149:BG149,MATCH(BH149,$AZ$12:$BG$12,0))))))</f>
        <v>0</v>
      </c>
      <c r="BK149" s="408">
        <f t="shared" si="48"/>
        <v>0</v>
      </c>
      <c r="BL149" s="414">
        <f t="shared" si="49"/>
        <v>0</v>
      </c>
      <c r="BM149" s="408">
        <f t="shared" si="50"/>
        <v>0</v>
      </c>
    </row>
    <row r="150" spans="16:65">
      <c r="P150" s="779">
        <v>0</v>
      </c>
      <c r="Q150" s="780">
        <f t="shared" si="34"/>
        <v>0</v>
      </c>
      <c r="R150" s="776">
        <f>IF(P151,_xll.qDateYears(P150,P151,DCCfixed),0)</f>
        <v>0</v>
      </c>
      <c r="S150" s="553">
        <v>0</v>
      </c>
      <c r="T150" s="785"/>
      <c r="U150" s="409">
        <f t="shared" si="44"/>
        <v>0</v>
      </c>
      <c r="X150" s="363">
        <v>0</v>
      </c>
      <c r="Y150" s="775">
        <f t="shared" si="35"/>
        <v>0</v>
      </c>
      <c r="Z150" s="776">
        <f>IF(X151,_xll.qDateYears(X150,X151,DCCfloat),0)</f>
        <v>0</v>
      </c>
      <c r="AA150" s="553">
        <v>0</v>
      </c>
      <c r="AB150" s="789">
        <f>IF($X150=0,0,      _xll.qDateNext($X150,AB$12,"M",FRM&lt;&gt;"Calypso",CCY))</f>
        <v>0</v>
      </c>
      <c r="AC150" s="789">
        <f>IF($X150=0,0,      _xll.qDateNext($X150,AC$12,"M",FRM&lt;&gt;"Calypso",CCY))</f>
        <v>0</v>
      </c>
      <c r="AD150" s="789">
        <f>IF($X150=0,0,      _xll.qDateNext($X150,AD$12,"M",FRM&lt;&gt;"Calypso",CCY))</f>
        <v>0</v>
      </c>
      <c r="AE150" s="789">
        <f>IF($X150=0,0,      _xll.qDateNext($X150,AE$12,"M",FRM&lt;&gt;"Calypso",CCY))</f>
        <v>0</v>
      </c>
      <c r="AF150" s="789">
        <f>IF($X150=0,0,      _xll.qDateNext($X150,AF$12,"M",FRM&lt;&gt;"Calypso",CCY))</f>
        <v>0</v>
      </c>
      <c r="AG150" s="789">
        <f>IF($X150=0,0,      _xll.qDateNext($X150,AG$12,"M",FRM&lt;&gt;"Calypso",CCY))</f>
        <v>0</v>
      </c>
      <c r="AH150" s="789">
        <f>IF($X150=0,0,      _xll.qDateNext($X150,AH$12,"M",FRM&lt;&gt;"Calypso",CCY))</f>
        <v>0</v>
      </c>
      <c r="AI150" s="789">
        <f>IF($X150=0,0,      _xll.qDateNext($X150,AI$12,"M",FRM&lt;&gt;"Calypso",CCY))</f>
        <v>0</v>
      </c>
      <c r="AJ150" s="529" t="str">
        <v/>
      </c>
      <c r="AK150" s="529" t="str">
        <v/>
      </c>
      <c r="AL150" s="529" t="str">
        <v/>
      </c>
      <c r="AM150" s="529" t="str">
        <v/>
      </c>
      <c r="AN150" s="529" t="str">
        <v/>
      </c>
      <c r="AO150" s="529" t="str">
        <v/>
      </c>
      <c r="AP150" s="529" t="str">
        <v/>
      </c>
      <c r="AQ150" s="529" t="str">
        <v/>
      </c>
      <c r="AR150" s="529">
        <v>0</v>
      </c>
      <c r="AS150" s="529">
        <v>0</v>
      </c>
      <c r="AT150" s="529">
        <f t="shared" si="45"/>
        <v>0</v>
      </c>
      <c r="AU150" s="529">
        <v>0</v>
      </c>
      <c r="AV150" s="529">
        <f t="shared" si="46"/>
        <v>0</v>
      </c>
      <c r="AW150" s="529">
        <f t="shared" si="47"/>
        <v>0</v>
      </c>
      <c r="AX150" s="529">
        <v>0</v>
      </c>
      <c r="AY150" s="529">
        <v>0</v>
      </c>
      <c r="AZ150" s="761">
        <f t="shared" si="36"/>
        <v>0</v>
      </c>
      <c r="BA150" s="761">
        <f t="shared" si="37"/>
        <v>0</v>
      </c>
      <c r="BB150" s="761">
        <f t="shared" si="38"/>
        <v>0</v>
      </c>
      <c r="BC150" s="761">
        <f t="shared" si="39"/>
        <v>0</v>
      </c>
      <c r="BD150" s="761">
        <f t="shared" si="40"/>
        <v>0</v>
      </c>
      <c r="BE150" s="761">
        <f t="shared" si="41"/>
        <v>0</v>
      </c>
      <c r="BF150" s="761">
        <f t="shared" si="42"/>
        <v>0</v>
      </c>
      <c r="BG150" s="761">
        <f t="shared" si="43"/>
        <v>0</v>
      </c>
      <c r="BH150" s="777">
        <v>0</v>
      </c>
      <c r="BI150" s="755"/>
      <c r="BJ150" s="778">
        <f>IF(X151=0,0,           IF(ISNUMBER(BI150),BI150,               IF(ISTEXT(BI150),INDEX(AZ150:BG150,MATCH(BI150,$AZ$12:$BG$12,0)),             IF(BH150="INT",_xll.qInterp(X151,AB150:AI150,AZ150:BG150),            INDEX(AZ150:BG150,MATCH(BH150,$AZ$12:$BG$12,0))))))</f>
        <v>0</v>
      </c>
      <c r="BK150" s="408">
        <f t="shared" si="48"/>
        <v>0</v>
      </c>
      <c r="BL150" s="414">
        <f t="shared" si="49"/>
        <v>0</v>
      </c>
      <c r="BM150" s="408">
        <f t="shared" si="50"/>
        <v>0</v>
      </c>
    </row>
    <row r="151" spans="16:65">
      <c r="P151" s="779">
        <v>0</v>
      </c>
      <c r="Q151" s="780">
        <f t="shared" si="34"/>
        <v>0</v>
      </c>
      <c r="R151" s="776">
        <f>IF(P152,_xll.qDateYears(P151,P152,DCCfixed),0)</f>
        <v>0</v>
      </c>
      <c r="S151" s="553">
        <v>0</v>
      </c>
      <c r="T151" s="785"/>
      <c r="U151" s="409">
        <f t="shared" si="44"/>
        <v>0</v>
      </c>
      <c r="X151" s="363">
        <v>0</v>
      </c>
      <c r="Y151" s="775">
        <f t="shared" si="35"/>
        <v>0</v>
      </c>
      <c r="Z151" s="776">
        <f>IF(X152,_xll.qDateYears(X151,X152,DCCfloat),0)</f>
        <v>0</v>
      </c>
      <c r="AA151" s="553">
        <v>0</v>
      </c>
      <c r="AB151" s="789">
        <f>IF($X151=0,0,      _xll.qDateNext($X151,AB$12,"M",FRM&lt;&gt;"Calypso",CCY))</f>
        <v>0</v>
      </c>
      <c r="AC151" s="789">
        <f>IF($X151=0,0,      _xll.qDateNext($X151,AC$12,"M",FRM&lt;&gt;"Calypso",CCY))</f>
        <v>0</v>
      </c>
      <c r="AD151" s="789">
        <f>IF($X151=0,0,      _xll.qDateNext($X151,AD$12,"M",FRM&lt;&gt;"Calypso",CCY))</f>
        <v>0</v>
      </c>
      <c r="AE151" s="789">
        <f>IF($X151=0,0,      _xll.qDateNext($X151,AE$12,"M",FRM&lt;&gt;"Calypso",CCY))</f>
        <v>0</v>
      </c>
      <c r="AF151" s="789">
        <f>IF($X151=0,0,      _xll.qDateNext($X151,AF$12,"M",FRM&lt;&gt;"Calypso",CCY))</f>
        <v>0</v>
      </c>
      <c r="AG151" s="789">
        <f>IF($X151=0,0,      _xll.qDateNext($X151,AG$12,"M",FRM&lt;&gt;"Calypso",CCY))</f>
        <v>0</v>
      </c>
      <c r="AH151" s="789">
        <f>IF($X151=0,0,      _xll.qDateNext($X151,AH$12,"M",FRM&lt;&gt;"Calypso",CCY))</f>
        <v>0</v>
      </c>
      <c r="AI151" s="789">
        <f>IF($X151=0,0,      _xll.qDateNext($X151,AI$12,"M",FRM&lt;&gt;"Calypso",CCY))</f>
        <v>0</v>
      </c>
      <c r="AJ151" s="529" t="str">
        <v/>
      </c>
      <c r="AK151" s="529" t="str">
        <v/>
      </c>
      <c r="AL151" s="529" t="str">
        <v/>
      </c>
      <c r="AM151" s="529" t="str">
        <v/>
      </c>
      <c r="AN151" s="529" t="str">
        <v/>
      </c>
      <c r="AO151" s="529" t="str">
        <v/>
      </c>
      <c r="AP151" s="529" t="str">
        <v/>
      </c>
      <c r="AQ151" s="529" t="str">
        <v/>
      </c>
      <c r="AR151" s="529">
        <v>0</v>
      </c>
      <c r="AS151" s="529">
        <v>0</v>
      </c>
      <c r="AT151" s="529">
        <f t="shared" si="45"/>
        <v>0</v>
      </c>
      <c r="AU151" s="529">
        <v>0</v>
      </c>
      <c r="AV151" s="529">
        <f t="shared" si="46"/>
        <v>0</v>
      </c>
      <c r="AW151" s="529">
        <f t="shared" si="47"/>
        <v>0</v>
      </c>
      <c r="AX151" s="529">
        <v>0</v>
      </c>
      <c r="AY151" s="529">
        <v>0</v>
      </c>
      <c r="AZ151" s="761">
        <f t="shared" si="36"/>
        <v>0</v>
      </c>
      <c r="BA151" s="761">
        <f t="shared" si="37"/>
        <v>0</v>
      </c>
      <c r="BB151" s="761">
        <f t="shared" si="38"/>
        <v>0</v>
      </c>
      <c r="BC151" s="761">
        <f t="shared" si="39"/>
        <v>0</v>
      </c>
      <c r="BD151" s="761">
        <f t="shared" si="40"/>
        <v>0</v>
      </c>
      <c r="BE151" s="761">
        <f t="shared" si="41"/>
        <v>0</v>
      </c>
      <c r="BF151" s="761">
        <f t="shared" si="42"/>
        <v>0</v>
      </c>
      <c r="BG151" s="761">
        <f t="shared" si="43"/>
        <v>0</v>
      </c>
      <c r="BH151" s="777">
        <v>0</v>
      </c>
      <c r="BI151" s="755"/>
      <c r="BJ151" s="778">
        <f>IF(X152=0,0,           IF(ISNUMBER(BI151),BI151,               IF(ISTEXT(BI151),INDEX(AZ151:BG151,MATCH(BI151,$AZ$12:$BG$12,0)),             IF(BH151="INT",_xll.qInterp(X152,AB151:AI151,AZ151:BG151),            INDEX(AZ151:BG151,MATCH(BH151,$AZ$12:$BG$12,0))))))</f>
        <v>0</v>
      </c>
      <c r="BK151" s="408">
        <f t="shared" si="48"/>
        <v>0</v>
      </c>
      <c r="BL151" s="414">
        <f t="shared" si="49"/>
        <v>0</v>
      </c>
      <c r="BM151" s="408">
        <f t="shared" si="50"/>
        <v>0</v>
      </c>
    </row>
    <row r="152" spans="16:65">
      <c r="P152" s="779">
        <v>0</v>
      </c>
      <c r="Q152" s="780">
        <f t="shared" si="34"/>
        <v>0</v>
      </c>
      <c r="R152" s="776">
        <f>IF(P153,_xll.qDateYears(P152,P153,DCCfixed),0)</f>
        <v>0</v>
      </c>
      <c r="S152" s="553">
        <v>0</v>
      </c>
      <c r="T152" s="785"/>
      <c r="U152" s="409">
        <f t="shared" si="44"/>
        <v>0</v>
      </c>
      <c r="X152" s="363">
        <v>0</v>
      </c>
      <c r="Y152" s="775">
        <f t="shared" si="35"/>
        <v>0</v>
      </c>
      <c r="Z152" s="776">
        <f>IF(X153,_xll.qDateYears(X152,X153,DCCfloat),0)</f>
        <v>0</v>
      </c>
      <c r="AA152" s="553">
        <v>0</v>
      </c>
      <c r="AB152" s="789">
        <f>IF($X152=0,0,      _xll.qDateNext($X152,AB$12,"M",FRM&lt;&gt;"Calypso",CCY))</f>
        <v>0</v>
      </c>
      <c r="AC152" s="789">
        <f>IF($X152=0,0,      _xll.qDateNext($X152,AC$12,"M",FRM&lt;&gt;"Calypso",CCY))</f>
        <v>0</v>
      </c>
      <c r="AD152" s="789">
        <f>IF($X152=0,0,      _xll.qDateNext($X152,AD$12,"M",FRM&lt;&gt;"Calypso",CCY))</f>
        <v>0</v>
      </c>
      <c r="AE152" s="789">
        <f>IF($X152=0,0,      _xll.qDateNext($X152,AE$12,"M",FRM&lt;&gt;"Calypso",CCY))</f>
        <v>0</v>
      </c>
      <c r="AF152" s="789">
        <f>IF($X152=0,0,      _xll.qDateNext($X152,AF$12,"M",FRM&lt;&gt;"Calypso",CCY))</f>
        <v>0</v>
      </c>
      <c r="AG152" s="789">
        <f>IF($X152=0,0,      _xll.qDateNext($X152,AG$12,"M",FRM&lt;&gt;"Calypso",CCY))</f>
        <v>0</v>
      </c>
      <c r="AH152" s="789">
        <f>IF($X152=0,0,      _xll.qDateNext($X152,AH$12,"M",FRM&lt;&gt;"Calypso",CCY))</f>
        <v>0</v>
      </c>
      <c r="AI152" s="789">
        <f>IF($X152=0,0,      _xll.qDateNext($X152,AI$12,"M",FRM&lt;&gt;"Calypso",CCY))</f>
        <v>0</v>
      </c>
      <c r="AJ152" s="529" t="str">
        <v/>
      </c>
      <c r="AK152" s="529" t="str">
        <v/>
      </c>
      <c r="AL152" s="529" t="str">
        <v/>
      </c>
      <c r="AM152" s="529" t="str">
        <v/>
      </c>
      <c r="AN152" s="529" t="str">
        <v/>
      </c>
      <c r="AO152" s="529" t="str">
        <v/>
      </c>
      <c r="AP152" s="529" t="str">
        <v/>
      </c>
      <c r="AQ152" s="529" t="str">
        <v/>
      </c>
      <c r="AR152" s="529">
        <v>0</v>
      </c>
      <c r="AS152" s="529">
        <v>0</v>
      </c>
      <c r="AT152" s="529">
        <f t="shared" si="45"/>
        <v>0</v>
      </c>
      <c r="AU152" s="529">
        <v>0</v>
      </c>
      <c r="AV152" s="529">
        <f t="shared" si="46"/>
        <v>0</v>
      </c>
      <c r="AW152" s="529">
        <f t="shared" si="47"/>
        <v>0</v>
      </c>
      <c r="AX152" s="529">
        <v>0</v>
      </c>
      <c r="AY152" s="529">
        <v>0</v>
      </c>
      <c r="AZ152" s="761">
        <f t="shared" si="36"/>
        <v>0</v>
      </c>
      <c r="BA152" s="761">
        <f t="shared" si="37"/>
        <v>0</v>
      </c>
      <c r="BB152" s="761">
        <f t="shared" si="38"/>
        <v>0</v>
      </c>
      <c r="BC152" s="761">
        <f t="shared" si="39"/>
        <v>0</v>
      </c>
      <c r="BD152" s="761">
        <f t="shared" si="40"/>
        <v>0</v>
      </c>
      <c r="BE152" s="761">
        <f t="shared" si="41"/>
        <v>0</v>
      </c>
      <c r="BF152" s="761">
        <f t="shared" si="42"/>
        <v>0</v>
      </c>
      <c r="BG152" s="761">
        <f t="shared" si="43"/>
        <v>0</v>
      </c>
      <c r="BH152" s="777">
        <v>0</v>
      </c>
      <c r="BI152" s="755"/>
      <c r="BJ152" s="778">
        <f>IF(X153=0,0,           IF(ISNUMBER(BI152),BI152,               IF(ISTEXT(BI152),INDEX(AZ152:BG152,MATCH(BI152,$AZ$12:$BG$12,0)),             IF(BH152="INT",_xll.qInterp(X153,AB152:AI152,AZ152:BG152),            INDEX(AZ152:BG152,MATCH(BH152,$AZ$12:$BG$12,0))))))</f>
        <v>0</v>
      </c>
      <c r="BK152" s="408">
        <f t="shared" si="48"/>
        <v>0</v>
      </c>
      <c r="BL152" s="414">
        <f t="shared" si="49"/>
        <v>0</v>
      </c>
      <c r="BM152" s="408">
        <f t="shared" si="50"/>
        <v>0</v>
      </c>
    </row>
    <row r="153" spans="16:65">
      <c r="P153" s="779">
        <v>0</v>
      </c>
      <c r="Q153" s="780">
        <f t="shared" si="34"/>
        <v>0</v>
      </c>
      <c r="R153" s="776">
        <f>IF(P154,_xll.qDateYears(P153,P154,DCCfixed),0)</f>
        <v>0</v>
      </c>
      <c r="S153" s="553">
        <v>0</v>
      </c>
      <c r="T153" s="785"/>
      <c r="U153" s="409">
        <f t="shared" si="44"/>
        <v>0</v>
      </c>
      <c r="X153" s="363">
        <v>0</v>
      </c>
      <c r="Y153" s="775">
        <f t="shared" si="35"/>
        <v>0</v>
      </c>
      <c r="Z153" s="776">
        <f>IF(X154,_xll.qDateYears(X153,X154,DCCfloat),0)</f>
        <v>0</v>
      </c>
      <c r="AA153" s="553">
        <v>0</v>
      </c>
      <c r="AB153" s="789">
        <f>IF($X153=0,0,      _xll.qDateNext($X153,AB$12,"M",FRM&lt;&gt;"Calypso",CCY))</f>
        <v>0</v>
      </c>
      <c r="AC153" s="789">
        <f>IF($X153=0,0,      _xll.qDateNext($X153,AC$12,"M",FRM&lt;&gt;"Calypso",CCY))</f>
        <v>0</v>
      </c>
      <c r="AD153" s="789">
        <f>IF($X153=0,0,      _xll.qDateNext($X153,AD$12,"M",FRM&lt;&gt;"Calypso",CCY))</f>
        <v>0</v>
      </c>
      <c r="AE153" s="789">
        <f>IF($X153=0,0,      _xll.qDateNext($X153,AE$12,"M",FRM&lt;&gt;"Calypso",CCY))</f>
        <v>0</v>
      </c>
      <c r="AF153" s="789">
        <f>IF($X153=0,0,      _xll.qDateNext($X153,AF$12,"M",FRM&lt;&gt;"Calypso",CCY))</f>
        <v>0</v>
      </c>
      <c r="AG153" s="789">
        <f>IF($X153=0,0,      _xll.qDateNext($X153,AG$12,"M",FRM&lt;&gt;"Calypso",CCY))</f>
        <v>0</v>
      </c>
      <c r="AH153" s="789">
        <f>IF($X153=0,0,      _xll.qDateNext($X153,AH$12,"M",FRM&lt;&gt;"Calypso",CCY))</f>
        <v>0</v>
      </c>
      <c r="AI153" s="789">
        <f>IF($X153=0,0,      _xll.qDateNext($X153,AI$12,"M",FRM&lt;&gt;"Calypso",CCY))</f>
        <v>0</v>
      </c>
      <c r="AJ153" s="529" t="str">
        <v/>
      </c>
      <c r="AK153" s="529" t="str">
        <v/>
      </c>
      <c r="AL153" s="529" t="str">
        <v/>
      </c>
      <c r="AM153" s="529" t="str">
        <v/>
      </c>
      <c r="AN153" s="529" t="str">
        <v/>
      </c>
      <c r="AO153" s="529" t="str">
        <v/>
      </c>
      <c r="AP153" s="529" t="str">
        <v/>
      </c>
      <c r="AQ153" s="529" t="str">
        <v/>
      </c>
      <c r="AR153" s="529">
        <v>0</v>
      </c>
      <c r="AS153" s="529">
        <v>0</v>
      </c>
      <c r="AT153" s="529">
        <f t="shared" si="45"/>
        <v>0</v>
      </c>
      <c r="AU153" s="529">
        <v>0</v>
      </c>
      <c r="AV153" s="529">
        <f t="shared" si="46"/>
        <v>0</v>
      </c>
      <c r="AW153" s="529">
        <f t="shared" si="47"/>
        <v>0</v>
      </c>
      <c r="AX153" s="529">
        <v>0</v>
      </c>
      <c r="AY153" s="529">
        <v>0</v>
      </c>
      <c r="AZ153" s="761">
        <f t="shared" si="36"/>
        <v>0</v>
      </c>
      <c r="BA153" s="761">
        <f t="shared" si="37"/>
        <v>0</v>
      </c>
      <c r="BB153" s="761">
        <f t="shared" si="38"/>
        <v>0</v>
      </c>
      <c r="BC153" s="761">
        <f t="shared" si="39"/>
        <v>0</v>
      </c>
      <c r="BD153" s="761">
        <f t="shared" si="40"/>
        <v>0</v>
      </c>
      <c r="BE153" s="761">
        <f t="shared" si="41"/>
        <v>0</v>
      </c>
      <c r="BF153" s="761">
        <f t="shared" si="42"/>
        <v>0</v>
      </c>
      <c r="BG153" s="761">
        <f t="shared" si="43"/>
        <v>0</v>
      </c>
      <c r="BH153" s="777">
        <v>0</v>
      </c>
      <c r="BI153" s="755"/>
      <c r="BJ153" s="778">
        <f>IF(X154=0,0,           IF(ISNUMBER(BI153),BI153,               IF(ISTEXT(BI153),INDEX(AZ153:BG153,MATCH(BI153,$AZ$12:$BG$12,0)),             IF(BH153="INT",_xll.qInterp(X154,AB153:AI153,AZ153:BG153),            INDEX(AZ153:BG153,MATCH(BH153,$AZ$12:$BG$12,0))))))</f>
        <v>0</v>
      </c>
      <c r="BK153" s="408">
        <f t="shared" si="48"/>
        <v>0</v>
      </c>
      <c r="BL153" s="414">
        <f t="shared" si="49"/>
        <v>0</v>
      </c>
      <c r="BM153" s="408">
        <f t="shared" si="50"/>
        <v>0</v>
      </c>
    </row>
    <row r="154" spans="16:65">
      <c r="P154" s="779">
        <v>0</v>
      </c>
      <c r="Q154" s="780">
        <f t="shared" si="34"/>
        <v>0</v>
      </c>
      <c r="R154" s="776">
        <f>IF(P155,_xll.qDateYears(P154,P155,DCCfixed),0)</f>
        <v>0</v>
      </c>
      <c r="S154" s="553">
        <v>0</v>
      </c>
      <c r="T154" s="785"/>
      <c r="U154" s="409">
        <f t="shared" si="44"/>
        <v>0</v>
      </c>
      <c r="X154" s="363">
        <v>0</v>
      </c>
      <c r="Y154" s="775">
        <f t="shared" si="35"/>
        <v>0</v>
      </c>
      <c r="Z154" s="776">
        <f>IF(X155,_xll.qDateYears(X154,X155,DCCfloat),0)</f>
        <v>0</v>
      </c>
      <c r="AA154" s="553">
        <v>0</v>
      </c>
      <c r="AB154" s="789">
        <f>IF($X154=0,0,      _xll.qDateNext($X154,AB$12,"M",FRM&lt;&gt;"Calypso",CCY))</f>
        <v>0</v>
      </c>
      <c r="AC154" s="789">
        <f>IF($X154=0,0,      _xll.qDateNext($X154,AC$12,"M",FRM&lt;&gt;"Calypso",CCY))</f>
        <v>0</v>
      </c>
      <c r="AD154" s="789">
        <f>IF($X154=0,0,      _xll.qDateNext($X154,AD$12,"M",FRM&lt;&gt;"Calypso",CCY))</f>
        <v>0</v>
      </c>
      <c r="AE154" s="789">
        <f>IF($X154=0,0,      _xll.qDateNext($X154,AE$12,"M",FRM&lt;&gt;"Calypso",CCY))</f>
        <v>0</v>
      </c>
      <c r="AF154" s="789">
        <f>IF($X154=0,0,      _xll.qDateNext($X154,AF$12,"M",FRM&lt;&gt;"Calypso",CCY))</f>
        <v>0</v>
      </c>
      <c r="AG154" s="789">
        <f>IF($X154=0,0,      _xll.qDateNext($X154,AG$12,"M",FRM&lt;&gt;"Calypso",CCY))</f>
        <v>0</v>
      </c>
      <c r="AH154" s="789">
        <f>IF($X154=0,0,      _xll.qDateNext($X154,AH$12,"M",FRM&lt;&gt;"Calypso",CCY))</f>
        <v>0</v>
      </c>
      <c r="AI154" s="789">
        <f>IF($X154=0,0,      _xll.qDateNext($X154,AI$12,"M",FRM&lt;&gt;"Calypso",CCY))</f>
        <v>0</v>
      </c>
      <c r="AJ154" s="529" t="str">
        <v/>
      </c>
      <c r="AK154" s="529" t="str">
        <v/>
      </c>
      <c r="AL154" s="529" t="str">
        <v/>
      </c>
      <c r="AM154" s="529" t="str">
        <v/>
      </c>
      <c r="AN154" s="529" t="str">
        <v/>
      </c>
      <c r="AO154" s="529" t="str">
        <v/>
      </c>
      <c r="AP154" s="529" t="str">
        <v/>
      </c>
      <c r="AQ154" s="529" t="str">
        <v/>
      </c>
      <c r="AR154" s="529">
        <v>0</v>
      </c>
      <c r="AS154" s="529">
        <v>0</v>
      </c>
      <c r="AT154" s="529">
        <f t="shared" si="45"/>
        <v>0</v>
      </c>
      <c r="AU154" s="529">
        <v>0</v>
      </c>
      <c r="AV154" s="529">
        <f t="shared" si="46"/>
        <v>0</v>
      </c>
      <c r="AW154" s="529">
        <f t="shared" si="47"/>
        <v>0</v>
      </c>
      <c r="AX154" s="529">
        <v>0</v>
      </c>
      <c r="AY154" s="529">
        <v>0</v>
      </c>
      <c r="AZ154" s="761">
        <f t="shared" si="36"/>
        <v>0</v>
      </c>
      <c r="BA154" s="761">
        <f t="shared" si="37"/>
        <v>0</v>
      </c>
      <c r="BB154" s="761">
        <f t="shared" si="38"/>
        <v>0</v>
      </c>
      <c r="BC154" s="761">
        <f t="shared" si="39"/>
        <v>0</v>
      </c>
      <c r="BD154" s="761">
        <f t="shared" si="40"/>
        <v>0</v>
      </c>
      <c r="BE154" s="761">
        <f t="shared" si="41"/>
        <v>0</v>
      </c>
      <c r="BF154" s="761">
        <f t="shared" si="42"/>
        <v>0</v>
      </c>
      <c r="BG154" s="761">
        <f t="shared" si="43"/>
        <v>0</v>
      </c>
      <c r="BH154" s="777">
        <v>0</v>
      </c>
      <c r="BI154" s="755"/>
      <c r="BJ154" s="778">
        <f>IF(X155=0,0,           IF(ISNUMBER(BI154),BI154,               IF(ISTEXT(BI154),INDEX(AZ154:BG154,MATCH(BI154,$AZ$12:$BG$12,0)),             IF(BH154="INT",_xll.qInterp(X155,AB154:AI154,AZ154:BG154),            INDEX(AZ154:BG154,MATCH(BH154,$AZ$12:$BG$12,0))))))</f>
        <v>0</v>
      </c>
      <c r="BK154" s="408">
        <f t="shared" si="48"/>
        <v>0</v>
      </c>
      <c r="BL154" s="414">
        <f t="shared" si="49"/>
        <v>0</v>
      </c>
      <c r="BM154" s="408">
        <f t="shared" si="50"/>
        <v>0</v>
      </c>
    </row>
    <row r="155" spans="16:65">
      <c r="P155" s="779">
        <v>0</v>
      </c>
      <c r="Q155" s="780">
        <f t="shared" si="34"/>
        <v>0</v>
      </c>
      <c r="R155" s="776">
        <f>IF(P156,_xll.qDateYears(P155,P156,DCCfixed),0)</f>
        <v>0</v>
      </c>
      <c r="S155" s="553">
        <v>0</v>
      </c>
      <c r="T155" s="785"/>
      <c r="U155" s="409">
        <f t="shared" si="44"/>
        <v>0</v>
      </c>
      <c r="X155" s="363">
        <v>0</v>
      </c>
      <c r="Y155" s="775">
        <f t="shared" si="35"/>
        <v>0</v>
      </c>
      <c r="Z155" s="776">
        <f>IF(X156,_xll.qDateYears(X155,X156,DCCfloat),0)</f>
        <v>0</v>
      </c>
      <c r="AA155" s="553">
        <v>0</v>
      </c>
      <c r="AB155" s="789">
        <f>IF($X155=0,0,      _xll.qDateNext($X155,AB$12,"M",FRM&lt;&gt;"Calypso",CCY))</f>
        <v>0</v>
      </c>
      <c r="AC155" s="789">
        <f>IF($X155=0,0,      _xll.qDateNext($X155,AC$12,"M",FRM&lt;&gt;"Calypso",CCY))</f>
        <v>0</v>
      </c>
      <c r="AD155" s="789">
        <f>IF($X155=0,0,      _xll.qDateNext($X155,AD$12,"M",FRM&lt;&gt;"Calypso",CCY))</f>
        <v>0</v>
      </c>
      <c r="AE155" s="789">
        <f>IF($X155=0,0,      _xll.qDateNext($X155,AE$12,"M",FRM&lt;&gt;"Calypso",CCY))</f>
        <v>0</v>
      </c>
      <c r="AF155" s="789">
        <f>IF($X155=0,0,      _xll.qDateNext($X155,AF$12,"M",FRM&lt;&gt;"Calypso",CCY))</f>
        <v>0</v>
      </c>
      <c r="AG155" s="789">
        <f>IF($X155=0,0,      _xll.qDateNext($X155,AG$12,"M",FRM&lt;&gt;"Calypso",CCY))</f>
        <v>0</v>
      </c>
      <c r="AH155" s="789">
        <f>IF($X155=0,0,      _xll.qDateNext($X155,AH$12,"M",FRM&lt;&gt;"Calypso",CCY))</f>
        <v>0</v>
      </c>
      <c r="AI155" s="789">
        <f>IF($X155=0,0,      _xll.qDateNext($X155,AI$12,"M",FRM&lt;&gt;"Calypso",CCY))</f>
        <v>0</v>
      </c>
      <c r="AJ155" s="529" t="str">
        <v/>
      </c>
      <c r="AK155" s="529" t="str">
        <v/>
      </c>
      <c r="AL155" s="529" t="str">
        <v/>
      </c>
      <c r="AM155" s="529" t="str">
        <v/>
      </c>
      <c r="AN155" s="529" t="str">
        <v/>
      </c>
      <c r="AO155" s="529" t="str">
        <v/>
      </c>
      <c r="AP155" s="529" t="str">
        <v/>
      </c>
      <c r="AQ155" s="529" t="str">
        <v/>
      </c>
      <c r="AR155" s="529">
        <v>0</v>
      </c>
      <c r="AS155" s="529">
        <v>0</v>
      </c>
      <c r="AT155" s="529">
        <f t="shared" si="45"/>
        <v>0</v>
      </c>
      <c r="AU155" s="529">
        <v>0</v>
      </c>
      <c r="AV155" s="529">
        <f t="shared" si="46"/>
        <v>0</v>
      </c>
      <c r="AW155" s="529">
        <f t="shared" si="47"/>
        <v>0</v>
      </c>
      <c r="AX155" s="529">
        <v>0</v>
      </c>
      <c r="AY155" s="529">
        <v>0</v>
      </c>
      <c r="AZ155" s="761">
        <f t="shared" si="36"/>
        <v>0</v>
      </c>
      <c r="BA155" s="761">
        <f t="shared" si="37"/>
        <v>0</v>
      </c>
      <c r="BB155" s="761">
        <f t="shared" si="38"/>
        <v>0</v>
      </c>
      <c r="BC155" s="761">
        <f t="shared" si="39"/>
        <v>0</v>
      </c>
      <c r="BD155" s="761">
        <f t="shared" si="40"/>
        <v>0</v>
      </c>
      <c r="BE155" s="761">
        <f t="shared" si="41"/>
        <v>0</v>
      </c>
      <c r="BF155" s="761">
        <f t="shared" si="42"/>
        <v>0</v>
      </c>
      <c r="BG155" s="761">
        <f t="shared" si="43"/>
        <v>0</v>
      </c>
      <c r="BH155" s="777">
        <v>0</v>
      </c>
      <c r="BI155" s="755"/>
      <c r="BJ155" s="778">
        <f>IF(X156=0,0,           IF(ISNUMBER(BI155),BI155,               IF(ISTEXT(BI155),INDEX(AZ155:BG155,MATCH(BI155,$AZ$12:$BG$12,0)),             IF(BH155="INT",_xll.qInterp(X156,AB155:AI155,AZ155:BG155),            INDEX(AZ155:BG155,MATCH(BH155,$AZ$12:$BG$12,0))))))</f>
        <v>0</v>
      </c>
      <c r="BK155" s="408">
        <f t="shared" si="48"/>
        <v>0</v>
      </c>
      <c r="BL155" s="414">
        <f t="shared" si="49"/>
        <v>0</v>
      </c>
      <c r="BM155" s="408">
        <f t="shared" si="50"/>
        <v>0</v>
      </c>
    </row>
    <row r="156" spans="16:65">
      <c r="P156" s="779">
        <v>0</v>
      </c>
      <c r="Q156" s="780">
        <f t="shared" si="34"/>
        <v>0</v>
      </c>
      <c r="R156" s="776">
        <f>IF(P157,_xll.qDateYears(P156,P157,DCCfixed),0)</f>
        <v>0</v>
      </c>
      <c r="S156" s="553">
        <v>0</v>
      </c>
      <c r="T156" s="785"/>
      <c r="U156" s="409">
        <f t="shared" si="44"/>
        <v>0</v>
      </c>
      <c r="X156" s="363">
        <v>0</v>
      </c>
      <c r="Y156" s="775">
        <f t="shared" si="35"/>
        <v>0</v>
      </c>
      <c r="Z156" s="776">
        <f>IF(X157,_xll.qDateYears(X156,X157,DCCfloat),0)</f>
        <v>0</v>
      </c>
      <c r="AA156" s="553">
        <v>0</v>
      </c>
      <c r="AB156" s="789">
        <f>IF($X156=0,0,      _xll.qDateNext($X156,AB$12,"M",FRM&lt;&gt;"Calypso",CCY))</f>
        <v>0</v>
      </c>
      <c r="AC156" s="789">
        <f>IF($X156=0,0,      _xll.qDateNext($X156,AC$12,"M",FRM&lt;&gt;"Calypso",CCY))</f>
        <v>0</v>
      </c>
      <c r="AD156" s="789">
        <f>IF($X156=0,0,      _xll.qDateNext($X156,AD$12,"M",FRM&lt;&gt;"Calypso",CCY))</f>
        <v>0</v>
      </c>
      <c r="AE156" s="789">
        <f>IF($X156=0,0,      _xll.qDateNext($X156,AE$12,"M",FRM&lt;&gt;"Calypso",CCY))</f>
        <v>0</v>
      </c>
      <c r="AF156" s="789">
        <f>IF($X156=0,0,      _xll.qDateNext($X156,AF$12,"M",FRM&lt;&gt;"Calypso",CCY))</f>
        <v>0</v>
      </c>
      <c r="AG156" s="789">
        <f>IF($X156=0,0,      _xll.qDateNext($X156,AG$12,"M",FRM&lt;&gt;"Calypso",CCY))</f>
        <v>0</v>
      </c>
      <c r="AH156" s="789">
        <f>IF($X156=0,0,      _xll.qDateNext($X156,AH$12,"M",FRM&lt;&gt;"Calypso",CCY))</f>
        <v>0</v>
      </c>
      <c r="AI156" s="789">
        <f>IF($X156=0,0,      _xll.qDateNext($X156,AI$12,"M",FRM&lt;&gt;"Calypso",CCY))</f>
        <v>0</v>
      </c>
      <c r="AJ156" s="529" t="str">
        <v/>
      </c>
      <c r="AK156" s="529" t="str">
        <v/>
      </c>
      <c r="AL156" s="529" t="str">
        <v/>
      </c>
      <c r="AM156" s="529" t="str">
        <v/>
      </c>
      <c r="AN156" s="529" t="str">
        <v/>
      </c>
      <c r="AO156" s="529" t="str">
        <v/>
      </c>
      <c r="AP156" s="529" t="str">
        <v/>
      </c>
      <c r="AQ156" s="529" t="str">
        <v/>
      </c>
      <c r="AR156" s="529">
        <v>0</v>
      </c>
      <c r="AS156" s="529">
        <v>0</v>
      </c>
      <c r="AT156" s="529">
        <f t="shared" si="45"/>
        <v>0</v>
      </c>
      <c r="AU156" s="529">
        <v>0</v>
      </c>
      <c r="AV156" s="529">
        <f t="shared" si="46"/>
        <v>0</v>
      </c>
      <c r="AW156" s="529">
        <f t="shared" si="47"/>
        <v>0</v>
      </c>
      <c r="AX156" s="529">
        <v>0</v>
      </c>
      <c r="AY156" s="529">
        <v>0</v>
      </c>
      <c r="AZ156" s="761">
        <f t="shared" si="36"/>
        <v>0</v>
      </c>
      <c r="BA156" s="761">
        <f t="shared" si="37"/>
        <v>0</v>
      </c>
      <c r="BB156" s="761">
        <f t="shared" si="38"/>
        <v>0</v>
      </c>
      <c r="BC156" s="761">
        <f t="shared" si="39"/>
        <v>0</v>
      </c>
      <c r="BD156" s="761">
        <f t="shared" si="40"/>
        <v>0</v>
      </c>
      <c r="BE156" s="761">
        <f t="shared" si="41"/>
        <v>0</v>
      </c>
      <c r="BF156" s="761">
        <f t="shared" si="42"/>
        <v>0</v>
      </c>
      <c r="BG156" s="761">
        <f t="shared" si="43"/>
        <v>0</v>
      </c>
      <c r="BH156" s="777">
        <v>0</v>
      </c>
      <c r="BI156" s="755"/>
      <c r="BJ156" s="778">
        <f>IF(X157=0,0,           IF(ISNUMBER(BI156),BI156,               IF(ISTEXT(BI156),INDEX(AZ156:BG156,MATCH(BI156,$AZ$12:$BG$12,0)),             IF(BH156="INT",_xll.qInterp(X157,AB156:AI156,AZ156:BG156),            INDEX(AZ156:BG156,MATCH(BH156,$AZ$12:$BG$12,0))))))</f>
        <v>0</v>
      </c>
      <c r="BK156" s="408">
        <f t="shared" si="48"/>
        <v>0</v>
      </c>
      <c r="BL156" s="414">
        <f t="shared" si="49"/>
        <v>0</v>
      </c>
      <c r="BM156" s="408">
        <f t="shared" si="50"/>
        <v>0</v>
      </c>
    </row>
    <row r="157" spans="16:65">
      <c r="P157" s="779">
        <v>0</v>
      </c>
      <c r="Q157" s="780">
        <f t="shared" si="34"/>
        <v>0</v>
      </c>
      <c r="R157" s="776">
        <f>IF(P158,_xll.qDateYears(P157,P158,DCCfixed),0)</f>
        <v>0</v>
      </c>
      <c r="S157" s="553">
        <v>0</v>
      </c>
      <c r="T157" s="785"/>
      <c r="U157" s="409">
        <f t="shared" si="44"/>
        <v>0</v>
      </c>
      <c r="X157" s="363">
        <v>0</v>
      </c>
      <c r="Y157" s="775">
        <f t="shared" si="35"/>
        <v>0</v>
      </c>
      <c r="Z157" s="776">
        <f>IF(X158,_xll.qDateYears(X157,X158,DCCfloat),0)</f>
        <v>0</v>
      </c>
      <c r="AA157" s="553">
        <v>0</v>
      </c>
      <c r="AB157" s="789">
        <f>IF($X157=0,0,      _xll.qDateNext($X157,AB$12,"M",FRM&lt;&gt;"Calypso",CCY))</f>
        <v>0</v>
      </c>
      <c r="AC157" s="789">
        <f>IF($X157=0,0,      _xll.qDateNext($X157,AC$12,"M",FRM&lt;&gt;"Calypso",CCY))</f>
        <v>0</v>
      </c>
      <c r="AD157" s="789">
        <f>IF($X157=0,0,      _xll.qDateNext($X157,AD$12,"M",FRM&lt;&gt;"Calypso",CCY))</f>
        <v>0</v>
      </c>
      <c r="AE157" s="789">
        <f>IF($X157=0,0,      _xll.qDateNext($X157,AE$12,"M",FRM&lt;&gt;"Calypso",CCY))</f>
        <v>0</v>
      </c>
      <c r="AF157" s="789">
        <f>IF($X157=0,0,      _xll.qDateNext($X157,AF$12,"M",FRM&lt;&gt;"Calypso",CCY))</f>
        <v>0</v>
      </c>
      <c r="AG157" s="789">
        <f>IF($X157=0,0,      _xll.qDateNext($X157,AG$12,"M",FRM&lt;&gt;"Calypso",CCY))</f>
        <v>0</v>
      </c>
      <c r="AH157" s="789">
        <f>IF($X157=0,0,      _xll.qDateNext($X157,AH$12,"M",FRM&lt;&gt;"Calypso",CCY))</f>
        <v>0</v>
      </c>
      <c r="AI157" s="789">
        <f>IF($X157=0,0,      _xll.qDateNext($X157,AI$12,"M",FRM&lt;&gt;"Calypso",CCY))</f>
        <v>0</v>
      </c>
      <c r="AJ157" s="529" t="str">
        <v/>
      </c>
      <c r="AK157" s="529" t="str">
        <v/>
      </c>
      <c r="AL157" s="529" t="str">
        <v/>
      </c>
      <c r="AM157" s="529" t="str">
        <v/>
      </c>
      <c r="AN157" s="529" t="str">
        <v/>
      </c>
      <c r="AO157" s="529" t="str">
        <v/>
      </c>
      <c r="AP157" s="529" t="str">
        <v/>
      </c>
      <c r="AQ157" s="529" t="str">
        <v/>
      </c>
      <c r="AR157" s="529">
        <v>0</v>
      </c>
      <c r="AS157" s="529">
        <v>0</v>
      </c>
      <c r="AT157" s="529">
        <f t="shared" si="45"/>
        <v>0</v>
      </c>
      <c r="AU157" s="529">
        <v>0</v>
      </c>
      <c r="AV157" s="529">
        <f t="shared" si="46"/>
        <v>0</v>
      </c>
      <c r="AW157" s="529">
        <f t="shared" si="47"/>
        <v>0</v>
      </c>
      <c r="AX157" s="529">
        <v>0</v>
      </c>
      <c r="AY157" s="529">
        <v>0</v>
      </c>
      <c r="AZ157" s="761">
        <f t="shared" si="36"/>
        <v>0</v>
      </c>
      <c r="BA157" s="761">
        <f t="shared" si="37"/>
        <v>0</v>
      </c>
      <c r="BB157" s="761">
        <f t="shared" si="38"/>
        <v>0</v>
      </c>
      <c r="BC157" s="761">
        <f t="shared" si="39"/>
        <v>0</v>
      </c>
      <c r="BD157" s="761">
        <f t="shared" si="40"/>
        <v>0</v>
      </c>
      <c r="BE157" s="761">
        <f t="shared" si="41"/>
        <v>0</v>
      </c>
      <c r="BF157" s="761">
        <f t="shared" si="42"/>
        <v>0</v>
      </c>
      <c r="BG157" s="761">
        <f t="shared" si="43"/>
        <v>0</v>
      </c>
      <c r="BH157" s="777">
        <v>0</v>
      </c>
      <c r="BI157" s="755"/>
      <c r="BJ157" s="778">
        <f>IF(X158=0,0,           IF(ISNUMBER(BI157),BI157,               IF(ISTEXT(BI157),INDEX(AZ157:BG157,MATCH(BI157,$AZ$12:$BG$12,0)),             IF(BH157="INT",_xll.qInterp(X158,AB157:AI157,AZ157:BG157),            INDEX(AZ157:BG157,MATCH(BH157,$AZ$12:$BG$12,0))))))</f>
        <v>0</v>
      </c>
      <c r="BK157" s="408">
        <f t="shared" si="48"/>
        <v>0</v>
      </c>
      <c r="BL157" s="414">
        <f t="shared" si="49"/>
        <v>0</v>
      </c>
      <c r="BM157" s="408">
        <f t="shared" si="50"/>
        <v>0</v>
      </c>
    </row>
    <row r="158" spans="16:65">
      <c r="P158" s="779">
        <v>0</v>
      </c>
      <c r="Q158" s="780">
        <f t="shared" si="34"/>
        <v>0</v>
      </c>
      <c r="R158" s="776">
        <f>IF(P159,_xll.qDateYears(P158,P159,DCCfixed),0)</f>
        <v>0</v>
      </c>
      <c r="S158" s="553">
        <v>0</v>
      </c>
      <c r="T158" s="785"/>
      <c r="U158" s="409">
        <f t="shared" si="44"/>
        <v>0</v>
      </c>
      <c r="X158" s="363">
        <v>0</v>
      </c>
      <c r="Y158" s="775">
        <f t="shared" si="35"/>
        <v>0</v>
      </c>
      <c r="Z158" s="776">
        <f>IF(X159,_xll.qDateYears(X158,X159,DCCfloat),0)</f>
        <v>0</v>
      </c>
      <c r="AA158" s="553">
        <v>0</v>
      </c>
      <c r="AB158" s="789">
        <f>IF($X158=0,0,      _xll.qDateNext($X158,AB$12,"M",FRM&lt;&gt;"Calypso",CCY))</f>
        <v>0</v>
      </c>
      <c r="AC158" s="789">
        <f>IF($X158=0,0,      _xll.qDateNext($X158,AC$12,"M",FRM&lt;&gt;"Calypso",CCY))</f>
        <v>0</v>
      </c>
      <c r="AD158" s="789">
        <f>IF($X158=0,0,      _xll.qDateNext($X158,AD$12,"M",FRM&lt;&gt;"Calypso",CCY))</f>
        <v>0</v>
      </c>
      <c r="AE158" s="789">
        <f>IF($X158=0,0,      _xll.qDateNext($X158,AE$12,"M",FRM&lt;&gt;"Calypso",CCY))</f>
        <v>0</v>
      </c>
      <c r="AF158" s="789">
        <f>IF($X158=0,0,      _xll.qDateNext($X158,AF$12,"M",FRM&lt;&gt;"Calypso",CCY))</f>
        <v>0</v>
      </c>
      <c r="AG158" s="789">
        <f>IF($X158=0,0,      _xll.qDateNext($X158,AG$12,"M",FRM&lt;&gt;"Calypso",CCY))</f>
        <v>0</v>
      </c>
      <c r="AH158" s="789">
        <f>IF($X158=0,0,      _xll.qDateNext($X158,AH$12,"M",FRM&lt;&gt;"Calypso",CCY))</f>
        <v>0</v>
      </c>
      <c r="AI158" s="789">
        <f>IF($X158=0,0,      _xll.qDateNext($X158,AI$12,"M",FRM&lt;&gt;"Calypso",CCY))</f>
        <v>0</v>
      </c>
      <c r="AJ158" s="529" t="str">
        <v/>
      </c>
      <c r="AK158" s="529" t="str">
        <v/>
      </c>
      <c r="AL158" s="529" t="str">
        <v/>
      </c>
      <c r="AM158" s="529" t="str">
        <v/>
      </c>
      <c r="AN158" s="529" t="str">
        <v/>
      </c>
      <c r="AO158" s="529" t="str">
        <v/>
      </c>
      <c r="AP158" s="529" t="str">
        <v/>
      </c>
      <c r="AQ158" s="529" t="str">
        <v/>
      </c>
      <c r="AR158" s="529">
        <v>0</v>
      </c>
      <c r="AS158" s="529">
        <v>0</v>
      </c>
      <c r="AT158" s="529">
        <f t="shared" si="45"/>
        <v>0</v>
      </c>
      <c r="AU158" s="529">
        <v>0</v>
      </c>
      <c r="AV158" s="529">
        <f t="shared" si="46"/>
        <v>0</v>
      </c>
      <c r="AW158" s="529">
        <f t="shared" si="47"/>
        <v>0</v>
      </c>
      <c r="AX158" s="529">
        <v>0</v>
      </c>
      <c r="AY158" s="529">
        <v>0</v>
      </c>
      <c r="AZ158" s="761">
        <f t="shared" si="36"/>
        <v>0</v>
      </c>
      <c r="BA158" s="761">
        <f t="shared" si="37"/>
        <v>0</v>
      </c>
      <c r="BB158" s="761">
        <f t="shared" si="38"/>
        <v>0</v>
      </c>
      <c r="BC158" s="761">
        <f t="shared" si="39"/>
        <v>0</v>
      </c>
      <c r="BD158" s="761">
        <f t="shared" si="40"/>
        <v>0</v>
      </c>
      <c r="BE158" s="761">
        <f t="shared" si="41"/>
        <v>0</v>
      </c>
      <c r="BF158" s="761">
        <f t="shared" si="42"/>
        <v>0</v>
      </c>
      <c r="BG158" s="761">
        <f t="shared" si="43"/>
        <v>0</v>
      </c>
      <c r="BH158" s="777">
        <v>0</v>
      </c>
      <c r="BI158" s="755"/>
      <c r="BJ158" s="778">
        <f>IF(X159=0,0,           IF(ISNUMBER(BI158),BI158,               IF(ISTEXT(BI158),INDEX(AZ158:BG158,MATCH(BI158,$AZ$12:$BG$12,0)),             IF(BH158="INT",_xll.qInterp(X159,AB158:AI158,AZ158:BG158),            INDEX(AZ158:BG158,MATCH(BH158,$AZ$12:$BG$12,0))))))</f>
        <v>0</v>
      </c>
      <c r="BK158" s="408">
        <f t="shared" si="48"/>
        <v>0</v>
      </c>
      <c r="BL158" s="414">
        <f t="shared" si="49"/>
        <v>0</v>
      </c>
      <c r="BM158" s="408">
        <f t="shared" si="50"/>
        <v>0</v>
      </c>
    </row>
    <row r="159" spans="16:65">
      <c r="P159" s="779">
        <v>0</v>
      </c>
      <c r="Q159" s="780">
        <f t="shared" si="34"/>
        <v>0</v>
      </c>
      <c r="R159" s="776">
        <f>IF(P160,_xll.qDateYears(P159,P160,DCCfixed),0)</f>
        <v>0</v>
      </c>
      <c r="S159" s="553">
        <v>0</v>
      </c>
      <c r="T159" s="785"/>
      <c r="U159" s="409">
        <f t="shared" si="44"/>
        <v>0</v>
      </c>
      <c r="X159" s="363">
        <v>0</v>
      </c>
      <c r="Y159" s="775">
        <f t="shared" si="35"/>
        <v>0</v>
      </c>
      <c r="Z159" s="776">
        <f>IF(X160,_xll.qDateYears(X159,X160,DCCfloat),0)</f>
        <v>0</v>
      </c>
      <c r="AA159" s="553">
        <v>0</v>
      </c>
      <c r="AB159" s="789">
        <f>IF($X159=0,0,      _xll.qDateNext($X159,AB$12,"M",FRM&lt;&gt;"Calypso",CCY))</f>
        <v>0</v>
      </c>
      <c r="AC159" s="789">
        <f>IF($X159=0,0,      _xll.qDateNext($X159,AC$12,"M",FRM&lt;&gt;"Calypso",CCY))</f>
        <v>0</v>
      </c>
      <c r="AD159" s="789">
        <f>IF($X159=0,0,      _xll.qDateNext($X159,AD$12,"M",FRM&lt;&gt;"Calypso",CCY))</f>
        <v>0</v>
      </c>
      <c r="AE159" s="789">
        <f>IF($X159=0,0,      _xll.qDateNext($X159,AE$12,"M",FRM&lt;&gt;"Calypso",CCY))</f>
        <v>0</v>
      </c>
      <c r="AF159" s="789">
        <f>IF($X159=0,0,      _xll.qDateNext($X159,AF$12,"M",FRM&lt;&gt;"Calypso",CCY))</f>
        <v>0</v>
      </c>
      <c r="AG159" s="789">
        <f>IF($X159=0,0,      _xll.qDateNext($X159,AG$12,"M",FRM&lt;&gt;"Calypso",CCY))</f>
        <v>0</v>
      </c>
      <c r="AH159" s="789">
        <f>IF($X159=0,0,      _xll.qDateNext($X159,AH$12,"M",FRM&lt;&gt;"Calypso",CCY))</f>
        <v>0</v>
      </c>
      <c r="AI159" s="789">
        <f>IF($X159=0,0,      _xll.qDateNext($X159,AI$12,"M",FRM&lt;&gt;"Calypso",CCY))</f>
        <v>0</v>
      </c>
      <c r="AJ159" s="529" t="str">
        <v/>
      </c>
      <c r="AK159" s="529" t="str">
        <v/>
      </c>
      <c r="AL159" s="529" t="str">
        <v/>
      </c>
      <c r="AM159" s="529" t="str">
        <v/>
      </c>
      <c r="AN159" s="529" t="str">
        <v/>
      </c>
      <c r="AO159" s="529" t="str">
        <v/>
      </c>
      <c r="AP159" s="529" t="str">
        <v/>
      </c>
      <c r="AQ159" s="529" t="str">
        <v/>
      </c>
      <c r="AR159" s="529">
        <v>0</v>
      </c>
      <c r="AS159" s="529">
        <v>0</v>
      </c>
      <c r="AT159" s="529">
        <f t="shared" si="45"/>
        <v>0</v>
      </c>
      <c r="AU159" s="529">
        <v>0</v>
      </c>
      <c r="AV159" s="529">
        <f t="shared" si="46"/>
        <v>0</v>
      </c>
      <c r="AW159" s="529">
        <f t="shared" si="47"/>
        <v>0</v>
      </c>
      <c r="AX159" s="529">
        <v>0</v>
      </c>
      <c r="AY159" s="529">
        <v>0</v>
      </c>
      <c r="AZ159" s="761">
        <f t="shared" si="36"/>
        <v>0</v>
      </c>
      <c r="BA159" s="761">
        <f t="shared" si="37"/>
        <v>0</v>
      </c>
      <c r="BB159" s="761">
        <f t="shared" si="38"/>
        <v>0</v>
      </c>
      <c r="BC159" s="761">
        <f t="shared" si="39"/>
        <v>0</v>
      </c>
      <c r="BD159" s="761">
        <f t="shared" si="40"/>
        <v>0</v>
      </c>
      <c r="BE159" s="761">
        <f t="shared" si="41"/>
        <v>0</v>
      </c>
      <c r="BF159" s="761">
        <f t="shared" si="42"/>
        <v>0</v>
      </c>
      <c r="BG159" s="761">
        <f t="shared" si="43"/>
        <v>0</v>
      </c>
      <c r="BH159" s="777">
        <v>0</v>
      </c>
      <c r="BI159" s="755"/>
      <c r="BJ159" s="778">
        <f>IF(X160=0,0,           IF(ISNUMBER(BI159),BI159,               IF(ISTEXT(BI159),INDEX(AZ159:BG159,MATCH(BI159,$AZ$12:$BG$12,0)),             IF(BH159="INT",_xll.qInterp(X160,AB159:AI159,AZ159:BG159),            INDEX(AZ159:BG159,MATCH(BH159,$AZ$12:$BG$12,0))))))</f>
        <v>0</v>
      </c>
      <c r="BK159" s="408">
        <f t="shared" si="48"/>
        <v>0</v>
      </c>
      <c r="BL159" s="414">
        <f t="shared" si="49"/>
        <v>0</v>
      </c>
      <c r="BM159" s="408">
        <f t="shared" si="50"/>
        <v>0</v>
      </c>
    </row>
    <row r="160" spans="16:65">
      <c r="P160" s="779">
        <v>0</v>
      </c>
      <c r="Q160" s="780">
        <f t="shared" si="34"/>
        <v>0</v>
      </c>
      <c r="R160" s="776">
        <f>IF(P161,_xll.qDateYears(P160,P161,DCCfixed),0)</f>
        <v>0</v>
      </c>
      <c r="S160" s="553">
        <v>0</v>
      </c>
      <c r="T160" s="785"/>
      <c r="U160" s="409">
        <f t="shared" si="44"/>
        <v>0</v>
      </c>
      <c r="X160" s="363">
        <v>0</v>
      </c>
      <c r="Y160" s="775">
        <f t="shared" si="35"/>
        <v>0</v>
      </c>
      <c r="Z160" s="776">
        <f>IF(X161,_xll.qDateYears(X160,X161,DCCfloat),0)</f>
        <v>0</v>
      </c>
      <c r="AA160" s="553">
        <v>0</v>
      </c>
      <c r="AB160" s="789">
        <f>IF($X160=0,0,      _xll.qDateNext($X160,AB$12,"M",FRM&lt;&gt;"Calypso",CCY))</f>
        <v>0</v>
      </c>
      <c r="AC160" s="789">
        <f>IF($X160=0,0,      _xll.qDateNext($X160,AC$12,"M",FRM&lt;&gt;"Calypso",CCY))</f>
        <v>0</v>
      </c>
      <c r="AD160" s="789">
        <f>IF($X160=0,0,      _xll.qDateNext($X160,AD$12,"M",FRM&lt;&gt;"Calypso",CCY))</f>
        <v>0</v>
      </c>
      <c r="AE160" s="789">
        <f>IF($X160=0,0,      _xll.qDateNext($X160,AE$12,"M",FRM&lt;&gt;"Calypso",CCY))</f>
        <v>0</v>
      </c>
      <c r="AF160" s="789">
        <f>IF($X160=0,0,      _xll.qDateNext($X160,AF$12,"M",FRM&lt;&gt;"Calypso",CCY))</f>
        <v>0</v>
      </c>
      <c r="AG160" s="789">
        <f>IF($X160=0,0,      _xll.qDateNext($X160,AG$12,"M",FRM&lt;&gt;"Calypso",CCY))</f>
        <v>0</v>
      </c>
      <c r="AH160" s="789">
        <f>IF($X160=0,0,      _xll.qDateNext($X160,AH$12,"M",FRM&lt;&gt;"Calypso",CCY))</f>
        <v>0</v>
      </c>
      <c r="AI160" s="789">
        <f>IF($X160=0,0,      _xll.qDateNext($X160,AI$12,"M",FRM&lt;&gt;"Calypso",CCY))</f>
        <v>0</v>
      </c>
      <c r="AJ160" s="529" t="str">
        <v/>
      </c>
      <c r="AK160" s="529" t="str">
        <v/>
      </c>
      <c r="AL160" s="529" t="str">
        <v/>
      </c>
      <c r="AM160" s="529" t="str">
        <v/>
      </c>
      <c r="AN160" s="529" t="str">
        <v/>
      </c>
      <c r="AO160" s="529" t="str">
        <v/>
      </c>
      <c r="AP160" s="529" t="str">
        <v/>
      </c>
      <c r="AQ160" s="529" t="str">
        <v/>
      </c>
      <c r="AR160" s="529">
        <v>0</v>
      </c>
      <c r="AS160" s="529">
        <v>0</v>
      </c>
      <c r="AT160" s="529">
        <f t="shared" si="45"/>
        <v>0</v>
      </c>
      <c r="AU160" s="529">
        <v>0</v>
      </c>
      <c r="AV160" s="529">
        <f t="shared" si="46"/>
        <v>0</v>
      </c>
      <c r="AW160" s="529">
        <f t="shared" si="47"/>
        <v>0</v>
      </c>
      <c r="AX160" s="529">
        <v>0</v>
      </c>
      <c r="AY160" s="529">
        <v>0</v>
      </c>
      <c r="AZ160" s="761">
        <f t="shared" si="36"/>
        <v>0</v>
      </c>
      <c r="BA160" s="761">
        <f t="shared" si="37"/>
        <v>0</v>
      </c>
      <c r="BB160" s="761">
        <f t="shared" si="38"/>
        <v>0</v>
      </c>
      <c r="BC160" s="761">
        <f t="shared" si="39"/>
        <v>0</v>
      </c>
      <c r="BD160" s="761">
        <f t="shared" si="40"/>
        <v>0</v>
      </c>
      <c r="BE160" s="761">
        <f t="shared" si="41"/>
        <v>0</v>
      </c>
      <c r="BF160" s="761">
        <f t="shared" si="42"/>
        <v>0</v>
      </c>
      <c r="BG160" s="761">
        <f t="shared" si="43"/>
        <v>0</v>
      </c>
      <c r="BH160" s="777">
        <v>0</v>
      </c>
      <c r="BI160" s="755"/>
      <c r="BJ160" s="778">
        <f>IF(X161=0,0,           IF(ISNUMBER(BI160),BI160,               IF(ISTEXT(BI160),INDEX(AZ160:BG160,MATCH(BI160,$AZ$12:$BG$12,0)),             IF(BH160="INT",_xll.qInterp(X161,AB160:AI160,AZ160:BG160),            INDEX(AZ160:BG160,MATCH(BH160,$AZ$12:$BG$12,0))))))</f>
        <v>0</v>
      </c>
      <c r="BK160" s="408">
        <f t="shared" si="48"/>
        <v>0</v>
      </c>
      <c r="BL160" s="414">
        <f t="shared" si="49"/>
        <v>0</v>
      </c>
      <c r="BM160" s="408">
        <f t="shared" si="50"/>
        <v>0</v>
      </c>
    </row>
    <row r="161" spans="16:65">
      <c r="P161" s="779">
        <v>0</v>
      </c>
      <c r="Q161" s="780">
        <f t="shared" si="34"/>
        <v>0</v>
      </c>
      <c r="R161" s="776">
        <f>IF(P162,_xll.qDateYears(P161,P162,DCCfixed),0)</f>
        <v>0</v>
      </c>
      <c r="S161" s="553">
        <v>0</v>
      </c>
      <c r="T161" s="785"/>
      <c r="U161" s="409">
        <f t="shared" si="44"/>
        <v>0</v>
      </c>
      <c r="X161" s="363">
        <v>0</v>
      </c>
      <c r="Y161" s="775">
        <f t="shared" si="35"/>
        <v>0</v>
      </c>
      <c r="Z161" s="776">
        <f>IF(X162,_xll.qDateYears(X161,X162,DCCfloat),0)</f>
        <v>0</v>
      </c>
      <c r="AA161" s="553">
        <v>0</v>
      </c>
      <c r="AB161" s="789">
        <f>IF($X161=0,0,      _xll.qDateNext($X161,AB$12,"M",FRM&lt;&gt;"Calypso",CCY))</f>
        <v>0</v>
      </c>
      <c r="AC161" s="789">
        <f>IF($X161=0,0,      _xll.qDateNext($X161,AC$12,"M",FRM&lt;&gt;"Calypso",CCY))</f>
        <v>0</v>
      </c>
      <c r="AD161" s="789">
        <f>IF($X161=0,0,      _xll.qDateNext($X161,AD$12,"M",FRM&lt;&gt;"Calypso",CCY))</f>
        <v>0</v>
      </c>
      <c r="AE161" s="789">
        <f>IF($X161=0,0,      _xll.qDateNext($X161,AE$12,"M",FRM&lt;&gt;"Calypso",CCY))</f>
        <v>0</v>
      </c>
      <c r="AF161" s="789">
        <f>IF($X161=0,0,      _xll.qDateNext($X161,AF$12,"M",FRM&lt;&gt;"Calypso",CCY))</f>
        <v>0</v>
      </c>
      <c r="AG161" s="789">
        <f>IF($X161=0,0,      _xll.qDateNext($X161,AG$12,"M",FRM&lt;&gt;"Calypso",CCY))</f>
        <v>0</v>
      </c>
      <c r="AH161" s="789">
        <f>IF($X161=0,0,      _xll.qDateNext($X161,AH$12,"M",FRM&lt;&gt;"Calypso",CCY))</f>
        <v>0</v>
      </c>
      <c r="AI161" s="789">
        <f>IF($X161=0,0,      _xll.qDateNext($X161,AI$12,"M",FRM&lt;&gt;"Calypso",CCY))</f>
        <v>0</v>
      </c>
      <c r="AJ161" s="529" t="str">
        <v/>
      </c>
      <c r="AK161" s="529" t="str">
        <v/>
      </c>
      <c r="AL161" s="529" t="str">
        <v/>
      </c>
      <c r="AM161" s="529" t="str">
        <v/>
      </c>
      <c r="AN161" s="529" t="str">
        <v/>
      </c>
      <c r="AO161" s="529" t="str">
        <v/>
      </c>
      <c r="AP161" s="529" t="str">
        <v/>
      </c>
      <c r="AQ161" s="529" t="str">
        <v/>
      </c>
      <c r="AR161" s="529">
        <v>0</v>
      </c>
      <c r="AS161" s="529">
        <v>0</v>
      </c>
      <c r="AT161" s="529">
        <f t="shared" si="45"/>
        <v>0</v>
      </c>
      <c r="AU161" s="529">
        <v>0</v>
      </c>
      <c r="AV161" s="529">
        <f t="shared" si="46"/>
        <v>0</v>
      </c>
      <c r="AW161" s="529">
        <f t="shared" si="47"/>
        <v>0</v>
      </c>
      <c r="AX161" s="529">
        <v>0</v>
      </c>
      <c r="AY161" s="529">
        <v>0</v>
      </c>
      <c r="AZ161" s="761">
        <f t="shared" si="36"/>
        <v>0</v>
      </c>
      <c r="BA161" s="761">
        <f t="shared" si="37"/>
        <v>0</v>
      </c>
      <c r="BB161" s="761">
        <f t="shared" si="38"/>
        <v>0</v>
      </c>
      <c r="BC161" s="761">
        <f t="shared" si="39"/>
        <v>0</v>
      </c>
      <c r="BD161" s="761">
        <f t="shared" si="40"/>
        <v>0</v>
      </c>
      <c r="BE161" s="761">
        <f t="shared" si="41"/>
        <v>0</v>
      </c>
      <c r="BF161" s="761">
        <f t="shared" si="42"/>
        <v>0</v>
      </c>
      <c r="BG161" s="761">
        <f t="shared" si="43"/>
        <v>0</v>
      </c>
      <c r="BH161" s="777">
        <v>0</v>
      </c>
      <c r="BI161" s="755"/>
      <c r="BJ161" s="778">
        <f>IF(X162=0,0,           IF(ISNUMBER(BI161),BI161,               IF(ISTEXT(BI161),INDEX(AZ161:BG161,MATCH(BI161,$AZ$12:$BG$12,0)),             IF(BH161="INT",_xll.qInterp(X162,AB161:AI161,AZ161:BG161),            INDEX(AZ161:BG161,MATCH(BH161,$AZ$12:$BG$12,0))))))</f>
        <v>0</v>
      </c>
      <c r="BK161" s="408">
        <f t="shared" si="48"/>
        <v>0</v>
      </c>
      <c r="BL161" s="414">
        <f t="shared" si="49"/>
        <v>0</v>
      </c>
      <c r="BM161" s="408">
        <f t="shared" si="50"/>
        <v>0</v>
      </c>
    </row>
    <row r="162" spans="16:65">
      <c r="P162" s="779">
        <v>0</v>
      </c>
      <c r="Q162" s="780">
        <f t="shared" si="34"/>
        <v>0</v>
      </c>
      <c r="R162" s="776">
        <f>IF(P163,_xll.qDateYears(P162,P163,DCCfixed),0)</f>
        <v>0</v>
      </c>
      <c r="S162" s="553">
        <v>0</v>
      </c>
      <c r="T162" s="785"/>
      <c r="U162" s="409">
        <f t="shared" si="44"/>
        <v>0</v>
      </c>
      <c r="X162" s="363">
        <v>0</v>
      </c>
      <c r="Y162" s="775">
        <f t="shared" si="35"/>
        <v>0</v>
      </c>
      <c r="Z162" s="776">
        <f>IF(X163,_xll.qDateYears(X162,X163,DCCfloat),0)</f>
        <v>0</v>
      </c>
      <c r="AA162" s="553">
        <v>0</v>
      </c>
      <c r="AB162" s="789">
        <f>IF($X162=0,0,      _xll.qDateNext($X162,AB$12,"M",FRM&lt;&gt;"Calypso",CCY))</f>
        <v>0</v>
      </c>
      <c r="AC162" s="789">
        <f>IF($X162=0,0,      _xll.qDateNext($X162,AC$12,"M",FRM&lt;&gt;"Calypso",CCY))</f>
        <v>0</v>
      </c>
      <c r="AD162" s="789">
        <f>IF($X162=0,0,      _xll.qDateNext($X162,AD$12,"M",FRM&lt;&gt;"Calypso",CCY))</f>
        <v>0</v>
      </c>
      <c r="AE162" s="789">
        <f>IF($X162=0,0,      _xll.qDateNext($X162,AE$12,"M",FRM&lt;&gt;"Calypso",CCY))</f>
        <v>0</v>
      </c>
      <c r="AF162" s="789">
        <f>IF($X162=0,0,      _xll.qDateNext($X162,AF$12,"M",FRM&lt;&gt;"Calypso",CCY))</f>
        <v>0</v>
      </c>
      <c r="AG162" s="789">
        <f>IF($X162=0,0,      _xll.qDateNext($X162,AG$12,"M",FRM&lt;&gt;"Calypso",CCY))</f>
        <v>0</v>
      </c>
      <c r="AH162" s="789">
        <f>IF($X162=0,0,      _xll.qDateNext($X162,AH$12,"M",FRM&lt;&gt;"Calypso",CCY))</f>
        <v>0</v>
      </c>
      <c r="AI162" s="789">
        <f>IF($X162=0,0,      _xll.qDateNext($X162,AI$12,"M",FRM&lt;&gt;"Calypso",CCY))</f>
        <v>0</v>
      </c>
      <c r="AJ162" s="529" t="str">
        <v/>
      </c>
      <c r="AK162" s="529" t="str">
        <v/>
      </c>
      <c r="AL162" s="529" t="str">
        <v/>
      </c>
      <c r="AM162" s="529" t="str">
        <v/>
      </c>
      <c r="AN162" s="529" t="str">
        <v/>
      </c>
      <c r="AO162" s="529" t="str">
        <v/>
      </c>
      <c r="AP162" s="529" t="str">
        <v/>
      </c>
      <c r="AQ162" s="529" t="str">
        <v/>
      </c>
      <c r="AR162" s="529">
        <v>0</v>
      </c>
      <c r="AS162" s="529">
        <v>0</v>
      </c>
      <c r="AT162" s="529">
        <f t="shared" si="45"/>
        <v>0</v>
      </c>
      <c r="AU162" s="529">
        <v>0</v>
      </c>
      <c r="AV162" s="529">
        <f t="shared" si="46"/>
        <v>0</v>
      </c>
      <c r="AW162" s="529">
        <f t="shared" si="47"/>
        <v>0</v>
      </c>
      <c r="AX162" s="529">
        <v>0</v>
      </c>
      <c r="AY162" s="529">
        <v>0</v>
      </c>
      <c r="AZ162" s="761">
        <f t="shared" si="36"/>
        <v>0</v>
      </c>
      <c r="BA162" s="761">
        <f t="shared" si="37"/>
        <v>0</v>
      </c>
      <c r="BB162" s="761">
        <f t="shared" si="38"/>
        <v>0</v>
      </c>
      <c r="BC162" s="761">
        <f t="shared" si="39"/>
        <v>0</v>
      </c>
      <c r="BD162" s="761">
        <f t="shared" si="40"/>
        <v>0</v>
      </c>
      <c r="BE162" s="761">
        <f t="shared" si="41"/>
        <v>0</v>
      </c>
      <c r="BF162" s="761">
        <f t="shared" si="42"/>
        <v>0</v>
      </c>
      <c r="BG162" s="761">
        <f t="shared" si="43"/>
        <v>0</v>
      </c>
      <c r="BH162" s="777">
        <v>0</v>
      </c>
      <c r="BI162" s="755"/>
      <c r="BJ162" s="778">
        <f>IF(X163=0,0,           IF(ISNUMBER(BI162),BI162,               IF(ISTEXT(BI162),INDEX(AZ162:BG162,MATCH(BI162,$AZ$12:$BG$12,0)),             IF(BH162="INT",_xll.qInterp(X163,AB162:AI162,AZ162:BG162),            INDEX(AZ162:BG162,MATCH(BH162,$AZ$12:$BG$12,0))))))</f>
        <v>0</v>
      </c>
      <c r="BK162" s="408">
        <f t="shared" si="48"/>
        <v>0</v>
      </c>
      <c r="BL162" s="414">
        <f t="shared" si="49"/>
        <v>0</v>
      </c>
      <c r="BM162" s="408">
        <f t="shared" si="50"/>
        <v>0</v>
      </c>
    </row>
    <row r="163" spans="16:65">
      <c r="P163" s="779">
        <v>0</v>
      </c>
      <c r="Q163" s="780">
        <f t="shared" si="34"/>
        <v>0</v>
      </c>
      <c r="R163" s="776">
        <f>IF(P164,_xll.qDateYears(P163,P164,DCCfixed),0)</f>
        <v>0</v>
      </c>
      <c r="S163" s="553">
        <v>0</v>
      </c>
      <c r="T163" s="785"/>
      <c r="U163" s="409">
        <f t="shared" si="44"/>
        <v>0</v>
      </c>
      <c r="X163" s="363">
        <v>0</v>
      </c>
      <c r="Y163" s="775">
        <f t="shared" si="35"/>
        <v>0</v>
      </c>
      <c r="Z163" s="776">
        <f>IF(X164,_xll.qDateYears(X163,X164,DCCfloat),0)</f>
        <v>0</v>
      </c>
      <c r="AA163" s="553">
        <v>0</v>
      </c>
      <c r="AB163" s="789">
        <f>IF($X163=0,0,      _xll.qDateNext($X163,AB$12,"M",FRM&lt;&gt;"Calypso",CCY))</f>
        <v>0</v>
      </c>
      <c r="AC163" s="789">
        <f>IF($X163=0,0,      _xll.qDateNext($X163,AC$12,"M",FRM&lt;&gt;"Calypso",CCY))</f>
        <v>0</v>
      </c>
      <c r="AD163" s="789">
        <f>IF($X163=0,0,      _xll.qDateNext($X163,AD$12,"M",FRM&lt;&gt;"Calypso",CCY))</f>
        <v>0</v>
      </c>
      <c r="AE163" s="789">
        <f>IF($X163=0,0,      _xll.qDateNext($X163,AE$12,"M",FRM&lt;&gt;"Calypso",CCY))</f>
        <v>0</v>
      </c>
      <c r="AF163" s="789">
        <f>IF($X163=0,0,      _xll.qDateNext($X163,AF$12,"M",FRM&lt;&gt;"Calypso",CCY))</f>
        <v>0</v>
      </c>
      <c r="AG163" s="789">
        <f>IF($X163=0,0,      _xll.qDateNext($X163,AG$12,"M",FRM&lt;&gt;"Calypso",CCY))</f>
        <v>0</v>
      </c>
      <c r="AH163" s="789">
        <f>IF($X163=0,0,      _xll.qDateNext($X163,AH$12,"M",FRM&lt;&gt;"Calypso",CCY))</f>
        <v>0</v>
      </c>
      <c r="AI163" s="789">
        <f>IF($X163=0,0,      _xll.qDateNext($X163,AI$12,"M",FRM&lt;&gt;"Calypso",CCY))</f>
        <v>0</v>
      </c>
      <c r="AJ163" s="529" t="str">
        <v/>
      </c>
      <c r="AK163" s="529" t="str">
        <v/>
      </c>
      <c r="AL163" s="529" t="str">
        <v/>
      </c>
      <c r="AM163" s="529" t="str">
        <v/>
      </c>
      <c r="AN163" s="529" t="str">
        <v/>
      </c>
      <c r="AO163" s="529" t="str">
        <v/>
      </c>
      <c r="AP163" s="529" t="str">
        <v/>
      </c>
      <c r="AQ163" s="529" t="str">
        <v/>
      </c>
      <c r="AR163" s="529">
        <v>0</v>
      </c>
      <c r="AS163" s="529">
        <v>0</v>
      </c>
      <c r="AT163" s="529">
        <f t="shared" si="45"/>
        <v>0</v>
      </c>
      <c r="AU163" s="529">
        <v>0</v>
      </c>
      <c r="AV163" s="529">
        <f t="shared" si="46"/>
        <v>0</v>
      </c>
      <c r="AW163" s="529">
        <f t="shared" si="47"/>
        <v>0</v>
      </c>
      <c r="AX163" s="529">
        <v>0</v>
      </c>
      <c r="AY163" s="529">
        <v>0</v>
      </c>
      <c r="AZ163" s="761">
        <f t="shared" si="36"/>
        <v>0</v>
      </c>
      <c r="BA163" s="761">
        <f t="shared" si="37"/>
        <v>0</v>
      </c>
      <c r="BB163" s="761">
        <f t="shared" si="38"/>
        <v>0</v>
      </c>
      <c r="BC163" s="761">
        <f t="shared" si="39"/>
        <v>0</v>
      </c>
      <c r="BD163" s="761">
        <f t="shared" si="40"/>
        <v>0</v>
      </c>
      <c r="BE163" s="761">
        <f t="shared" si="41"/>
        <v>0</v>
      </c>
      <c r="BF163" s="761">
        <f t="shared" si="42"/>
        <v>0</v>
      </c>
      <c r="BG163" s="761">
        <f t="shared" si="43"/>
        <v>0</v>
      </c>
      <c r="BH163" s="777">
        <v>0</v>
      </c>
      <c r="BI163" s="755"/>
      <c r="BJ163" s="778">
        <f>IF(X164=0,0,           IF(ISNUMBER(BI163),BI163,               IF(ISTEXT(BI163),INDEX(AZ163:BG163,MATCH(BI163,$AZ$12:$BG$12,0)),             IF(BH163="INT",_xll.qInterp(X164,AB163:AI163,AZ163:BG163),            INDEX(AZ163:BG163,MATCH(BH163,$AZ$12:$BG$12,0))))))</f>
        <v>0</v>
      </c>
      <c r="BK163" s="408">
        <f t="shared" si="48"/>
        <v>0</v>
      </c>
      <c r="BL163" s="414">
        <f t="shared" si="49"/>
        <v>0</v>
      </c>
      <c r="BM163" s="408">
        <f t="shared" si="50"/>
        <v>0</v>
      </c>
    </row>
    <row r="164" spans="16:65">
      <c r="P164" s="779">
        <v>0</v>
      </c>
      <c r="Q164" s="780">
        <f t="shared" si="34"/>
        <v>0</v>
      </c>
      <c r="R164" s="776">
        <f>IF(P165,_xll.qDateYears(P164,P165,DCCfixed),0)</f>
        <v>0</v>
      </c>
      <c r="S164" s="553">
        <v>0</v>
      </c>
      <c r="T164" s="785"/>
      <c r="U164" s="409">
        <f t="shared" si="44"/>
        <v>0</v>
      </c>
      <c r="X164" s="363">
        <v>0</v>
      </c>
      <c r="Y164" s="775">
        <f t="shared" si="35"/>
        <v>0</v>
      </c>
      <c r="Z164" s="776">
        <f>IF(X165,_xll.qDateYears(X164,X165,DCCfloat),0)</f>
        <v>0</v>
      </c>
      <c r="AA164" s="553">
        <v>0</v>
      </c>
      <c r="AB164" s="789">
        <f>IF($X164=0,0,      _xll.qDateNext($X164,AB$12,"M",FRM&lt;&gt;"Calypso",CCY))</f>
        <v>0</v>
      </c>
      <c r="AC164" s="789">
        <f>IF($X164=0,0,      _xll.qDateNext($X164,AC$12,"M",FRM&lt;&gt;"Calypso",CCY))</f>
        <v>0</v>
      </c>
      <c r="AD164" s="789">
        <f>IF($X164=0,0,      _xll.qDateNext($X164,AD$12,"M",FRM&lt;&gt;"Calypso",CCY))</f>
        <v>0</v>
      </c>
      <c r="AE164" s="789">
        <f>IF($X164=0,0,      _xll.qDateNext($X164,AE$12,"M",FRM&lt;&gt;"Calypso",CCY))</f>
        <v>0</v>
      </c>
      <c r="AF164" s="789">
        <f>IF($X164=0,0,      _xll.qDateNext($X164,AF$12,"M",FRM&lt;&gt;"Calypso",CCY))</f>
        <v>0</v>
      </c>
      <c r="AG164" s="789">
        <f>IF($X164=0,0,      _xll.qDateNext($X164,AG$12,"M",FRM&lt;&gt;"Calypso",CCY))</f>
        <v>0</v>
      </c>
      <c r="AH164" s="789">
        <f>IF($X164=0,0,      _xll.qDateNext($X164,AH$12,"M",FRM&lt;&gt;"Calypso",CCY))</f>
        <v>0</v>
      </c>
      <c r="AI164" s="789">
        <f>IF($X164=0,0,      _xll.qDateNext($X164,AI$12,"M",FRM&lt;&gt;"Calypso",CCY))</f>
        <v>0</v>
      </c>
      <c r="AJ164" s="529" t="str">
        <v/>
      </c>
      <c r="AK164" s="529" t="str">
        <v/>
      </c>
      <c r="AL164" s="529" t="str">
        <v/>
      </c>
      <c r="AM164" s="529" t="str">
        <v/>
      </c>
      <c r="AN164" s="529" t="str">
        <v/>
      </c>
      <c r="AO164" s="529" t="str">
        <v/>
      </c>
      <c r="AP164" s="529" t="str">
        <v/>
      </c>
      <c r="AQ164" s="529" t="str">
        <v/>
      </c>
      <c r="AR164" s="529">
        <v>0</v>
      </c>
      <c r="AS164" s="529">
        <v>0</v>
      </c>
      <c r="AT164" s="529">
        <f t="shared" si="45"/>
        <v>0</v>
      </c>
      <c r="AU164" s="529">
        <v>0</v>
      </c>
      <c r="AV164" s="529">
        <f t="shared" si="46"/>
        <v>0</v>
      </c>
      <c r="AW164" s="529">
        <f t="shared" si="47"/>
        <v>0</v>
      </c>
      <c r="AX164" s="529">
        <v>0</v>
      </c>
      <c r="AY164" s="529">
        <v>0</v>
      </c>
      <c r="AZ164" s="761">
        <f t="shared" si="36"/>
        <v>0</v>
      </c>
      <c r="BA164" s="761">
        <f t="shared" si="37"/>
        <v>0</v>
      </c>
      <c r="BB164" s="761">
        <f t="shared" si="38"/>
        <v>0</v>
      </c>
      <c r="BC164" s="761">
        <f t="shared" si="39"/>
        <v>0</v>
      </c>
      <c r="BD164" s="761">
        <f t="shared" si="40"/>
        <v>0</v>
      </c>
      <c r="BE164" s="761">
        <f t="shared" si="41"/>
        <v>0</v>
      </c>
      <c r="BF164" s="761">
        <f t="shared" si="42"/>
        <v>0</v>
      </c>
      <c r="BG164" s="761">
        <f t="shared" si="43"/>
        <v>0</v>
      </c>
      <c r="BH164" s="777">
        <v>0</v>
      </c>
      <c r="BI164" s="755"/>
      <c r="BJ164" s="778">
        <f>IF(X165=0,0,           IF(ISNUMBER(BI164),BI164,               IF(ISTEXT(BI164),INDEX(AZ164:BG164,MATCH(BI164,$AZ$12:$BG$12,0)),             IF(BH164="INT",_xll.qInterp(X165,AB164:AI164,AZ164:BG164),            INDEX(AZ164:BG164,MATCH(BH164,$AZ$12:$BG$12,0))))))</f>
        <v>0</v>
      </c>
      <c r="BK164" s="408">
        <f t="shared" si="48"/>
        <v>0</v>
      </c>
      <c r="BL164" s="414">
        <f t="shared" si="49"/>
        <v>0</v>
      </c>
      <c r="BM164" s="408">
        <f t="shared" si="50"/>
        <v>0</v>
      </c>
    </row>
    <row r="165" spans="16:65">
      <c r="P165" s="779">
        <v>0</v>
      </c>
      <c r="Q165" s="780">
        <f t="shared" si="34"/>
        <v>0</v>
      </c>
      <c r="R165" s="776">
        <f>IF(P166,_xll.qDateYears(P165,P166,DCCfixed),0)</f>
        <v>0</v>
      </c>
      <c r="S165" s="553">
        <v>0</v>
      </c>
      <c r="T165" s="785"/>
      <c r="U165" s="409">
        <f t="shared" si="44"/>
        <v>0</v>
      </c>
      <c r="X165" s="363">
        <v>0</v>
      </c>
      <c r="Y165" s="775">
        <f t="shared" si="35"/>
        <v>0</v>
      </c>
      <c r="Z165" s="776">
        <f>IF(X166,_xll.qDateYears(X165,X166,DCCfloat),0)</f>
        <v>0</v>
      </c>
      <c r="AA165" s="553">
        <v>0</v>
      </c>
      <c r="AB165" s="789">
        <f>IF($X165=0,0,      _xll.qDateNext($X165,AB$12,"M",FRM&lt;&gt;"Calypso",CCY))</f>
        <v>0</v>
      </c>
      <c r="AC165" s="789">
        <f>IF($X165=0,0,      _xll.qDateNext($X165,AC$12,"M",FRM&lt;&gt;"Calypso",CCY))</f>
        <v>0</v>
      </c>
      <c r="AD165" s="789">
        <f>IF($X165=0,0,      _xll.qDateNext($X165,AD$12,"M",FRM&lt;&gt;"Calypso",CCY))</f>
        <v>0</v>
      </c>
      <c r="AE165" s="789">
        <f>IF($X165=0,0,      _xll.qDateNext($X165,AE$12,"M",FRM&lt;&gt;"Calypso",CCY))</f>
        <v>0</v>
      </c>
      <c r="AF165" s="789">
        <f>IF($X165=0,0,      _xll.qDateNext($X165,AF$12,"M",FRM&lt;&gt;"Calypso",CCY))</f>
        <v>0</v>
      </c>
      <c r="AG165" s="789">
        <f>IF($X165=0,0,      _xll.qDateNext($X165,AG$12,"M",FRM&lt;&gt;"Calypso",CCY))</f>
        <v>0</v>
      </c>
      <c r="AH165" s="789">
        <f>IF($X165=0,0,      _xll.qDateNext($X165,AH$12,"M",FRM&lt;&gt;"Calypso",CCY))</f>
        <v>0</v>
      </c>
      <c r="AI165" s="789">
        <f>IF($X165=0,0,      _xll.qDateNext($X165,AI$12,"M",FRM&lt;&gt;"Calypso",CCY))</f>
        <v>0</v>
      </c>
      <c r="AJ165" s="529" t="str">
        <v/>
      </c>
      <c r="AK165" s="529" t="str">
        <v/>
      </c>
      <c r="AL165" s="529" t="str">
        <v/>
      </c>
      <c r="AM165" s="529" t="str">
        <v/>
      </c>
      <c r="AN165" s="529" t="str">
        <v/>
      </c>
      <c r="AO165" s="529" t="str">
        <v/>
      </c>
      <c r="AP165" s="529" t="str">
        <v/>
      </c>
      <c r="AQ165" s="529" t="str">
        <v/>
      </c>
      <c r="AR165" s="529">
        <v>0</v>
      </c>
      <c r="AS165" s="529">
        <v>0</v>
      </c>
      <c r="AT165" s="529">
        <f t="shared" si="45"/>
        <v>0</v>
      </c>
      <c r="AU165" s="529">
        <v>0</v>
      </c>
      <c r="AV165" s="529">
        <f t="shared" si="46"/>
        <v>0</v>
      </c>
      <c r="AW165" s="529">
        <f t="shared" si="47"/>
        <v>0</v>
      </c>
      <c r="AX165" s="529">
        <v>0</v>
      </c>
      <c r="AY165" s="529">
        <v>0</v>
      </c>
      <c r="AZ165" s="761">
        <f t="shared" si="36"/>
        <v>0</v>
      </c>
      <c r="BA165" s="761">
        <f t="shared" si="37"/>
        <v>0</v>
      </c>
      <c r="BB165" s="761">
        <f t="shared" si="38"/>
        <v>0</v>
      </c>
      <c r="BC165" s="761">
        <f t="shared" si="39"/>
        <v>0</v>
      </c>
      <c r="BD165" s="761">
        <f t="shared" si="40"/>
        <v>0</v>
      </c>
      <c r="BE165" s="761">
        <f t="shared" si="41"/>
        <v>0</v>
      </c>
      <c r="BF165" s="761">
        <f t="shared" si="42"/>
        <v>0</v>
      </c>
      <c r="BG165" s="761">
        <f t="shared" si="43"/>
        <v>0</v>
      </c>
      <c r="BH165" s="777">
        <v>0</v>
      </c>
      <c r="BI165" s="755"/>
      <c r="BJ165" s="778">
        <f>IF(X166=0,0,           IF(ISNUMBER(BI165),BI165,               IF(ISTEXT(BI165),INDEX(AZ165:BG165,MATCH(BI165,$AZ$12:$BG$12,0)),             IF(BH165="INT",_xll.qInterp(X166,AB165:AI165,AZ165:BG165),            INDEX(AZ165:BG165,MATCH(BH165,$AZ$12:$BG$12,0))))))</f>
        <v>0</v>
      </c>
      <c r="BK165" s="408">
        <f t="shared" si="48"/>
        <v>0</v>
      </c>
      <c r="BL165" s="414">
        <f t="shared" si="49"/>
        <v>0</v>
      </c>
      <c r="BM165" s="408">
        <f t="shared" si="50"/>
        <v>0</v>
      </c>
    </row>
    <row r="166" spans="16:65">
      <c r="P166" s="779">
        <v>0</v>
      </c>
      <c r="Q166" s="780">
        <f t="shared" si="34"/>
        <v>0</v>
      </c>
      <c r="R166" s="776">
        <f>IF(P167,_xll.qDateYears(P166,P167,DCCfixed),0)</f>
        <v>0</v>
      </c>
      <c r="S166" s="553">
        <v>0</v>
      </c>
      <c r="T166" s="785"/>
      <c r="U166" s="409">
        <f t="shared" si="44"/>
        <v>0</v>
      </c>
      <c r="X166" s="363">
        <v>0</v>
      </c>
      <c r="Y166" s="775">
        <f t="shared" si="35"/>
        <v>0</v>
      </c>
      <c r="Z166" s="776">
        <f>IF(X167,_xll.qDateYears(X166,X167,DCCfloat),0)</f>
        <v>0</v>
      </c>
      <c r="AA166" s="553">
        <v>0</v>
      </c>
      <c r="AB166" s="789">
        <f>IF($X166=0,0,      _xll.qDateNext($X166,AB$12,"M",FRM&lt;&gt;"Calypso",CCY))</f>
        <v>0</v>
      </c>
      <c r="AC166" s="789">
        <f>IF($X166=0,0,      _xll.qDateNext($X166,AC$12,"M",FRM&lt;&gt;"Calypso",CCY))</f>
        <v>0</v>
      </c>
      <c r="AD166" s="789">
        <f>IF($X166=0,0,      _xll.qDateNext($X166,AD$12,"M",FRM&lt;&gt;"Calypso",CCY))</f>
        <v>0</v>
      </c>
      <c r="AE166" s="789">
        <f>IF($X166=0,0,      _xll.qDateNext($X166,AE$12,"M",FRM&lt;&gt;"Calypso",CCY))</f>
        <v>0</v>
      </c>
      <c r="AF166" s="789">
        <f>IF($X166=0,0,      _xll.qDateNext($X166,AF$12,"M",FRM&lt;&gt;"Calypso",CCY))</f>
        <v>0</v>
      </c>
      <c r="AG166" s="789">
        <f>IF($X166=0,0,      _xll.qDateNext($X166,AG$12,"M",FRM&lt;&gt;"Calypso",CCY))</f>
        <v>0</v>
      </c>
      <c r="AH166" s="789">
        <f>IF($X166=0,0,      _xll.qDateNext($X166,AH$12,"M",FRM&lt;&gt;"Calypso",CCY))</f>
        <v>0</v>
      </c>
      <c r="AI166" s="789">
        <f>IF($X166=0,0,      _xll.qDateNext($X166,AI$12,"M",FRM&lt;&gt;"Calypso",CCY))</f>
        <v>0</v>
      </c>
      <c r="AJ166" s="529" t="str">
        <v/>
      </c>
      <c r="AK166" s="529" t="str">
        <v/>
      </c>
      <c r="AL166" s="529" t="str">
        <v/>
      </c>
      <c r="AM166" s="529" t="str">
        <v/>
      </c>
      <c r="AN166" s="529" t="str">
        <v/>
      </c>
      <c r="AO166" s="529" t="str">
        <v/>
      </c>
      <c r="AP166" s="529" t="str">
        <v/>
      </c>
      <c r="AQ166" s="529" t="str">
        <v/>
      </c>
      <c r="AR166" s="529">
        <v>0</v>
      </c>
      <c r="AS166" s="529">
        <v>0</v>
      </c>
      <c r="AT166" s="529">
        <f t="shared" si="45"/>
        <v>0</v>
      </c>
      <c r="AU166" s="529">
        <v>0</v>
      </c>
      <c r="AV166" s="529">
        <f t="shared" si="46"/>
        <v>0</v>
      </c>
      <c r="AW166" s="529">
        <f t="shared" si="47"/>
        <v>0</v>
      </c>
      <c r="AX166" s="529">
        <v>0</v>
      </c>
      <c r="AY166" s="529">
        <v>0</v>
      </c>
      <c r="AZ166" s="761">
        <f t="shared" si="36"/>
        <v>0</v>
      </c>
      <c r="BA166" s="761">
        <f t="shared" si="37"/>
        <v>0</v>
      </c>
      <c r="BB166" s="761">
        <f t="shared" si="38"/>
        <v>0</v>
      </c>
      <c r="BC166" s="761">
        <f t="shared" si="39"/>
        <v>0</v>
      </c>
      <c r="BD166" s="761">
        <f t="shared" si="40"/>
        <v>0</v>
      </c>
      <c r="BE166" s="761">
        <f t="shared" si="41"/>
        <v>0</v>
      </c>
      <c r="BF166" s="761">
        <f t="shared" si="42"/>
        <v>0</v>
      </c>
      <c r="BG166" s="761">
        <f t="shared" si="43"/>
        <v>0</v>
      </c>
      <c r="BH166" s="777">
        <v>0</v>
      </c>
      <c r="BI166" s="755"/>
      <c r="BJ166" s="778">
        <f>IF(X167=0,0,           IF(ISNUMBER(BI166),BI166,               IF(ISTEXT(BI166),INDEX(AZ166:BG166,MATCH(BI166,$AZ$12:$BG$12,0)),             IF(BH166="INT",_xll.qInterp(X167,AB166:AI166,AZ166:BG166),            INDEX(AZ166:BG166,MATCH(BH166,$AZ$12:$BG$12,0))))))</f>
        <v>0</v>
      </c>
      <c r="BK166" s="408">
        <f t="shared" si="48"/>
        <v>0</v>
      </c>
      <c r="BL166" s="414">
        <f t="shared" si="49"/>
        <v>0</v>
      </c>
      <c r="BM166" s="408">
        <f t="shared" si="50"/>
        <v>0</v>
      </c>
    </row>
    <row r="167" spans="16:65">
      <c r="P167" s="779">
        <v>0</v>
      </c>
      <c r="Q167" s="780">
        <f t="shared" si="34"/>
        <v>0</v>
      </c>
      <c r="R167" s="776">
        <f>IF(P168,_xll.qDateYears(P167,P168,DCCfixed),0)</f>
        <v>0</v>
      </c>
      <c r="S167" s="553">
        <v>0</v>
      </c>
      <c r="T167" s="785"/>
      <c r="U167" s="409">
        <f t="shared" si="44"/>
        <v>0</v>
      </c>
      <c r="X167" s="363">
        <v>0</v>
      </c>
      <c r="Y167" s="775">
        <f t="shared" si="35"/>
        <v>0</v>
      </c>
      <c r="Z167" s="776">
        <f>IF(X168,_xll.qDateYears(X167,X168,DCCfloat),0)</f>
        <v>0</v>
      </c>
      <c r="AA167" s="553">
        <v>0</v>
      </c>
      <c r="AB167" s="789">
        <f>IF($X167=0,0,      _xll.qDateNext($X167,AB$12,"M",FRM&lt;&gt;"Calypso",CCY))</f>
        <v>0</v>
      </c>
      <c r="AC167" s="789">
        <f>IF($X167=0,0,      _xll.qDateNext($X167,AC$12,"M",FRM&lt;&gt;"Calypso",CCY))</f>
        <v>0</v>
      </c>
      <c r="AD167" s="789">
        <f>IF($X167=0,0,      _xll.qDateNext($X167,AD$12,"M",FRM&lt;&gt;"Calypso",CCY))</f>
        <v>0</v>
      </c>
      <c r="AE167" s="789">
        <f>IF($X167=0,0,      _xll.qDateNext($X167,AE$12,"M",FRM&lt;&gt;"Calypso",CCY))</f>
        <v>0</v>
      </c>
      <c r="AF167" s="789">
        <f>IF($X167=0,0,      _xll.qDateNext($X167,AF$12,"M",FRM&lt;&gt;"Calypso",CCY))</f>
        <v>0</v>
      </c>
      <c r="AG167" s="789">
        <f>IF($X167=0,0,      _xll.qDateNext($X167,AG$12,"M",FRM&lt;&gt;"Calypso",CCY))</f>
        <v>0</v>
      </c>
      <c r="AH167" s="789">
        <f>IF($X167=0,0,      _xll.qDateNext($X167,AH$12,"M",FRM&lt;&gt;"Calypso",CCY))</f>
        <v>0</v>
      </c>
      <c r="AI167" s="789">
        <f>IF($X167=0,0,      _xll.qDateNext($X167,AI$12,"M",FRM&lt;&gt;"Calypso",CCY))</f>
        <v>0</v>
      </c>
      <c r="AJ167" s="529" t="str">
        <v/>
      </c>
      <c r="AK167" s="529" t="str">
        <v/>
      </c>
      <c r="AL167" s="529" t="str">
        <v/>
      </c>
      <c r="AM167" s="529" t="str">
        <v/>
      </c>
      <c r="AN167" s="529" t="str">
        <v/>
      </c>
      <c r="AO167" s="529" t="str">
        <v/>
      </c>
      <c r="AP167" s="529" t="str">
        <v/>
      </c>
      <c r="AQ167" s="529" t="str">
        <v/>
      </c>
      <c r="AR167" s="529">
        <v>0</v>
      </c>
      <c r="AS167" s="529">
        <v>0</v>
      </c>
      <c r="AT167" s="529">
        <f t="shared" si="45"/>
        <v>0</v>
      </c>
      <c r="AU167" s="529">
        <v>0</v>
      </c>
      <c r="AV167" s="529">
        <f t="shared" si="46"/>
        <v>0</v>
      </c>
      <c r="AW167" s="529">
        <f t="shared" si="47"/>
        <v>0</v>
      </c>
      <c r="AX167" s="529">
        <v>0</v>
      </c>
      <c r="AY167" s="529">
        <v>0</v>
      </c>
      <c r="AZ167" s="761">
        <f t="shared" si="36"/>
        <v>0</v>
      </c>
      <c r="BA167" s="761">
        <f t="shared" si="37"/>
        <v>0</v>
      </c>
      <c r="BB167" s="761">
        <f t="shared" si="38"/>
        <v>0</v>
      </c>
      <c r="BC167" s="761">
        <f t="shared" si="39"/>
        <v>0</v>
      </c>
      <c r="BD167" s="761">
        <f t="shared" si="40"/>
        <v>0</v>
      </c>
      <c r="BE167" s="761">
        <f t="shared" si="41"/>
        <v>0</v>
      </c>
      <c r="BF167" s="761">
        <f t="shared" si="42"/>
        <v>0</v>
      </c>
      <c r="BG167" s="761">
        <f t="shared" si="43"/>
        <v>0</v>
      </c>
      <c r="BH167" s="777">
        <v>0</v>
      </c>
      <c r="BI167" s="755"/>
      <c r="BJ167" s="778">
        <f>IF(X168=0,0,           IF(ISNUMBER(BI167),BI167,               IF(ISTEXT(BI167),INDEX(AZ167:BG167,MATCH(BI167,$AZ$12:$BG$12,0)),             IF(BH167="INT",_xll.qInterp(X168,AB167:AI167,AZ167:BG167),            INDEX(AZ167:BG167,MATCH(BH167,$AZ$12:$BG$12,0))))))</f>
        <v>0</v>
      </c>
      <c r="BK167" s="408">
        <f t="shared" si="48"/>
        <v>0</v>
      </c>
      <c r="BL167" s="414">
        <f t="shared" si="49"/>
        <v>0</v>
      </c>
      <c r="BM167" s="408">
        <f t="shared" si="50"/>
        <v>0</v>
      </c>
    </row>
    <row r="168" spans="16:65">
      <c r="P168" s="779">
        <v>0</v>
      </c>
      <c r="Q168" s="780">
        <f t="shared" si="34"/>
        <v>0</v>
      </c>
      <c r="R168" s="776">
        <f>IF(P169,_xll.qDateYears(P168,P169,DCCfixed),0)</f>
        <v>0</v>
      </c>
      <c r="S168" s="553">
        <v>0</v>
      </c>
      <c r="T168" s="785"/>
      <c r="U168" s="409">
        <f t="shared" si="44"/>
        <v>0</v>
      </c>
      <c r="X168" s="363">
        <v>0</v>
      </c>
      <c r="Y168" s="775">
        <f t="shared" si="35"/>
        <v>0</v>
      </c>
      <c r="Z168" s="776">
        <f>IF(X169,_xll.qDateYears(X168,X169,DCCfloat),0)</f>
        <v>0</v>
      </c>
      <c r="AA168" s="553">
        <v>0</v>
      </c>
      <c r="AB168" s="789">
        <f>IF($X168=0,0,      _xll.qDateNext($X168,AB$12,"M",FRM&lt;&gt;"Calypso",CCY))</f>
        <v>0</v>
      </c>
      <c r="AC168" s="789">
        <f>IF($X168=0,0,      _xll.qDateNext($X168,AC$12,"M",FRM&lt;&gt;"Calypso",CCY))</f>
        <v>0</v>
      </c>
      <c r="AD168" s="789">
        <f>IF($X168=0,0,      _xll.qDateNext($X168,AD$12,"M",FRM&lt;&gt;"Calypso",CCY))</f>
        <v>0</v>
      </c>
      <c r="AE168" s="789">
        <f>IF($X168=0,0,      _xll.qDateNext($X168,AE$12,"M",FRM&lt;&gt;"Calypso",CCY))</f>
        <v>0</v>
      </c>
      <c r="AF168" s="789">
        <f>IF($X168=0,0,      _xll.qDateNext($X168,AF$12,"M",FRM&lt;&gt;"Calypso",CCY))</f>
        <v>0</v>
      </c>
      <c r="AG168" s="789">
        <f>IF($X168=0,0,      _xll.qDateNext($X168,AG$12,"M",FRM&lt;&gt;"Calypso",CCY))</f>
        <v>0</v>
      </c>
      <c r="AH168" s="789">
        <f>IF($X168=0,0,      _xll.qDateNext($X168,AH$12,"M",FRM&lt;&gt;"Calypso",CCY))</f>
        <v>0</v>
      </c>
      <c r="AI168" s="789">
        <f>IF($X168=0,0,      _xll.qDateNext($X168,AI$12,"M",FRM&lt;&gt;"Calypso",CCY))</f>
        <v>0</v>
      </c>
      <c r="AJ168" s="529" t="str">
        <v/>
      </c>
      <c r="AK168" s="529" t="str">
        <v/>
      </c>
      <c r="AL168" s="529" t="str">
        <v/>
      </c>
      <c r="AM168" s="529" t="str">
        <v/>
      </c>
      <c r="AN168" s="529" t="str">
        <v/>
      </c>
      <c r="AO168" s="529" t="str">
        <v/>
      </c>
      <c r="AP168" s="529" t="str">
        <v/>
      </c>
      <c r="AQ168" s="529" t="str">
        <v/>
      </c>
      <c r="AR168" s="529">
        <v>0</v>
      </c>
      <c r="AS168" s="529">
        <v>0</v>
      </c>
      <c r="AT168" s="529">
        <f t="shared" si="45"/>
        <v>0</v>
      </c>
      <c r="AU168" s="529">
        <v>0</v>
      </c>
      <c r="AV168" s="529">
        <f t="shared" si="46"/>
        <v>0</v>
      </c>
      <c r="AW168" s="529">
        <f t="shared" si="47"/>
        <v>0</v>
      </c>
      <c r="AX168" s="529">
        <v>0</v>
      </c>
      <c r="AY168" s="529">
        <v>0</v>
      </c>
      <c r="AZ168" s="761">
        <f t="shared" si="36"/>
        <v>0</v>
      </c>
      <c r="BA168" s="761">
        <f t="shared" si="37"/>
        <v>0</v>
      </c>
      <c r="BB168" s="761">
        <f t="shared" si="38"/>
        <v>0</v>
      </c>
      <c r="BC168" s="761">
        <f t="shared" si="39"/>
        <v>0</v>
      </c>
      <c r="BD168" s="761">
        <f t="shared" si="40"/>
        <v>0</v>
      </c>
      <c r="BE168" s="761">
        <f t="shared" si="41"/>
        <v>0</v>
      </c>
      <c r="BF168" s="761">
        <f t="shared" si="42"/>
        <v>0</v>
      </c>
      <c r="BG168" s="761">
        <f t="shared" si="43"/>
        <v>0</v>
      </c>
      <c r="BH168" s="777">
        <v>0</v>
      </c>
      <c r="BI168" s="755"/>
      <c r="BJ168" s="778">
        <f>IF(X169=0,0,           IF(ISNUMBER(BI168),BI168,               IF(ISTEXT(BI168),INDEX(AZ168:BG168,MATCH(BI168,$AZ$12:$BG$12,0)),             IF(BH168="INT",_xll.qInterp(X169,AB168:AI168,AZ168:BG168),            INDEX(AZ168:BG168,MATCH(BH168,$AZ$12:$BG$12,0))))))</f>
        <v>0</v>
      </c>
      <c r="BK168" s="408">
        <f t="shared" si="48"/>
        <v>0</v>
      </c>
      <c r="BL168" s="414">
        <f t="shared" si="49"/>
        <v>0</v>
      </c>
      <c r="BM168" s="408">
        <f t="shared" si="50"/>
        <v>0</v>
      </c>
    </row>
    <row r="169" spans="16:65">
      <c r="P169" s="779">
        <v>0</v>
      </c>
      <c r="Q169" s="780">
        <f t="shared" si="34"/>
        <v>0</v>
      </c>
      <c r="R169" s="776">
        <f>IF(P170,_xll.qDateYears(P169,P170,DCCfixed),0)</f>
        <v>0</v>
      </c>
      <c r="S169" s="553">
        <v>0</v>
      </c>
      <c r="T169" s="785"/>
      <c r="U169" s="409">
        <f t="shared" si="44"/>
        <v>0</v>
      </c>
      <c r="X169" s="363">
        <v>0</v>
      </c>
      <c r="Y169" s="775">
        <f t="shared" si="35"/>
        <v>0</v>
      </c>
      <c r="Z169" s="776">
        <f>IF(X170,_xll.qDateYears(X169,X170,DCCfloat),0)</f>
        <v>0</v>
      </c>
      <c r="AA169" s="553">
        <v>0</v>
      </c>
      <c r="AB169" s="789">
        <f>IF($X169=0,0,      _xll.qDateNext($X169,AB$12,"M",FRM&lt;&gt;"Calypso",CCY))</f>
        <v>0</v>
      </c>
      <c r="AC169" s="789">
        <f>IF($X169=0,0,      _xll.qDateNext($X169,AC$12,"M",FRM&lt;&gt;"Calypso",CCY))</f>
        <v>0</v>
      </c>
      <c r="AD169" s="789">
        <f>IF($X169=0,0,      _xll.qDateNext($X169,AD$12,"M",FRM&lt;&gt;"Calypso",CCY))</f>
        <v>0</v>
      </c>
      <c r="AE169" s="789">
        <f>IF($X169=0,0,      _xll.qDateNext($X169,AE$12,"M",FRM&lt;&gt;"Calypso",CCY))</f>
        <v>0</v>
      </c>
      <c r="AF169" s="789">
        <f>IF($X169=0,0,      _xll.qDateNext($X169,AF$12,"M",FRM&lt;&gt;"Calypso",CCY))</f>
        <v>0</v>
      </c>
      <c r="AG169" s="789">
        <f>IF($X169=0,0,      _xll.qDateNext($X169,AG$12,"M",FRM&lt;&gt;"Calypso",CCY))</f>
        <v>0</v>
      </c>
      <c r="AH169" s="789">
        <f>IF($X169=0,0,      _xll.qDateNext($X169,AH$12,"M",FRM&lt;&gt;"Calypso",CCY))</f>
        <v>0</v>
      </c>
      <c r="AI169" s="789">
        <f>IF($X169=0,0,      _xll.qDateNext($X169,AI$12,"M",FRM&lt;&gt;"Calypso",CCY))</f>
        <v>0</v>
      </c>
      <c r="AJ169" s="529" t="str">
        <v/>
      </c>
      <c r="AK169" s="529" t="str">
        <v/>
      </c>
      <c r="AL169" s="529" t="str">
        <v/>
      </c>
      <c r="AM169" s="529" t="str">
        <v/>
      </c>
      <c r="AN169" s="529" t="str">
        <v/>
      </c>
      <c r="AO169" s="529" t="str">
        <v/>
      </c>
      <c r="AP169" s="529" t="str">
        <v/>
      </c>
      <c r="AQ169" s="529" t="str">
        <v/>
      </c>
      <c r="AR169" s="529">
        <v>0</v>
      </c>
      <c r="AS169" s="529">
        <v>0</v>
      </c>
      <c r="AT169" s="529">
        <f t="shared" si="45"/>
        <v>0</v>
      </c>
      <c r="AU169" s="529">
        <v>0</v>
      </c>
      <c r="AV169" s="529">
        <f t="shared" si="46"/>
        <v>0</v>
      </c>
      <c r="AW169" s="529">
        <f t="shared" si="47"/>
        <v>0</v>
      </c>
      <c r="AX169" s="529">
        <v>0</v>
      </c>
      <c r="AY169" s="529">
        <v>0</v>
      </c>
      <c r="AZ169" s="761">
        <f t="shared" si="36"/>
        <v>0</v>
      </c>
      <c r="BA169" s="761">
        <f t="shared" si="37"/>
        <v>0</v>
      </c>
      <c r="BB169" s="761">
        <f t="shared" si="38"/>
        <v>0</v>
      </c>
      <c r="BC169" s="761">
        <f t="shared" si="39"/>
        <v>0</v>
      </c>
      <c r="BD169" s="761">
        <f t="shared" si="40"/>
        <v>0</v>
      </c>
      <c r="BE169" s="761">
        <f t="shared" si="41"/>
        <v>0</v>
      </c>
      <c r="BF169" s="761">
        <f t="shared" si="42"/>
        <v>0</v>
      </c>
      <c r="BG169" s="761">
        <f t="shared" si="43"/>
        <v>0</v>
      </c>
      <c r="BH169" s="777">
        <v>0</v>
      </c>
      <c r="BI169" s="755"/>
      <c r="BJ169" s="778">
        <f>IF(X170=0,0,           IF(ISNUMBER(BI169),BI169,               IF(ISTEXT(BI169),INDEX(AZ169:BG169,MATCH(BI169,$AZ$12:$BG$12,0)),             IF(BH169="INT",_xll.qInterp(X170,AB169:AI169,AZ169:BG169),            INDEX(AZ169:BG169,MATCH(BH169,$AZ$12:$BG$12,0))))))</f>
        <v>0</v>
      </c>
      <c r="BK169" s="408">
        <f t="shared" si="48"/>
        <v>0</v>
      </c>
      <c r="BL169" s="414">
        <f t="shared" si="49"/>
        <v>0</v>
      </c>
      <c r="BM169" s="408">
        <f t="shared" si="50"/>
        <v>0</v>
      </c>
    </row>
    <row r="170" spans="16:65">
      <c r="P170" s="779">
        <v>0</v>
      </c>
      <c r="Q170" s="780">
        <f t="shared" si="34"/>
        <v>0</v>
      </c>
      <c r="R170" s="776">
        <f>IF(P171,_xll.qDateYears(P170,P171,DCCfixed),0)</f>
        <v>0</v>
      </c>
      <c r="S170" s="553">
        <v>0</v>
      </c>
      <c r="T170" s="785"/>
      <c r="U170" s="409">
        <f t="shared" si="44"/>
        <v>0</v>
      </c>
      <c r="X170" s="363">
        <v>0</v>
      </c>
      <c r="Y170" s="775">
        <f t="shared" si="35"/>
        <v>0</v>
      </c>
      <c r="Z170" s="776">
        <f>IF(X171,_xll.qDateYears(X170,X171,DCCfloat),0)</f>
        <v>0</v>
      </c>
      <c r="AA170" s="553">
        <v>0</v>
      </c>
      <c r="AB170" s="789">
        <f>IF($X170=0,0,      _xll.qDateNext($X170,AB$12,"M",FRM&lt;&gt;"Calypso",CCY))</f>
        <v>0</v>
      </c>
      <c r="AC170" s="789">
        <f>IF($X170=0,0,      _xll.qDateNext($X170,AC$12,"M",FRM&lt;&gt;"Calypso",CCY))</f>
        <v>0</v>
      </c>
      <c r="AD170" s="789">
        <f>IF($X170=0,0,      _xll.qDateNext($X170,AD$12,"M",FRM&lt;&gt;"Calypso",CCY))</f>
        <v>0</v>
      </c>
      <c r="AE170" s="789">
        <f>IF($X170=0,0,      _xll.qDateNext($X170,AE$12,"M",FRM&lt;&gt;"Calypso",CCY))</f>
        <v>0</v>
      </c>
      <c r="AF170" s="789">
        <f>IF($X170=0,0,      _xll.qDateNext($X170,AF$12,"M",FRM&lt;&gt;"Calypso",CCY))</f>
        <v>0</v>
      </c>
      <c r="AG170" s="789">
        <f>IF($X170=0,0,      _xll.qDateNext($X170,AG$12,"M",FRM&lt;&gt;"Calypso",CCY))</f>
        <v>0</v>
      </c>
      <c r="AH170" s="789">
        <f>IF($X170=0,0,      _xll.qDateNext($X170,AH$12,"M",FRM&lt;&gt;"Calypso",CCY))</f>
        <v>0</v>
      </c>
      <c r="AI170" s="789">
        <f>IF($X170=0,0,      _xll.qDateNext($X170,AI$12,"M",FRM&lt;&gt;"Calypso",CCY))</f>
        <v>0</v>
      </c>
      <c r="AJ170" s="529" t="str">
        <v/>
      </c>
      <c r="AK170" s="529" t="str">
        <v/>
      </c>
      <c r="AL170" s="529" t="str">
        <v/>
      </c>
      <c r="AM170" s="529" t="str">
        <v/>
      </c>
      <c r="AN170" s="529" t="str">
        <v/>
      </c>
      <c r="AO170" s="529" t="str">
        <v/>
      </c>
      <c r="AP170" s="529" t="str">
        <v/>
      </c>
      <c r="AQ170" s="529" t="str">
        <v/>
      </c>
      <c r="AR170" s="529">
        <v>0</v>
      </c>
      <c r="AS170" s="529">
        <v>0</v>
      </c>
      <c r="AT170" s="529">
        <f t="shared" si="45"/>
        <v>0</v>
      </c>
      <c r="AU170" s="529">
        <v>0</v>
      </c>
      <c r="AV170" s="529">
        <f t="shared" si="46"/>
        <v>0</v>
      </c>
      <c r="AW170" s="529">
        <f t="shared" si="47"/>
        <v>0</v>
      </c>
      <c r="AX170" s="529">
        <v>0</v>
      </c>
      <c r="AY170" s="529">
        <v>0</v>
      </c>
      <c r="AZ170" s="761">
        <f t="shared" si="36"/>
        <v>0</v>
      </c>
      <c r="BA170" s="761">
        <f t="shared" si="37"/>
        <v>0</v>
      </c>
      <c r="BB170" s="761">
        <f t="shared" si="38"/>
        <v>0</v>
      </c>
      <c r="BC170" s="761">
        <f t="shared" si="39"/>
        <v>0</v>
      </c>
      <c r="BD170" s="761">
        <f t="shared" si="40"/>
        <v>0</v>
      </c>
      <c r="BE170" s="761">
        <f t="shared" si="41"/>
        <v>0</v>
      </c>
      <c r="BF170" s="761">
        <f t="shared" si="42"/>
        <v>0</v>
      </c>
      <c r="BG170" s="761">
        <f t="shared" si="43"/>
        <v>0</v>
      </c>
      <c r="BH170" s="777">
        <v>0</v>
      </c>
      <c r="BI170" s="755"/>
      <c r="BJ170" s="778">
        <f>IF(X171=0,0,           IF(ISNUMBER(BI170),BI170,               IF(ISTEXT(BI170),INDEX(AZ170:BG170,MATCH(BI170,$AZ$12:$BG$12,0)),             IF(BH170="INT",_xll.qInterp(X171,AB170:AI170,AZ170:BG170),            INDEX(AZ170:BG170,MATCH(BH170,$AZ$12:$BG$12,0))))))</f>
        <v>0</v>
      </c>
      <c r="BK170" s="408">
        <f t="shared" si="48"/>
        <v>0</v>
      </c>
      <c r="BL170" s="414">
        <f t="shared" si="49"/>
        <v>0</v>
      </c>
      <c r="BM170" s="408">
        <f t="shared" si="50"/>
        <v>0</v>
      </c>
    </row>
    <row r="171" spans="16:65">
      <c r="P171" s="779">
        <v>0</v>
      </c>
      <c r="Q171" s="780">
        <f t="shared" si="34"/>
        <v>0</v>
      </c>
      <c r="R171" s="776">
        <f>IF(P172,_xll.qDateYears(P171,P172,DCCfixed),0)</f>
        <v>0</v>
      </c>
      <c r="S171" s="553">
        <v>0</v>
      </c>
      <c r="T171" s="785"/>
      <c r="U171" s="409">
        <f t="shared" si="44"/>
        <v>0</v>
      </c>
      <c r="X171" s="363">
        <v>0</v>
      </c>
      <c r="Y171" s="775">
        <f t="shared" si="35"/>
        <v>0</v>
      </c>
      <c r="Z171" s="776">
        <f>IF(X172,_xll.qDateYears(X171,X172,DCCfloat),0)</f>
        <v>0</v>
      </c>
      <c r="AA171" s="553">
        <v>0</v>
      </c>
      <c r="AB171" s="789">
        <f>IF($X171=0,0,      _xll.qDateNext($X171,AB$12,"M",FRM&lt;&gt;"Calypso",CCY))</f>
        <v>0</v>
      </c>
      <c r="AC171" s="789">
        <f>IF($X171=0,0,      _xll.qDateNext($X171,AC$12,"M",FRM&lt;&gt;"Calypso",CCY))</f>
        <v>0</v>
      </c>
      <c r="AD171" s="789">
        <f>IF($X171=0,0,      _xll.qDateNext($X171,AD$12,"M",FRM&lt;&gt;"Calypso",CCY))</f>
        <v>0</v>
      </c>
      <c r="AE171" s="789">
        <f>IF($X171=0,0,      _xll.qDateNext($X171,AE$12,"M",FRM&lt;&gt;"Calypso",CCY))</f>
        <v>0</v>
      </c>
      <c r="AF171" s="789">
        <f>IF($X171=0,0,      _xll.qDateNext($X171,AF$12,"M",FRM&lt;&gt;"Calypso",CCY))</f>
        <v>0</v>
      </c>
      <c r="AG171" s="789">
        <f>IF($X171=0,0,      _xll.qDateNext($X171,AG$12,"M",FRM&lt;&gt;"Calypso",CCY))</f>
        <v>0</v>
      </c>
      <c r="AH171" s="789">
        <f>IF($X171=0,0,      _xll.qDateNext($X171,AH$12,"M",FRM&lt;&gt;"Calypso",CCY))</f>
        <v>0</v>
      </c>
      <c r="AI171" s="789">
        <f>IF($X171=0,0,      _xll.qDateNext($X171,AI$12,"M",FRM&lt;&gt;"Calypso",CCY))</f>
        <v>0</v>
      </c>
      <c r="AJ171" s="529" t="str">
        <v/>
      </c>
      <c r="AK171" s="529" t="str">
        <v/>
      </c>
      <c r="AL171" s="529" t="str">
        <v/>
      </c>
      <c r="AM171" s="529" t="str">
        <v/>
      </c>
      <c r="AN171" s="529" t="str">
        <v/>
      </c>
      <c r="AO171" s="529" t="str">
        <v/>
      </c>
      <c r="AP171" s="529" t="str">
        <v/>
      </c>
      <c r="AQ171" s="529" t="str">
        <v/>
      </c>
      <c r="AR171" s="529">
        <v>0</v>
      </c>
      <c r="AS171" s="529">
        <v>0</v>
      </c>
      <c r="AT171" s="529">
        <f t="shared" si="45"/>
        <v>0</v>
      </c>
      <c r="AU171" s="529">
        <v>0</v>
      </c>
      <c r="AV171" s="529">
        <f t="shared" si="46"/>
        <v>0</v>
      </c>
      <c r="AW171" s="529">
        <f t="shared" si="47"/>
        <v>0</v>
      </c>
      <c r="AX171" s="529">
        <v>0</v>
      </c>
      <c r="AY171" s="529">
        <v>0</v>
      </c>
      <c r="AZ171" s="761">
        <f t="shared" si="36"/>
        <v>0</v>
      </c>
      <c r="BA171" s="761">
        <f t="shared" si="37"/>
        <v>0</v>
      </c>
      <c r="BB171" s="761">
        <f t="shared" si="38"/>
        <v>0</v>
      </c>
      <c r="BC171" s="761">
        <f t="shared" si="39"/>
        <v>0</v>
      </c>
      <c r="BD171" s="761">
        <f t="shared" si="40"/>
        <v>0</v>
      </c>
      <c r="BE171" s="761">
        <f t="shared" si="41"/>
        <v>0</v>
      </c>
      <c r="BF171" s="761">
        <f t="shared" si="42"/>
        <v>0</v>
      </c>
      <c r="BG171" s="761">
        <f t="shared" si="43"/>
        <v>0</v>
      </c>
      <c r="BH171" s="777">
        <v>0</v>
      </c>
      <c r="BI171" s="755"/>
      <c r="BJ171" s="778">
        <f>IF(X172=0,0,           IF(ISNUMBER(BI171),BI171,               IF(ISTEXT(BI171),INDEX(AZ171:BG171,MATCH(BI171,$AZ$12:$BG$12,0)),             IF(BH171="INT",_xll.qInterp(X172,AB171:AI171,AZ171:BG171),            INDEX(AZ171:BG171,MATCH(BH171,$AZ$12:$BG$12,0))))))</f>
        <v>0</v>
      </c>
      <c r="BK171" s="408">
        <f t="shared" si="48"/>
        <v>0</v>
      </c>
      <c r="BL171" s="414">
        <f t="shared" si="49"/>
        <v>0</v>
      </c>
      <c r="BM171" s="408">
        <f t="shared" si="50"/>
        <v>0</v>
      </c>
    </row>
    <row r="172" spans="16:65">
      <c r="P172" s="779">
        <v>0</v>
      </c>
      <c r="Q172" s="780">
        <f t="shared" si="34"/>
        <v>0</v>
      </c>
      <c r="R172" s="776">
        <f>IF(P173,_xll.qDateYears(P172,P173,DCCfixed),0)</f>
        <v>0</v>
      </c>
      <c r="S172" s="553">
        <v>0</v>
      </c>
      <c r="T172" s="785"/>
      <c r="U172" s="409">
        <f t="shared" si="44"/>
        <v>0</v>
      </c>
      <c r="X172" s="363">
        <v>0</v>
      </c>
      <c r="Y172" s="775">
        <f t="shared" si="35"/>
        <v>0</v>
      </c>
      <c r="Z172" s="776">
        <f>IF(X173,_xll.qDateYears(X172,X173,DCCfloat),0)</f>
        <v>0</v>
      </c>
      <c r="AA172" s="553">
        <v>0</v>
      </c>
      <c r="AB172" s="789">
        <f>IF($X172=0,0,      _xll.qDateNext($X172,AB$12,"M",FRM&lt;&gt;"Calypso",CCY))</f>
        <v>0</v>
      </c>
      <c r="AC172" s="789">
        <f>IF($X172=0,0,      _xll.qDateNext($X172,AC$12,"M",FRM&lt;&gt;"Calypso",CCY))</f>
        <v>0</v>
      </c>
      <c r="AD172" s="789">
        <f>IF($X172=0,0,      _xll.qDateNext($X172,AD$12,"M",FRM&lt;&gt;"Calypso",CCY))</f>
        <v>0</v>
      </c>
      <c r="AE172" s="789">
        <f>IF($X172=0,0,      _xll.qDateNext($X172,AE$12,"M",FRM&lt;&gt;"Calypso",CCY))</f>
        <v>0</v>
      </c>
      <c r="AF172" s="789">
        <f>IF($X172=0,0,      _xll.qDateNext($X172,AF$12,"M",FRM&lt;&gt;"Calypso",CCY))</f>
        <v>0</v>
      </c>
      <c r="AG172" s="789">
        <f>IF($X172=0,0,      _xll.qDateNext($X172,AG$12,"M",FRM&lt;&gt;"Calypso",CCY))</f>
        <v>0</v>
      </c>
      <c r="AH172" s="789">
        <f>IF($X172=0,0,      _xll.qDateNext($X172,AH$12,"M",FRM&lt;&gt;"Calypso",CCY))</f>
        <v>0</v>
      </c>
      <c r="AI172" s="789">
        <f>IF($X172=0,0,      _xll.qDateNext($X172,AI$12,"M",FRM&lt;&gt;"Calypso",CCY))</f>
        <v>0</v>
      </c>
      <c r="AJ172" s="529" t="str">
        <v/>
      </c>
      <c r="AK172" s="529" t="str">
        <v/>
      </c>
      <c r="AL172" s="529" t="str">
        <v/>
      </c>
      <c r="AM172" s="529" t="str">
        <v/>
      </c>
      <c r="AN172" s="529" t="str">
        <v/>
      </c>
      <c r="AO172" s="529" t="str">
        <v/>
      </c>
      <c r="AP172" s="529" t="str">
        <v/>
      </c>
      <c r="AQ172" s="529" t="str">
        <v/>
      </c>
      <c r="AR172" s="529">
        <v>0</v>
      </c>
      <c r="AS172" s="529">
        <v>0</v>
      </c>
      <c r="AT172" s="529">
        <f t="shared" si="45"/>
        <v>0</v>
      </c>
      <c r="AU172" s="529">
        <v>0</v>
      </c>
      <c r="AV172" s="529">
        <f t="shared" si="46"/>
        <v>0</v>
      </c>
      <c r="AW172" s="529">
        <f t="shared" si="47"/>
        <v>0</v>
      </c>
      <c r="AX172" s="529">
        <v>0</v>
      </c>
      <c r="AY172" s="529">
        <v>0</v>
      </c>
      <c r="AZ172" s="761">
        <f t="shared" si="36"/>
        <v>0</v>
      </c>
      <c r="BA172" s="761">
        <f t="shared" si="37"/>
        <v>0</v>
      </c>
      <c r="BB172" s="761">
        <f t="shared" si="38"/>
        <v>0</v>
      </c>
      <c r="BC172" s="761">
        <f t="shared" si="39"/>
        <v>0</v>
      </c>
      <c r="BD172" s="761">
        <f t="shared" si="40"/>
        <v>0</v>
      </c>
      <c r="BE172" s="761">
        <f t="shared" si="41"/>
        <v>0</v>
      </c>
      <c r="BF172" s="761">
        <f t="shared" si="42"/>
        <v>0</v>
      </c>
      <c r="BG172" s="761">
        <f t="shared" si="43"/>
        <v>0</v>
      </c>
      <c r="BH172" s="777">
        <v>0</v>
      </c>
      <c r="BI172" s="755"/>
      <c r="BJ172" s="778">
        <f>IF(X173=0,0,           IF(ISNUMBER(BI172),BI172,               IF(ISTEXT(BI172),INDEX(AZ172:BG172,MATCH(BI172,$AZ$12:$BG$12,0)),             IF(BH172="INT",_xll.qInterp(X173,AB172:AI172,AZ172:BG172),            INDEX(AZ172:BG172,MATCH(BH172,$AZ$12:$BG$12,0))))))</f>
        <v>0</v>
      </c>
      <c r="BK172" s="408">
        <f t="shared" si="48"/>
        <v>0</v>
      </c>
      <c r="BL172" s="414">
        <f t="shared" si="49"/>
        <v>0</v>
      </c>
      <c r="BM172" s="408">
        <f t="shared" si="50"/>
        <v>0</v>
      </c>
    </row>
    <row r="173" spans="16:65">
      <c r="P173" s="779">
        <v>0</v>
      </c>
      <c r="Q173" s="780">
        <f t="shared" si="34"/>
        <v>0</v>
      </c>
      <c r="R173" s="776">
        <f>IF(P174,_xll.qDateYears(P173,P174,DCCfixed),0)</f>
        <v>0</v>
      </c>
      <c r="S173" s="553">
        <v>0</v>
      </c>
      <c r="T173" s="785"/>
      <c r="U173" s="409">
        <f t="shared" si="44"/>
        <v>0</v>
      </c>
      <c r="X173" s="363">
        <v>0</v>
      </c>
      <c r="Y173" s="775">
        <f t="shared" si="35"/>
        <v>0</v>
      </c>
      <c r="Z173" s="776">
        <f>IF(X174,_xll.qDateYears(X173,X174,DCCfloat),0)</f>
        <v>0</v>
      </c>
      <c r="AA173" s="553">
        <v>0</v>
      </c>
      <c r="AB173" s="789">
        <f>IF($X173=0,0,      _xll.qDateNext($X173,AB$12,"M",FRM&lt;&gt;"Calypso",CCY))</f>
        <v>0</v>
      </c>
      <c r="AC173" s="789">
        <f>IF($X173=0,0,      _xll.qDateNext($X173,AC$12,"M",FRM&lt;&gt;"Calypso",CCY))</f>
        <v>0</v>
      </c>
      <c r="AD173" s="789">
        <f>IF($X173=0,0,      _xll.qDateNext($X173,AD$12,"M",FRM&lt;&gt;"Calypso",CCY))</f>
        <v>0</v>
      </c>
      <c r="AE173" s="789">
        <f>IF($X173=0,0,      _xll.qDateNext($X173,AE$12,"M",FRM&lt;&gt;"Calypso",CCY))</f>
        <v>0</v>
      </c>
      <c r="AF173" s="789">
        <f>IF($X173=0,0,      _xll.qDateNext($X173,AF$12,"M",FRM&lt;&gt;"Calypso",CCY))</f>
        <v>0</v>
      </c>
      <c r="AG173" s="789">
        <f>IF($X173=0,0,      _xll.qDateNext($X173,AG$12,"M",FRM&lt;&gt;"Calypso",CCY))</f>
        <v>0</v>
      </c>
      <c r="AH173" s="789">
        <f>IF($X173=0,0,      _xll.qDateNext($X173,AH$12,"M",FRM&lt;&gt;"Calypso",CCY))</f>
        <v>0</v>
      </c>
      <c r="AI173" s="789">
        <f>IF($X173=0,0,      _xll.qDateNext($X173,AI$12,"M",FRM&lt;&gt;"Calypso",CCY))</f>
        <v>0</v>
      </c>
      <c r="AJ173" s="529" t="str">
        <v/>
      </c>
      <c r="AK173" s="529" t="str">
        <v/>
      </c>
      <c r="AL173" s="529" t="str">
        <v/>
      </c>
      <c r="AM173" s="529" t="str">
        <v/>
      </c>
      <c r="AN173" s="529" t="str">
        <v/>
      </c>
      <c r="AO173" s="529" t="str">
        <v/>
      </c>
      <c r="AP173" s="529" t="str">
        <v/>
      </c>
      <c r="AQ173" s="529" t="str">
        <v/>
      </c>
      <c r="AR173" s="529">
        <v>0</v>
      </c>
      <c r="AS173" s="529">
        <v>0</v>
      </c>
      <c r="AT173" s="529">
        <f t="shared" si="45"/>
        <v>0</v>
      </c>
      <c r="AU173" s="529">
        <v>0</v>
      </c>
      <c r="AV173" s="529">
        <f t="shared" si="46"/>
        <v>0</v>
      </c>
      <c r="AW173" s="529">
        <f t="shared" si="47"/>
        <v>0</v>
      </c>
      <c r="AX173" s="529">
        <v>0</v>
      </c>
      <c r="AY173" s="529">
        <v>0</v>
      </c>
      <c r="AZ173" s="761">
        <f t="shared" si="36"/>
        <v>0</v>
      </c>
      <c r="BA173" s="761">
        <f t="shared" si="37"/>
        <v>0</v>
      </c>
      <c r="BB173" s="761">
        <f t="shared" si="38"/>
        <v>0</v>
      </c>
      <c r="BC173" s="761">
        <f t="shared" si="39"/>
        <v>0</v>
      </c>
      <c r="BD173" s="761">
        <f t="shared" si="40"/>
        <v>0</v>
      </c>
      <c r="BE173" s="761">
        <f t="shared" si="41"/>
        <v>0</v>
      </c>
      <c r="BF173" s="761">
        <f t="shared" si="42"/>
        <v>0</v>
      </c>
      <c r="BG173" s="761">
        <f t="shared" si="43"/>
        <v>0</v>
      </c>
      <c r="BH173" s="777">
        <v>0</v>
      </c>
      <c r="BI173" s="755"/>
      <c r="BJ173" s="778">
        <f>IF(X174=0,0,           IF(ISNUMBER(BI173),BI173,               IF(ISTEXT(BI173),INDEX(AZ173:BG173,MATCH(BI173,$AZ$12:$BG$12,0)),             IF(BH173="INT",_xll.qInterp(X174,AB173:AI173,AZ173:BG173),            INDEX(AZ173:BG173,MATCH(BH173,$AZ$12:$BG$12,0))))))</f>
        <v>0</v>
      </c>
      <c r="BK173" s="408">
        <f t="shared" si="48"/>
        <v>0</v>
      </c>
      <c r="BL173" s="414">
        <f t="shared" si="49"/>
        <v>0</v>
      </c>
      <c r="BM173" s="408">
        <f t="shared" si="50"/>
        <v>0</v>
      </c>
    </row>
    <row r="174" spans="16:65">
      <c r="P174" s="779">
        <v>0</v>
      </c>
      <c r="Q174" s="780">
        <f t="shared" si="34"/>
        <v>0</v>
      </c>
      <c r="R174" s="776">
        <f>IF(P175,_xll.qDateYears(P174,P175,DCCfixed),0)</f>
        <v>0</v>
      </c>
      <c r="S174" s="553">
        <v>0</v>
      </c>
      <c r="T174" s="785"/>
      <c r="U174" s="409">
        <f t="shared" si="44"/>
        <v>0</v>
      </c>
      <c r="X174" s="363">
        <v>0</v>
      </c>
      <c r="Y174" s="775">
        <f t="shared" si="35"/>
        <v>0</v>
      </c>
      <c r="Z174" s="776">
        <f>IF(X175,_xll.qDateYears(X174,X175,DCCfloat),0)</f>
        <v>0</v>
      </c>
      <c r="AA174" s="553">
        <v>0</v>
      </c>
      <c r="AB174" s="789">
        <f>IF($X174=0,0,      _xll.qDateNext($X174,AB$12,"M",FRM&lt;&gt;"Calypso",CCY))</f>
        <v>0</v>
      </c>
      <c r="AC174" s="789">
        <f>IF($X174=0,0,      _xll.qDateNext($X174,AC$12,"M",FRM&lt;&gt;"Calypso",CCY))</f>
        <v>0</v>
      </c>
      <c r="AD174" s="789">
        <f>IF($X174=0,0,      _xll.qDateNext($X174,AD$12,"M",FRM&lt;&gt;"Calypso",CCY))</f>
        <v>0</v>
      </c>
      <c r="AE174" s="789">
        <f>IF($X174=0,0,      _xll.qDateNext($X174,AE$12,"M",FRM&lt;&gt;"Calypso",CCY))</f>
        <v>0</v>
      </c>
      <c r="AF174" s="789">
        <f>IF($X174=0,0,      _xll.qDateNext($X174,AF$12,"M",FRM&lt;&gt;"Calypso",CCY))</f>
        <v>0</v>
      </c>
      <c r="AG174" s="789">
        <f>IF($X174=0,0,      _xll.qDateNext($X174,AG$12,"M",FRM&lt;&gt;"Calypso",CCY))</f>
        <v>0</v>
      </c>
      <c r="AH174" s="789">
        <f>IF($X174=0,0,      _xll.qDateNext($X174,AH$12,"M",FRM&lt;&gt;"Calypso",CCY))</f>
        <v>0</v>
      </c>
      <c r="AI174" s="789">
        <f>IF($X174=0,0,      _xll.qDateNext($X174,AI$12,"M",FRM&lt;&gt;"Calypso",CCY))</f>
        <v>0</v>
      </c>
      <c r="AJ174" s="529" t="str">
        <v/>
      </c>
      <c r="AK174" s="529" t="str">
        <v/>
      </c>
      <c r="AL174" s="529" t="str">
        <v/>
      </c>
      <c r="AM174" s="529" t="str">
        <v/>
      </c>
      <c r="AN174" s="529" t="str">
        <v/>
      </c>
      <c r="AO174" s="529" t="str">
        <v/>
      </c>
      <c r="AP174" s="529" t="str">
        <v/>
      </c>
      <c r="AQ174" s="529" t="str">
        <v/>
      </c>
      <c r="AR174" s="529">
        <v>0</v>
      </c>
      <c r="AS174" s="529">
        <v>0</v>
      </c>
      <c r="AT174" s="529">
        <f t="shared" si="45"/>
        <v>0</v>
      </c>
      <c r="AU174" s="529">
        <v>0</v>
      </c>
      <c r="AV174" s="529">
        <f t="shared" si="46"/>
        <v>0</v>
      </c>
      <c r="AW174" s="529">
        <f t="shared" si="47"/>
        <v>0</v>
      </c>
      <c r="AX174" s="529">
        <v>0</v>
      </c>
      <c r="AY174" s="529">
        <v>0</v>
      </c>
      <c r="AZ174" s="761">
        <f t="shared" si="36"/>
        <v>0</v>
      </c>
      <c r="BA174" s="761">
        <f t="shared" si="37"/>
        <v>0</v>
      </c>
      <c r="BB174" s="761">
        <f t="shared" si="38"/>
        <v>0</v>
      </c>
      <c r="BC174" s="761">
        <f t="shared" si="39"/>
        <v>0</v>
      </c>
      <c r="BD174" s="761">
        <f t="shared" si="40"/>
        <v>0</v>
      </c>
      <c r="BE174" s="761">
        <f t="shared" si="41"/>
        <v>0</v>
      </c>
      <c r="BF174" s="761">
        <f t="shared" si="42"/>
        <v>0</v>
      </c>
      <c r="BG174" s="761">
        <f t="shared" si="43"/>
        <v>0</v>
      </c>
      <c r="BH174" s="777">
        <v>0</v>
      </c>
      <c r="BI174" s="755"/>
      <c r="BJ174" s="778">
        <f>IF(X175=0,0,           IF(ISNUMBER(BI174),BI174,               IF(ISTEXT(BI174),INDEX(AZ174:BG174,MATCH(BI174,$AZ$12:$BG$12,0)),             IF(BH174="INT",_xll.qInterp(X175,AB174:AI174,AZ174:BG174),            INDEX(AZ174:BG174,MATCH(BH174,$AZ$12:$BG$12,0))))))</f>
        <v>0</v>
      </c>
      <c r="BK174" s="408">
        <f t="shared" si="48"/>
        <v>0</v>
      </c>
      <c r="BL174" s="414">
        <f t="shared" si="49"/>
        <v>0</v>
      </c>
      <c r="BM174" s="408">
        <f t="shared" si="50"/>
        <v>0</v>
      </c>
    </row>
    <row r="175" spans="16:65">
      <c r="P175" s="779">
        <v>0</v>
      </c>
      <c r="Q175" s="780">
        <f t="shared" si="34"/>
        <v>0</v>
      </c>
      <c r="R175" s="776">
        <f>IF(P176,_xll.qDateYears(P175,P176,DCCfixed),0)</f>
        <v>0</v>
      </c>
      <c r="S175" s="553">
        <v>0</v>
      </c>
      <c r="T175" s="785"/>
      <c r="U175" s="409">
        <f t="shared" si="44"/>
        <v>0</v>
      </c>
      <c r="X175" s="363">
        <v>0</v>
      </c>
      <c r="Y175" s="775">
        <f t="shared" si="35"/>
        <v>0</v>
      </c>
      <c r="Z175" s="776">
        <f>IF(X176,_xll.qDateYears(X175,X176,DCCfloat),0)</f>
        <v>0</v>
      </c>
      <c r="AA175" s="553">
        <v>0</v>
      </c>
      <c r="AB175" s="789">
        <f>IF($X175=0,0,      _xll.qDateNext($X175,AB$12,"M",FRM&lt;&gt;"Calypso",CCY))</f>
        <v>0</v>
      </c>
      <c r="AC175" s="789">
        <f>IF($X175=0,0,      _xll.qDateNext($X175,AC$12,"M",FRM&lt;&gt;"Calypso",CCY))</f>
        <v>0</v>
      </c>
      <c r="AD175" s="789">
        <f>IF($X175=0,0,      _xll.qDateNext($X175,AD$12,"M",FRM&lt;&gt;"Calypso",CCY))</f>
        <v>0</v>
      </c>
      <c r="AE175" s="789">
        <f>IF($X175=0,0,      _xll.qDateNext($X175,AE$12,"M",FRM&lt;&gt;"Calypso",CCY))</f>
        <v>0</v>
      </c>
      <c r="AF175" s="789">
        <f>IF($X175=0,0,      _xll.qDateNext($X175,AF$12,"M",FRM&lt;&gt;"Calypso",CCY))</f>
        <v>0</v>
      </c>
      <c r="AG175" s="789">
        <f>IF($X175=0,0,      _xll.qDateNext($X175,AG$12,"M",FRM&lt;&gt;"Calypso",CCY))</f>
        <v>0</v>
      </c>
      <c r="AH175" s="789">
        <f>IF($X175=0,0,      _xll.qDateNext($X175,AH$12,"M",FRM&lt;&gt;"Calypso",CCY))</f>
        <v>0</v>
      </c>
      <c r="AI175" s="789">
        <f>IF($X175=0,0,      _xll.qDateNext($X175,AI$12,"M",FRM&lt;&gt;"Calypso",CCY))</f>
        <v>0</v>
      </c>
      <c r="AJ175" s="529" t="str">
        <v/>
      </c>
      <c r="AK175" s="529" t="str">
        <v/>
      </c>
      <c r="AL175" s="529" t="str">
        <v/>
      </c>
      <c r="AM175" s="529" t="str">
        <v/>
      </c>
      <c r="AN175" s="529" t="str">
        <v/>
      </c>
      <c r="AO175" s="529" t="str">
        <v/>
      </c>
      <c r="AP175" s="529" t="str">
        <v/>
      </c>
      <c r="AQ175" s="529" t="str">
        <v/>
      </c>
      <c r="AR175" s="529">
        <v>0</v>
      </c>
      <c r="AS175" s="529">
        <v>0</v>
      </c>
      <c r="AT175" s="529">
        <f t="shared" si="45"/>
        <v>0</v>
      </c>
      <c r="AU175" s="529">
        <v>0</v>
      </c>
      <c r="AV175" s="529">
        <f t="shared" si="46"/>
        <v>0</v>
      </c>
      <c r="AW175" s="529">
        <f t="shared" si="47"/>
        <v>0</v>
      </c>
      <c r="AX175" s="529">
        <v>0</v>
      </c>
      <c r="AY175" s="529">
        <v>0</v>
      </c>
      <c r="AZ175" s="761">
        <f t="shared" si="36"/>
        <v>0</v>
      </c>
      <c r="BA175" s="761">
        <f t="shared" si="37"/>
        <v>0</v>
      </c>
      <c r="BB175" s="761">
        <f t="shared" si="38"/>
        <v>0</v>
      </c>
      <c r="BC175" s="761">
        <f t="shared" si="39"/>
        <v>0</v>
      </c>
      <c r="BD175" s="761">
        <f t="shared" si="40"/>
        <v>0</v>
      </c>
      <c r="BE175" s="761">
        <f t="shared" si="41"/>
        <v>0</v>
      </c>
      <c r="BF175" s="761">
        <f t="shared" si="42"/>
        <v>0</v>
      </c>
      <c r="BG175" s="761">
        <f t="shared" si="43"/>
        <v>0</v>
      </c>
      <c r="BH175" s="777">
        <v>0</v>
      </c>
      <c r="BI175" s="755"/>
      <c r="BJ175" s="778">
        <f>IF(X176=0,0,           IF(ISNUMBER(BI175),BI175,               IF(ISTEXT(BI175),INDEX(AZ175:BG175,MATCH(BI175,$AZ$12:$BG$12,0)),             IF(BH175="INT",_xll.qInterp(X176,AB175:AI175,AZ175:BG175),            INDEX(AZ175:BG175,MATCH(BH175,$AZ$12:$BG$12,0))))))</f>
        <v>0</v>
      </c>
      <c r="BK175" s="408">
        <f t="shared" si="48"/>
        <v>0</v>
      </c>
      <c r="BL175" s="414">
        <f t="shared" si="49"/>
        <v>0</v>
      </c>
      <c r="BM175" s="408">
        <f t="shared" si="50"/>
        <v>0</v>
      </c>
    </row>
    <row r="176" spans="16:65">
      <c r="P176" s="779">
        <v>0</v>
      </c>
      <c r="Q176" s="780">
        <f t="shared" si="34"/>
        <v>0</v>
      </c>
      <c r="R176" s="776">
        <f>IF(P177,_xll.qDateYears(P176,P177,DCCfixed),0)</f>
        <v>0</v>
      </c>
      <c r="S176" s="553">
        <v>0</v>
      </c>
      <c r="T176" s="785"/>
      <c r="U176" s="409">
        <f t="shared" si="44"/>
        <v>0</v>
      </c>
      <c r="X176" s="363">
        <v>0</v>
      </c>
      <c r="Y176" s="775">
        <f t="shared" si="35"/>
        <v>0</v>
      </c>
      <c r="Z176" s="776">
        <f>IF(X177,_xll.qDateYears(X176,X177,DCCfloat),0)</f>
        <v>0</v>
      </c>
      <c r="AA176" s="553">
        <v>0</v>
      </c>
      <c r="AB176" s="789">
        <f>IF($X176=0,0,      _xll.qDateNext($X176,AB$12,"M",FRM&lt;&gt;"Calypso",CCY))</f>
        <v>0</v>
      </c>
      <c r="AC176" s="789">
        <f>IF($X176=0,0,      _xll.qDateNext($X176,AC$12,"M",FRM&lt;&gt;"Calypso",CCY))</f>
        <v>0</v>
      </c>
      <c r="AD176" s="789">
        <f>IF($X176=0,0,      _xll.qDateNext($X176,AD$12,"M",FRM&lt;&gt;"Calypso",CCY))</f>
        <v>0</v>
      </c>
      <c r="AE176" s="789">
        <f>IF($X176=0,0,      _xll.qDateNext($X176,AE$12,"M",FRM&lt;&gt;"Calypso",CCY))</f>
        <v>0</v>
      </c>
      <c r="AF176" s="789">
        <f>IF($X176=0,0,      _xll.qDateNext($X176,AF$12,"M",FRM&lt;&gt;"Calypso",CCY))</f>
        <v>0</v>
      </c>
      <c r="AG176" s="789">
        <f>IF($X176=0,0,      _xll.qDateNext($X176,AG$12,"M",FRM&lt;&gt;"Calypso",CCY))</f>
        <v>0</v>
      </c>
      <c r="AH176" s="789">
        <f>IF($X176=0,0,      _xll.qDateNext($X176,AH$12,"M",FRM&lt;&gt;"Calypso",CCY))</f>
        <v>0</v>
      </c>
      <c r="AI176" s="789">
        <f>IF($X176=0,0,      _xll.qDateNext($X176,AI$12,"M",FRM&lt;&gt;"Calypso",CCY))</f>
        <v>0</v>
      </c>
      <c r="AJ176" s="529" t="str">
        <v/>
      </c>
      <c r="AK176" s="529" t="str">
        <v/>
      </c>
      <c r="AL176" s="529" t="str">
        <v/>
      </c>
      <c r="AM176" s="529" t="str">
        <v/>
      </c>
      <c r="AN176" s="529" t="str">
        <v/>
      </c>
      <c r="AO176" s="529" t="str">
        <v/>
      </c>
      <c r="AP176" s="529" t="str">
        <v/>
      </c>
      <c r="AQ176" s="529" t="str">
        <v/>
      </c>
      <c r="AR176" s="529">
        <v>0</v>
      </c>
      <c r="AS176" s="529">
        <v>0</v>
      </c>
      <c r="AT176" s="529">
        <f t="shared" si="45"/>
        <v>0</v>
      </c>
      <c r="AU176" s="529">
        <v>0</v>
      </c>
      <c r="AV176" s="529">
        <f t="shared" si="46"/>
        <v>0</v>
      </c>
      <c r="AW176" s="529">
        <f t="shared" si="47"/>
        <v>0</v>
      </c>
      <c r="AX176" s="529">
        <v>0</v>
      </c>
      <c r="AY176" s="529">
        <v>0</v>
      </c>
      <c r="AZ176" s="761">
        <f t="shared" si="36"/>
        <v>0</v>
      </c>
      <c r="BA176" s="761">
        <f t="shared" si="37"/>
        <v>0</v>
      </c>
      <c r="BB176" s="761">
        <f t="shared" si="38"/>
        <v>0</v>
      </c>
      <c r="BC176" s="761">
        <f t="shared" si="39"/>
        <v>0</v>
      </c>
      <c r="BD176" s="761">
        <f t="shared" si="40"/>
        <v>0</v>
      </c>
      <c r="BE176" s="761">
        <f t="shared" si="41"/>
        <v>0</v>
      </c>
      <c r="BF176" s="761">
        <f t="shared" si="42"/>
        <v>0</v>
      </c>
      <c r="BG176" s="761">
        <f t="shared" si="43"/>
        <v>0</v>
      </c>
      <c r="BH176" s="777">
        <v>0</v>
      </c>
      <c r="BI176" s="755"/>
      <c r="BJ176" s="778">
        <f>IF(X177=0,0,           IF(ISNUMBER(BI176),BI176,               IF(ISTEXT(BI176),INDEX(AZ176:BG176,MATCH(BI176,$AZ$12:$BG$12,0)),             IF(BH176="INT",_xll.qInterp(X177,AB176:AI176,AZ176:BG176),            INDEX(AZ176:BG176,MATCH(BH176,$AZ$12:$BG$12,0))))))</f>
        <v>0</v>
      </c>
      <c r="BK176" s="408">
        <f t="shared" si="48"/>
        <v>0</v>
      </c>
      <c r="BL176" s="414">
        <f t="shared" si="49"/>
        <v>0</v>
      </c>
      <c r="BM176" s="408">
        <f t="shared" si="50"/>
        <v>0</v>
      </c>
    </row>
    <row r="177" spans="16:65">
      <c r="P177" s="779">
        <v>0</v>
      </c>
      <c r="Q177" s="780">
        <f t="shared" si="34"/>
        <v>0</v>
      </c>
      <c r="R177" s="776">
        <f>IF(P178,_xll.qDateYears(P177,P178,DCCfixed),0)</f>
        <v>0</v>
      </c>
      <c r="S177" s="553">
        <v>0</v>
      </c>
      <c r="T177" s="785"/>
      <c r="U177" s="409">
        <f t="shared" si="44"/>
        <v>0</v>
      </c>
      <c r="X177" s="363">
        <v>0</v>
      </c>
      <c r="Y177" s="775">
        <f t="shared" si="35"/>
        <v>0</v>
      </c>
      <c r="Z177" s="776">
        <f>IF(X178,_xll.qDateYears(X177,X178,DCCfloat),0)</f>
        <v>0</v>
      </c>
      <c r="AA177" s="553">
        <v>0</v>
      </c>
      <c r="AB177" s="789">
        <f>IF($X177=0,0,      _xll.qDateNext($X177,AB$12,"M",FRM&lt;&gt;"Calypso",CCY))</f>
        <v>0</v>
      </c>
      <c r="AC177" s="789">
        <f>IF($X177=0,0,      _xll.qDateNext($X177,AC$12,"M",FRM&lt;&gt;"Calypso",CCY))</f>
        <v>0</v>
      </c>
      <c r="AD177" s="789">
        <f>IF($X177=0,0,      _xll.qDateNext($X177,AD$12,"M",FRM&lt;&gt;"Calypso",CCY))</f>
        <v>0</v>
      </c>
      <c r="AE177" s="789">
        <f>IF($X177=0,0,      _xll.qDateNext($X177,AE$12,"M",FRM&lt;&gt;"Calypso",CCY))</f>
        <v>0</v>
      </c>
      <c r="AF177" s="789">
        <f>IF($X177=0,0,      _xll.qDateNext($X177,AF$12,"M",FRM&lt;&gt;"Calypso",CCY))</f>
        <v>0</v>
      </c>
      <c r="AG177" s="789">
        <f>IF($X177=0,0,      _xll.qDateNext($X177,AG$12,"M",FRM&lt;&gt;"Calypso",CCY))</f>
        <v>0</v>
      </c>
      <c r="AH177" s="789">
        <f>IF($X177=0,0,      _xll.qDateNext($X177,AH$12,"M",FRM&lt;&gt;"Calypso",CCY))</f>
        <v>0</v>
      </c>
      <c r="AI177" s="789">
        <f>IF($X177=0,0,      _xll.qDateNext($X177,AI$12,"M",FRM&lt;&gt;"Calypso",CCY))</f>
        <v>0</v>
      </c>
      <c r="AJ177" s="529" t="str">
        <v/>
      </c>
      <c r="AK177" s="529" t="str">
        <v/>
      </c>
      <c r="AL177" s="529" t="str">
        <v/>
      </c>
      <c r="AM177" s="529" t="str">
        <v/>
      </c>
      <c r="AN177" s="529" t="str">
        <v/>
      </c>
      <c r="AO177" s="529" t="str">
        <v/>
      </c>
      <c r="AP177" s="529" t="str">
        <v/>
      </c>
      <c r="AQ177" s="529" t="str">
        <v/>
      </c>
      <c r="AR177" s="529">
        <v>0</v>
      </c>
      <c r="AS177" s="529">
        <v>0</v>
      </c>
      <c r="AT177" s="529">
        <f t="shared" si="45"/>
        <v>0</v>
      </c>
      <c r="AU177" s="529">
        <v>0</v>
      </c>
      <c r="AV177" s="529">
        <f t="shared" si="46"/>
        <v>0</v>
      </c>
      <c r="AW177" s="529">
        <f t="shared" si="47"/>
        <v>0</v>
      </c>
      <c r="AX177" s="529">
        <v>0</v>
      </c>
      <c r="AY177" s="529">
        <v>0</v>
      </c>
      <c r="AZ177" s="761">
        <f t="shared" si="36"/>
        <v>0</v>
      </c>
      <c r="BA177" s="761">
        <f t="shared" si="37"/>
        <v>0</v>
      </c>
      <c r="BB177" s="761">
        <f t="shared" si="38"/>
        <v>0</v>
      </c>
      <c r="BC177" s="761">
        <f t="shared" si="39"/>
        <v>0</v>
      </c>
      <c r="BD177" s="761">
        <f t="shared" si="40"/>
        <v>0</v>
      </c>
      <c r="BE177" s="761">
        <f t="shared" si="41"/>
        <v>0</v>
      </c>
      <c r="BF177" s="761">
        <f t="shared" si="42"/>
        <v>0</v>
      </c>
      <c r="BG177" s="761">
        <f t="shared" si="43"/>
        <v>0</v>
      </c>
      <c r="BH177" s="777">
        <v>0</v>
      </c>
      <c r="BI177" s="755"/>
      <c r="BJ177" s="778">
        <f>IF(X178=0,0,           IF(ISNUMBER(BI177),BI177,               IF(ISTEXT(BI177),INDEX(AZ177:BG177,MATCH(BI177,$AZ$12:$BG$12,0)),             IF(BH177="INT",_xll.qInterp(X178,AB177:AI177,AZ177:BG177),            INDEX(AZ177:BG177,MATCH(BH177,$AZ$12:$BG$12,0))))))</f>
        <v>0</v>
      </c>
      <c r="BK177" s="408">
        <f t="shared" si="48"/>
        <v>0</v>
      </c>
      <c r="BL177" s="414">
        <f t="shared" si="49"/>
        <v>0</v>
      </c>
      <c r="BM177" s="408">
        <f t="shared" si="50"/>
        <v>0</v>
      </c>
    </row>
    <row r="178" spans="16:65">
      <c r="P178" s="779">
        <v>0</v>
      </c>
      <c r="Q178" s="780">
        <f t="shared" si="34"/>
        <v>0</v>
      </c>
      <c r="R178" s="776">
        <f>IF(P179,_xll.qDateYears(P178,P179,DCCfixed),0)</f>
        <v>0</v>
      </c>
      <c r="S178" s="553">
        <v>0</v>
      </c>
      <c r="T178" s="785"/>
      <c r="U178" s="409">
        <f t="shared" si="44"/>
        <v>0</v>
      </c>
      <c r="X178" s="363">
        <v>0</v>
      </c>
      <c r="Y178" s="775">
        <f t="shared" si="35"/>
        <v>0</v>
      </c>
      <c r="Z178" s="776">
        <f>IF(X179,_xll.qDateYears(X178,X179,DCCfloat),0)</f>
        <v>0</v>
      </c>
      <c r="AA178" s="553">
        <v>0</v>
      </c>
      <c r="AB178" s="789">
        <f>IF($X178=0,0,      _xll.qDateNext($X178,AB$12,"M",FRM&lt;&gt;"Calypso",CCY))</f>
        <v>0</v>
      </c>
      <c r="AC178" s="789">
        <f>IF($X178=0,0,      _xll.qDateNext($X178,AC$12,"M",FRM&lt;&gt;"Calypso",CCY))</f>
        <v>0</v>
      </c>
      <c r="AD178" s="789">
        <f>IF($X178=0,0,      _xll.qDateNext($X178,AD$12,"M",FRM&lt;&gt;"Calypso",CCY))</f>
        <v>0</v>
      </c>
      <c r="AE178" s="789">
        <f>IF($X178=0,0,      _xll.qDateNext($X178,AE$12,"M",FRM&lt;&gt;"Calypso",CCY))</f>
        <v>0</v>
      </c>
      <c r="AF178" s="789">
        <f>IF($X178=0,0,      _xll.qDateNext($X178,AF$12,"M",FRM&lt;&gt;"Calypso",CCY))</f>
        <v>0</v>
      </c>
      <c r="AG178" s="789">
        <f>IF($X178=0,0,      _xll.qDateNext($X178,AG$12,"M",FRM&lt;&gt;"Calypso",CCY))</f>
        <v>0</v>
      </c>
      <c r="AH178" s="789">
        <f>IF($X178=0,0,      _xll.qDateNext($X178,AH$12,"M",FRM&lt;&gt;"Calypso",CCY))</f>
        <v>0</v>
      </c>
      <c r="AI178" s="789">
        <f>IF($X178=0,0,      _xll.qDateNext($X178,AI$12,"M",FRM&lt;&gt;"Calypso",CCY))</f>
        <v>0</v>
      </c>
      <c r="AJ178" s="529" t="str">
        <v/>
      </c>
      <c r="AK178" s="529" t="str">
        <v/>
      </c>
      <c r="AL178" s="529" t="str">
        <v/>
      </c>
      <c r="AM178" s="529" t="str">
        <v/>
      </c>
      <c r="AN178" s="529" t="str">
        <v/>
      </c>
      <c r="AO178" s="529" t="str">
        <v/>
      </c>
      <c r="AP178" s="529" t="str">
        <v/>
      </c>
      <c r="AQ178" s="529" t="str">
        <v/>
      </c>
      <c r="AR178" s="529">
        <v>0</v>
      </c>
      <c r="AS178" s="529">
        <v>0</v>
      </c>
      <c r="AT178" s="529">
        <f t="shared" si="45"/>
        <v>0</v>
      </c>
      <c r="AU178" s="529">
        <v>0</v>
      </c>
      <c r="AV178" s="529">
        <f t="shared" si="46"/>
        <v>0</v>
      </c>
      <c r="AW178" s="529">
        <f t="shared" si="47"/>
        <v>0</v>
      </c>
      <c r="AX178" s="529">
        <v>0</v>
      </c>
      <c r="AY178" s="529">
        <v>0</v>
      </c>
      <c r="AZ178" s="761">
        <f t="shared" si="36"/>
        <v>0</v>
      </c>
      <c r="BA178" s="761">
        <f t="shared" si="37"/>
        <v>0</v>
      </c>
      <c r="BB178" s="761">
        <f t="shared" si="38"/>
        <v>0</v>
      </c>
      <c r="BC178" s="761">
        <f t="shared" si="39"/>
        <v>0</v>
      </c>
      <c r="BD178" s="761">
        <f t="shared" si="40"/>
        <v>0</v>
      </c>
      <c r="BE178" s="761">
        <f t="shared" si="41"/>
        <v>0</v>
      </c>
      <c r="BF178" s="761">
        <f t="shared" si="42"/>
        <v>0</v>
      </c>
      <c r="BG178" s="761">
        <f t="shared" si="43"/>
        <v>0</v>
      </c>
      <c r="BH178" s="777">
        <v>0</v>
      </c>
      <c r="BI178" s="755"/>
      <c r="BJ178" s="778">
        <f>IF(X179=0,0,           IF(ISNUMBER(BI178),BI178,               IF(ISTEXT(BI178),INDEX(AZ178:BG178,MATCH(BI178,$AZ$12:$BG$12,0)),             IF(BH178="INT",_xll.qInterp(X179,AB178:AI178,AZ178:BG178),            INDEX(AZ178:BG178,MATCH(BH178,$AZ$12:$BG$12,0))))))</f>
        <v>0</v>
      </c>
      <c r="BK178" s="408">
        <f t="shared" si="48"/>
        <v>0</v>
      </c>
      <c r="BL178" s="414">
        <f t="shared" si="49"/>
        <v>0</v>
      </c>
      <c r="BM178" s="408">
        <f t="shared" si="50"/>
        <v>0</v>
      </c>
    </row>
    <row r="179" spans="16:65">
      <c r="P179" s="779">
        <v>0</v>
      </c>
      <c r="Q179" s="780">
        <f t="shared" si="34"/>
        <v>0</v>
      </c>
      <c r="R179" s="776">
        <f>IF(P180,_xll.qDateYears(P179,P180,DCCfixed),0)</f>
        <v>0</v>
      </c>
      <c r="S179" s="553">
        <v>0</v>
      </c>
      <c r="T179" s="785"/>
      <c r="U179" s="409">
        <f t="shared" si="44"/>
        <v>0</v>
      </c>
      <c r="X179" s="363">
        <v>0</v>
      </c>
      <c r="Y179" s="775">
        <f t="shared" si="35"/>
        <v>0</v>
      </c>
      <c r="Z179" s="776">
        <f>IF(X180,_xll.qDateYears(X179,X180,DCCfloat),0)</f>
        <v>0</v>
      </c>
      <c r="AA179" s="553">
        <v>0</v>
      </c>
      <c r="AB179" s="789">
        <f>IF($X179=0,0,      _xll.qDateNext($X179,AB$12,"M",FRM&lt;&gt;"Calypso",CCY))</f>
        <v>0</v>
      </c>
      <c r="AC179" s="789">
        <f>IF($X179=0,0,      _xll.qDateNext($X179,AC$12,"M",FRM&lt;&gt;"Calypso",CCY))</f>
        <v>0</v>
      </c>
      <c r="AD179" s="789">
        <f>IF($X179=0,0,      _xll.qDateNext($X179,AD$12,"M",FRM&lt;&gt;"Calypso",CCY))</f>
        <v>0</v>
      </c>
      <c r="AE179" s="789">
        <f>IF($X179=0,0,      _xll.qDateNext($X179,AE$12,"M",FRM&lt;&gt;"Calypso",CCY))</f>
        <v>0</v>
      </c>
      <c r="AF179" s="789">
        <f>IF($X179=0,0,      _xll.qDateNext($X179,AF$12,"M",FRM&lt;&gt;"Calypso",CCY))</f>
        <v>0</v>
      </c>
      <c r="AG179" s="789">
        <f>IF($X179=0,0,      _xll.qDateNext($X179,AG$12,"M",FRM&lt;&gt;"Calypso",CCY))</f>
        <v>0</v>
      </c>
      <c r="AH179" s="789">
        <f>IF($X179=0,0,      _xll.qDateNext($X179,AH$12,"M",FRM&lt;&gt;"Calypso",CCY))</f>
        <v>0</v>
      </c>
      <c r="AI179" s="789">
        <f>IF($X179=0,0,      _xll.qDateNext($X179,AI$12,"M",FRM&lt;&gt;"Calypso",CCY))</f>
        <v>0</v>
      </c>
      <c r="AJ179" s="529" t="str">
        <v/>
      </c>
      <c r="AK179" s="529" t="str">
        <v/>
      </c>
      <c r="AL179" s="529" t="str">
        <v/>
      </c>
      <c r="AM179" s="529" t="str">
        <v/>
      </c>
      <c r="AN179" s="529" t="str">
        <v/>
      </c>
      <c r="AO179" s="529" t="str">
        <v/>
      </c>
      <c r="AP179" s="529" t="str">
        <v/>
      </c>
      <c r="AQ179" s="529" t="str">
        <v/>
      </c>
      <c r="AR179" s="529">
        <v>0</v>
      </c>
      <c r="AS179" s="529">
        <v>0</v>
      </c>
      <c r="AT179" s="529">
        <f t="shared" si="45"/>
        <v>0</v>
      </c>
      <c r="AU179" s="529">
        <v>0</v>
      </c>
      <c r="AV179" s="529">
        <f t="shared" si="46"/>
        <v>0</v>
      </c>
      <c r="AW179" s="529">
        <f t="shared" si="47"/>
        <v>0</v>
      </c>
      <c r="AX179" s="529">
        <v>0</v>
      </c>
      <c r="AY179" s="529">
        <v>0</v>
      </c>
      <c r="AZ179" s="761">
        <f t="shared" si="36"/>
        <v>0</v>
      </c>
      <c r="BA179" s="761">
        <f t="shared" si="37"/>
        <v>0</v>
      </c>
      <c r="BB179" s="761">
        <f t="shared" si="38"/>
        <v>0</v>
      </c>
      <c r="BC179" s="761">
        <f t="shared" si="39"/>
        <v>0</v>
      </c>
      <c r="BD179" s="761">
        <f t="shared" si="40"/>
        <v>0</v>
      </c>
      <c r="BE179" s="761">
        <f t="shared" si="41"/>
        <v>0</v>
      </c>
      <c r="BF179" s="761">
        <f t="shared" si="42"/>
        <v>0</v>
      </c>
      <c r="BG179" s="761">
        <f t="shared" si="43"/>
        <v>0</v>
      </c>
      <c r="BH179" s="777">
        <v>0</v>
      </c>
      <c r="BI179" s="755"/>
      <c r="BJ179" s="778">
        <f>IF(X180=0,0,           IF(ISNUMBER(BI179),BI179,               IF(ISTEXT(BI179),INDEX(AZ179:BG179,MATCH(BI179,$AZ$12:$BG$12,0)),             IF(BH179="INT",_xll.qInterp(X180,AB179:AI179,AZ179:BG179),            INDEX(AZ179:BG179,MATCH(BH179,$AZ$12:$BG$12,0))))))</f>
        <v>0</v>
      </c>
      <c r="BK179" s="408">
        <f t="shared" si="48"/>
        <v>0</v>
      </c>
      <c r="BL179" s="414">
        <f t="shared" si="49"/>
        <v>0</v>
      </c>
      <c r="BM179" s="408">
        <f t="shared" si="50"/>
        <v>0</v>
      </c>
    </row>
    <row r="180" spans="16:65">
      <c r="P180" s="779">
        <v>0</v>
      </c>
      <c r="Q180" s="780">
        <f t="shared" si="34"/>
        <v>0</v>
      </c>
      <c r="R180" s="776">
        <f>IF(P181,_xll.qDateYears(P180,P181,DCCfixed),0)</f>
        <v>0</v>
      </c>
      <c r="S180" s="553">
        <v>0</v>
      </c>
      <c r="T180" s="785"/>
      <c r="U180" s="409">
        <f t="shared" si="44"/>
        <v>0</v>
      </c>
      <c r="X180" s="363">
        <v>0</v>
      </c>
      <c r="Y180" s="775">
        <f t="shared" si="35"/>
        <v>0</v>
      </c>
      <c r="Z180" s="776">
        <f>IF(X181,_xll.qDateYears(X180,X181,DCCfloat),0)</f>
        <v>0</v>
      </c>
      <c r="AA180" s="553">
        <v>0</v>
      </c>
      <c r="AB180" s="789">
        <f>IF($X180=0,0,      _xll.qDateNext($X180,AB$12,"M",FRM&lt;&gt;"Calypso",CCY))</f>
        <v>0</v>
      </c>
      <c r="AC180" s="789">
        <f>IF($X180=0,0,      _xll.qDateNext($X180,AC$12,"M",FRM&lt;&gt;"Calypso",CCY))</f>
        <v>0</v>
      </c>
      <c r="AD180" s="789">
        <f>IF($X180=0,0,      _xll.qDateNext($X180,AD$12,"M",FRM&lt;&gt;"Calypso",CCY))</f>
        <v>0</v>
      </c>
      <c r="AE180" s="789">
        <f>IF($X180=0,0,      _xll.qDateNext($X180,AE$12,"M",FRM&lt;&gt;"Calypso",CCY))</f>
        <v>0</v>
      </c>
      <c r="AF180" s="789">
        <f>IF($X180=0,0,      _xll.qDateNext($X180,AF$12,"M",FRM&lt;&gt;"Calypso",CCY))</f>
        <v>0</v>
      </c>
      <c r="AG180" s="789">
        <f>IF($X180=0,0,      _xll.qDateNext($X180,AG$12,"M",FRM&lt;&gt;"Calypso",CCY))</f>
        <v>0</v>
      </c>
      <c r="AH180" s="789">
        <f>IF($X180=0,0,      _xll.qDateNext($X180,AH$12,"M",FRM&lt;&gt;"Calypso",CCY))</f>
        <v>0</v>
      </c>
      <c r="AI180" s="789">
        <f>IF($X180=0,0,      _xll.qDateNext($X180,AI$12,"M",FRM&lt;&gt;"Calypso",CCY))</f>
        <v>0</v>
      </c>
      <c r="AJ180" s="529" t="str">
        <v/>
      </c>
      <c r="AK180" s="529" t="str">
        <v/>
      </c>
      <c r="AL180" s="529" t="str">
        <v/>
      </c>
      <c r="AM180" s="529" t="str">
        <v/>
      </c>
      <c r="AN180" s="529" t="str">
        <v/>
      </c>
      <c r="AO180" s="529" t="str">
        <v/>
      </c>
      <c r="AP180" s="529" t="str">
        <v/>
      </c>
      <c r="AQ180" s="529" t="str">
        <v/>
      </c>
      <c r="AR180" s="529">
        <v>0</v>
      </c>
      <c r="AS180" s="529">
        <v>0</v>
      </c>
      <c r="AT180" s="529">
        <f t="shared" si="45"/>
        <v>0</v>
      </c>
      <c r="AU180" s="529">
        <v>0</v>
      </c>
      <c r="AV180" s="529">
        <f t="shared" si="46"/>
        <v>0</v>
      </c>
      <c r="AW180" s="529">
        <f t="shared" si="47"/>
        <v>0</v>
      </c>
      <c r="AX180" s="529">
        <v>0</v>
      </c>
      <c r="AY180" s="529">
        <v>0</v>
      </c>
      <c r="AZ180" s="761">
        <f t="shared" si="36"/>
        <v>0</v>
      </c>
      <c r="BA180" s="761">
        <f t="shared" si="37"/>
        <v>0</v>
      </c>
      <c r="BB180" s="761">
        <f t="shared" si="38"/>
        <v>0</v>
      </c>
      <c r="BC180" s="761">
        <f t="shared" si="39"/>
        <v>0</v>
      </c>
      <c r="BD180" s="761">
        <f t="shared" si="40"/>
        <v>0</v>
      </c>
      <c r="BE180" s="761">
        <f t="shared" si="41"/>
        <v>0</v>
      </c>
      <c r="BF180" s="761">
        <f t="shared" si="42"/>
        <v>0</v>
      </c>
      <c r="BG180" s="761">
        <f t="shared" si="43"/>
        <v>0</v>
      </c>
      <c r="BH180" s="777">
        <v>0</v>
      </c>
      <c r="BI180" s="755"/>
      <c r="BJ180" s="778">
        <f>IF(X181=0,0,           IF(ISNUMBER(BI180),BI180,               IF(ISTEXT(BI180),INDEX(AZ180:BG180,MATCH(BI180,$AZ$12:$BG$12,0)),             IF(BH180="INT",_xll.qInterp(X181,AB180:AI180,AZ180:BG180),            INDEX(AZ180:BG180,MATCH(BH180,$AZ$12:$BG$12,0))))))</f>
        <v>0</v>
      </c>
      <c r="BK180" s="408">
        <f t="shared" si="48"/>
        <v>0</v>
      </c>
      <c r="BL180" s="414">
        <f t="shared" si="49"/>
        <v>0</v>
      </c>
      <c r="BM180" s="408">
        <f t="shared" si="50"/>
        <v>0</v>
      </c>
    </row>
    <row r="181" spans="16:65">
      <c r="P181" s="779">
        <v>0</v>
      </c>
      <c r="Q181" s="780">
        <f t="shared" si="34"/>
        <v>0</v>
      </c>
      <c r="R181" s="776">
        <f>IF(P182,_xll.qDateYears(P181,P182,DCCfixed),0)</f>
        <v>0</v>
      </c>
      <c r="S181" s="553">
        <v>0</v>
      </c>
      <c r="T181" s="785"/>
      <c r="U181" s="409">
        <f t="shared" si="44"/>
        <v>0</v>
      </c>
      <c r="X181" s="363">
        <v>0</v>
      </c>
      <c r="Y181" s="775">
        <f t="shared" si="35"/>
        <v>0</v>
      </c>
      <c r="Z181" s="776">
        <f>IF(X182,_xll.qDateYears(X181,X182,DCCfloat),0)</f>
        <v>0</v>
      </c>
      <c r="AA181" s="553">
        <v>0</v>
      </c>
      <c r="AB181" s="789">
        <f>IF($X181=0,0,      _xll.qDateNext($X181,AB$12,"M",FRM&lt;&gt;"Calypso",CCY))</f>
        <v>0</v>
      </c>
      <c r="AC181" s="789">
        <f>IF($X181=0,0,      _xll.qDateNext($X181,AC$12,"M",FRM&lt;&gt;"Calypso",CCY))</f>
        <v>0</v>
      </c>
      <c r="AD181" s="789">
        <f>IF($X181=0,0,      _xll.qDateNext($X181,AD$12,"M",FRM&lt;&gt;"Calypso",CCY))</f>
        <v>0</v>
      </c>
      <c r="AE181" s="789">
        <f>IF($X181=0,0,      _xll.qDateNext($X181,AE$12,"M",FRM&lt;&gt;"Calypso",CCY))</f>
        <v>0</v>
      </c>
      <c r="AF181" s="789">
        <f>IF($X181=0,0,      _xll.qDateNext($X181,AF$12,"M",FRM&lt;&gt;"Calypso",CCY))</f>
        <v>0</v>
      </c>
      <c r="AG181" s="789">
        <f>IF($X181=0,0,      _xll.qDateNext($X181,AG$12,"M",FRM&lt;&gt;"Calypso",CCY))</f>
        <v>0</v>
      </c>
      <c r="AH181" s="789">
        <f>IF($X181=0,0,      _xll.qDateNext($X181,AH$12,"M",FRM&lt;&gt;"Calypso",CCY))</f>
        <v>0</v>
      </c>
      <c r="AI181" s="789">
        <f>IF($X181=0,0,      _xll.qDateNext($X181,AI$12,"M",FRM&lt;&gt;"Calypso",CCY))</f>
        <v>0</v>
      </c>
      <c r="AJ181" s="529" t="str">
        <v/>
      </c>
      <c r="AK181" s="529" t="str">
        <v/>
      </c>
      <c r="AL181" s="529" t="str">
        <v/>
      </c>
      <c r="AM181" s="529" t="str">
        <v/>
      </c>
      <c r="AN181" s="529" t="str">
        <v/>
      </c>
      <c r="AO181" s="529" t="str">
        <v/>
      </c>
      <c r="AP181" s="529" t="str">
        <v/>
      </c>
      <c r="AQ181" s="529" t="str">
        <v/>
      </c>
      <c r="AR181" s="529">
        <v>0</v>
      </c>
      <c r="AS181" s="529">
        <v>0</v>
      </c>
      <c r="AT181" s="529">
        <f t="shared" si="45"/>
        <v>0</v>
      </c>
      <c r="AU181" s="529">
        <v>0</v>
      </c>
      <c r="AV181" s="529">
        <f t="shared" si="46"/>
        <v>0</v>
      </c>
      <c r="AW181" s="529">
        <f t="shared" si="47"/>
        <v>0</v>
      </c>
      <c r="AX181" s="529">
        <v>0</v>
      </c>
      <c r="AY181" s="529">
        <v>0</v>
      </c>
      <c r="AZ181" s="761">
        <f t="shared" si="36"/>
        <v>0</v>
      </c>
      <c r="BA181" s="761">
        <f t="shared" si="37"/>
        <v>0</v>
      </c>
      <c r="BB181" s="761">
        <f t="shared" si="38"/>
        <v>0</v>
      </c>
      <c r="BC181" s="761">
        <f t="shared" si="39"/>
        <v>0</v>
      </c>
      <c r="BD181" s="761">
        <f t="shared" si="40"/>
        <v>0</v>
      </c>
      <c r="BE181" s="761">
        <f t="shared" si="41"/>
        <v>0</v>
      </c>
      <c r="BF181" s="761">
        <f t="shared" si="42"/>
        <v>0</v>
      </c>
      <c r="BG181" s="761">
        <f t="shared" si="43"/>
        <v>0</v>
      </c>
      <c r="BH181" s="777">
        <v>0</v>
      </c>
      <c r="BI181" s="755"/>
      <c r="BJ181" s="778">
        <f>IF(X182=0,0,           IF(ISNUMBER(BI181),BI181,               IF(ISTEXT(BI181),INDEX(AZ181:BG181,MATCH(BI181,$AZ$12:$BG$12,0)),             IF(BH181="INT",_xll.qInterp(X182,AB181:AI181,AZ181:BG181),            INDEX(AZ181:BG181,MATCH(BH181,$AZ$12:$BG$12,0))))))</f>
        <v>0</v>
      </c>
      <c r="BK181" s="408">
        <f t="shared" si="48"/>
        <v>0</v>
      </c>
      <c r="BL181" s="414">
        <f t="shared" si="49"/>
        <v>0</v>
      </c>
      <c r="BM181" s="408">
        <f t="shared" si="50"/>
        <v>0</v>
      </c>
    </row>
    <row r="182" spans="16:65">
      <c r="P182" s="779">
        <v>0</v>
      </c>
      <c r="Q182" s="780">
        <f t="shared" si="34"/>
        <v>0</v>
      </c>
      <c r="R182" s="776">
        <f>IF(P183,_xll.qDateYears(P182,P183,DCCfixed),0)</f>
        <v>0</v>
      </c>
      <c r="S182" s="553">
        <v>0</v>
      </c>
      <c r="T182" s="785"/>
      <c r="U182" s="409">
        <f t="shared" si="44"/>
        <v>0</v>
      </c>
      <c r="X182" s="363">
        <v>0</v>
      </c>
      <c r="Y182" s="775">
        <f t="shared" si="35"/>
        <v>0</v>
      </c>
      <c r="Z182" s="776">
        <f>IF(X183,_xll.qDateYears(X182,X183,DCCfloat),0)</f>
        <v>0</v>
      </c>
      <c r="AA182" s="553">
        <v>0</v>
      </c>
      <c r="AB182" s="789">
        <f>IF($X182=0,0,      _xll.qDateNext($X182,AB$12,"M",FRM&lt;&gt;"Calypso",CCY))</f>
        <v>0</v>
      </c>
      <c r="AC182" s="789">
        <f>IF($X182=0,0,      _xll.qDateNext($X182,AC$12,"M",FRM&lt;&gt;"Calypso",CCY))</f>
        <v>0</v>
      </c>
      <c r="AD182" s="789">
        <f>IF($X182=0,0,      _xll.qDateNext($X182,AD$12,"M",FRM&lt;&gt;"Calypso",CCY))</f>
        <v>0</v>
      </c>
      <c r="AE182" s="789">
        <f>IF($X182=0,0,      _xll.qDateNext($X182,AE$12,"M",FRM&lt;&gt;"Calypso",CCY))</f>
        <v>0</v>
      </c>
      <c r="AF182" s="789">
        <f>IF($X182=0,0,      _xll.qDateNext($X182,AF$12,"M",FRM&lt;&gt;"Calypso",CCY))</f>
        <v>0</v>
      </c>
      <c r="AG182" s="789">
        <f>IF($X182=0,0,      _xll.qDateNext($X182,AG$12,"M",FRM&lt;&gt;"Calypso",CCY))</f>
        <v>0</v>
      </c>
      <c r="AH182" s="789">
        <f>IF($X182=0,0,      _xll.qDateNext($X182,AH$12,"M",FRM&lt;&gt;"Calypso",CCY))</f>
        <v>0</v>
      </c>
      <c r="AI182" s="789">
        <f>IF($X182=0,0,      _xll.qDateNext($X182,AI$12,"M",FRM&lt;&gt;"Calypso",CCY))</f>
        <v>0</v>
      </c>
      <c r="AJ182" s="529" t="str">
        <v/>
      </c>
      <c r="AK182" s="529" t="str">
        <v/>
      </c>
      <c r="AL182" s="529" t="str">
        <v/>
      </c>
      <c r="AM182" s="529" t="str">
        <v/>
      </c>
      <c r="AN182" s="529" t="str">
        <v/>
      </c>
      <c r="AO182" s="529" t="str">
        <v/>
      </c>
      <c r="AP182" s="529" t="str">
        <v/>
      </c>
      <c r="AQ182" s="529" t="str">
        <v/>
      </c>
      <c r="AR182" s="529">
        <v>0</v>
      </c>
      <c r="AS182" s="529">
        <v>0</v>
      </c>
      <c r="AT182" s="529">
        <f t="shared" si="45"/>
        <v>0</v>
      </c>
      <c r="AU182" s="529">
        <v>0</v>
      </c>
      <c r="AV182" s="529">
        <f t="shared" si="46"/>
        <v>0</v>
      </c>
      <c r="AW182" s="529">
        <f t="shared" si="47"/>
        <v>0</v>
      </c>
      <c r="AX182" s="529">
        <v>0</v>
      </c>
      <c r="AY182" s="529">
        <v>0</v>
      </c>
      <c r="AZ182" s="761">
        <f t="shared" si="36"/>
        <v>0</v>
      </c>
      <c r="BA182" s="761">
        <f t="shared" si="37"/>
        <v>0</v>
      </c>
      <c r="BB182" s="761">
        <f t="shared" si="38"/>
        <v>0</v>
      </c>
      <c r="BC182" s="761">
        <f t="shared" si="39"/>
        <v>0</v>
      </c>
      <c r="BD182" s="761">
        <f t="shared" si="40"/>
        <v>0</v>
      </c>
      <c r="BE182" s="761">
        <f t="shared" si="41"/>
        <v>0</v>
      </c>
      <c r="BF182" s="761">
        <f t="shared" si="42"/>
        <v>0</v>
      </c>
      <c r="BG182" s="761">
        <f t="shared" si="43"/>
        <v>0</v>
      </c>
      <c r="BH182" s="777">
        <v>0</v>
      </c>
      <c r="BI182" s="755"/>
      <c r="BJ182" s="778">
        <f>IF(X183=0,0,           IF(ISNUMBER(BI182),BI182,               IF(ISTEXT(BI182),INDEX(AZ182:BG182,MATCH(BI182,$AZ$12:$BG$12,0)),             IF(BH182="INT",_xll.qInterp(X183,AB182:AI182,AZ182:BG182),            INDEX(AZ182:BG182,MATCH(BH182,$AZ$12:$BG$12,0))))))</f>
        <v>0</v>
      </c>
      <c r="BK182" s="408">
        <f t="shared" si="48"/>
        <v>0</v>
      </c>
      <c r="BL182" s="414">
        <f t="shared" si="49"/>
        <v>0</v>
      </c>
      <c r="BM182" s="408">
        <f t="shared" si="50"/>
        <v>0</v>
      </c>
    </row>
    <row r="183" spans="16:65">
      <c r="P183" s="779">
        <v>0</v>
      </c>
      <c r="Q183" s="780">
        <f t="shared" si="34"/>
        <v>0</v>
      </c>
      <c r="R183" s="776">
        <f>IF(P184,_xll.qDateYears(P183,P184,DCCfixed),0)</f>
        <v>0</v>
      </c>
      <c r="S183" s="553">
        <v>0</v>
      </c>
      <c r="T183" s="785"/>
      <c r="U183" s="409">
        <f t="shared" si="44"/>
        <v>0</v>
      </c>
      <c r="X183" s="363">
        <v>0</v>
      </c>
      <c r="Y183" s="775">
        <f t="shared" si="35"/>
        <v>0</v>
      </c>
      <c r="Z183" s="776">
        <f>IF(X184,_xll.qDateYears(X183,X184,DCCfloat),0)</f>
        <v>0</v>
      </c>
      <c r="AA183" s="553">
        <v>0</v>
      </c>
      <c r="AB183" s="789">
        <f>IF($X183=0,0,      _xll.qDateNext($X183,AB$12,"M",FRM&lt;&gt;"Calypso",CCY))</f>
        <v>0</v>
      </c>
      <c r="AC183" s="789">
        <f>IF($X183=0,0,      _xll.qDateNext($X183,AC$12,"M",FRM&lt;&gt;"Calypso",CCY))</f>
        <v>0</v>
      </c>
      <c r="AD183" s="789">
        <f>IF($X183=0,0,      _xll.qDateNext($X183,AD$12,"M",FRM&lt;&gt;"Calypso",CCY))</f>
        <v>0</v>
      </c>
      <c r="AE183" s="789">
        <f>IF($X183=0,0,      _xll.qDateNext($X183,AE$12,"M",FRM&lt;&gt;"Calypso",CCY))</f>
        <v>0</v>
      </c>
      <c r="AF183" s="789">
        <f>IF($X183=0,0,      _xll.qDateNext($X183,AF$12,"M",FRM&lt;&gt;"Calypso",CCY))</f>
        <v>0</v>
      </c>
      <c r="AG183" s="789">
        <f>IF($X183=0,0,      _xll.qDateNext($X183,AG$12,"M",FRM&lt;&gt;"Calypso",CCY))</f>
        <v>0</v>
      </c>
      <c r="AH183" s="789">
        <f>IF($X183=0,0,      _xll.qDateNext($X183,AH$12,"M",FRM&lt;&gt;"Calypso",CCY))</f>
        <v>0</v>
      </c>
      <c r="AI183" s="789">
        <f>IF($X183=0,0,      _xll.qDateNext($X183,AI$12,"M",FRM&lt;&gt;"Calypso",CCY))</f>
        <v>0</v>
      </c>
      <c r="AJ183" s="529" t="str">
        <v/>
      </c>
      <c r="AK183" s="529" t="str">
        <v/>
      </c>
      <c r="AL183" s="529" t="str">
        <v/>
      </c>
      <c r="AM183" s="529" t="str">
        <v/>
      </c>
      <c r="AN183" s="529" t="str">
        <v/>
      </c>
      <c r="AO183" s="529" t="str">
        <v/>
      </c>
      <c r="AP183" s="529" t="str">
        <v/>
      </c>
      <c r="AQ183" s="529" t="str">
        <v/>
      </c>
      <c r="AR183" s="529">
        <v>0</v>
      </c>
      <c r="AS183" s="529">
        <v>0</v>
      </c>
      <c r="AT183" s="529">
        <f t="shared" si="45"/>
        <v>0</v>
      </c>
      <c r="AU183" s="529">
        <v>0</v>
      </c>
      <c r="AV183" s="529">
        <f t="shared" si="46"/>
        <v>0</v>
      </c>
      <c r="AW183" s="529">
        <f t="shared" si="47"/>
        <v>0</v>
      </c>
      <c r="AX183" s="529">
        <v>0</v>
      </c>
      <c r="AY183" s="529">
        <v>0</v>
      </c>
      <c r="AZ183" s="761">
        <f t="shared" si="36"/>
        <v>0</v>
      </c>
      <c r="BA183" s="761">
        <f t="shared" si="37"/>
        <v>0</v>
      </c>
      <c r="BB183" s="761">
        <f t="shared" si="38"/>
        <v>0</v>
      </c>
      <c r="BC183" s="761">
        <f t="shared" si="39"/>
        <v>0</v>
      </c>
      <c r="BD183" s="761">
        <f t="shared" si="40"/>
        <v>0</v>
      </c>
      <c r="BE183" s="761">
        <f t="shared" si="41"/>
        <v>0</v>
      </c>
      <c r="BF183" s="761">
        <f t="shared" si="42"/>
        <v>0</v>
      </c>
      <c r="BG183" s="761">
        <f t="shared" si="43"/>
        <v>0</v>
      </c>
      <c r="BH183" s="777">
        <v>0</v>
      </c>
      <c r="BI183" s="755"/>
      <c r="BJ183" s="778">
        <f>IF(X184=0,0,           IF(ISNUMBER(BI183),BI183,               IF(ISTEXT(BI183),INDEX(AZ183:BG183,MATCH(BI183,$AZ$12:$BG$12,0)),             IF(BH183="INT",_xll.qInterp(X184,AB183:AI183,AZ183:BG183),            INDEX(AZ183:BG183,MATCH(BH183,$AZ$12:$BG$12,0))))))</f>
        <v>0</v>
      </c>
      <c r="BK183" s="408">
        <f t="shared" si="48"/>
        <v>0</v>
      </c>
      <c r="BL183" s="414">
        <f t="shared" si="49"/>
        <v>0</v>
      </c>
      <c r="BM183" s="408">
        <f t="shared" si="50"/>
        <v>0</v>
      </c>
    </row>
    <row r="184" spans="16:65">
      <c r="P184" s="779">
        <v>0</v>
      </c>
      <c r="Q184" s="780">
        <f t="shared" si="34"/>
        <v>0</v>
      </c>
      <c r="R184" s="776">
        <f>IF(P185,_xll.qDateYears(P184,P185,DCCfixed),0)</f>
        <v>0</v>
      </c>
      <c r="S184" s="553">
        <v>0</v>
      </c>
      <c r="T184" s="785"/>
      <c r="U184" s="409">
        <f t="shared" si="44"/>
        <v>0</v>
      </c>
      <c r="X184" s="363">
        <v>0</v>
      </c>
      <c r="Y184" s="775">
        <f t="shared" si="35"/>
        <v>0</v>
      </c>
      <c r="Z184" s="776">
        <f>IF(X185,_xll.qDateYears(X184,X185,DCCfloat),0)</f>
        <v>0</v>
      </c>
      <c r="AA184" s="553">
        <v>0</v>
      </c>
      <c r="AB184" s="789">
        <f>IF($X184=0,0,      _xll.qDateNext($X184,AB$12,"M",FRM&lt;&gt;"Calypso",CCY))</f>
        <v>0</v>
      </c>
      <c r="AC184" s="789">
        <f>IF($X184=0,0,      _xll.qDateNext($X184,AC$12,"M",FRM&lt;&gt;"Calypso",CCY))</f>
        <v>0</v>
      </c>
      <c r="AD184" s="789">
        <f>IF($X184=0,0,      _xll.qDateNext($X184,AD$12,"M",FRM&lt;&gt;"Calypso",CCY))</f>
        <v>0</v>
      </c>
      <c r="AE184" s="789">
        <f>IF($X184=0,0,      _xll.qDateNext($X184,AE$12,"M",FRM&lt;&gt;"Calypso",CCY))</f>
        <v>0</v>
      </c>
      <c r="AF184" s="789">
        <f>IF($X184=0,0,      _xll.qDateNext($X184,AF$12,"M",FRM&lt;&gt;"Calypso",CCY))</f>
        <v>0</v>
      </c>
      <c r="AG184" s="789">
        <f>IF($X184=0,0,      _xll.qDateNext($X184,AG$12,"M",FRM&lt;&gt;"Calypso",CCY))</f>
        <v>0</v>
      </c>
      <c r="AH184" s="789">
        <f>IF($X184=0,0,      _xll.qDateNext($X184,AH$12,"M",FRM&lt;&gt;"Calypso",CCY))</f>
        <v>0</v>
      </c>
      <c r="AI184" s="789">
        <f>IF($X184=0,0,      _xll.qDateNext($X184,AI$12,"M",FRM&lt;&gt;"Calypso",CCY))</f>
        <v>0</v>
      </c>
      <c r="AJ184" s="529" t="str">
        <v/>
      </c>
      <c r="AK184" s="529" t="str">
        <v/>
      </c>
      <c r="AL184" s="529" t="str">
        <v/>
      </c>
      <c r="AM184" s="529" t="str">
        <v/>
      </c>
      <c r="AN184" s="529" t="str">
        <v/>
      </c>
      <c r="AO184" s="529" t="str">
        <v/>
      </c>
      <c r="AP184" s="529" t="str">
        <v/>
      </c>
      <c r="AQ184" s="529" t="str">
        <v/>
      </c>
      <c r="AR184" s="529">
        <v>0</v>
      </c>
      <c r="AS184" s="529">
        <v>0</v>
      </c>
      <c r="AT184" s="529">
        <f t="shared" si="45"/>
        <v>0</v>
      </c>
      <c r="AU184" s="529">
        <v>0</v>
      </c>
      <c r="AV184" s="529">
        <f t="shared" si="46"/>
        <v>0</v>
      </c>
      <c r="AW184" s="529">
        <f t="shared" si="47"/>
        <v>0</v>
      </c>
      <c r="AX184" s="529">
        <v>0</v>
      </c>
      <c r="AY184" s="529">
        <v>0</v>
      </c>
      <c r="AZ184" s="761">
        <f t="shared" si="36"/>
        <v>0</v>
      </c>
      <c r="BA184" s="761">
        <f t="shared" si="37"/>
        <v>0</v>
      </c>
      <c r="BB184" s="761">
        <f t="shared" si="38"/>
        <v>0</v>
      </c>
      <c r="BC184" s="761">
        <f t="shared" si="39"/>
        <v>0</v>
      </c>
      <c r="BD184" s="761">
        <f t="shared" si="40"/>
        <v>0</v>
      </c>
      <c r="BE184" s="761">
        <f t="shared" si="41"/>
        <v>0</v>
      </c>
      <c r="BF184" s="761">
        <f t="shared" si="42"/>
        <v>0</v>
      </c>
      <c r="BG184" s="761">
        <f t="shared" si="43"/>
        <v>0</v>
      </c>
      <c r="BH184" s="777">
        <v>0</v>
      </c>
      <c r="BI184" s="755"/>
      <c r="BJ184" s="778">
        <f>IF(X185=0,0,           IF(ISNUMBER(BI184),BI184,               IF(ISTEXT(BI184),INDEX(AZ184:BG184,MATCH(BI184,$AZ$12:$BG$12,0)),             IF(BH184="INT",_xll.qInterp(X185,AB184:AI184,AZ184:BG184),            INDEX(AZ184:BG184,MATCH(BH184,$AZ$12:$BG$12,0))))))</f>
        <v>0</v>
      </c>
      <c r="BK184" s="408">
        <f t="shared" si="48"/>
        <v>0</v>
      </c>
      <c r="BL184" s="414">
        <f t="shared" si="49"/>
        <v>0</v>
      </c>
      <c r="BM184" s="408">
        <f t="shared" si="50"/>
        <v>0</v>
      </c>
    </row>
    <row r="185" spans="16:65">
      <c r="P185" s="779">
        <v>0</v>
      </c>
      <c r="Q185" s="780">
        <f t="shared" si="34"/>
        <v>0</v>
      </c>
      <c r="R185" s="776">
        <f>IF(P186,_xll.qDateYears(P185,P186,DCCfixed),0)</f>
        <v>0</v>
      </c>
      <c r="S185" s="553">
        <v>0</v>
      </c>
      <c r="T185" s="785"/>
      <c r="U185" s="409">
        <f t="shared" si="44"/>
        <v>0</v>
      </c>
      <c r="X185" s="363">
        <v>0</v>
      </c>
      <c r="Y185" s="775">
        <f t="shared" si="35"/>
        <v>0</v>
      </c>
      <c r="Z185" s="776">
        <f>IF(X186,_xll.qDateYears(X185,X186,DCCfloat),0)</f>
        <v>0</v>
      </c>
      <c r="AA185" s="553">
        <v>0</v>
      </c>
      <c r="AB185" s="789">
        <f>IF($X185=0,0,      _xll.qDateNext($X185,AB$12,"M",FRM&lt;&gt;"Calypso",CCY))</f>
        <v>0</v>
      </c>
      <c r="AC185" s="789">
        <f>IF($X185=0,0,      _xll.qDateNext($X185,AC$12,"M",FRM&lt;&gt;"Calypso",CCY))</f>
        <v>0</v>
      </c>
      <c r="AD185" s="789">
        <f>IF($X185=0,0,      _xll.qDateNext($X185,AD$12,"M",FRM&lt;&gt;"Calypso",CCY))</f>
        <v>0</v>
      </c>
      <c r="AE185" s="789">
        <f>IF($X185=0,0,      _xll.qDateNext($X185,AE$12,"M",FRM&lt;&gt;"Calypso",CCY))</f>
        <v>0</v>
      </c>
      <c r="AF185" s="789">
        <f>IF($X185=0,0,      _xll.qDateNext($X185,AF$12,"M",FRM&lt;&gt;"Calypso",CCY))</f>
        <v>0</v>
      </c>
      <c r="AG185" s="789">
        <f>IF($X185=0,0,      _xll.qDateNext($X185,AG$12,"M",FRM&lt;&gt;"Calypso",CCY))</f>
        <v>0</v>
      </c>
      <c r="AH185" s="789">
        <f>IF($X185=0,0,      _xll.qDateNext($X185,AH$12,"M",FRM&lt;&gt;"Calypso",CCY))</f>
        <v>0</v>
      </c>
      <c r="AI185" s="789">
        <f>IF($X185=0,0,      _xll.qDateNext($X185,AI$12,"M",FRM&lt;&gt;"Calypso",CCY))</f>
        <v>0</v>
      </c>
      <c r="AJ185" s="529" t="str">
        <v/>
      </c>
      <c r="AK185" s="529" t="str">
        <v/>
      </c>
      <c r="AL185" s="529" t="str">
        <v/>
      </c>
      <c r="AM185" s="529" t="str">
        <v/>
      </c>
      <c r="AN185" s="529" t="str">
        <v/>
      </c>
      <c r="AO185" s="529" t="str">
        <v/>
      </c>
      <c r="AP185" s="529" t="str">
        <v/>
      </c>
      <c r="AQ185" s="529" t="str">
        <v/>
      </c>
      <c r="AR185" s="529">
        <v>0</v>
      </c>
      <c r="AS185" s="529">
        <v>0</v>
      </c>
      <c r="AT185" s="529">
        <f t="shared" si="45"/>
        <v>0</v>
      </c>
      <c r="AU185" s="529">
        <v>0</v>
      </c>
      <c r="AV185" s="529">
        <f t="shared" si="46"/>
        <v>0</v>
      </c>
      <c r="AW185" s="529">
        <f t="shared" si="47"/>
        <v>0</v>
      </c>
      <c r="AX185" s="529">
        <v>0</v>
      </c>
      <c r="AY185" s="529">
        <v>0</v>
      </c>
      <c r="AZ185" s="761">
        <f t="shared" si="36"/>
        <v>0</v>
      </c>
      <c r="BA185" s="761">
        <f t="shared" si="37"/>
        <v>0</v>
      </c>
      <c r="BB185" s="761">
        <f t="shared" si="38"/>
        <v>0</v>
      </c>
      <c r="BC185" s="761">
        <f t="shared" si="39"/>
        <v>0</v>
      </c>
      <c r="BD185" s="761">
        <f t="shared" si="40"/>
        <v>0</v>
      </c>
      <c r="BE185" s="761">
        <f t="shared" si="41"/>
        <v>0</v>
      </c>
      <c r="BF185" s="761">
        <f t="shared" si="42"/>
        <v>0</v>
      </c>
      <c r="BG185" s="761">
        <f t="shared" si="43"/>
        <v>0</v>
      </c>
      <c r="BH185" s="777">
        <v>0</v>
      </c>
      <c r="BI185" s="755"/>
      <c r="BJ185" s="778">
        <f>IF(X186=0,0,           IF(ISNUMBER(BI185),BI185,               IF(ISTEXT(BI185),INDEX(AZ185:BG185,MATCH(BI185,$AZ$12:$BG$12,0)),             IF(BH185="INT",_xll.qInterp(X186,AB185:AI185,AZ185:BG185),            INDEX(AZ185:BG185,MATCH(BH185,$AZ$12:$BG$12,0))))))</f>
        <v>0</v>
      </c>
      <c r="BK185" s="408">
        <f t="shared" si="48"/>
        <v>0</v>
      </c>
      <c r="BL185" s="414">
        <f t="shared" si="49"/>
        <v>0</v>
      </c>
      <c r="BM185" s="408">
        <f t="shared" si="50"/>
        <v>0</v>
      </c>
    </row>
    <row r="186" spans="16:65">
      <c r="P186" s="779">
        <v>0</v>
      </c>
      <c r="Q186" s="780">
        <f t="shared" si="34"/>
        <v>0</v>
      </c>
      <c r="R186" s="776">
        <f>IF(P187,_xll.qDateYears(P186,P187,DCCfixed),0)</f>
        <v>0</v>
      </c>
      <c r="S186" s="553">
        <v>0</v>
      </c>
      <c r="T186" s="785"/>
      <c r="U186" s="409">
        <f t="shared" si="44"/>
        <v>0</v>
      </c>
      <c r="X186" s="363">
        <v>0</v>
      </c>
      <c r="Y186" s="775">
        <f t="shared" si="35"/>
        <v>0</v>
      </c>
      <c r="Z186" s="776">
        <f>IF(X187,_xll.qDateYears(X186,X187,DCCfloat),0)</f>
        <v>0</v>
      </c>
      <c r="AA186" s="553">
        <v>0</v>
      </c>
      <c r="AB186" s="789">
        <f>IF($X186=0,0,      _xll.qDateNext($X186,AB$12,"M",FRM&lt;&gt;"Calypso",CCY))</f>
        <v>0</v>
      </c>
      <c r="AC186" s="789">
        <f>IF($X186=0,0,      _xll.qDateNext($X186,AC$12,"M",FRM&lt;&gt;"Calypso",CCY))</f>
        <v>0</v>
      </c>
      <c r="AD186" s="789">
        <f>IF($X186=0,0,      _xll.qDateNext($X186,AD$12,"M",FRM&lt;&gt;"Calypso",CCY))</f>
        <v>0</v>
      </c>
      <c r="AE186" s="789">
        <f>IF($X186=0,0,      _xll.qDateNext($X186,AE$12,"M",FRM&lt;&gt;"Calypso",CCY))</f>
        <v>0</v>
      </c>
      <c r="AF186" s="789">
        <f>IF($X186=0,0,      _xll.qDateNext($X186,AF$12,"M",FRM&lt;&gt;"Calypso",CCY))</f>
        <v>0</v>
      </c>
      <c r="AG186" s="789">
        <f>IF($X186=0,0,      _xll.qDateNext($X186,AG$12,"M",FRM&lt;&gt;"Calypso",CCY))</f>
        <v>0</v>
      </c>
      <c r="AH186" s="789">
        <f>IF($X186=0,0,      _xll.qDateNext($X186,AH$12,"M",FRM&lt;&gt;"Calypso",CCY))</f>
        <v>0</v>
      </c>
      <c r="AI186" s="789">
        <f>IF($X186=0,0,      _xll.qDateNext($X186,AI$12,"M",FRM&lt;&gt;"Calypso",CCY))</f>
        <v>0</v>
      </c>
      <c r="AJ186" s="529" t="str">
        <v/>
      </c>
      <c r="AK186" s="529" t="str">
        <v/>
      </c>
      <c r="AL186" s="529" t="str">
        <v/>
      </c>
      <c r="AM186" s="529" t="str">
        <v/>
      </c>
      <c r="AN186" s="529" t="str">
        <v/>
      </c>
      <c r="AO186" s="529" t="str">
        <v/>
      </c>
      <c r="AP186" s="529" t="str">
        <v/>
      </c>
      <c r="AQ186" s="529" t="str">
        <v/>
      </c>
      <c r="AR186" s="529">
        <v>0</v>
      </c>
      <c r="AS186" s="529">
        <v>0</v>
      </c>
      <c r="AT186" s="529">
        <f t="shared" si="45"/>
        <v>0</v>
      </c>
      <c r="AU186" s="529">
        <v>0</v>
      </c>
      <c r="AV186" s="529">
        <f t="shared" si="46"/>
        <v>0</v>
      </c>
      <c r="AW186" s="529">
        <f t="shared" si="47"/>
        <v>0</v>
      </c>
      <c r="AX186" s="529">
        <v>0</v>
      </c>
      <c r="AY186" s="529">
        <v>0</v>
      </c>
      <c r="AZ186" s="761">
        <f t="shared" si="36"/>
        <v>0</v>
      </c>
      <c r="BA186" s="761">
        <f t="shared" si="37"/>
        <v>0</v>
      </c>
      <c r="BB186" s="761">
        <f t="shared" si="38"/>
        <v>0</v>
      </c>
      <c r="BC186" s="761">
        <f t="shared" si="39"/>
        <v>0</v>
      </c>
      <c r="BD186" s="761">
        <f t="shared" si="40"/>
        <v>0</v>
      </c>
      <c r="BE186" s="761">
        <f t="shared" si="41"/>
        <v>0</v>
      </c>
      <c r="BF186" s="761">
        <f t="shared" si="42"/>
        <v>0</v>
      </c>
      <c r="BG186" s="761">
        <f t="shared" si="43"/>
        <v>0</v>
      </c>
      <c r="BH186" s="777">
        <v>0</v>
      </c>
      <c r="BI186" s="755"/>
      <c r="BJ186" s="778">
        <f>IF(X187=0,0,           IF(ISNUMBER(BI186),BI186,               IF(ISTEXT(BI186),INDEX(AZ186:BG186,MATCH(BI186,$AZ$12:$BG$12,0)),             IF(BH186="INT",_xll.qInterp(X187,AB186:AI186,AZ186:BG186),            INDEX(AZ186:BG186,MATCH(BH186,$AZ$12:$BG$12,0))))))</f>
        <v>0</v>
      </c>
      <c r="BK186" s="408">
        <f t="shared" si="48"/>
        <v>0</v>
      </c>
      <c r="BL186" s="414">
        <f t="shared" si="49"/>
        <v>0</v>
      </c>
      <c r="BM186" s="408">
        <f t="shared" si="50"/>
        <v>0</v>
      </c>
    </row>
    <row r="187" spans="16:65">
      <c r="P187" s="779">
        <v>0</v>
      </c>
      <c r="Q187" s="780">
        <f t="shared" si="34"/>
        <v>0</v>
      </c>
      <c r="R187" s="776">
        <f>IF(P188,_xll.qDateYears(P187,P188,DCCfixed),0)</f>
        <v>0</v>
      </c>
      <c r="S187" s="553">
        <v>0</v>
      </c>
      <c r="T187" s="785"/>
      <c r="U187" s="409">
        <f t="shared" si="44"/>
        <v>0</v>
      </c>
      <c r="X187" s="363">
        <v>0</v>
      </c>
      <c r="Y187" s="775">
        <f t="shared" si="35"/>
        <v>0</v>
      </c>
      <c r="Z187" s="776">
        <f>IF(X188,_xll.qDateYears(X187,X188,DCCfloat),0)</f>
        <v>0</v>
      </c>
      <c r="AA187" s="553">
        <v>0</v>
      </c>
      <c r="AB187" s="789">
        <f>IF($X187=0,0,      _xll.qDateNext($X187,AB$12,"M",FRM&lt;&gt;"Calypso",CCY))</f>
        <v>0</v>
      </c>
      <c r="AC187" s="789">
        <f>IF($X187=0,0,      _xll.qDateNext($X187,AC$12,"M",FRM&lt;&gt;"Calypso",CCY))</f>
        <v>0</v>
      </c>
      <c r="AD187" s="789">
        <f>IF($X187=0,0,      _xll.qDateNext($X187,AD$12,"M",FRM&lt;&gt;"Calypso",CCY))</f>
        <v>0</v>
      </c>
      <c r="AE187" s="789">
        <f>IF($X187=0,0,      _xll.qDateNext($X187,AE$12,"M",FRM&lt;&gt;"Calypso",CCY))</f>
        <v>0</v>
      </c>
      <c r="AF187" s="789">
        <f>IF($X187=0,0,      _xll.qDateNext($X187,AF$12,"M",FRM&lt;&gt;"Calypso",CCY))</f>
        <v>0</v>
      </c>
      <c r="AG187" s="789">
        <f>IF($X187=0,0,      _xll.qDateNext($X187,AG$12,"M",FRM&lt;&gt;"Calypso",CCY))</f>
        <v>0</v>
      </c>
      <c r="AH187" s="789">
        <f>IF($X187=0,0,      _xll.qDateNext($X187,AH$12,"M",FRM&lt;&gt;"Calypso",CCY))</f>
        <v>0</v>
      </c>
      <c r="AI187" s="789">
        <f>IF($X187=0,0,      _xll.qDateNext($X187,AI$12,"M",FRM&lt;&gt;"Calypso",CCY))</f>
        <v>0</v>
      </c>
      <c r="AJ187" s="529" t="str">
        <v/>
      </c>
      <c r="AK187" s="529" t="str">
        <v/>
      </c>
      <c r="AL187" s="529" t="str">
        <v/>
      </c>
      <c r="AM187" s="529" t="str">
        <v/>
      </c>
      <c r="AN187" s="529" t="str">
        <v/>
      </c>
      <c r="AO187" s="529" t="str">
        <v/>
      </c>
      <c r="AP187" s="529" t="str">
        <v/>
      </c>
      <c r="AQ187" s="529" t="str">
        <v/>
      </c>
      <c r="AR187" s="529">
        <v>0</v>
      </c>
      <c r="AS187" s="529">
        <v>0</v>
      </c>
      <c r="AT187" s="529">
        <f t="shared" si="45"/>
        <v>0</v>
      </c>
      <c r="AU187" s="529">
        <v>0</v>
      </c>
      <c r="AV187" s="529">
        <f t="shared" si="46"/>
        <v>0</v>
      </c>
      <c r="AW187" s="529">
        <f t="shared" si="47"/>
        <v>0</v>
      </c>
      <c r="AX187" s="529">
        <v>0</v>
      </c>
      <c r="AY187" s="529">
        <v>0</v>
      </c>
      <c r="AZ187" s="761">
        <f t="shared" si="36"/>
        <v>0</v>
      </c>
      <c r="BA187" s="761">
        <f t="shared" si="37"/>
        <v>0</v>
      </c>
      <c r="BB187" s="761">
        <f t="shared" si="38"/>
        <v>0</v>
      </c>
      <c r="BC187" s="761">
        <f t="shared" si="39"/>
        <v>0</v>
      </c>
      <c r="BD187" s="761">
        <f t="shared" si="40"/>
        <v>0</v>
      </c>
      <c r="BE187" s="761">
        <f t="shared" si="41"/>
        <v>0</v>
      </c>
      <c r="BF187" s="761">
        <f t="shared" si="42"/>
        <v>0</v>
      </c>
      <c r="BG187" s="761">
        <f t="shared" si="43"/>
        <v>0</v>
      </c>
      <c r="BH187" s="777">
        <v>0</v>
      </c>
      <c r="BI187" s="755"/>
      <c r="BJ187" s="778">
        <f>IF(X188=0,0,           IF(ISNUMBER(BI187),BI187,               IF(ISTEXT(BI187),INDEX(AZ187:BG187,MATCH(BI187,$AZ$12:$BG$12,0)),             IF(BH187="INT",_xll.qInterp(X188,AB187:AI187,AZ187:BG187),            INDEX(AZ187:BG187,MATCH(BH187,$AZ$12:$BG$12,0))))))</f>
        <v>0</v>
      </c>
      <c r="BK187" s="408">
        <f t="shared" si="48"/>
        <v>0</v>
      </c>
      <c r="BL187" s="414">
        <f t="shared" si="49"/>
        <v>0</v>
      </c>
      <c r="BM187" s="408">
        <f t="shared" si="50"/>
        <v>0</v>
      </c>
    </row>
    <row r="188" spans="16:65">
      <c r="P188" s="779">
        <v>0</v>
      </c>
      <c r="Q188" s="780">
        <f t="shared" si="34"/>
        <v>0</v>
      </c>
      <c r="R188" s="776">
        <f>IF(P189,_xll.qDateYears(P188,P189,DCCfixed),0)</f>
        <v>0</v>
      </c>
      <c r="S188" s="553">
        <v>0</v>
      </c>
      <c r="T188" s="785"/>
      <c r="U188" s="409">
        <f t="shared" si="44"/>
        <v>0</v>
      </c>
      <c r="X188" s="363">
        <v>0</v>
      </c>
      <c r="Y188" s="775">
        <f t="shared" si="35"/>
        <v>0</v>
      </c>
      <c r="Z188" s="776">
        <f>IF(X189,_xll.qDateYears(X188,X189,DCCfloat),0)</f>
        <v>0</v>
      </c>
      <c r="AA188" s="553">
        <v>0</v>
      </c>
      <c r="AB188" s="789">
        <f>IF($X188=0,0,      _xll.qDateNext($X188,AB$12,"M",FRM&lt;&gt;"Calypso",CCY))</f>
        <v>0</v>
      </c>
      <c r="AC188" s="789">
        <f>IF($X188=0,0,      _xll.qDateNext($X188,AC$12,"M",FRM&lt;&gt;"Calypso",CCY))</f>
        <v>0</v>
      </c>
      <c r="AD188" s="789">
        <f>IF($X188=0,0,      _xll.qDateNext($X188,AD$12,"M",FRM&lt;&gt;"Calypso",CCY))</f>
        <v>0</v>
      </c>
      <c r="AE188" s="789">
        <f>IF($X188=0,0,      _xll.qDateNext($X188,AE$12,"M",FRM&lt;&gt;"Calypso",CCY))</f>
        <v>0</v>
      </c>
      <c r="AF188" s="789">
        <f>IF($X188=0,0,      _xll.qDateNext($X188,AF$12,"M",FRM&lt;&gt;"Calypso",CCY))</f>
        <v>0</v>
      </c>
      <c r="AG188" s="789">
        <f>IF($X188=0,0,      _xll.qDateNext($X188,AG$12,"M",FRM&lt;&gt;"Calypso",CCY))</f>
        <v>0</v>
      </c>
      <c r="AH188" s="789">
        <f>IF($X188=0,0,      _xll.qDateNext($X188,AH$12,"M",FRM&lt;&gt;"Calypso",CCY))</f>
        <v>0</v>
      </c>
      <c r="AI188" s="789">
        <f>IF($X188=0,0,      _xll.qDateNext($X188,AI$12,"M",FRM&lt;&gt;"Calypso",CCY))</f>
        <v>0</v>
      </c>
      <c r="AJ188" s="529" t="str">
        <v/>
      </c>
      <c r="AK188" s="529" t="str">
        <v/>
      </c>
      <c r="AL188" s="529" t="str">
        <v/>
      </c>
      <c r="AM188" s="529" t="str">
        <v/>
      </c>
      <c r="AN188" s="529" t="str">
        <v/>
      </c>
      <c r="AO188" s="529" t="str">
        <v/>
      </c>
      <c r="AP188" s="529" t="str">
        <v/>
      </c>
      <c r="AQ188" s="529" t="str">
        <v/>
      </c>
      <c r="AR188" s="529">
        <v>0</v>
      </c>
      <c r="AS188" s="529">
        <v>0</v>
      </c>
      <c r="AT188" s="529">
        <f t="shared" si="45"/>
        <v>0</v>
      </c>
      <c r="AU188" s="529">
        <v>0</v>
      </c>
      <c r="AV188" s="529">
        <f t="shared" si="46"/>
        <v>0</v>
      </c>
      <c r="AW188" s="529">
        <f t="shared" si="47"/>
        <v>0</v>
      </c>
      <c r="AX188" s="529">
        <v>0</v>
      </c>
      <c r="AY188" s="529">
        <v>0</v>
      </c>
      <c r="AZ188" s="761">
        <f t="shared" si="36"/>
        <v>0</v>
      </c>
      <c r="BA188" s="761">
        <f t="shared" si="37"/>
        <v>0</v>
      </c>
      <c r="BB188" s="761">
        <f t="shared" si="38"/>
        <v>0</v>
      </c>
      <c r="BC188" s="761">
        <f t="shared" si="39"/>
        <v>0</v>
      </c>
      <c r="BD188" s="761">
        <f t="shared" si="40"/>
        <v>0</v>
      </c>
      <c r="BE188" s="761">
        <f t="shared" si="41"/>
        <v>0</v>
      </c>
      <c r="BF188" s="761">
        <f t="shared" si="42"/>
        <v>0</v>
      </c>
      <c r="BG188" s="761">
        <f t="shared" si="43"/>
        <v>0</v>
      </c>
      <c r="BH188" s="777">
        <v>0</v>
      </c>
      <c r="BI188" s="755"/>
      <c r="BJ188" s="778">
        <f>IF(X189=0,0,           IF(ISNUMBER(BI188),BI188,               IF(ISTEXT(BI188),INDEX(AZ188:BG188,MATCH(BI188,$AZ$12:$BG$12,0)),             IF(BH188="INT",_xll.qInterp(X189,AB188:AI188,AZ188:BG188),            INDEX(AZ188:BG188,MATCH(BH188,$AZ$12:$BG$12,0))))))</f>
        <v>0</v>
      </c>
      <c r="BK188" s="408">
        <f t="shared" si="48"/>
        <v>0</v>
      </c>
      <c r="BL188" s="414">
        <f t="shared" si="49"/>
        <v>0</v>
      </c>
      <c r="BM188" s="408">
        <f t="shared" si="50"/>
        <v>0</v>
      </c>
    </row>
    <row r="189" spans="16:65">
      <c r="P189" s="779">
        <v>0</v>
      </c>
      <c r="Q189" s="780">
        <f t="shared" si="34"/>
        <v>0</v>
      </c>
      <c r="R189" s="776">
        <f>IF(P190,_xll.qDateYears(P189,P190,DCCfixed),0)</f>
        <v>0</v>
      </c>
      <c r="S189" s="553">
        <v>0</v>
      </c>
      <c r="T189" s="785"/>
      <c r="U189" s="409">
        <f t="shared" si="44"/>
        <v>0</v>
      </c>
      <c r="X189" s="363">
        <v>0</v>
      </c>
      <c r="Y189" s="775">
        <f t="shared" si="35"/>
        <v>0</v>
      </c>
      <c r="Z189" s="776">
        <f>IF(X190,_xll.qDateYears(X189,X190,DCCfloat),0)</f>
        <v>0</v>
      </c>
      <c r="AA189" s="553">
        <v>0</v>
      </c>
      <c r="AB189" s="789">
        <f>IF($X189=0,0,      _xll.qDateNext($X189,AB$12,"M",FRM&lt;&gt;"Calypso",CCY))</f>
        <v>0</v>
      </c>
      <c r="AC189" s="789">
        <f>IF($X189=0,0,      _xll.qDateNext($X189,AC$12,"M",FRM&lt;&gt;"Calypso",CCY))</f>
        <v>0</v>
      </c>
      <c r="AD189" s="789">
        <f>IF($X189=0,0,      _xll.qDateNext($X189,AD$12,"M",FRM&lt;&gt;"Calypso",CCY))</f>
        <v>0</v>
      </c>
      <c r="AE189" s="789">
        <f>IF($X189=0,0,      _xll.qDateNext($X189,AE$12,"M",FRM&lt;&gt;"Calypso",CCY))</f>
        <v>0</v>
      </c>
      <c r="AF189" s="789">
        <f>IF($X189=0,0,      _xll.qDateNext($X189,AF$12,"M",FRM&lt;&gt;"Calypso",CCY))</f>
        <v>0</v>
      </c>
      <c r="AG189" s="789">
        <f>IF($X189=0,0,      _xll.qDateNext($X189,AG$12,"M",FRM&lt;&gt;"Calypso",CCY))</f>
        <v>0</v>
      </c>
      <c r="AH189" s="789">
        <f>IF($X189=0,0,      _xll.qDateNext($X189,AH$12,"M",FRM&lt;&gt;"Calypso",CCY))</f>
        <v>0</v>
      </c>
      <c r="AI189" s="789">
        <f>IF($X189=0,0,      _xll.qDateNext($X189,AI$12,"M",FRM&lt;&gt;"Calypso",CCY))</f>
        <v>0</v>
      </c>
      <c r="AJ189" s="529" t="str">
        <v/>
      </c>
      <c r="AK189" s="529" t="str">
        <v/>
      </c>
      <c r="AL189" s="529" t="str">
        <v/>
      </c>
      <c r="AM189" s="529" t="str">
        <v/>
      </c>
      <c r="AN189" s="529" t="str">
        <v/>
      </c>
      <c r="AO189" s="529" t="str">
        <v/>
      </c>
      <c r="AP189" s="529" t="str">
        <v/>
      </c>
      <c r="AQ189" s="529" t="str">
        <v/>
      </c>
      <c r="AR189" s="529">
        <v>0</v>
      </c>
      <c r="AS189" s="529">
        <v>0</v>
      </c>
      <c r="AT189" s="529">
        <f t="shared" si="45"/>
        <v>0</v>
      </c>
      <c r="AU189" s="529">
        <v>0</v>
      </c>
      <c r="AV189" s="529">
        <f t="shared" si="46"/>
        <v>0</v>
      </c>
      <c r="AW189" s="529">
        <f t="shared" si="47"/>
        <v>0</v>
      </c>
      <c r="AX189" s="529">
        <v>0</v>
      </c>
      <c r="AY189" s="529">
        <v>0</v>
      </c>
      <c r="AZ189" s="761">
        <f t="shared" si="36"/>
        <v>0</v>
      </c>
      <c r="BA189" s="761">
        <f t="shared" si="37"/>
        <v>0</v>
      </c>
      <c r="BB189" s="761">
        <f t="shared" si="38"/>
        <v>0</v>
      </c>
      <c r="BC189" s="761">
        <f t="shared" si="39"/>
        <v>0</v>
      </c>
      <c r="BD189" s="761">
        <f t="shared" si="40"/>
        <v>0</v>
      </c>
      <c r="BE189" s="761">
        <f t="shared" si="41"/>
        <v>0</v>
      </c>
      <c r="BF189" s="761">
        <f t="shared" si="42"/>
        <v>0</v>
      </c>
      <c r="BG189" s="761">
        <f t="shared" si="43"/>
        <v>0</v>
      </c>
      <c r="BH189" s="777">
        <v>0</v>
      </c>
      <c r="BI189" s="755"/>
      <c r="BJ189" s="778">
        <f>IF(X190=0,0,           IF(ISNUMBER(BI189),BI189,               IF(ISTEXT(BI189),INDEX(AZ189:BG189,MATCH(BI189,$AZ$12:$BG$12,0)),             IF(BH189="INT",_xll.qInterp(X190,AB189:AI189,AZ189:BG189),            INDEX(AZ189:BG189,MATCH(BH189,$AZ$12:$BG$12,0))))))</f>
        <v>0</v>
      </c>
      <c r="BK189" s="408">
        <f t="shared" si="48"/>
        <v>0</v>
      </c>
      <c r="BL189" s="414">
        <f t="shared" si="49"/>
        <v>0</v>
      </c>
      <c r="BM189" s="408">
        <f t="shared" si="50"/>
        <v>0</v>
      </c>
    </row>
    <row r="190" spans="16:65">
      <c r="P190" s="779">
        <v>0</v>
      </c>
      <c r="Q190" s="780">
        <f t="shared" si="34"/>
        <v>0</v>
      </c>
      <c r="R190" s="776">
        <f>IF(P191,_xll.qDateYears(P190,P191,DCCfixed),0)</f>
        <v>0</v>
      </c>
      <c r="S190" s="553">
        <v>0</v>
      </c>
      <c r="T190" s="785"/>
      <c r="U190" s="409">
        <f t="shared" si="44"/>
        <v>0</v>
      </c>
      <c r="X190" s="363">
        <v>0</v>
      </c>
      <c r="Y190" s="775">
        <f t="shared" si="35"/>
        <v>0</v>
      </c>
      <c r="Z190" s="776">
        <f>IF(X191,_xll.qDateYears(X190,X191,DCCfloat),0)</f>
        <v>0</v>
      </c>
      <c r="AA190" s="553">
        <v>0</v>
      </c>
      <c r="AB190" s="789">
        <f>IF($X190=0,0,      _xll.qDateNext($X190,AB$12,"M",FRM&lt;&gt;"Calypso",CCY))</f>
        <v>0</v>
      </c>
      <c r="AC190" s="789">
        <f>IF($X190=0,0,      _xll.qDateNext($X190,AC$12,"M",FRM&lt;&gt;"Calypso",CCY))</f>
        <v>0</v>
      </c>
      <c r="AD190" s="789">
        <f>IF($X190=0,0,      _xll.qDateNext($X190,AD$12,"M",FRM&lt;&gt;"Calypso",CCY))</f>
        <v>0</v>
      </c>
      <c r="AE190" s="789">
        <f>IF($X190=0,0,      _xll.qDateNext($X190,AE$12,"M",FRM&lt;&gt;"Calypso",CCY))</f>
        <v>0</v>
      </c>
      <c r="AF190" s="789">
        <f>IF($X190=0,0,      _xll.qDateNext($X190,AF$12,"M",FRM&lt;&gt;"Calypso",CCY))</f>
        <v>0</v>
      </c>
      <c r="AG190" s="789">
        <f>IF($X190=0,0,      _xll.qDateNext($X190,AG$12,"M",FRM&lt;&gt;"Calypso",CCY))</f>
        <v>0</v>
      </c>
      <c r="AH190" s="789">
        <f>IF($X190=0,0,      _xll.qDateNext($X190,AH$12,"M",FRM&lt;&gt;"Calypso",CCY))</f>
        <v>0</v>
      </c>
      <c r="AI190" s="789">
        <f>IF($X190=0,0,      _xll.qDateNext($X190,AI$12,"M",FRM&lt;&gt;"Calypso",CCY))</f>
        <v>0</v>
      </c>
      <c r="AJ190" s="529" t="str">
        <v/>
      </c>
      <c r="AK190" s="529" t="str">
        <v/>
      </c>
      <c r="AL190" s="529" t="str">
        <v/>
      </c>
      <c r="AM190" s="529" t="str">
        <v/>
      </c>
      <c r="AN190" s="529" t="str">
        <v/>
      </c>
      <c r="AO190" s="529" t="str">
        <v/>
      </c>
      <c r="AP190" s="529" t="str">
        <v/>
      </c>
      <c r="AQ190" s="529" t="str">
        <v/>
      </c>
      <c r="AR190" s="529">
        <v>0</v>
      </c>
      <c r="AS190" s="529">
        <v>0</v>
      </c>
      <c r="AT190" s="529">
        <f t="shared" si="45"/>
        <v>0</v>
      </c>
      <c r="AU190" s="529">
        <v>0</v>
      </c>
      <c r="AV190" s="529">
        <f t="shared" si="46"/>
        <v>0</v>
      </c>
      <c r="AW190" s="529">
        <f t="shared" si="47"/>
        <v>0</v>
      </c>
      <c r="AX190" s="529">
        <v>0</v>
      </c>
      <c r="AY190" s="529">
        <v>0</v>
      </c>
      <c r="AZ190" s="761">
        <f t="shared" si="36"/>
        <v>0</v>
      </c>
      <c r="BA190" s="761">
        <f t="shared" si="37"/>
        <v>0</v>
      </c>
      <c r="BB190" s="761">
        <f t="shared" si="38"/>
        <v>0</v>
      </c>
      <c r="BC190" s="761">
        <f t="shared" si="39"/>
        <v>0</v>
      </c>
      <c r="BD190" s="761">
        <f t="shared" si="40"/>
        <v>0</v>
      </c>
      <c r="BE190" s="761">
        <f t="shared" si="41"/>
        <v>0</v>
      </c>
      <c r="BF190" s="761">
        <f t="shared" si="42"/>
        <v>0</v>
      </c>
      <c r="BG190" s="761">
        <f t="shared" si="43"/>
        <v>0</v>
      </c>
      <c r="BH190" s="777">
        <v>0</v>
      </c>
      <c r="BI190" s="755"/>
      <c r="BJ190" s="778">
        <f>IF(X191=0,0,           IF(ISNUMBER(BI190),BI190,               IF(ISTEXT(BI190),INDEX(AZ190:BG190,MATCH(BI190,$AZ$12:$BG$12,0)),             IF(BH190="INT",_xll.qInterp(X191,AB190:AI190,AZ190:BG190),            INDEX(AZ190:BG190,MATCH(BH190,$AZ$12:$BG$12,0))))))</f>
        <v>0</v>
      </c>
      <c r="BK190" s="408">
        <f t="shared" si="48"/>
        <v>0</v>
      </c>
      <c r="BL190" s="414">
        <f t="shared" si="49"/>
        <v>0</v>
      </c>
      <c r="BM190" s="408">
        <f t="shared" si="50"/>
        <v>0</v>
      </c>
    </row>
    <row r="191" spans="16:65">
      <c r="P191" s="779">
        <v>0</v>
      </c>
      <c r="Q191" s="780">
        <f t="shared" si="34"/>
        <v>0</v>
      </c>
      <c r="R191" s="776">
        <f>IF(P192,_xll.qDateYears(P191,P192,DCCfixed),0)</f>
        <v>0</v>
      </c>
      <c r="S191" s="553">
        <v>0</v>
      </c>
      <c r="T191" s="785"/>
      <c r="U191" s="409">
        <f t="shared" si="44"/>
        <v>0</v>
      </c>
      <c r="X191" s="363">
        <v>0</v>
      </c>
      <c r="Y191" s="775">
        <f t="shared" si="35"/>
        <v>0</v>
      </c>
      <c r="Z191" s="776">
        <f>IF(X192,_xll.qDateYears(X191,X192,DCCfloat),0)</f>
        <v>0</v>
      </c>
      <c r="AA191" s="553">
        <v>0</v>
      </c>
      <c r="AB191" s="789">
        <f>IF($X191=0,0,      _xll.qDateNext($X191,AB$12,"M",FRM&lt;&gt;"Calypso",CCY))</f>
        <v>0</v>
      </c>
      <c r="AC191" s="789">
        <f>IF($X191=0,0,      _xll.qDateNext($X191,AC$12,"M",FRM&lt;&gt;"Calypso",CCY))</f>
        <v>0</v>
      </c>
      <c r="AD191" s="789">
        <f>IF($X191=0,0,      _xll.qDateNext($X191,AD$12,"M",FRM&lt;&gt;"Calypso",CCY))</f>
        <v>0</v>
      </c>
      <c r="AE191" s="789">
        <f>IF($X191=0,0,      _xll.qDateNext($X191,AE$12,"M",FRM&lt;&gt;"Calypso",CCY))</f>
        <v>0</v>
      </c>
      <c r="AF191" s="789">
        <f>IF($X191=0,0,      _xll.qDateNext($X191,AF$12,"M",FRM&lt;&gt;"Calypso",CCY))</f>
        <v>0</v>
      </c>
      <c r="AG191" s="789">
        <f>IF($X191=0,0,      _xll.qDateNext($X191,AG$12,"M",FRM&lt;&gt;"Calypso",CCY))</f>
        <v>0</v>
      </c>
      <c r="AH191" s="789">
        <f>IF($X191=0,0,      _xll.qDateNext($X191,AH$12,"M",FRM&lt;&gt;"Calypso",CCY))</f>
        <v>0</v>
      </c>
      <c r="AI191" s="789">
        <f>IF($X191=0,0,      _xll.qDateNext($X191,AI$12,"M",FRM&lt;&gt;"Calypso",CCY))</f>
        <v>0</v>
      </c>
      <c r="AJ191" s="529" t="str">
        <v/>
      </c>
      <c r="AK191" s="529" t="str">
        <v/>
      </c>
      <c r="AL191" s="529" t="str">
        <v/>
      </c>
      <c r="AM191" s="529" t="str">
        <v/>
      </c>
      <c r="AN191" s="529" t="str">
        <v/>
      </c>
      <c r="AO191" s="529" t="str">
        <v/>
      </c>
      <c r="AP191" s="529" t="str">
        <v/>
      </c>
      <c r="AQ191" s="529" t="str">
        <v/>
      </c>
      <c r="AR191" s="529">
        <v>0</v>
      </c>
      <c r="AS191" s="529">
        <v>0</v>
      </c>
      <c r="AT191" s="529">
        <f t="shared" si="45"/>
        <v>0</v>
      </c>
      <c r="AU191" s="529">
        <v>0</v>
      </c>
      <c r="AV191" s="529">
        <f t="shared" si="46"/>
        <v>0</v>
      </c>
      <c r="AW191" s="529">
        <f t="shared" si="47"/>
        <v>0</v>
      </c>
      <c r="AX191" s="529">
        <v>0</v>
      </c>
      <c r="AY191" s="529">
        <v>0</v>
      </c>
      <c r="AZ191" s="761">
        <f t="shared" si="36"/>
        <v>0</v>
      </c>
      <c r="BA191" s="761">
        <f t="shared" si="37"/>
        <v>0</v>
      </c>
      <c r="BB191" s="761">
        <f t="shared" si="38"/>
        <v>0</v>
      </c>
      <c r="BC191" s="761">
        <f t="shared" si="39"/>
        <v>0</v>
      </c>
      <c r="BD191" s="761">
        <f t="shared" si="40"/>
        <v>0</v>
      </c>
      <c r="BE191" s="761">
        <f t="shared" si="41"/>
        <v>0</v>
      </c>
      <c r="BF191" s="761">
        <f t="shared" si="42"/>
        <v>0</v>
      </c>
      <c r="BG191" s="761">
        <f t="shared" si="43"/>
        <v>0</v>
      </c>
      <c r="BH191" s="777">
        <v>0</v>
      </c>
      <c r="BI191" s="755"/>
      <c r="BJ191" s="778">
        <f>IF(X192=0,0,           IF(ISNUMBER(BI191),BI191,               IF(ISTEXT(BI191),INDEX(AZ191:BG191,MATCH(BI191,$AZ$12:$BG$12,0)),             IF(BH191="INT",_xll.qInterp(X192,AB191:AI191,AZ191:BG191),            INDEX(AZ191:BG191,MATCH(BH191,$AZ$12:$BG$12,0))))))</f>
        <v>0</v>
      </c>
      <c r="BK191" s="408">
        <f t="shared" si="48"/>
        <v>0</v>
      </c>
      <c r="BL191" s="414">
        <f t="shared" si="49"/>
        <v>0</v>
      </c>
      <c r="BM191" s="408">
        <f t="shared" si="50"/>
        <v>0</v>
      </c>
    </row>
    <row r="192" spans="16:65">
      <c r="P192" s="779">
        <v>0</v>
      </c>
      <c r="Q192" s="780">
        <f t="shared" si="34"/>
        <v>0</v>
      </c>
      <c r="R192" s="776">
        <f>IF(P193,_xll.qDateYears(P192,P193,DCCfixed),0)</f>
        <v>0</v>
      </c>
      <c r="S192" s="553">
        <v>0</v>
      </c>
      <c r="T192" s="785"/>
      <c r="U192" s="409">
        <f t="shared" si="44"/>
        <v>0</v>
      </c>
      <c r="X192" s="363">
        <v>0</v>
      </c>
      <c r="Y192" s="775">
        <f t="shared" si="35"/>
        <v>0</v>
      </c>
      <c r="Z192" s="776">
        <f>IF(X193,_xll.qDateYears(X192,X193,DCCfloat),0)</f>
        <v>0</v>
      </c>
      <c r="AA192" s="553">
        <v>0</v>
      </c>
      <c r="AB192" s="789">
        <f>IF($X192=0,0,      _xll.qDateNext($X192,AB$12,"M",FRM&lt;&gt;"Calypso",CCY))</f>
        <v>0</v>
      </c>
      <c r="AC192" s="789">
        <f>IF($X192=0,0,      _xll.qDateNext($X192,AC$12,"M",FRM&lt;&gt;"Calypso",CCY))</f>
        <v>0</v>
      </c>
      <c r="AD192" s="789">
        <f>IF($X192=0,0,      _xll.qDateNext($X192,AD$12,"M",FRM&lt;&gt;"Calypso",CCY))</f>
        <v>0</v>
      </c>
      <c r="AE192" s="789">
        <f>IF($X192=0,0,      _xll.qDateNext($X192,AE$12,"M",FRM&lt;&gt;"Calypso",CCY))</f>
        <v>0</v>
      </c>
      <c r="AF192" s="789">
        <f>IF($X192=0,0,      _xll.qDateNext($X192,AF$12,"M",FRM&lt;&gt;"Calypso",CCY))</f>
        <v>0</v>
      </c>
      <c r="AG192" s="789">
        <f>IF($X192=0,0,      _xll.qDateNext($X192,AG$12,"M",FRM&lt;&gt;"Calypso",CCY))</f>
        <v>0</v>
      </c>
      <c r="AH192" s="789">
        <f>IF($X192=0,0,      _xll.qDateNext($X192,AH$12,"M",FRM&lt;&gt;"Calypso",CCY))</f>
        <v>0</v>
      </c>
      <c r="AI192" s="789">
        <f>IF($X192=0,0,      _xll.qDateNext($X192,AI$12,"M",FRM&lt;&gt;"Calypso",CCY))</f>
        <v>0</v>
      </c>
      <c r="AJ192" s="529" t="str">
        <v/>
      </c>
      <c r="AK192" s="529" t="str">
        <v/>
      </c>
      <c r="AL192" s="529" t="str">
        <v/>
      </c>
      <c r="AM192" s="529" t="str">
        <v/>
      </c>
      <c r="AN192" s="529" t="str">
        <v/>
      </c>
      <c r="AO192" s="529" t="str">
        <v/>
      </c>
      <c r="AP192" s="529" t="str">
        <v/>
      </c>
      <c r="AQ192" s="529" t="str">
        <v/>
      </c>
      <c r="AR192" s="529">
        <v>0</v>
      </c>
      <c r="AS192" s="529">
        <v>0</v>
      </c>
      <c r="AT192" s="529">
        <f t="shared" si="45"/>
        <v>0</v>
      </c>
      <c r="AU192" s="529">
        <v>0</v>
      </c>
      <c r="AV192" s="529">
        <f t="shared" si="46"/>
        <v>0</v>
      </c>
      <c r="AW192" s="529">
        <f t="shared" si="47"/>
        <v>0</v>
      </c>
      <c r="AX192" s="529">
        <v>0</v>
      </c>
      <c r="AY192" s="529">
        <v>0</v>
      </c>
      <c r="AZ192" s="761">
        <f t="shared" si="36"/>
        <v>0</v>
      </c>
      <c r="BA192" s="761">
        <f t="shared" si="37"/>
        <v>0</v>
      </c>
      <c r="BB192" s="761">
        <f t="shared" si="38"/>
        <v>0</v>
      </c>
      <c r="BC192" s="761">
        <f t="shared" si="39"/>
        <v>0</v>
      </c>
      <c r="BD192" s="761">
        <f t="shared" si="40"/>
        <v>0</v>
      </c>
      <c r="BE192" s="761">
        <f t="shared" si="41"/>
        <v>0</v>
      </c>
      <c r="BF192" s="761">
        <f t="shared" si="42"/>
        <v>0</v>
      </c>
      <c r="BG192" s="761">
        <f t="shared" si="43"/>
        <v>0</v>
      </c>
      <c r="BH192" s="777">
        <v>0</v>
      </c>
      <c r="BI192" s="755"/>
      <c r="BJ192" s="778">
        <f>IF(X193=0,0,           IF(ISNUMBER(BI192),BI192,               IF(ISTEXT(BI192),INDEX(AZ192:BG192,MATCH(BI192,$AZ$12:$BG$12,0)),             IF(BH192="INT",_xll.qInterp(X193,AB192:AI192,AZ192:BG192),            INDEX(AZ192:BG192,MATCH(BH192,$AZ$12:$BG$12,0))))))</f>
        <v>0</v>
      </c>
      <c r="BK192" s="408">
        <f t="shared" si="48"/>
        <v>0</v>
      </c>
      <c r="BL192" s="414">
        <f t="shared" si="49"/>
        <v>0</v>
      </c>
      <c r="BM192" s="408">
        <f t="shared" si="50"/>
        <v>0</v>
      </c>
    </row>
    <row r="193" spans="16:65">
      <c r="P193" s="779">
        <v>0</v>
      </c>
      <c r="Q193" s="780">
        <f t="shared" si="34"/>
        <v>0</v>
      </c>
      <c r="R193" s="776">
        <f>IF(P194,_xll.qDateYears(P193,P194,DCCfixed),0)</f>
        <v>0</v>
      </c>
      <c r="S193" s="553">
        <v>0</v>
      </c>
      <c r="T193" s="785"/>
      <c r="U193" s="409">
        <f t="shared" si="44"/>
        <v>0</v>
      </c>
      <c r="X193" s="363">
        <v>0</v>
      </c>
      <c r="Y193" s="775">
        <f t="shared" si="35"/>
        <v>0</v>
      </c>
      <c r="Z193" s="776">
        <f>IF(X194,_xll.qDateYears(X193,X194,DCCfloat),0)</f>
        <v>0</v>
      </c>
      <c r="AA193" s="553">
        <v>0</v>
      </c>
      <c r="AB193" s="789">
        <f>IF($X193=0,0,      _xll.qDateNext($X193,AB$12,"M",FRM&lt;&gt;"Calypso",CCY))</f>
        <v>0</v>
      </c>
      <c r="AC193" s="789">
        <f>IF($X193=0,0,      _xll.qDateNext($X193,AC$12,"M",FRM&lt;&gt;"Calypso",CCY))</f>
        <v>0</v>
      </c>
      <c r="AD193" s="789">
        <f>IF($X193=0,0,      _xll.qDateNext($X193,AD$12,"M",FRM&lt;&gt;"Calypso",CCY))</f>
        <v>0</v>
      </c>
      <c r="AE193" s="789">
        <f>IF($X193=0,0,      _xll.qDateNext($X193,AE$12,"M",FRM&lt;&gt;"Calypso",CCY))</f>
        <v>0</v>
      </c>
      <c r="AF193" s="789">
        <f>IF($X193=0,0,      _xll.qDateNext($X193,AF$12,"M",FRM&lt;&gt;"Calypso",CCY))</f>
        <v>0</v>
      </c>
      <c r="AG193" s="789">
        <f>IF($X193=0,0,      _xll.qDateNext($X193,AG$12,"M",FRM&lt;&gt;"Calypso",CCY))</f>
        <v>0</v>
      </c>
      <c r="AH193" s="789">
        <f>IF($X193=0,0,      _xll.qDateNext($X193,AH$12,"M",FRM&lt;&gt;"Calypso",CCY))</f>
        <v>0</v>
      </c>
      <c r="AI193" s="789">
        <f>IF($X193=0,0,      _xll.qDateNext($X193,AI$12,"M",FRM&lt;&gt;"Calypso",CCY))</f>
        <v>0</v>
      </c>
      <c r="AJ193" s="529" t="str">
        <v/>
      </c>
      <c r="AK193" s="529" t="str">
        <v/>
      </c>
      <c r="AL193" s="529" t="str">
        <v/>
      </c>
      <c r="AM193" s="529" t="str">
        <v/>
      </c>
      <c r="AN193" s="529" t="str">
        <v/>
      </c>
      <c r="AO193" s="529" t="str">
        <v/>
      </c>
      <c r="AP193" s="529" t="str">
        <v/>
      </c>
      <c r="AQ193" s="529" t="str">
        <v/>
      </c>
      <c r="AR193" s="529">
        <v>0</v>
      </c>
      <c r="AS193" s="529">
        <v>0</v>
      </c>
      <c r="AT193" s="529">
        <f t="shared" si="45"/>
        <v>0</v>
      </c>
      <c r="AU193" s="529">
        <v>0</v>
      </c>
      <c r="AV193" s="529">
        <f t="shared" si="46"/>
        <v>0</v>
      </c>
      <c r="AW193" s="529">
        <f t="shared" si="47"/>
        <v>0</v>
      </c>
      <c r="AX193" s="529">
        <v>0</v>
      </c>
      <c r="AY193" s="529">
        <v>0</v>
      </c>
      <c r="AZ193" s="761">
        <f t="shared" si="36"/>
        <v>0</v>
      </c>
      <c r="BA193" s="761">
        <f t="shared" si="37"/>
        <v>0</v>
      </c>
      <c r="BB193" s="761">
        <f t="shared" si="38"/>
        <v>0</v>
      </c>
      <c r="BC193" s="761">
        <f t="shared" si="39"/>
        <v>0</v>
      </c>
      <c r="BD193" s="761">
        <f t="shared" si="40"/>
        <v>0</v>
      </c>
      <c r="BE193" s="761">
        <f t="shared" si="41"/>
        <v>0</v>
      </c>
      <c r="BF193" s="761">
        <f t="shared" si="42"/>
        <v>0</v>
      </c>
      <c r="BG193" s="761">
        <f t="shared" si="43"/>
        <v>0</v>
      </c>
      <c r="BH193" s="777">
        <v>0</v>
      </c>
      <c r="BI193" s="755"/>
      <c r="BJ193" s="778">
        <f>IF(X194=0,0,           IF(ISNUMBER(BI193),BI193,               IF(ISTEXT(BI193),INDEX(AZ193:BG193,MATCH(BI193,$AZ$12:$BG$12,0)),             IF(BH193="INT",_xll.qInterp(X194,AB193:AI193,AZ193:BG193),            INDEX(AZ193:BG193,MATCH(BH193,$AZ$12:$BG$12,0))))))</f>
        <v>0</v>
      </c>
      <c r="BK193" s="408">
        <f t="shared" si="48"/>
        <v>0</v>
      </c>
      <c r="BL193" s="414">
        <f t="shared" si="49"/>
        <v>0</v>
      </c>
      <c r="BM193" s="408">
        <f t="shared" si="50"/>
        <v>0</v>
      </c>
    </row>
    <row r="194" spans="16:65">
      <c r="P194" s="779">
        <v>0</v>
      </c>
      <c r="Q194" s="780">
        <f t="shared" si="34"/>
        <v>0</v>
      </c>
      <c r="R194" s="776">
        <f>IF(P195,_xll.qDateYears(P194,P195,DCCfixed),0)</f>
        <v>0</v>
      </c>
      <c r="S194" s="553">
        <v>0</v>
      </c>
      <c r="T194" s="785"/>
      <c r="U194" s="409">
        <f t="shared" si="44"/>
        <v>0</v>
      </c>
      <c r="X194" s="363">
        <v>0</v>
      </c>
      <c r="Y194" s="775">
        <f t="shared" si="35"/>
        <v>0</v>
      </c>
      <c r="Z194" s="776">
        <f>IF(X195,_xll.qDateYears(X194,X195,DCCfloat),0)</f>
        <v>0</v>
      </c>
      <c r="AA194" s="553">
        <v>0</v>
      </c>
      <c r="AB194" s="789">
        <f>IF($X194=0,0,      _xll.qDateNext($X194,AB$12,"M",FRM&lt;&gt;"Calypso",CCY))</f>
        <v>0</v>
      </c>
      <c r="AC194" s="789">
        <f>IF($X194=0,0,      _xll.qDateNext($X194,AC$12,"M",FRM&lt;&gt;"Calypso",CCY))</f>
        <v>0</v>
      </c>
      <c r="AD194" s="789">
        <f>IF($X194=0,0,      _xll.qDateNext($X194,AD$12,"M",FRM&lt;&gt;"Calypso",CCY))</f>
        <v>0</v>
      </c>
      <c r="AE194" s="789">
        <f>IF($X194=0,0,      _xll.qDateNext($X194,AE$12,"M",FRM&lt;&gt;"Calypso",CCY))</f>
        <v>0</v>
      </c>
      <c r="AF194" s="789">
        <f>IF($X194=0,0,      _xll.qDateNext($X194,AF$12,"M",FRM&lt;&gt;"Calypso",CCY))</f>
        <v>0</v>
      </c>
      <c r="AG194" s="789">
        <f>IF($X194=0,0,      _xll.qDateNext($X194,AG$12,"M",FRM&lt;&gt;"Calypso",CCY))</f>
        <v>0</v>
      </c>
      <c r="AH194" s="789">
        <f>IF($X194=0,0,      _xll.qDateNext($X194,AH$12,"M",FRM&lt;&gt;"Calypso",CCY))</f>
        <v>0</v>
      </c>
      <c r="AI194" s="789">
        <f>IF($X194=0,0,      _xll.qDateNext($X194,AI$12,"M",FRM&lt;&gt;"Calypso",CCY))</f>
        <v>0</v>
      </c>
      <c r="AJ194" s="529" t="str">
        <v/>
      </c>
      <c r="AK194" s="529" t="str">
        <v/>
      </c>
      <c r="AL194" s="529" t="str">
        <v/>
      </c>
      <c r="AM194" s="529" t="str">
        <v/>
      </c>
      <c r="AN194" s="529" t="str">
        <v/>
      </c>
      <c r="AO194" s="529" t="str">
        <v/>
      </c>
      <c r="AP194" s="529" t="str">
        <v/>
      </c>
      <c r="AQ194" s="529" t="str">
        <v/>
      </c>
      <c r="AR194" s="529">
        <v>0</v>
      </c>
      <c r="AS194" s="529">
        <v>0</v>
      </c>
      <c r="AT194" s="529">
        <f t="shared" si="45"/>
        <v>0</v>
      </c>
      <c r="AU194" s="529">
        <v>0</v>
      </c>
      <c r="AV194" s="529">
        <f t="shared" si="46"/>
        <v>0</v>
      </c>
      <c r="AW194" s="529">
        <f t="shared" si="47"/>
        <v>0</v>
      </c>
      <c r="AX194" s="529">
        <v>0</v>
      </c>
      <c r="AY194" s="529">
        <v>0</v>
      </c>
      <c r="AZ194" s="761">
        <f t="shared" si="36"/>
        <v>0</v>
      </c>
      <c r="BA194" s="761">
        <f t="shared" si="37"/>
        <v>0</v>
      </c>
      <c r="BB194" s="761">
        <f t="shared" si="38"/>
        <v>0</v>
      </c>
      <c r="BC194" s="761">
        <f t="shared" si="39"/>
        <v>0</v>
      </c>
      <c r="BD194" s="761">
        <f t="shared" si="40"/>
        <v>0</v>
      </c>
      <c r="BE194" s="761">
        <f t="shared" si="41"/>
        <v>0</v>
      </c>
      <c r="BF194" s="761">
        <f t="shared" si="42"/>
        <v>0</v>
      </c>
      <c r="BG194" s="761">
        <f t="shared" si="43"/>
        <v>0</v>
      </c>
      <c r="BH194" s="777">
        <v>0</v>
      </c>
      <c r="BI194" s="755"/>
      <c r="BJ194" s="778">
        <f>IF(X195=0,0,           IF(ISNUMBER(BI194),BI194,               IF(ISTEXT(BI194),INDEX(AZ194:BG194,MATCH(BI194,$AZ$12:$BG$12,0)),             IF(BH194="INT",_xll.qInterp(X195,AB194:AI194,AZ194:BG194),            INDEX(AZ194:BG194,MATCH(BH194,$AZ$12:$BG$12,0))))))</f>
        <v>0</v>
      </c>
      <c r="BK194" s="408">
        <f t="shared" si="48"/>
        <v>0</v>
      </c>
      <c r="BL194" s="414">
        <f t="shared" si="49"/>
        <v>0</v>
      </c>
      <c r="BM194" s="408">
        <f t="shared" si="50"/>
        <v>0</v>
      </c>
    </row>
    <row r="195" spans="16:65">
      <c r="P195" s="779">
        <v>0</v>
      </c>
      <c r="Q195" s="780">
        <f t="shared" si="34"/>
        <v>0</v>
      </c>
      <c r="R195" s="776">
        <f>IF(P196,_xll.qDateYears(P195,P196,DCCfixed),0)</f>
        <v>0</v>
      </c>
      <c r="S195" s="553">
        <v>0</v>
      </c>
      <c r="T195" s="785"/>
      <c r="U195" s="409">
        <f t="shared" si="44"/>
        <v>0</v>
      </c>
      <c r="X195" s="363">
        <v>0</v>
      </c>
      <c r="Y195" s="775">
        <f t="shared" si="35"/>
        <v>0</v>
      </c>
      <c r="Z195" s="776">
        <f>IF(X196,_xll.qDateYears(X195,X196,DCCfloat),0)</f>
        <v>0</v>
      </c>
      <c r="AA195" s="553">
        <v>0</v>
      </c>
      <c r="AB195" s="789">
        <f>IF($X195=0,0,      _xll.qDateNext($X195,AB$12,"M",FRM&lt;&gt;"Calypso",CCY))</f>
        <v>0</v>
      </c>
      <c r="AC195" s="789">
        <f>IF($X195=0,0,      _xll.qDateNext($X195,AC$12,"M",FRM&lt;&gt;"Calypso",CCY))</f>
        <v>0</v>
      </c>
      <c r="AD195" s="789">
        <f>IF($X195=0,0,      _xll.qDateNext($X195,AD$12,"M",FRM&lt;&gt;"Calypso",CCY))</f>
        <v>0</v>
      </c>
      <c r="AE195" s="789">
        <f>IF($X195=0,0,      _xll.qDateNext($X195,AE$12,"M",FRM&lt;&gt;"Calypso",CCY))</f>
        <v>0</v>
      </c>
      <c r="AF195" s="789">
        <f>IF($X195=0,0,      _xll.qDateNext($X195,AF$12,"M",FRM&lt;&gt;"Calypso",CCY))</f>
        <v>0</v>
      </c>
      <c r="AG195" s="789">
        <f>IF($X195=0,0,      _xll.qDateNext($X195,AG$12,"M",FRM&lt;&gt;"Calypso",CCY))</f>
        <v>0</v>
      </c>
      <c r="AH195" s="789">
        <f>IF($X195=0,0,      _xll.qDateNext($X195,AH$12,"M",FRM&lt;&gt;"Calypso",CCY))</f>
        <v>0</v>
      </c>
      <c r="AI195" s="789">
        <f>IF($X195=0,0,      _xll.qDateNext($X195,AI$12,"M",FRM&lt;&gt;"Calypso",CCY))</f>
        <v>0</v>
      </c>
      <c r="AJ195" s="529" t="str">
        <v/>
      </c>
      <c r="AK195" s="529" t="str">
        <v/>
      </c>
      <c r="AL195" s="529" t="str">
        <v/>
      </c>
      <c r="AM195" s="529" t="str">
        <v/>
      </c>
      <c r="AN195" s="529" t="str">
        <v/>
      </c>
      <c r="AO195" s="529" t="str">
        <v/>
      </c>
      <c r="AP195" s="529" t="str">
        <v/>
      </c>
      <c r="AQ195" s="529" t="str">
        <v/>
      </c>
      <c r="AR195" s="529">
        <v>0</v>
      </c>
      <c r="AS195" s="529">
        <v>0</v>
      </c>
      <c r="AT195" s="529">
        <f t="shared" si="45"/>
        <v>0</v>
      </c>
      <c r="AU195" s="529">
        <v>0</v>
      </c>
      <c r="AV195" s="529">
        <f t="shared" si="46"/>
        <v>0</v>
      </c>
      <c r="AW195" s="529">
        <f t="shared" si="47"/>
        <v>0</v>
      </c>
      <c r="AX195" s="529">
        <v>0</v>
      </c>
      <c r="AY195" s="529">
        <v>0</v>
      </c>
      <c r="AZ195" s="761">
        <f t="shared" si="36"/>
        <v>0</v>
      </c>
      <c r="BA195" s="761">
        <f t="shared" si="37"/>
        <v>0</v>
      </c>
      <c r="BB195" s="761">
        <f t="shared" si="38"/>
        <v>0</v>
      </c>
      <c r="BC195" s="761">
        <f t="shared" si="39"/>
        <v>0</v>
      </c>
      <c r="BD195" s="761">
        <f t="shared" si="40"/>
        <v>0</v>
      </c>
      <c r="BE195" s="761">
        <f t="shared" si="41"/>
        <v>0</v>
      </c>
      <c r="BF195" s="761">
        <f t="shared" si="42"/>
        <v>0</v>
      </c>
      <c r="BG195" s="761">
        <f t="shared" si="43"/>
        <v>0</v>
      </c>
      <c r="BH195" s="777">
        <v>0</v>
      </c>
      <c r="BI195" s="755"/>
      <c r="BJ195" s="778">
        <f>IF(X196=0,0,           IF(ISNUMBER(BI195),BI195,               IF(ISTEXT(BI195),INDEX(AZ195:BG195,MATCH(BI195,$AZ$12:$BG$12,0)),             IF(BH195="INT",_xll.qInterp(X196,AB195:AI195,AZ195:BG195),            INDEX(AZ195:BG195,MATCH(BH195,$AZ$12:$BG$12,0))))))</f>
        <v>0</v>
      </c>
      <c r="BK195" s="408">
        <f t="shared" si="48"/>
        <v>0</v>
      </c>
      <c r="BL195" s="414">
        <f t="shared" si="49"/>
        <v>0</v>
      </c>
      <c r="BM195" s="408">
        <f t="shared" si="50"/>
        <v>0</v>
      </c>
    </row>
    <row r="196" spans="16:65">
      <c r="P196" s="779">
        <v>0</v>
      </c>
      <c r="Q196" s="780">
        <f t="shared" si="34"/>
        <v>0</v>
      </c>
      <c r="R196" s="776">
        <f>IF(P197,_xll.qDateYears(P196,P197,DCCfixed),0)</f>
        <v>0</v>
      </c>
      <c r="S196" s="553">
        <v>0</v>
      </c>
      <c r="T196" s="785"/>
      <c r="U196" s="409">
        <f t="shared" si="44"/>
        <v>0</v>
      </c>
      <c r="X196" s="363">
        <v>0</v>
      </c>
      <c r="Y196" s="775">
        <f t="shared" si="35"/>
        <v>0</v>
      </c>
      <c r="Z196" s="776">
        <f>IF(X197,_xll.qDateYears(X196,X197,DCCfloat),0)</f>
        <v>0</v>
      </c>
      <c r="AA196" s="553">
        <v>0</v>
      </c>
      <c r="AB196" s="789">
        <f>IF($X196=0,0,      _xll.qDateNext($X196,AB$12,"M",FRM&lt;&gt;"Calypso",CCY))</f>
        <v>0</v>
      </c>
      <c r="AC196" s="789">
        <f>IF($X196=0,0,      _xll.qDateNext($X196,AC$12,"M",FRM&lt;&gt;"Calypso",CCY))</f>
        <v>0</v>
      </c>
      <c r="AD196" s="789">
        <f>IF($X196=0,0,      _xll.qDateNext($X196,AD$12,"M",FRM&lt;&gt;"Calypso",CCY))</f>
        <v>0</v>
      </c>
      <c r="AE196" s="789">
        <f>IF($X196=0,0,      _xll.qDateNext($X196,AE$12,"M",FRM&lt;&gt;"Calypso",CCY))</f>
        <v>0</v>
      </c>
      <c r="AF196" s="789">
        <f>IF($X196=0,0,      _xll.qDateNext($X196,AF$12,"M",FRM&lt;&gt;"Calypso",CCY))</f>
        <v>0</v>
      </c>
      <c r="AG196" s="789">
        <f>IF($X196=0,0,      _xll.qDateNext($X196,AG$12,"M",FRM&lt;&gt;"Calypso",CCY))</f>
        <v>0</v>
      </c>
      <c r="AH196" s="789">
        <f>IF($X196=0,0,      _xll.qDateNext($X196,AH$12,"M",FRM&lt;&gt;"Calypso",CCY))</f>
        <v>0</v>
      </c>
      <c r="AI196" s="789">
        <f>IF($X196=0,0,      _xll.qDateNext($X196,AI$12,"M",FRM&lt;&gt;"Calypso",CCY))</f>
        <v>0</v>
      </c>
      <c r="AJ196" s="529" t="str">
        <v/>
      </c>
      <c r="AK196" s="529" t="str">
        <v/>
      </c>
      <c r="AL196" s="529" t="str">
        <v/>
      </c>
      <c r="AM196" s="529" t="str">
        <v/>
      </c>
      <c r="AN196" s="529" t="str">
        <v/>
      </c>
      <c r="AO196" s="529" t="str">
        <v/>
      </c>
      <c r="AP196" s="529" t="str">
        <v/>
      </c>
      <c r="AQ196" s="529" t="str">
        <v/>
      </c>
      <c r="AR196" s="529">
        <v>0</v>
      </c>
      <c r="AS196" s="529">
        <v>0</v>
      </c>
      <c r="AT196" s="529">
        <f t="shared" si="45"/>
        <v>0</v>
      </c>
      <c r="AU196" s="529">
        <v>0</v>
      </c>
      <c r="AV196" s="529">
        <f t="shared" si="46"/>
        <v>0</v>
      </c>
      <c r="AW196" s="529">
        <f t="shared" si="47"/>
        <v>0</v>
      </c>
      <c r="AX196" s="529">
        <v>0</v>
      </c>
      <c r="AY196" s="529">
        <v>0</v>
      </c>
      <c r="AZ196" s="761">
        <f t="shared" si="36"/>
        <v>0</v>
      </c>
      <c r="BA196" s="761">
        <f t="shared" si="37"/>
        <v>0</v>
      </c>
      <c r="BB196" s="761">
        <f t="shared" si="38"/>
        <v>0</v>
      </c>
      <c r="BC196" s="761">
        <f t="shared" si="39"/>
        <v>0</v>
      </c>
      <c r="BD196" s="761">
        <f t="shared" si="40"/>
        <v>0</v>
      </c>
      <c r="BE196" s="761">
        <f t="shared" si="41"/>
        <v>0</v>
      </c>
      <c r="BF196" s="761">
        <f t="shared" si="42"/>
        <v>0</v>
      </c>
      <c r="BG196" s="761">
        <f t="shared" si="43"/>
        <v>0</v>
      </c>
      <c r="BH196" s="777">
        <v>0</v>
      </c>
      <c r="BI196" s="755"/>
      <c r="BJ196" s="778">
        <f>IF(X197=0,0,           IF(ISNUMBER(BI196),BI196,               IF(ISTEXT(BI196),INDEX(AZ196:BG196,MATCH(BI196,$AZ$12:$BG$12,0)),             IF(BH196="INT",_xll.qInterp(X197,AB196:AI196,AZ196:BG196),            INDEX(AZ196:BG196,MATCH(BH196,$AZ$12:$BG$12,0))))))</f>
        <v>0</v>
      </c>
      <c r="BK196" s="408">
        <f t="shared" si="48"/>
        <v>0</v>
      </c>
      <c r="BL196" s="414">
        <f t="shared" si="49"/>
        <v>0</v>
      </c>
      <c r="BM196" s="408">
        <f t="shared" si="50"/>
        <v>0</v>
      </c>
    </row>
    <row r="197" spans="16:65">
      <c r="P197" s="779">
        <v>0</v>
      </c>
      <c r="Q197" s="780">
        <f t="shared" si="34"/>
        <v>0</v>
      </c>
      <c r="R197" s="776">
        <f>IF(P198,_xll.qDateYears(P197,P198,DCCfixed),0)</f>
        <v>0</v>
      </c>
      <c r="S197" s="553">
        <v>0</v>
      </c>
      <c r="T197" s="785"/>
      <c r="U197" s="409">
        <f t="shared" si="44"/>
        <v>0</v>
      </c>
      <c r="X197" s="363">
        <v>0</v>
      </c>
      <c r="Y197" s="775">
        <f t="shared" si="35"/>
        <v>0</v>
      </c>
      <c r="Z197" s="776">
        <f>IF(X198,_xll.qDateYears(X197,X198,DCCfloat),0)</f>
        <v>0</v>
      </c>
      <c r="AA197" s="553">
        <v>0</v>
      </c>
      <c r="AB197" s="789">
        <f>IF($X197=0,0,      _xll.qDateNext($X197,AB$12,"M",FRM&lt;&gt;"Calypso",CCY))</f>
        <v>0</v>
      </c>
      <c r="AC197" s="789">
        <f>IF($X197=0,0,      _xll.qDateNext($X197,AC$12,"M",FRM&lt;&gt;"Calypso",CCY))</f>
        <v>0</v>
      </c>
      <c r="AD197" s="789">
        <f>IF($X197=0,0,      _xll.qDateNext($X197,AD$12,"M",FRM&lt;&gt;"Calypso",CCY))</f>
        <v>0</v>
      </c>
      <c r="AE197" s="789">
        <f>IF($X197=0,0,      _xll.qDateNext($X197,AE$12,"M",FRM&lt;&gt;"Calypso",CCY))</f>
        <v>0</v>
      </c>
      <c r="AF197" s="789">
        <f>IF($X197=0,0,      _xll.qDateNext($X197,AF$12,"M",FRM&lt;&gt;"Calypso",CCY))</f>
        <v>0</v>
      </c>
      <c r="AG197" s="789">
        <f>IF($X197=0,0,      _xll.qDateNext($X197,AG$12,"M",FRM&lt;&gt;"Calypso",CCY))</f>
        <v>0</v>
      </c>
      <c r="AH197" s="789">
        <f>IF($X197=0,0,      _xll.qDateNext($X197,AH$12,"M",FRM&lt;&gt;"Calypso",CCY))</f>
        <v>0</v>
      </c>
      <c r="AI197" s="789">
        <f>IF($X197=0,0,      _xll.qDateNext($X197,AI$12,"M",FRM&lt;&gt;"Calypso",CCY))</f>
        <v>0</v>
      </c>
      <c r="AJ197" s="529" t="str">
        <v/>
      </c>
      <c r="AK197" s="529" t="str">
        <v/>
      </c>
      <c r="AL197" s="529" t="str">
        <v/>
      </c>
      <c r="AM197" s="529" t="str">
        <v/>
      </c>
      <c r="AN197" s="529" t="str">
        <v/>
      </c>
      <c r="AO197" s="529" t="str">
        <v/>
      </c>
      <c r="AP197" s="529" t="str">
        <v/>
      </c>
      <c r="AQ197" s="529" t="str">
        <v/>
      </c>
      <c r="AR197" s="529">
        <v>0</v>
      </c>
      <c r="AS197" s="529">
        <v>0</v>
      </c>
      <c r="AT197" s="529">
        <f t="shared" si="45"/>
        <v>0</v>
      </c>
      <c r="AU197" s="529">
        <v>0</v>
      </c>
      <c r="AV197" s="529">
        <f t="shared" si="46"/>
        <v>0</v>
      </c>
      <c r="AW197" s="529">
        <f t="shared" si="47"/>
        <v>0</v>
      </c>
      <c r="AX197" s="529">
        <v>0</v>
      </c>
      <c r="AY197" s="529">
        <v>0</v>
      </c>
      <c r="AZ197" s="761">
        <f t="shared" si="36"/>
        <v>0</v>
      </c>
      <c r="BA197" s="761">
        <f t="shared" si="37"/>
        <v>0</v>
      </c>
      <c r="BB197" s="761">
        <f t="shared" si="38"/>
        <v>0</v>
      </c>
      <c r="BC197" s="761">
        <f t="shared" si="39"/>
        <v>0</v>
      </c>
      <c r="BD197" s="761">
        <f t="shared" si="40"/>
        <v>0</v>
      </c>
      <c r="BE197" s="761">
        <f t="shared" si="41"/>
        <v>0</v>
      </c>
      <c r="BF197" s="761">
        <f t="shared" si="42"/>
        <v>0</v>
      </c>
      <c r="BG197" s="761">
        <f t="shared" si="43"/>
        <v>0</v>
      </c>
      <c r="BH197" s="777">
        <v>0</v>
      </c>
      <c r="BI197" s="755"/>
      <c r="BJ197" s="778">
        <f>IF(X198=0,0,           IF(ISNUMBER(BI197),BI197,               IF(ISTEXT(BI197),INDEX(AZ197:BG197,MATCH(BI197,$AZ$12:$BG$12,0)),             IF(BH197="INT",_xll.qInterp(X198,AB197:AI197,AZ197:BG197),            INDEX(AZ197:BG197,MATCH(BH197,$AZ$12:$BG$12,0))))))</f>
        <v>0</v>
      </c>
      <c r="BK197" s="408">
        <f t="shared" si="48"/>
        <v>0</v>
      </c>
      <c r="BL197" s="414">
        <f t="shared" si="49"/>
        <v>0</v>
      </c>
      <c r="BM197" s="408">
        <f t="shared" si="50"/>
        <v>0</v>
      </c>
    </row>
    <row r="198" spans="16:65">
      <c r="P198" s="779">
        <v>0</v>
      </c>
      <c r="Q198" s="780">
        <f t="shared" si="34"/>
        <v>0</v>
      </c>
      <c r="R198" s="776">
        <f>IF(P199,_xll.qDateYears(P198,P199,DCCfixed),0)</f>
        <v>0</v>
      </c>
      <c r="S198" s="553">
        <v>0</v>
      </c>
      <c r="T198" s="785"/>
      <c r="U198" s="409">
        <f t="shared" si="44"/>
        <v>0</v>
      </c>
      <c r="X198" s="363">
        <v>0</v>
      </c>
      <c r="Y198" s="775">
        <f t="shared" si="35"/>
        <v>0</v>
      </c>
      <c r="Z198" s="776">
        <f>IF(X199,_xll.qDateYears(X198,X199,DCCfloat),0)</f>
        <v>0</v>
      </c>
      <c r="AA198" s="553">
        <v>0</v>
      </c>
      <c r="AB198" s="789">
        <f>IF($X198=0,0,      _xll.qDateNext($X198,AB$12,"M",FRM&lt;&gt;"Calypso",CCY))</f>
        <v>0</v>
      </c>
      <c r="AC198" s="789">
        <f>IF($X198=0,0,      _xll.qDateNext($X198,AC$12,"M",FRM&lt;&gt;"Calypso",CCY))</f>
        <v>0</v>
      </c>
      <c r="AD198" s="789">
        <f>IF($X198=0,0,      _xll.qDateNext($X198,AD$12,"M",FRM&lt;&gt;"Calypso",CCY))</f>
        <v>0</v>
      </c>
      <c r="AE198" s="789">
        <f>IF($X198=0,0,      _xll.qDateNext($X198,AE$12,"M",FRM&lt;&gt;"Calypso",CCY))</f>
        <v>0</v>
      </c>
      <c r="AF198" s="789">
        <f>IF($X198=0,0,      _xll.qDateNext($X198,AF$12,"M",FRM&lt;&gt;"Calypso",CCY))</f>
        <v>0</v>
      </c>
      <c r="AG198" s="789">
        <f>IF($X198=0,0,      _xll.qDateNext($X198,AG$12,"M",FRM&lt;&gt;"Calypso",CCY))</f>
        <v>0</v>
      </c>
      <c r="AH198" s="789">
        <f>IF($X198=0,0,      _xll.qDateNext($X198,AH$12,"M",FRM&lt;&gt;"Calypso",CCY))</f>
        <v>0</v>
      </c>
      <c r="AI198" s="789">
        <f>IF($X198=0,0,      _xll.qDateNext($X198,AI$12,"M",FRM&lt;&gt;"Calypso",CCY))</f>
        <v>0</v>
      </c>
      <c r="AJ198" s="529" t="str">
        <v/>
      </c>
      <c r="AK198" s="529" t="str">
        <v/>
      </c>
      <c r="AL198" s="529" t="str">
        <v/>
      </c>
      <c r="AM198" s="529" t="str">
        <v/>
      </c>
      <c r="AN198" s="529" t="str">
        <v/>
      </c>
      <c r="AO198" s="529" t="str">
        <v/>
      </c>
      <c r="AP198" s="529" t="str">
        <v/>
      </c>
      <c r="AQ198" s="529" t="str">
        <v/>
      </c>
      <c r="AR198" s="529">
        <v>0</v>
      </c>
      <c r="AS198" s="529">
        <v>0</v>
      </c>
      <c r="AT198" s="529">
        <f t="shared" si="45"/>
        <v>0</v>
      </c>
      <c r="AU198" s="529">
        <v>0</v>
      </c>
      <c r="AV198" s="529">
        <f t="shared" si="46"/>
        <v>0</v>
      </c>
      <c r="AW198" s="529">
        <f t="shared" si="47"/>
        <v>0</v>
      </c>
      <c r="AX198" s="529">
        <v>0</v>
      </c>
      <c r="AY198" s="529">
        <v>0</v>
      </c>
      <c r="AZ198" s="761">
        <f t="shared" si="36"/>
        <v>0</v>
      </c>
      <c r="BA198" s="761">
        <f t="shared" si="37"/>
        <v>0</v>
      </c>
      <c r="BB198" s="761">
        <f t="shared" si="38"/>
        <v>0</v>
      </c>
      <c r="BC198" s="761">
        <f t="shared" si="39"/>
        <v>0</v>
      </c>
      <c r="BD198" s="761">
        <f t="shared" si="40"/>
        <v>0</v>
      </c>
      <c r="BE198" s="761">
        <f t="shared" si="41"/>
        <v>0</v>
      </c>
      <c r="BF198" s="761">
        <f t="shared" si="42"/>
        <v>0</v>
      </c>
      <c r="BG198" s="761">
        <f t="shared" si="43"/>
        <v>0</v>
      </c>
      <c r="BH198" s="777">
        <v>0</v>
      </c>
      <c r="BI198" s="755"/>
      <c r="BJ198" s="778">
        <f>IF(X199=0,0,           IF(ISNUMBER(BI198),BI198,               IF(ISTEXT(BI198),INDEX(AZ198:BG198,MATCH(BI198,$AZ$12:$BG$12,0)),             IF(BH198="INT",_xll.qInterp(X199,AB198:AI198,AZ198:BG198),            INDEX(AZ198:BG198,MATCH(BH198,$AZ$12:$BG$12,0))))))</f>
        <v>0</v>
      </c>
      <c r="BK198" s="408">
        <f t="shared" si="48"/>
        <v>0</v>
      </c>
      <c r="BL198" s="414">
        <f t="shared" si="49"/>
        <v>0</v>
      </c>
      <c r="BM198" s="408">
        <f t="shared" si="50"/>
        <v>0</v>
      </c>
    </row>
    <row r="199" spans="16:65">
      <c r="P199" s="779">
        <v>0</v>
      </c>
      <c r="Q199" s="780">
        <f t="shared" si="34"/>
        <v>0</v>
      </c>
      <c r="R199" s="776">
        <f>IF(P200,_xll.qDateYears(P199,P200,DCCfixed),0)</f>
        <v>0</v>
      </c>
      <c r="S199" s="553">
        <v>0</v>
      </c>
      <c r="T199" s="785"/>
      <c r="U199" s="409">
        <f t="shared" si="44"/>
        <v>0</v>
      </c>
      <c r="X199" s="363">
        <v>0</v>
      </c>
      <c r="Y199" s="775">
        <f t="shared" si="35"/>
        <v>0</v>
      </c>
      <c r="Z199" s="776">
        <f>IF(X200,_xll.qDateYears(X199,X200,DCCfloat),0)</f>
        <v>0</v>
      </c>
      <c r="AA199" s="553">
        <v>0</v>
      </c>
      <c r="AB199" s="789">
        <f>IF($X199=0,0,      _xll.qDateNext($X199,AB$12,"M",FRM&lt;&gt;"Calypso",CCY))</f>
        <v>0</v>
      </c>
      <c r="AC199" s="789">
        <f>IF($X199=0,0,      _xll.qDateNext($X199,AC$12,"M",FRM&lt;&gt;"Calypso",CCY))</f>
        <v>0</v>
      </c>
      <c r="AD199" s="789">
        <f>IF($X199=0,0,      _xll.qDateNext($X199,AD$12,"M",FRM&lt;&gt;"Calypso",CCY))</f>
        <v>0</v>
      </c>
      <c r="AE199" s="789">
        <f>IF($X199=0,0,      _xll.qDateNext($X199,AE$12,"M",FRM&lt;&gt;"Calypso",CCY))</f>
        <v>0</v>
      </c>
      <c r="AF199" s="789">
        <f>IF($X199=0,0,      _xll.qDateNext($X199,AF$12,"M",FRM&lt;&gt;"Calypso",CCY))</f>
        <v>0</v>
      </c>
      <c r="AG199" s="789">
        <f>IF($X199=0,0,      _xll.qDateNext($X199,AG$12,"M",FRM&lt;&gt;"Calypso",CCY))</f>
        <v>0</v>
      </c>
      <c r="AH199" s="789">
        <f>IF($X199=0,0,      _xll.qDateNext($X199,AH$12,"M",FRM&lt;&gt;"Calypso",CCY))</f>
        <v>0</v>
      </c>
      <c r="AI199" s="789">
        <f>IF($X199=0,0,      _xll.qDateNext($X199,AI$12,"M",FRM&lt;&gt;"Calypso",CCY))</f>
        <v>0</v>
      </c>
      <c r="AJ199" s="529" t="str">
        <v/>
      </c>
      <c r="AK199" s="529" t="str">
        <v/>
      </c>
      <c r="AL199" s="529" t="str">
        <v/>
      </c>
      <c r="AM199" s="529" t="str">
        <v/>
      </c>
      <c r="AN199" s="529" t="str">
        <v/>
      </c>
      <c r="AO199" s="529" t="str">
        <v/>
      </c>
      <c r="AP199" s="529" t="str">
        <v/>
      </c>
      <c r="AQ199" s="529" t="str">
        <v/>
      </c>
      <c r="AR199" s="529">
        <v>0</v>
      </c>
      <c r="AS199" s="529">
        <v>0</v>
      </c>
      <c r="AT199" s="529">
        <f t="shared" si="45"/>
        <v>0</v>
      </c>
      <c r="AU199" s="529">
        <v>0</v>
      </c>
      <c r="AV199" s="529">
        <f t="shared" si="46"/>
        <v>0</v>
      </c>
      <c r="AW199" s="529">
        <f t="shared" si="47"/>
        <v>0</v>
      </c>
      <c r="AX199" s="529">
        <v>0</v>
      </c>
      <c r="AY199" s="529">
        <v>0</v>
      </c>
      <c r="AZ199" s="761">
        <f t="shared" si="36"/>
        <v>0</v>
      </c>
      <c r="BA199" s="761">
        <f t="shared" si="37"/>
        <v>0</v>
      </c>
      <c r="BB199" s="761">
        <f t="shared" si="38"/>
        <v>0</v>
      </c>
      <c r="BC199" s="761">
        <f t="shared" si="39"/>
        <v>0</v>
      </c>
      <c r="BD199" s="761">
        <f t="shared" si="40"/>
        <v>0</v>
      </c>
      <c r="BE199" s="761">
        <f t="shared" si="41"/>
        <v>0</v>
      </c>
      <c r="BF199" s="761">
        <f t="shared" si="42"/>
        <v>0</v>
      </c>
      <c r="BG199" s="761">
        <f t="shared" si="43"/>
        <v>0</v>
      </c>
      <c r="BH199" s="777">
        <v>0</v>
      </c>
      <c r="BI199" s="755"/>
      <c r="BJ199" s="778">
        <f>IF(X200=0,0,           IF(ISNUMBER(BI199),BI199,               IF(ISTEXT(BI199),INDEX(AZ199:BG199,MATCH(BI199,$AZ$12:$BG$12,0)),             IF(BH199="INT",_xll.qInterp(X200,AB199:AI199,AZ199:BG199),            INDEX(AZ199:BG199,MATCH(BH199,$AZ$12:$BG$12,0))))))</f>
        <v>0</v>
      </c>
      <c r="BK199" s="408">
        <f t="shared" si="48"/>
        <v>0</v>
      </c>
      <c r="BL199" s="414">
        <f t="shared" si="49"/>
        <v>0</v>
      </c>
      <c r="BM199" s="408">
        <f t="shared" si="50"/>
        <v>0</v>
      </c>
    </row>
    <row r="200" spans="16:65">
      <c r="P200" s="779">
        <v>0</v>
      </c>
      <c r="Q200" s="780">
        <f t="shared" si="34"/>
        <v>0</v>
      </c>
      <c r="R200" s="776">
        <f>IF(P201,_xll.qDateYears(P200,P201,DCCfixed),0)</f>
        <v>0</v>
      </c>
      <c r="S200" s="553">
        <v>0</v>
      </c>
      <c r="T200" s="785"/>
      <c r="U200" s="409">
        <f t="shared" si="44"/>
        <v>0</v>
      </c>
      <c r="X200" s="363">
        <v>0</v>
      </c>
      <c r="Y200" s="775">
        <f t="shared" si="35"/>
        <v>0</v>
      </c>
      <c r="Z200" s="776">
        <f>IF(X201,_xll.qDateYears(X200,X201,DCCfloat),0)</f>
        <v>0</v>
      </c>
      <c r="AA200" s="553">
        <v>0</v>
      </c>
      <c r="AB200" s="789">
        <f>IF($X200=0,0,      _xll.qDateNext($X200,AB$12,"M",FRM&lt;&gt;"Calypso",CCY))</f>
        <v>0</v>
      </c>
      <c r="AC200" s="789">
        <f>IF($X200=0,0,      _xll.qDateNext($X200,AC$12,"M",FRM&lt;&gt;"Calypso",CCY))</f>
        <v>0</v>
      </c>
      <c r="AD200" s="789">
        <f>IF($X200=0,0,      _xll.qDateNext($X200,AD$12,"M",FRM&lt;&gt;"Calypso",CCY))</f>
        <v>0</v>
      </c>
      <c r="AE200" s="789">
        <f>IF($X200=0,0,      _xll.qDateNext($X200,AE$12,"M",FRM&lt;&gt;"Calypso",CCY))</f>
        <v>0</v>
      </c>
      <c r="AF200" s="789">
        <f>IF($X200=0,0,      _xll.qDateNext($X200,AF$12,"M",FRM&lt;&gt;"Calypso",CCY))</f>
        <v>0</v>
      </c>
      <c r="AG200" s="789">
        <f>IF($X200=0,0,      _xll.qDateNext($X200,AG$12,"M",FRM&lt;&gt;"Calypso",CCY))</f>
        <v>0</v>
      </c>
      <c r="AH200" s="789">
        <f>IF($X200=0,0,      _xll.qDateNext($X200,AH$12,"M",FRM&lt;&gt;"Calypso",CCY))</f>
        <v>0</v>
      </c>
      <c r="AI200" s="789">
        <f>IF($X200=0,0,      _xll.qDateNext($X200,AI$12,"M",FRM&lt;&gt;"Calypso",CCY))</f>
        <v>0</v>
      </c>
      <c r="AJ200" s="529" t="str">
        <v/>
      </c>
      <c r="AK200" s="529" t="str">
        <v/>
      </c>
      <c r="AL200" s="529" t="str">
        <v/>
      </c>
      <c r="AM200" s="529" t="str">
        <v/>
      </c>
      <c r="AN200" s="529" t="str">
        <v/>
      </c>
      <c r="AO200" s="529" t="str">
        <v/>
      </c>
      <c r="AP200" s="529" t="str">
        <v/>
      </c>
      <c r="AQ200" s="529" t="str">
        <v/>
      </c>
      <c r="AR200" s="529">
        <v>0</v>
      </c>
      <c r="AS200" s="529">
        <v>0</v>
      </c>
      <c r="AT200" s="529">
        <f t="shared" si="45"/>
        <v>0</v>
      </c>
      <c r="AU200" s="529">
        <v>0</v>
      </c>
      <c r="AV200" s="529">
        <f t="shared" si="46"/>
        <v>0</v>
      </c>
      <c r="AW200" s="529">
        <f t="shared" si="47"/>
        <v>0</v>
      </c>
      <c r="AX200" s="529">
        <v>0</v>
      </c>
      <c r="AY200" s="529">
        <v>0</v>
      </c>
      <c r="AZ200" s="761">
        <f t="shared" si="36"/>
        <v>0</v>
      </c>
      <c r="BA200" s="761">
        <f t="shared" si="37"/>
        <v>0</v>
      </c>
      <c r="BB200" s="761">
        <f t="shared" si="38"/>
        <v>0</v>
      </c>
      <c r="BC200" s="761">
        <f t="shared" si="39"/>
        <v>0</v>
      </c>
      <c r="BD200" s="761">
        <f t="shared" si="40"/>
        <v>0</v>
      </c>
      <c r="BE200" s="761">
        <f t="shared" si="41"/>
        <v>0</v>
      </c>
      <c r="BF200" s="761">
        <f t="shared" si="42"/>
        <v>0</v>
      </c>
      <c r="BG200" s="761">
        <f t="shared" si="43"/>
        <v>0</v>
      </c>
      <c r="BH200" s="777">
        <v>0</v>
      </c>
      <c r="BI200" s="755"/>
      <c r="BJ200" s="778">
        <f>IF(X201=0,0,           IF(ISNUMBER(BI200),BI200,               IF(ISTEXT(BI200),INDEX(AZ200:BG200,MATCH(BI200,$AZ$12:$BG$12,0)),             IF(BH200="INT",_xll.qInterp(X201,AB200:AI200,AZ200:BG200),            INDEX(AZ200:BG200,MATCH(BH200,$AZ$12:$BG$12,0))))))</f>
        <v>0</v>
      </c>
      <c r="BK200" s="408">
        <f t="shared" si="48"/>
        <v>0</v>
      </c>
      <c r="BL200" s="414">
        <f t="shared" si="49"/>
        <v>0</v>
      </c>
      <c r="BM200" s="408">
        <f t="shared" si="50"/>
        <v>0</v>
      </c>
    </row>
    <row r="201" spans="16:65">
      <c r="P201" s="779">
        <v>0</v>
      </c>
      <c r="Q201" s="780">
        <f t="shared" si="34"/>
        <v>0</v>
      </c>
      <c r="R201" s="776">
        <f>IF(P202,_xll.qDateYears(P201,P202,DCCfixed),0)</f>
        <v>0</v>
      </c>
      <c r="S201" s="553">
        <v>0</v>
      </c>
      <c r="T201" s="785"/>
      <c r="U201" s="409">
        <f t="shared" si="44"/>
        <v>0</v>
      </c>
      <c r="X201" s="363">
        <v>0</v>
      </c>
      <c r="Y201" s="775">
        <f t="shared" si="35"/>
        <v>0</v>
      </c>
      <c r="Z201" s="776">
        <f>IF(X202,_xll.qDateYears(X201,X202,DCCfloat),0)</f>
        <v>0</v>
      </c>
      <c r="AA201" s="553">
        <v>0</v>
      </c>
      <c r="AB201" s="789">
        <f>IF($X201=0,0,      _xll.qDateNext($X201,AB$12,"M",FRM&lt;&gt;"Calypso",CCY))</f>
        <v>0</v>
      </c>
      <c r="AC201" s="789">
        <f>IF($X201=0,0,      _xll.qDateNext($X201,AC$12,"M",FRM&lt;&gt;"Calypso",CCY))</f>
        <v>0</v>
      </c>
      <c r="AD201" s="789">
        <f>IF($X201=0,0,      _xll.qDateNext($X201,AD$12,"M",FRM&lt;&gt;"Calypso",CCY))</f>
        <v>0</v>
      </c>
      <c r="AE201" s="789">
        <f>IF($X201=0,0,      _xll.qDateNext($X201,AE$12,"M",FRM&lt;&gt;"Calypso",CCY))</f>
        <v>0</v>
      </c>
      <c r="AF201" s="789">
        <f>IF($X201=0,0,      _xll.qDateNext($X201,AF$12,"M",FRM&lt;&gt;"Calypso",CCY))</f>
        <v>0</v>
      </c>
      <c r="AG201" s="789">
        <f>IF($X201=0,0,      _xll.qDateNext($X201,AG$12,"M",FRM&lt;&gt;"Calypso",CCY))</f>
        <v>0</v>
      </c>
      <c r="AH201" s="789">
        <f>IF($X201=0,0,      _xll.qDateNext($X201,AH$12,"M",FRM&lt;&gt;"Calypso",CCY))</f>
        <v>0</v>
      </c>
      <c r="AI201" s="789">
        <f>IF($X201=0,0,      _xll.qDateNext($X201,AI$12,"M",FRM&lt;&gt;"Calypso",CCY))</f>
        <v>0</v>
      </c>
      <c r="AJ201" s="529" t="str">
        <v/>
      </c>
      <c r="AK201" s="529" t="str">
        <v/>
      </c>
      <c r="AL201" s="529" t="str">
        <v/>
      </c>
      <c r="AM201" s="529" t="str">
        <v/>
      </c>
      <c r="AN201" s="529" t="str">
        <v/>
      </c>
      <c r="AO201" s="529" t="str">
        <v/>
      </c>
      <c r="AP201" s="529" t="str">
        <v/>
      </c>
      <c r="AQ201" s="529" t="str">
        <v/>
      </c>
      <c r="AR201" s="529">
        <v>0</v>
      </c>
      <c r="AS201" s="529">
        <v>0</v>
      </c>
      <c r="AT201" s="529">
        <f t="shared" si="45"/>
        <v>0</v>
      </c>
      <c r="AU201" s="529">
        <v>0</v>
      </c>
      <c r="AV201" s="529">
        <f t="shared" si="46"/>
        <v>0</v>
      </c>
      <c r="AW201" s="529">
        <f t="shared" si="47"/>
        <v>0</v>
      </c>
      <c r="AX201" s="529">
        <v>0</v>
      </c>
      <c r="AY201" s="529">
        <v>0</v>
      </c>
      <c r="AZ201" s="761">
        <f t="shared" si="36"/>
        <v>0</v>
      </c>
      <c r="BA201" s="761">
        <f t="shared" si="37"/>
        <v>0</v>
      </c>
      <c r="BB201" s="761">
        <f t="shared" si="38"/>
        <v>0</v>
      </c>
      <c r="BC201" s="761">
        <f t="shared" si="39"/>
        <v>0</v>
      </c>
      <c r="BD201" s="761">
        <f t="shared" si="40"/>
        <v>0</v>
      </c>
      <c r="BE201" s="761">
        <f t="shared" si="41"/>
        <v>0</v>
      </c>
      <c r="BF201" s="761">
        <f t="shared" si="42"/>
        <v>0</v>
      </c>
      <c r="BG201" s="761">
        <f t="shared" si="43"/>
        <v>0</v>
      </c>
      <c r="BH201" s="777">
        <v>0</v>
      </c>
      <c r="BI201" s="755"/>
      <c r="BJ201" s="778">
        <f>IF(X202=0,0,           IF(ISNUMBER(BI201),BI201,               IF(ISTEXT(BI201),INDEX(AZ201:BG201,MATCH(BI201,$AZ$12:$BG$12,0)),             IF(BH201="INT",_xll.qInterp(X202,AB201:AI201,AZ201:BG201),            INDEX(AZ201:BG201,MATCH(BH201,$AZ$12:$BG$12,0))))))</f>
        <v>0</v>
      </c>
      <c r="BK201" s="408">
        <f t="shared" si="48"/>
        <v>0</v>
      </c>
      <c r="BL201" s="414">
        <f t="shared" si="49"/>
        <v>0</v>
      </c>
      <c r="BM201" s="408">
        <f t="shared" si="50"/>
        <v>0</v>
      </c>
    </row>
    <row r="202" spans="16:65">
      <c r="P202" s="779">
        <v>0</v>
      </c>
      <c r="Q202" s="780">
        <f t="shared" si="34"/>
        <v>0</v>
      </c>
      <c r="R202" s="776">
        <f>IF(P203,_xll.qDateYears(P202,P203,DCCfixed),0)</f>
        <v>0</v>
      </c>
      <c r="S202" s="553">
        <v>0</v>
      </c>
      <c r="T202" s="785"/>
      <c r="U202" s="409">
        <f t="shared" si="44"/>
        <v>0</v>
      </c>
      <c r="X202" s="363">
        <v>0</v>
      </c>
      <c r="Y202" s="775">
        <f t="shared" si="35"/>
        <v>0</v>
      </c>
      <c r="Z202" s="776">
        <f>IF(X203,_xll.qDateYears(X202,X203,DCCfloat),0)</f>
        <v>0</v>
      </c>
      <c r="AA202" s="553">
        <v>0</v>
      </c>
      <c r="AB202" s="789">
        <f>IF($X202=0,0,      _xll.qDateNext($X202,AB$12,"M",FRM&lt;&gt;"Calypso",CCY))</f>
        <v>0</v>
      </c>
      <c r="AC202" s="789">
        <f>IF($X202=0,0,      _xll.qDateNext($X202,AC$12,"M",FRM&lt;&gt;"Calypso",CCY))</f>
        <v>0</v>
      </c>
      <c r="AD202" s="789">
        <f>IF($X202=0,0,      _xll.qDateNext($X202,AD$12,"M",FRM&lt;&gt;"Calypso",CCY))</f>
        <v>0</v>
      </c>
      <c r="AE202" s="789">
        <f>IF($X202=0,0,      _xll.qDateNext($X202,AE$12,"M",FRM&lt;&gt;"Calypso",CCY))</f>
        <v>0</v>
      </c>
      <c r="AF202" s="789">
        <f>IF($X202=0,0,      _xll.qDateNext($X202,AF$12,"M",FRM&lt;&gt;"Calypso",CCY))</f>
        <v>0</v>
      </c>
      <c r="AG202" s="789">
        <f>IF($X202=0,0,      _xll.qDateNext($X202,AG$12,"M",FRM&lt;&gt;"Calypso",CCY))</f>
        <v>0</v>
      </c>
      <c r="AH202" s="789">
        <f>IF($X202=0,0,      _xll.qDateNext($X202,AH$12,"M",FRM&lt;&gt;"Calypso",CCY))</f>
        <v>0</v>
      </c>
      <c r="AI202" s="789">
        <f>IF($X202=0,0,      _xll.qDateNext($X202,AI$12,"M",FRM&lt;&gt;"Calypso",CCY))</f>
        <v>0</v>
      </c>
      <c r="AJ202" s="529" t="str">
        <v/>
      </c>
      <c r="AK202" s="529" t="str">
        <v/>
      </c>
      <c r="AL202" s="529" t="str">
        <v/>
      </c>
      <c r="AM202" s="529" t="str">
        <v/>
      </c>
      <c r="AN202" s="529" t="str">
        <v/>
      </c>
      <c r="AO202" s="529" t="str">
        <v/>
      </c>
      <c r="AP202" s="529" t="str">
        <v/>
      </c>
      <c r="AQ202" s="529" t="str">
        <v/>
      </c>
      <c r="AR202" s="529">
        <v>0</v>
      </c>
      <c r="AS202" s="529">
        <v>0</v>
      </c>
      <c r="AT202" s="529">
        <f t="shared" si="45"/>
        <v>0</v>
      </c>
      <c r="AU202" s="529">
        <v>0</v>
      </c>
      <c r="AV202" s="529">
        <f t="shared" si="46"/>
        <v>0</v>
      </c>
      <c r="AW202" s="529">
        <f t="shared" si="47"/>
        <v>0</v>
      </c>
      <c r="AX202" s="529">
        <v>0</v>
      </c>
      <c r="AY202" s="529">
        <v>0</v>
      </c>
      <c r="AZ202" s="761">
        <f t="shared" si="36"/>
        <v>0</v>
      </c>
      <c r="BA202" s="761">
        <f t="shared" si="37"/>
        <v>0</v>
      </c>
      <c r="BB202" s="761">
        <f t="shared" si="38"/>
        <v>0</v>
      </c>
      <c r="BC202" s="761">
        <f t="shared" si="39"/>
        <v>0</v>
      </c>
      <c r="BD202" s="761">
        <f t="shared" si="40"/>
        <v>0</v>
      </c>
      <c r="BE202" s="761">
        <f t="shared" si="41"/>
        <v>0</v>
      </c>
      <c r="BF202" s="761">
        <f t="shared" si="42"/>
        <v>0</v>
      </c>
      <c r="BG202" s="761">
        <f t="shared" si="43"/>
        <v>0</v>
      </c>
      <c r="BH202" s="777">
        <v>0</v>
      </c>
      <c r="BI202" s="755"/>
      <c r="BJ202" s="778">
        <f>IF(X203=0,0,           IF(ISNUMBER(BI202),BI202,               IF(ISTEXT(BI202),INDEX(AZ202:BG202,MATCH(BI202,$AZ$12:$BG$12,0)),             IF(BH202="INT",_xll.qInterp(X203,AB202:AI202,AZ202:BG202),            INDEX(AZ202:BG202,MATCH(BH202,$AZ$12:$BG$12,0))))))</f>
        <v>0</v>
      </c>
      <c r="BK202" s="408">
        <f t="shared" si="48"/>
        <v>0</v>
      </c>
      <c r="BL202" s="414">
        <f t="shared" si="49"/>
        <v>0</v>
      </c>
      <c r="BM202" s="408">
        <f t="shared" si="50"/>
        <v>0</v>
      </c>
    </row>
    <row r="203" spans="16:65">
      <c r="P203" s="779">
        <v>0</v>
      </c>
      <c r="Q203" s="780">
        <f t="shared" si="34"/>
        <v>0</v>
      </c>
      <c r="R203" s="776">
        <f>IF(P204,_xll.qDateYears(P203,P204,DCCfixed),0)</f>
        <v>0</v>
      </c>
      <c r="S203" s="553">
        <v>0</v>
      </c>
      <c r="T203" s="785"/>
      <c r="U203" s="409">
        <f t="shared" si="44"/>
        <v>0</v>
      </c>
      <c r="X203" s="363">
        <v>0</v>
      </c>
      <c r="Y203" s="775">
        <f t="shared" si="35"/>
        <v>0</v>
      </c>
      <c r="Z203" s="776">
        <f>IF(X204,_xll.qDateYears(X203,X204,DCCfloat),0)</f>
        <v>0</v>
      </c>
      <c r="AA203" s="553">
        <v>0</v>
      </c>
      <c r="AB203" s="789">
        <f>IF($X203=0,0,      _xll.qDateNext($X203,AB$12,"M",FRM&lt;&gt;"Calypso",CCY))</f>
        <v>0</v>
      </c>
      <c r="AC203" s="789">
        <f>IF($X203=0,0,      _xll.qDateNext($X203,AC$12,"M",FRM&lt;&gt;"Calypso",CCY))</f>
        <v>0</v>
      </c>
      <c r="AD203" s="789">
        <f>IF($X203=0,0,      _xll.qDateNext($X203,AD$12,"M",FRM&lt;&gt;"Calypso",CCY))</f>
        <v>0</v>
      </c>
      <c r="AE203" s="789">
        <f>IF($X203=0,0,      _xll.qDateNext($X203,AE$12,"M",FRM&lt;&gt;"Calypso",CCY))</f>
        <v>0</v>
      </c>
      <c r="AF203" s="789">
        <f>IF($X203=0,0,      _xll.qDateNext($X203,AF$12,"M",FRM&lt;&gt;"Calypso",CCY))</f>
        <v>0</v>
      </c>
      <c r="AG203" s="789">
        <f>IF($X203=0,0,      _xll.qDateNext($X203,AG$12,"M",FRM&lt;&gt;"Calypso",CCY))</f>
        <v>0</v>
      </c>
      <c r="AH203" s="789">
        <f>IF($X203=0,0,      _xll.qDateNext($X203,AH$12,"M",FRM&lt;&gt;"Calypso",CCY))</f>
        <v>0</v>
      </c>
      <c r="AI203" s="789">
        <f>IF($X203=0,0,      _xll.qDateNext($X203,AI$12,"M",FRM&lt;&gt;"Calypso",CCY))</f>
        <v>0</v>
      </c>
      <c r="AJ203" s="529" t="str">
        <v/>
      </c>
      <c r="AK203" s="529" t="str">
        <v/>
      </c>
      <c r="AL203" s="529" t="str">
        <v/>
      </c>
      <c r="AM203" s="529" t="str">
        <v/>
      </c>
      <c r="AN203" s="529" t="str">
        <v/>
      </c>
      <c r="AO203" s="529" t="str">
        <v/>
      </c>
      <c r="AP203" s="529" t="str">
        <v/>
      </c>
      <c r="AQ203" s="529" t="str">
        <v/>
      </c>
      <c r="AR203" s="529">
        <v>0</v>
      </c>
      <c r="AS203" s="529">
        <v>0</v>
      </c>
      <c r="AT203" s="529">
        <f t="shared" si="45"/>
        <v>0</v>
      </c>
      <c r="AU203" s="529">
        <v>0</v>
      </c>
      <c r="AV203" s="529">
        <f t="shared" si="46"/>
        <v>0</v>
      </c>
      <c r="AW203" s="529">
        <f t="shared" si="47"/>
        <v>0</v>
      </c>
      <c r="AX203" s="529">
        <v>0</v>
      </c>
      <c r="AY203" s="529">
        <v>0</v>
      </c>
      <c r="AZ203" s="761">
        <f t="shared" si="36"/>
        <v>0</v>
      </c>
      <c r="BA203" s="761">
        <f t="shared" si="37"/>
        <v>0</v>
      </c>
      <c r="BB203" s="761">
        <f t="shared" si="38"/>
        <v>0</v>
      </c>
      <c r="BC203" s="761">
        <f t="shared" si="39"/>
        <v>0</v>
      </c>
      <c r="BD203" s="761">
        <f t="shared" si="40"/>
        <v>0</v>
      </c>
      <c r="BE203" s="761">
        <f t="shared" si="41"/>
        <v>0</v>
      </c>
      <c r="BF203" s="761">
        <f t="shared" si="42"/>
        <v>0</v>
      </c>
      <c r="BG203" s="761">
        <f t="shared" si="43"/>
        <v>0</v>
      </c>
      <c r="BH203" s="777">
        <v>0</v>
      </c>
      <c r="BI203" s="755"/>
      <c r="BJ203" s="778">
        <f>IF(X204=0,0,           IF(ISNUMBER(BI203),BI203,               IF(ISTEXT(BI203),INDEX(AZ203:BG203,MATCH(BI203,$AZ$12:$BG$12,0)),             IF(BH203="INT",_xll.qInterp(X204,AB203:AI203,AZ203:BG203),            INDEX(AZ203:BG203,MATCH(BH203,$AZ$12:$BG$12,0))))))</f>
        <v>0</v>
      </c>
      <c r="BK203" s="408">
        <f t="shared" si="48"/>
        <v>0</v>
      </c>
      <c r="BL203" s="414">
        <f t="shared" si="49"/>
        <v>0</v>
      </c>
      <c r="BM203" s="408">
        <f t="shared" si="50"/>
        <v>0</v>
      </c>
    </row>
    <row r="204" spans="16:65">
      <c r="P204" s="779">
        <v>0</v>
      </c>
      <c r="Q204" s="780">
        <f t="shared" si="34"/>
        <v>0</v>
      </c>
      <c r="R204" s="776">
        <f>IF(P205,_xll.qDateYears(P204,P205,DCCfixed),0)</f>
        <v>0</v>
      </c>
      <c r="S204" s="553">
        <v>0</v>
      </c>
      <c r="T204" s="785"/>
      <c r="U204" s="409">
        <f t="shared" si="44"/>
        <v>0</v>
      </c>
      <c r="X204" s="363">
        <v>0</v>
      </c>
      <c r="Y204" s="775">
        <f t="shared" si="35"/>
        <v>0</v>
      </c>
      <c r="Z204" s="776">
        <f>IF(X205,_xll.qDateYears(X204,X205,DCCfloat),0)</f>
        <v>0</v>
      </c>
      <c r="AA204" s="553">
        <v>0</v>
      </c>
      <c r="AB204" s="789">
        <f>IF($X204=0,0,      _xll.qDateNext($X204,AB$12,"M",FRM&lt;&gt;"Calypso",CCY))</f>
        <v>0</v>
      </c>
      <c r="AC204" s="789">
        <f>IF($X204=0,0,      _xll.qDateNext($X204,AC$12,"M",FRM&lt;&gt;"Calypso",CCY))</f>
        <v>0</v>
      </c>
      <c r="AD204" s="789">
        <f>IF($X204=0,0,      _xll.qDateNext($X204,AD$12,"M",FRM&lt;&gt;"Calypso",CCY))</f>
        <v>0</v>
      </c>
      <c r="AE204" s="789">
        <f>IF($X204=0,0,      _xll.qDateNext($X204,AE$12,"M",FRM&lt;&gt;"Calypso",CCY))</f>
        <v>0</v>
      </c>
      <c r="AF204" s="789">
        <f>IF($X204=0,0,      _xll.qDateNext($X204,AF$12,"M",FRM&lt;&gt;"Calypso",CCY))</f>
        <v>0</v>
      </c>
      <c r="AG204" s="789">
        <f>IF($X204=0,0,      _xll.qDateNext($X204,AG$12,"M",FRM&lt;&gt;"Calypso",CCY))</f>
        <v>0</v>
      </c>
      <c r="AH204" s="789">
        <f>IF($X204=0,0,      _xll.qDateNext($X204,AH$12,"M",FRM&lt;&gt;"Calypso",CCY))</f>
        <v>0</v>
      </c>
      <c r="AI204" s="789">
        <f>IF($X204=0,0,      _xll.qDateNext($X204,AI$12,"M",FRM&lt;&gt;"Calypso",CCY))</f>
        <v>0</v>
      </c>
      <c r="AJ204" s="529" t="str">
        <v/>
      </c>
      <c r="AK204" s="529" t="str">
        <v/>
      </c>
      <c r="AL204" s="529" t="str">
        <v/>
      </c>
      <c r="AM204" s="529" t="str">
        <v/>
      </c>
      <c r="AN204" s="529" t="str">
        <v/>
      </c>
      <c r="AO204" s="529" t="str">
        <v/>
      </c>
      <c r="AP204" s="529" t="str">
        <v/>
      </c>
      <c r="AQ204" s="529" t="str">
        <v/>
      </c>
      <c r="AR204" s="529">
        <v>0</v>
      </c>
      <c r="AS204" s="529">
        <v>0</v>
      </c>
      <c r="AT204" s="529">
        <f t="shared" si="45"/>
        <v>0</v>
      </c>
      <c r="AU204" s="529">
        <v>0</v>
      </c>
      <c r="AV204" s="529">
        <f t="shared" si="46"/>
        <v>0</v>
      </c>
      <c r="AW204" s="529">
        <f t="shared" si="47"/>
        <v>0</v>
      </c>
      <c r="AX204" s="529">
        <v>0</v>
      </c>
      <c r="AY204" s="529">
        <v>0</v>
      </c>
      <c r="AZ204" s="761">
        <f t="shared" si="36"/>
        <v>0</v>
      </c>
      <c r="BA204" s="761">
        <f t="shared" si="37"/>
        <v>0</v>
      </c>
      <c r="BB204" s="761">
        <f t="shared" si="38"/>
        <v>0</v>
      </c>
      <c r="BC204" s="761">
        <f t="shared" si="39"/>
        <v>0</v>
      </c>
      <c r="BD204" s="761">
        <f t="shared" si="40"/>
        <v>0</v>
      </c>
      <c r="BE204" s="761">
        <f t="shared" si="41"/>
        <v>0</v>
      </c>
      <c r="BF204" s="761">
        <f t="shared" si="42"/>
        <v>0</v>
      </c>
      <c r="BG204" s="761">
        <f t="shared" si="43"/>
        <v>0</v>
      </c>
      <c r="BH204" s="777">
        <v>0</v>
      </c>
      <c r="BI204" s="755"/>
      <c r="BJ204" s="778">
        <f>IF(X205=0,0,           IF(ISNUMBER(BI204),BI204,               IF(ISTEXT(BI204),INDEX(AZ204:BG204,MATCH(BI204,$AZ$12:$BG$12,0)),             IF(BH204="INT",_xll.qInterp(X205,AB204:AI204,AZ204:BG204),            INDEX(AZ204:BG204,MATCH(BH204,$AZ$12:$BG$12,0))))))</f>
        <v>0</v>
      </c>
      <c r="BK204" s="408">
        <f t="shared" si="48"/>
        <v>0</v>
      </c>
      <c r="BL204" s="414">
        <f t="shared" si="49"/>
        <v>0</v>
      </c>
      <c r="BM204" s="408">
        <f t="shared" si="50"/>
        <v>0</v>
      </c>
    </row>
    <row r="205" spans="16:65">
      <c r="P205" s="779">
        <v>0</v>
      </c>
      <c r="Q205" s="780">
        <f t="shared" ref="Q205:Q268" si="51">IF(P206,IF(LEFT(DCCfixed,3)="Act",P206-P205,DAYS360(P205,P206)),0)</f>
        <v>0</v>
      </c>
      <c r="R205" s="776">
        <f>IF(P206,_xll.qDateYears(P205,P206,DCCfixed),0)</f>
        <v>0</v>
      </c>
      <c r="S205" s="553">
        <v>0</v>
      </c>
      <c r="T205" s="785"/>
      <c r="U205" s="409">
        <f t="shared" si="44"/>
        <v>0</v>
      </c>
      <c r="X205" s="363">
        <v>0</v>
      </c>
      <c r="Y205" s="775">
        <f t="shared" ref="Y205:Y268" si="52">IF(X206,IF(LEFT(DCCfloat,3)="Act",X206-X205,DAYS360(X205,X206)),0)</f>
        <v>0</v>
      </c>
      <c r="Z205" s="776">
        <f>IF(X206,_xll.qDateYears(X205,X206,DCCfloat),0)</f>
        <v>0</v>
      </c>
      <c r="AA205" s="553">
        <v>0</v>
      </c>
      <c r="AB205" s="789">
        <f>IF($X205=0,0,      _xll.qDateNext($X205,AB$12,"M",FRM&lt;&gt;"Calypso",CCY))</f>
        <v>0</v>
      </c>
      <c r="AC205" s="789">
        <f>IF($X205=0,0,      _xll.qDateNext($X205,AC$12,"M",FRM&lt;&gt;"Calypso",CCY))</f>
        <v>0</v>
      </c>
      <c r="AD205" s="789">
        <f>IF($X205=0,0,      _xll.qDateNext($X205,AD$12,"M",FRM&lt;&gt;"Calypso",CCY))</f>
        <v>0</v>
      </c>
      <c r="AE205" s="789">
        <f>IF($X205=0,0,      _xll.qDateNext($X205,AE$12,"M",FRM&lt;&gt;"Calypso",CCY))</f>
        <v>0</v>
      </c>
      <c r="AF205" s="789">
        <f>IF($X205=0,0,      _xll.qDateNext($X205,AF$12,"M",FRM&lt;&gt;"Calypso",CCY))</f>
        <v>0</v>
      </c>
      <c r="AG205" s="789">
        <f>IF($X205=0,0,      _xll.qDateNext($X205,AG$12,"M",FRM&lt;&gt;"Calypso",CCY))</f>
        <v>0</v>
      </c>
      <c r="AH205" s="789">
        <f>IF($X205=0,0,      _xll.qDateNext($X205,AH$12,"M",FRM&lt;&gt;"Calypso",CCY))</f>
        <v>0</v>
      </c>
      <c r="AI205" s="789">
        <f>IF($X205=0,0,      _xll.qDateNext($X205,AI$12,"M",FRM&lt;&gt;"Calypso",CCY))</f>
        <v>0</v>
      </c>
      <c r="AJ205" s="529" t="str">
        <v/>
      </c>
      <c r="AK205" s="529" t="str">
        <v/>
      </c>
      <c r="AL205" s="529" t="str">
        <v/>
      </c>
      <c r="AM205" s="529" t="str">
        <v/>
      </c>
      <c r="AN205" s="529" t="str">
        <v/>
      </c>
      <c r="AO205" s="529" t="str">
        <v/>
      </c>
      <c r="AP205" s="529" t="str">
        <v/>
      </c>
      <c r="AQ205" s="529" t="str">
        <v/>
      </c>
      <c r="AR205" s="529">
        <v>0</v>
      </c>
      <c r="AS205" s="529">
        <v>0</v>
      </c>
      <c r="AT205" s="529">
        <f t="shared" si="45"/>
        <v>0</v>
      </c>
      <c r="AU205" s="529">
        <v>0</v>
      </c>
      <c r="AV205" s="529">
        <f t="shared" si="46"/>
        <v>0</v>
      </c>
      <c r="AW205" s="529">
        <f t="shared" si="47"/>
        <v>0</v>
      </c>
      <c r="AX205" s="529">
        <v>0</v>
      </c>
      <c r="AY205" s="529">
        <v>0</v>
      </c>
      <c r="AZ205" s="761">
        <f t="shared" ref="AZ205:AZ268" si="53">IF($X205=0,0,   IF(ISNUMBER(AJ205),AJ205,AR205))</f>
        <v>0</v>
      </c>
      <c r="BA205" s="761">
        <f t="shared" ref="BA205:BA268" si="54">IF($X205=0,0,   IF(ISNUMBER(AK205),AK205,AS205))</f>
        <v>0</v>
      </c>
      <c r="BB205" s="761">
        <f t="shared" ref="BB205:BB268" si="55">IF($X205=0,0,   IF(ISNUMBER(AL205),AL205,AT205))</f>
        <v>0</v>
      </c>
      <c r="BC205" s="761">
        <f t="shared" ref="BC205:BC268" si="56">IF($X205=0,0,   IF(ISNUMBER(AM205),AM205,AU205))</f>
        <v>0</v>
      </c>
      <c r="BD205" s="761">
        <f t="shared" ref="BD205:BD268" si="57">IF($X205=0,0,   IF(ISNUMBER(AN205),AN205,AV205))</f>
        <v>0</v>
      </c>
      <c r="BE205" s="761">
        <f t="shared" ref="BE205:BE268" si="58">IF($X205=0,0,   IF(ISNUMBER(AO205),AO205,AW205))</f>
        <v>0</v>
      </c>
      <c r="BF205" s="761">
        <f t="shared" ref="BF205:BF268" si="59">IF($X205=0,0,   IF(ISNUMBER(AP205),AP205,AX205))</f>
        <v>0</v>
      </c>
      <c r="BG205" s="761">
        <f t="shared" ref="BG205:BG268" si="60">IF($X205=0,0,   IF(ISNUMBER(AQ205),AQ205,AY205))</f>
        <v>0</v>
      </c>
      <c r="BH205" s="777">
        <v>0</v>
      </c>
      <c r="BI205" s="755"/>
      <c r="BJ205" s="778">
        <f>IF(X206=0,0,           IF(ISNUMBER(BI205),BI205,               IF(ISTEXT(BI205),INDEX(AZ205:BG205,MATCH(BI205,$AZ$12:$BG$12,0)),             IF(BH205="INT",_xll.qInterp(X206,AB205:AI205,AZ205:BG205),            INDEX(AZ205:BG205,MATCH(BH205,$AZ$12:$BG$12,0))))))</f>
        <v>0</v>
      </c>
      <c r="BK205" s="408">
        <f t="shared" si="48"/>
        <v>0</v>
      </c>
      <c r="BL205" s="414">
        <f t="shared" si="49"/>
        <v>0</v>
      </c>
      <c r="BM205" s="408">
        <f t="shared" si="50"/>
        <v>0</v>
      </c>
    </row>
    <row r="206" spans="16:65">
      <c r="P206" s="779">
        <v>0</v>
      </c>
      <c r="Q206" s="780">
        <f t="shared" si="51"/>
        <v>0</v>
      </c>
      <c r="R206" s="776">
        <f>IF(P207,_xll.qDateYears(P206,P207,DCCfixed),0)</f>
        <v>0</v>
      </c>
      <c r="S206" s="553">
        <v>0</v>
      </c>
      <c r="T206" s="785"/>
      <c r="U206" s="409">
        <f t="shared" ref="U206:U269" si="61">IF(P206,$U$5%*R205*Face,0) + IF(AND(IncludePrincipals,P206&gt;0,P207=0),Face,0) + IF(P206,T206,0)</f>
        <v>0</v>
      </c>
      <c r="X206" s="363">
        <v>0</v>
      </c>
      <c r="Y206" s="775">
        <f t="shared" si="52"/>
        <v>0</v>
      </c>
      <c r="Z206" s="776">
        <f>IF(X207,_xll.qDateYears(X206,X207,DCCfloat),0)</f>
        <v>0</v>
      </c>
      <c r="AA206" s="553">
        <v>0</v>
      </c>
      <c r="AB206" s="789">
        <f>IF($X206=0,0,      _xll.qDateNext($X206,AB$12,"M",FRM&lt;&gt;"Calypso",CCY))</f>
        <v>0</v>
      </c>
      <c r="AC206" s="789">
        <f>IF($X206=0,0,      _xll.qDateNext($X206,AC$12,"M",FRM&lt;&gt;"Calypso",CCY))</f>
        <v>0</v>
      </c>
      <c r="AD206" s="789">
        <f>IF($X206=0,0,      _xll.qDateNext($X206,AD$12,"M",FRM&lt;&gt;"Calypso",CCY))</f>
        <v>0</v>
      </c>
      <c r="AE206" s="789">
        <f>IF($X206=0,0,      _xll.qDateNext($X206,AE$12,"M",FRM&lt;&gt;"Calypso",CCY))</f>
        <v>0</v>
      </c>
      <c r="AF206" s="789">
        <f>IF($X206=0,0,      _xll.qDateNext($X206,AF$12,"M",FRM&lt;&gt;"Calypso",CCY))</f>
        <v>0</v>
      </c>
      <c r="AG206" s="789">
        <f>IF($X206=0,0,      _xll.qDateNext($X206,AG$12,"M",FRM&lt;&gt;"Calypso",CCY))</f>
        <v>0</v>
      </c>
      <c r="AH206" s="789">
        <f>IF($X206=0,0,      _xll.qDateNext($X206,AH$12,"M",FRM&lt;&gt;"Calypso",CCY))</f>
        <v>0</v>
      </c>
      <c r="AI206" s="789">
        <f>IF($X206=0,0,      _xll.qDateNext($X206,AI$12,"M",FRM&lt;&gt;"Calypso",CCY))</f>
        <v>0</v>
      </c>
      <c r="AJ206" s="529" t="str">
        <v/>
      </c>
      <c r="AK206" s="529" t="str">
        <v/>
      </c>
      <c r="AL206" s="529" t="str">
        <v/>
      </c>
      <c r="AM206" s="529" t="str">
        <v/>
      </c>
      <c r="AN206" s="529" t="str">
        <v/>
      </c>
      <c r="AO206" s="529" t="str">
        <v/>
      </c>
      <c r="AP206" s="529" t="str">
        <v/>
      </c>
      <c r="AQ206" s="529" t="str">
        <v/>
      </c>
      <c r="AR206" s="529">
        <v>0</v>
      </c>
      <c r="AS206" s="529">
        <v>0</v>
      </c>
      <c r="AT206" s="529">
        <f t="shared" ref="AT206:AT269" si="62">IF($X206,AVERAGE(AS206,AU206),0)</f>
        <v>0</v>
      </c>
      <c r="AU206" s="529">
        <v>0</v>
      </c>
      <c r="AV206" s="529">
        <f t="shared" ref="AV206:AV269" si="63">IF($X206,AU206+(AX206-AU206)/3,0)</f>
        <v>0</v>
      </c>
      <c r="AW206" s="529">
        <f t="shared" ref="AW206:AW269" si="64">IF($X206,AVERAGE(AV206,AX206),0)</f>
        <v>0</v>
      </c>
      <c r="AX206" s="529">
        <v>0</v>
      </c>
      <c r="AY206" s="529">
        <v>0</v>
      </c>
      <c r="AZ206" s="761">
        <f t="shared" si="53"/>
        <v>0</v>
      </c>
      <c r="BA206" s="761">
        <f t="shared" si="54"/>
        <v>0</v>
      </c>
      <c r="BB206" s="761">
        <f t="shared" si="55"/>
        <v>0</v>
      </c>
      <c r="BC206" s="761">
        <f t="shared" si="56"/>
        <v>0</v>
      </c>
      <c r="BD206" s="761">
        <f t="shared" si="57"/>
        <v>0</v>
      </c>
      <c r="BE206" s="761">
        <f t="shared" si="58"/>
        <v>0</v>
      </c>
      <c r="BF206" s="761">
        <f t="shared" si="59"/>
        <v>0</v>
      </c>
      <c r="BG206" s="761">
        <f t="shared" si="60"/>
        <v>0</v>
      </c>
      <c r="BH206" s="777">
        <v>0</v>
      </c>
      <c r="BI206" s="755"/>
      <c r="BJ206" s="778">
        <f>IF(X207=0,0,           IF(ISNUMBER(BI206),BI206,               IF(ISTEXT(BI206),INDEX(AZ206:BG206,MATCH(BI206,$AZ$12:$BG$12,0)),             IF(BH206="INT",_xll.qInterp(X207,AB206:AI206,AZ206:BG206),            INDEX(AZ206:BG206,MATCH(BH206,$AZ$12:$BG$12,0))))))</f>
        <v>0</v>
      </c>
      <c r="BK206" s="408">
        <f t="shared" ref="BK206:BK269" si="65">IF(X206,-BJ205%*Face*Z205,0)</f>
        <v>0</v>
      </c>
      <c r="BL206" s="414">
        <f t="shared" ref="BL206:BL269" si="66">IF(X206,-Margin%%*Z205*Face,0)</f>
        <v>0</v>
      </c>
      <c r="BM206" s="408">
        <f t="shared" ref="BM206:BM269" si="67">SUM(BK206:BL206)+IF(AND(IncludePrincipals,X206&lt;&gt;0,X207=0),-Face,0)</f>
        <v>0</v>
      </c>
    </row>
    <row r="207" spans="16:65">
      <c r="P207" s="779">
        <v>0</v>
      </c>
      <c r="Q207" s="780">
        <f t="shared" si="51"/>
        <v>0</v>
      </c>
      <c r="R207" s="776">
        <f>IF(P208,_xll.qDateYears(P207,P208,DCCfixed),0)</f>
        <v>0</v>
      </c>
      <c r="S207" s="553">
        <v>0</v>
      </c>
      <c r="T207" s="785"/>
      <c r="U207" s="409">
        <f t="shared" si="61"/>
        <v>0</v>
      </c>
      <c r="X207" s="363">
        <v>0</v>
      </c>
      <c r="Y207" s="775">
        <f t="shared" si="52"/>
        <v>0</v>
      </c>
      <c r="Z207" s="776">
        <f>IF(X208,_xll.qDateYears(X207,X208,DCCfloat),0)</f>
        <v>0</v>
      </c>
      <c r="AA207" s="553">
        <v>0</v>
      </c>
      <c r="AB207" s="789">
        <f>IF($X207=0,0,      _xll.qDateNext($X207,AB$12,"M",FRM&lt;&gt;"Calypso",CCY))</f>
        <v>0</v>
      </c>
      <c r="AC207" s="789">
        <f>IF($X207=0,0,      _xll.qDateNext($X207,AC$12,"M",FRM&lt;&gt;"Calypso",CCY))</f>
        <v>0</v>
      </c>
      <c r="AD207" s="789">
        <f>IF($X207=0,0,      _xll.qDateNext($X207,AD$12,"M",FRM&lt;&gt;"Calypso",CCY))</f>
        <v>0</v>
      </c>
      <c r="AE207" s="789">
        <f>IF($X207=0,0,      _xll.qDateNext($X207,AE$12,"M",FRM&lt;&gt;"Calypso",CCY))</f>
        <v>0</v>
      </c>
      <c r="AF207" s="789">
        <f>IF($X207=0,0,      _xll.qDateNext($X207,AF$12,"M",FRM&lt;&gt;"Calypso",CCY))</f>
        <v>0</v>
      </c>
      <c r="AG207" s="789">
        <f>IF($X207=0,0,      _xll.qDateNext($X207,AG$12,"M",FRM&lt;&gt;"Calypso",CCY))</f>
        <v>0</v>
      </c>
      <c r="AH207" s="789">
        <f>IF($X207=0,0,      _xll.qDateNext($X207,AH$12,"M",FRM&lt;&gt;"Calypso",CCY))</f>
        <v>0</v>
      </c>
      <c r="AI207" s="789">
        <f>IF($X207=0,0,      _xll.qDateNext($X207,AI$12,"M",FRM&lt;&gt;"Calypso",CCY))</f>
        <v>0</v>
      </c>
      <c r="AJ207" s="529" t="str">
        <v/>
      </c>
      <c r="AK207" s="529" t="str">
        <v/>
      </c>
      <c r="AL207" s="529" t="str">
        <v/>
      </c>
      <c r="AM207" s="529" t="str">
        <v/>
      </c>
      <c r="AN207" s="529" t="str">
        <v/>
      </c>
      <c r="AO207" s="529" t="str">
        <v/>
      </c>
      <c r="AP207" s="529" t="str">
        <v/>
      </c>
      <c r="AQ207" s="529" t="str">
        <v/>
      </c>
      <c r="AR207" s="529">
        <v>0</v>
      </c>
      <c r="AS207" s="529">
        <v>0</v>
      </c>
      <c r="AT207" s="529">
        <f t="shared" si="62"/>
        <v>0</v>
      </c>
      <c r="AU207" s="529">
        <v>0</v>
      </c>
      <c r="AV207" s="529">
        <f t="shared" si="63"/>
        <v>0</v>
      </c>
      <c r="AW207" s="529">
        <f t="shared" si="64"/>
        <v>0</v>
      </c>
      <c r="AX207" s="529">
        <v>0</v>
      </c>
      <c r="AY207" s="529">
        <v>0</v>
      </c>
      <c r="AZ207" s="761">
        <f t="shared" si="53"/>
        <v>0</v>
      </c>
      <c r="BA207" s="761">
        <f t="shared" si="54"/>
        <v>0</v>
      </c>
      <c r="BB207" s="761">
        <f t="shared" si="55"/>
        <v>0</v>
      </c>
      <c r="BC207" s="761">
        <f t="shared" si="56"/>
        <v>0</v>
      </c>
      <c r="BD207" s="761">
        <f t="shared" si="57"/>
        <v>0</v>
      </c>
      <c r="BE207" s="761">
        <f t="shared" si="58"/>
        <v>0</v>
      </c>
      <c r="BF207" s="761">
        <f t="shared" si="59"/>
        <v>0</v>
      </c>
      <c r="BG207" s="761">
        <f t="shared" si="60"/>
        <v>0</v>
      </c>
      <c r="BH207" s="777">
        <v>0</v>
      </c>
      <c r="BI207" s="755"/>
      <c r="BJ207" s="778">
        <f>IF(X208=0,0,           IF(ISNUMBER(BI207),BI207,               IF(ISTEXT(BI207),INDEX(AZ207:BG207,MATCH(BI207,$AZ$12:$BG$12,0)),             IF(BH207="INT",_xll.qInterp(X208,AB207:AI207,AZ207:BG207),            INDEX(AZ207:BG207,MATCH(BH207,$AZ$12:$BG$12,0))))))</f>
        <v>0</v>
      </c>
      <c r="BK207" s="408">
        <f t="shared" si="65"/>
        <v>0</v>
      </c>
      <c r="BL207" s="414">
        <f t="shared" si="66"/>
        <v>0</v>
      </c>
      <c r="BM207" s="408">
        <f t="shared" si="67"/>
        <v>0</v>
      </c>
    </row>
    <row r="208" spans="16:65">
      <c r="P208" s="779">
        <v>0</v>
      </c>
      <c r="Q208" s="780">
        <f t="shared" si="51"/>
        <v>0</v>
      </c>
      <c r="R208" s="776">
        <f>IF(P209,_xll.qDateYears(P208,P209,DCCfixed),0)</f>
        <v>0</v>
      </c>
      <c r="S208" s="553">
        <v>0</v>
      </c>
      <c r="T208" s="785"/>
      <c r="U208" s="409">
        <f t="shared" si="61"/>
        <v>0</v>
      </c>
      <c r="X208" s="363">
        <v>0</v>
      </c>
      <c r="Y208" s="775">
        <f t="shared" si="52"/>
        <v>0</v>
      </c>
      <c r="Z208" s="776">
        <f>IF(X209,_xll.qDateYears(X208,X209,DCCfloat),0)</f>
        <v>0</v>
      </c>
      <c r="AA208" s="553">
        <v>0</v>
      </c>
      <c r="AB208" s="789">
        <f>IF($X208=0,0,      _xll.qDateNext($X208,AB$12,"M",FRM&lt;&gt;"Calypso",CCY))</f>
        <v>0</v>
      </c>
      <c r="AC208" s="789">
        <f>IF($X208=0,0,      _xll.qDateNext($X208,AC$12,"M",FRM&lt;&gt;"Calypso",CCY))</f>
        <v>0</v>
      </c>
      <c r="AD208" s="789">
        <f>IF($X208=0,0,      _xll.qDateNext($X208,AD$12,"M",FRM&lt;&gt;"Calypso",CCY))</f>
        <v>0</v>
      </c>
      <c r="AE208" s="789">
        <f>IF($X208=0,0,      _xll.qDateNext($X208,AE$12,"M",FRM&lt;&gt;"Calypso",CCY))</f>
        <v>0</v>
      </c>
      <c r="AF208" s="789">
        <f>IF($X208=0,0,      _xll.qDateNext($X208,AF$12,"M",FRM&lt;&gt;"Calypso",CCY))</f>
        <v>0</v>
      </c>
      <c r="AG208" s="789">
        <f>IF($X208=0,0,      _xll.qDateNext($X208,AG$12,"M",FRM&lt;&gt;"Calypso",CCY))</f>
        <v>0</v>
      </c>
      <c r="AH208" s="789">
        <f>IF($X208=0,0,      _xll.qDateNext($X208,AH$12,"M",FRM&lt;&gt;"Calypso",CCY))</f>
        <v>0</v>
      </c>
      <c r="AI208" s="789">
        <f>IF($X208=0,0,      _xll.qDateNext($X208,AI$12,"M",FRM&lt;&gt;"Calypso",CCY))</f>
        <v>0</v>
      </c>
      <c r="AJ208" s="529" t="str">
        <v/>
      </c>
      <c r="AK208" s="529" t="str">
        <v/>
      </c>
      <c r="AL208" s="529" t="str">
        <v/>
      </c>
      <c r="AM208" s="529" t="str">
        <v/>
      </c>
      <c r="AN208" s="529" t="str">
        <v/>
      </c>
      <c r="AO208" s="529" t="str">
        <v/>
      </c>
      <c r="AP208" s="529" t="str">
        <v/>
      </c>
      <c r="AQ208" s="529" t="str">
        <v/>
      </c>
      <c r="AR208" s="529">
        <v>0</v>
      </c>
      <c r="AS208" s="529">
        <v>0</v>
      </c>
      <c r="AT208" s="529">
        <f t="shared" si="62"/>
        <v>0</v>
      </c>
      <c r="AU208" s="529">
        <v>0</v>
      </c>
      <c r="AV208" s="529">
        <f t="shared" si="63"/>
        <v>0</v>
      </c>
      <c r="AW208" s="529">
        <f t="shared" si="64"/>
        <v>0</v>
      </c>
      <c r="AX208" s="529">
        <v>0</v>
      </c>
      <c r="AY208" s="529">
        <v>0</v>
      </c>
      <c r="AZ208" s="761">
        <f t="shared" si="53"/>
        <v>0</v>
      </c>
      <c r="BA208" s="761">
        <f t="shared" si="54"/>
        <v>0</v>
      </c>
      <c r="BB208" s="761">
        <f t="shared" si="55"/>
        <v>0</v>
      </c>
      <c r="BC208" s="761">
        <f t="shared" si="56"/>
        <v>0</v>
      </c>
      <c r="BD208" s="761">
        <f t="shared" si="57"/>
        <v>0</v>
      </c>
      <c r="BE208" s="761">
        <f t="shared" si="58"/>
        <v>0</v>
      </c>
      <c r="BF208" s="761">
        <f t="shared" si="59"/>
        <v>0</v>
      </c>
      <c r="BG208" s="761">
        <f t="shared" si="60"/>
        <v>0</v>
      </c>
      <c r="BH208" s="777">
        <v>0</v>
      </c>
      <c r="BI208" s="755"/>
      <c r="BJ208" s="778">
        <f>IF(X209=0,0,           IF(ISNUMBER(BI208),BI208,               IF(ISTEXT(BI208),INDEX(AZ208:BG208,MATCH(BI208,$AZ$12:$BG$12,0)),             IF(BH208="INT",_xll.qInterp(X209,AB208:AI208,AZ208:BG208),            INDEX(AZ208:BG208,MATCH(BH208,$AZ$12:$BG$12,0))))))</f>
        <v>0</v>
      </c>
      <c r="BK208" s="408">
        <f t="shared" si="65"/>
        <v>0</v>
      </c>
      <c r="BL208" s="414">
        <f t="shared" si="66"/>
        <v>0</v>
      </c>
      <c r="BM208" s="408">
        <f t="shared" si="67"/>
        <v>0</v>
      </c>
    </row>
    <row r="209" spans="16:65">
      <c r="P209" s="779">
        <v>0</v>
      </c>
      <c r="Q209" s="780">
        <f t="shared" si="51"/>
        <v>0</v>
      </c>
      <c r="R209" s="776">
        <f>IF(P210,_xll.qDateYears(P209,P210,DCCfixed),0)</f>
        <v>0</v>
      </c>
      <c r="S209" s="553">
        <v>0</v>
      </c>
      <c r="T209" s="785"/>
      <c r="U209" s="409">
        <f t="shared" si="61"/>
        <v>0</v>
      </c>
      <c r="X209" s="363">
        <v>0</v>
      </c>
      <c r="Y209" s="775">
        <f t="shared" si="52"/>
        <v>0</v>
      </c>
      <c r="Z209" s="776">
        <f>IF(X210,_xll.qDateYears(X209,X210,DCCfloat),0)</f>
        <v>0</v>
      </c>
      <c r="AA209" s="553">
        <v>0</v>
      </c>
      <c r="AB209" s="789">
        <f>IF($X209=0,0,      _xll.qDateNext($X209,AB$12,"M",FRM&lt;&gt;"Calypso",CCY))</f>
        <v>0</v>
      </c>
      <c r="AC209" s="789">
        <f>IF($X209=0,0,      _xll.qDateNext($X209,AC$12,"M",FRM&lt;&gt;"Calypso",CCY))</f>
        <v>0</v>
      </c>
      <c r="AD209" s="789">
        <f>IF($X209=0,0,      _xll.qDateNext($X209,AD$12,"M",FRM&lt;&gt;"Calypso",CCY))</f>
        <v>0</v>
      </c>
      <c r="AE209" s="789">
        <f>IF($X209=0,0,      _xll.qDateNext($X209,AE$12,"M",FRM&lt;&gt;"Calypso",CCY))</f>
        <v>0</v>
      </c>
      <c r="AF209" s="789">
        <f>IF($X209=0,0,      _xll.qDateNext($X209,AF$12,"M",FRM&lt;&gt;"Calypso",CCY))</f>
        <v>0</v>
      </c>
      <c r="AG209" s="789">
        <f>IF($X209=0,0,      _xll.qDateNext($X209,AG$12,"M",FRM&lt;&gt;"Calypso",CCY))</f>
        <v>0</v>
      </c>
      <c r="AH209" s="789">
        <f>IF($X209=0,0,      _xll.qDateNext($X209,AH$12,"M",FRM&lt;&gt;"Calypso",CCY))</f>
        <v>0</v>
      </c>
      <c r="AI209" s="789">
        <f>IF($X209=0,0,      _xll.qDateNext($X209,AI$12,"M",FRM&lt;&gt;"Calypso",CCY))</f>
        <v>0</v>
      </c>
      <c r="AJ209" s="529" t="str">
        <v/>
      </c>
      <c r="AK209" s="529" t="str">
        <v/>
      </c>
      <c r="AL209" s="529" t="str">
        <v/>
      </c>
      <c r="AM209" s="529" t="str">
        <v/>
      </c>
      <c r="AN209" s="529" t="str">
        <v/>
      </c>
      <c r="AO209" s="529" t="str">
        <v/>
      </c>
      <c r="AP209" s="529" t="str">
        <v/>
      </c>
      <c r="AQ209" s="529" t="str">
        <v/>
      </c>
      <c r="AR209" s="529">
        <v>0</v>
      </c>
      <c r="AS209" s="529">
        <v>0</v>
      </c>
      <c r="AT209" s="529">
        <f t="shared" si="62"/>
        <v>0</v>
      </c>
      <c r="AU209" s="529">
        <v>0</v>
      </c>
      <c r="AV209" s="529">
        <f t="shared" si="63"/>
        <v>0</v>
      </c>
      <c r="AW209" s="529">
        <f t="shared" si="64"/>
        <v>0</v>
      </c>
      <c r="AX209" s="529">
        <v>0</v>
      </c>
      <c r="AY209" s="529">
        <v>0</v>
      </c>
      <c r="AZ209" s="761">
        <f t="shared" si="53"/>
        <v>0</v>
      </c>
      <c r="BA209" s="761">
        <f t="shared" si="54"/>
        <v>0</v>
      </c>
      <c r="BB209" s="761">
        <f t="shared" si="55"/>
        <v>0</v>
      </c>
      <c r="BC209" s="761">
        <f t="shared" si="56"/>
        <v>0</v>
      </c>
      <c r="BD209" s="761">
        <f t="shared" si="57"/>
        <v>0</v>
      </c>
      <c r="BE209" s="761">
        <f t="shared" si="58"/>
        <v>0</v>
      </c>
      <c r="BF209" s="761">
        <f t="shared" si="59"/>
        <v>0</v>
      </c>
      <c r="BG209" s="761">
        <f t="shared" si="60"/>
        <v>0</v>
      </c>
      <c r="BH209" s="777">
        <v>0</v>
      </c>
      <c r="BI209" s="755"/>
      <c r="BJ209" s="778">
        <f>IF(X210=0,0,           IF(ISNUMBER(BI209),BI209,               IF(ISTEXT(BI209),INDEX(AZ209:BG209,MATCH(BI209,$AZ$12:$BG$12,0)),             IF(BH209="INT",_xll.qInterp(X210,AB209:AI209,AZ209:BG209),            INDEX(AZ209:BG209,MATCH(BH209,$AZ$12:$BG$12,0))))))</f>
        <v>0</v>
      </c>
      <c r="BK209" s="408">
        <f t="shared" si="65"/>
        <v>0</v>
      </c>
      <c r="BL209" s="414">
        <f t="shared" si="66"/>
        <v>0</v>
      </c>
      <c r="BM209" s="408">
        <f t="shared" si="67"/>
        <v>0</v>
      </c>
    </row>
    <row r="210" spans="16:65">
      <c r="P210" s="779">
        <v>0</v>
      </c>
      <c r="Q210" s="780">
        <f t="shared" si="51"/>
        <v>0</v>
      </c>
      <c r="R210" s="776">
        <f>IF(P211,_xll.qDateYears(P210,P211,DCCfixed),0)</f>
        <v>0</v>
      </c>
      <c r="S210" s="553">
        <v>0</v>
      </c>
      <c r="T210" s="785"/>
      <c r="U210" s="409">
        <f t="shared" si="61"/>
        <v>0</v>
      </c>
      <c r="X210" s="363">
        <v>0</v>
      </c>
      <c r="Y210" s="775">
        <f t="shared" si="52"/>
        <v>0</v>
      </c>
      <c r="Z210" s="776">
        <f>IF(X211,_xll.qDateYears(X210,X211,DCCfloat),0)</f>
        <v>0</v>
      </c>
      <c r="AA210" s="553">
        <v>0</v>
      </c>
      <c r="AB210" s="789">
        <f>IF($X210=0,0,      _xll.qDateNext($X210,AB$12,"M",FRM&lt;&gt;"Calypso",CCY))</f>
        <v>0</v>
      </c>
      <c r="AC210" s="789">
        <f>IF($X210=0,0,      _xll.qDateNext($X210,AC$12,"M",FRM&lt;&gt;"Calypso",CCY))</f>
        <v>0</v>
      </c>
      <c r="AD210" s="789">
        <f>IF($X210=0,0,      _xll.qDateNext($X210,AD$12,"M",FRM&lt;&gt;"Calypso",CCY))</f>
        <v>0</v>
      </c>
      <c r="AE210" s="789">
        <f>IF($X210=0,0,      _xll.qDateNext($X210,AE$12,"M",FRM&lt;&gt;"Calypso",CCY))</f>
        <v>0</v>
      </c>
      <c r="AF210" s="789">
        <f>IF($X210=0,0,      _xll.qDateNext($X210,AF$12,"M",FRM&lt;&gt;"Calypso",CCY))</f>
        <v>0</v>
      </c>
      <c r="AG210" s="789">
        <f>IF($X210=0,0,      _xll.qDateNext($X210,AG$12,"M",FRM&lt;&gt;"Calypso",CCY))</f>
        <v>0</v>
      </c>
      <c r="AH210" s="789">
        <f>IF($X210=0,0,      _xll.qDateNext($X210,AH$12,"M",FRM&lt;&gt;"Calypso",CCY))</f>
        <v>0</v>
      </c>
      <c r="AI210" s="789">
        <f>IF($X210=0,0,      _xll.qDateNext($X210,AI$12,"M",FRM&lt;&gt;"Calypso",CCY))</f>
        <v>0</v>
      </c>
      <c r="AJ210" s="529" t="str">
        <v/>
      </c>
      <c r="AK210" s="529" t="str">
        <v/>
      </c>
      <c r="AL210" s="529" t="str">
        <v/>
      </c>
      <c r="AM210" s="529" t="str">
        <v/>
      </c>
      <c r="AN210" s="529" t="str">
        <v/>
      </c>
      <c r="AO210" s="529" t="str">
        <v/>
      </c>
      <c r="AP210" s="529" t="str">
        <v/>
      </c>
      <c r="AQ210" s="529" t="str">
        <v/>
      </c>
      <c r="AR210" s="529">
        <v>0</v>
      </c>
      <c r="AS210" s="529">
        <v>0</v>
      </c>
      <c r="AT210" s="529">
        <f t="shared" si="62"/>
        <v>0</v>
      </c>
      <c r="AU210" s="529">
        <v>0</v>
      </c>
      <c r="AV210" s="529">
        <f t="shared" si="63"/>
        <v>0</v>
      </c>
      <c r="AW210" s="529">
        <f t="shared" si="64"/>
        <v>0</v>
      </c>
      <c r="AX210" s="529">
        <v>0</v>
      </c>
      <c r="AY210" s="529">
        <v>0</v>
      </c>
      <c r="AZ210" s="761">
        <f t="shared" si="53"/>
        <v>0</v>
      </c>
      <c r="BA210" s="761">
        <f t="shared" si="54"/>
        <v>0</v>
      </c>
      <c r="BB210" s="761">
        <f t="shared" si="55"/>
        <v>0</v>
      </c>
      <c r="BC210" s="761">
        <f t="shared" si="56"/>
        <v>0</v>
      </c>
      <c r="BD210" s="761">
        <f t="shared" si="57"/>
        <v>0</v>
      </c>
      <c r="BE210" s="761">
        <f t="shared" si="58"/>
        <v>0</v>
      </c>
      <c r="BF210" s="761">
        <f t="shared" si="59"/>
        <v>0</v>
      </c>
      <c r="BG210" s="761">
        <f t="shared" si="60"/>
        <v>0</v>
      </c>
      <c r="BH210" s="777">
        <v>0</v>
      </c>
      <c r="BI210" s="755"/>
      <c r="BJ210" s="778">
        <f>IF(X211=0,0,           IF(ISNUMBER(BI210),BI210,               IF(ISTEXT(BI210),INDEX(AZ210:BG210,MATCH(BI210,$AZ$12:$BG$12,0)),             IF(BH210="INT",_xll.qInterp(X211,AB210:AI210,AZ210:BG210),            INDEX(AZ210:BG210,MATCH(BH210,$AZ$12:$BG$12,0))))))</f>
        <v>0</v>
      </c>
      <c r="BK210" s="408">
        <f t="shared" si="65"/>
        <v>0</v>
      </c>
      <c r="BL210" s="414">
        <f t="shared" si="66"/>
        <v>0</v>
      </c>
      <c r="BM210" s="408">
        <f t="shared" si="67"/>
        <v>0</v>
      </c>
    </row>
    <row r="211" spans="16:65">
      <c r="P211" s="779">
        <v>0</v>
      </c>
      <c r="Q211" s="780">
        <f t="shared" si="51"/>
        <v>0</v>
      </c>
      <c r="R211" s="776">
        <f>IF(P212,_xll.qDateYears(P211,P212,DCCfixed),0)</f>
        <v>0</v>
      </c>
      <c r="S211" s="553">
        <v>0</v>
      </c>
      <c r="T211" s="785"/>
      <c r="U211" s="409">
        <f t="shared" si="61"/>
        <v>0</v>
      </c>
      <c r="X211" s="363">
        <v>0</v>
      </c>
      <c r="Y211" s="775">
        <f t="shared" si="52"/>
        <v>0</v>
      </c>
      <c r="Z211" s="776">
        <f>IF(X212,_xll.qDateYears(X211,X212,DCCfloat),0)</f>
        <v>0</v>
      </c>
      <c r="AA211" s="553">
        <v>0</v>
      </c>
      <c r="AB211" s="789">
        <f>IF($X211=0,0,      _xll.qDateNext($X211,AB$12,"M",FRM&lt;&gt;"Calypso",CCY))</f>
        <v>0</v>
      </c>
      <c r="AC211" s="789">
        <f>IF($X211=0,0,      _xll.qDateNext($X211,AC$12,"M",FRM&lt;&gt;"Calypso",CCY))</f>
        <v>0</v>
      </c>
      <c r="AD211" s="789">
        <f>IF($X211=0,0,      _xll.qDateNext($X211,AD$12,"M",FRM&lt;&gt;"Calypso",CCY))</f>
        <v>0</v>
      </c>
      <c r="AE211" s="789">
        <f>IF($X211=0,0,      _xll.qDateNext($X211,AE$12,"M",FRM&lt;&gt;"Calypso",CCY))</f>
        <v>0</v>
      </c>
      <c r="AF211" s="789">
        <f>IF($X211=0,0,      _xll.qDateNext($X211,AF$12,"M",FRM&lt;&gt;"Calypso",CCY))</f>
        <v>0</v>
      </c>
      <c r="AG211" s="789">
        <f>IF($X211=0,0,      _xll.qDateNext($X211,AG$12,"M",FRM&lt;&gt;"Calypso",CCY))</f>
        <v>0</v>
      </c>
      <c r="AH211" s="789">
        <f>IF($X211=0,0,      _xll.qDateNext($X211,AH$12,"M",FRM&lt;&gt;"Calypso",CCY))</f>
        <v>0</v>
      </c>
      <c r="AI211" s="789">
        <f>IF($X211=0,0,      _xll.qDateNext($X211,AI$12,"M",FRM&lt;&gt;"Calypso",CCY))</f>
        <v>0</v>
      </c>
      <c r="AJ211" s="529" t="str">
        <v/>
      </c>
      <c r="AK211" s="529" t="str">
        <v/>
      </c>
      <c r="AL211" s="529" t="str">
        <v/>
      </c>
      <c r="AM211" s="529" t="str">
        <v/>
      </c>
      <c r="AN211" s="529" t="str">
        <v/>
      </c>
      <c r="AO211" s="529" t="str">
        <v/>
      </c>
      <c r="AP211" s="529" t="str">
        <v/>
      </c>
      <c r="AQ211" s="529" t="str">
        <v/>
      </c>
      <c r="AR211" s="529">
        <v>0</v>
      </c>
      <c r="AS211" s="529">
        <v>0</v>
      </c>
      <c r="AT211" s="529">
        <f t="shared" si="62"/>
        <v>0</v>
      </c>
      <c r="AU211" s="529">
        <v>0</v>
      </c>
      <c r="AV211" s="529">
        <f t="shared" si="63"/>
        <v>0</v>
      </c>
      <c r="AW211" s="529">
        <f t="shared" si="64"/>
        <v>0</v>
      </c>
      <c r="AX211" s="529">
        <v>0</v>
      </c>
      <c r="AY211" s="529">
        <v>0</v>
      </c>
      <c r="AZ211" s="761">
        <f t="shared" si="53"/>
        <v>0</v>
      </c>
      <c r="BA211" s="761">
        <f t="shared" si="54"/>
        <v>0</v>
      </c>
      <c r="BB211" s="761">
        <f t="shared" si="55"/>
        <v>0</v>
      </c>
      <c r="BC211" s="761">
        <f t="shared" si="56"/>
        <v>0</v>
      </c>
      <c r="BD211" s="761">
        <f t="shared" si="57"/>
        <v>0</v>
      </c>
      <c r="BE211" s="761">
        <f t="shared" si="58"/>
        <v>0</v>
      </c>
      <c r="BF211" s="761">
        <f t="shared" si="59"/>
        <v>0</v>
      </c>
      <c r="BG211" s="761">
        <f t="shared" si="60"/>
        <v>0</v>
      </c>
      <c r="BH211" s="777">
        <v>0</v>
      </c>
      <c r="BI211" s="755"/>
      <c r="BJ211" s="778">
        <f>IF(X212=0,0,           IF(ISNUMBER(BI211),BI211,               IF(ISTEXT(BI211),INDEX(AZ211:BG211,MATCH(BI211,$AZ$12:$BG$12,0)),             IF(BH211="INT",_xll.qInterp(X212,AB211:AI211,AZ211:BG211),            INDEX(AZ211:BG211,MATCH(BH211,$AZ$12:$BG$12,0))))))</f>
        <v>0</v>
      </c>
      <c r="BK211" s="408">
        <f t="shared" si="65"/>
        <v>0</v>
      </c>
      <c r="BL211" s="414">
        <f t="shared" si="66"/>
        <v>0</v>
      </c>
      <c r="BM211" s="408">
        <f t="shared" si="67"/>
        <v>0</v>
      </c>
    </row>
    <row r="212" spans="16:65">
      <c r="P212" s="779">
        <v>0</v>
      </c>
      <c r="Q212" s="780">
        <f t="shared" si="51"/>
        <v>0</v>
      </c>
      <c r="R212" s="776">
        <f>IF(P213,_xll.qDateYears(P212,P213,DCCfixed),0)</f>
        <v>0</v>
      </c>
      <c r="S212" s="553">
        <v>0</v>
      </c>
      <c r="T212" s="785"/>
      <c r="U212" s="409">
        <f t="shared" si="61"/>
        <v>0</v>
      </c>
      <c r="X212" s="363">
        <v>0</v>
      </c>
      <c r="Y212" s="775">
        <f t="shared" si="52"/>
        <v>0</v>
      </c>
      <c r="Z212" s="776">
        <f>IF(X213,_xll.qDateYears(X212,X213,DCCfloat),0)</f>
        <v>0</v>
      </c>
      <c r="AA212" s="553">
        <v>0</v>
      </c>
      <c r="AB212" s="789">
        <f>IF($X212=0,0,      _xll.qDateNext($X212,AB$12,"M",FRM&lt;&gt;"Calypso",CCY))</f>
        <v>0</v>
      </c>
      <c r="AC212" s="789">
        <f>IF($X212=0,0,      _xll.qDateNext($X212,AC$12,"M",FRM&lt;&gt;"Calypso",CCY))</f>
        <v>0</v>
      </c>
      <c r="AD212" s="789">
        <f>IF($X212=0,0,      _xll.qDateNext($X212,AD$12,"M",FRM&lt;&gt;"Calypso",CCY))</f>
        <v>0</v>
      </c>
      <c r="AE212" s="789">
        <f>IF($X212=0,0,      _xll.qDateNext($X212,AE$12,"M",FRM&lt;&gt;"Calypso",CCY))</f>
        <v>0</v>
      </c>
      <c r="AF212" s="789">
        <f>IF($X212=0,0,      _xll.qDateNext($X212,AF$12,"M",FRM&lt;&gt;"Calypso",CCY))</f>
        <v>0</v>
      </c>
      <c r="AG212" s="789">
        <f>IF($X212=0,0,      _xll.qDateNext($X212,AG$12,"M",FRM&lt;&gt;"Calypso",CCY))</f>
        <v>0</v>
      </c>
      <c r="AH212" s="789">
        <f>IF($X212=0,0,      _xll.qDateNext($X212,AH$12,"M",FRM&lt;&gt;"Calypso",CCY))</f>
        <v>0</v>
      </c>
      <c r="AI212" s="789">
        <f>IF($X212=0,0,      _xll.qDateNext($X212,AI$12,"M",FRM&lt;&gt;"Calypso",CCY))</f>
        <v>0</v>
      </c>
      <c r="AJ212" s="529" t="str">
        <v/>
      </c>
      <c r="AK212" s="529" t="str">
        <v/>
      </c>
      <c r="AL212" s="529" t="str">
        <v/>
      </c>
      <c r="AM212" s="529" t="str">
        <v/>
      </c>
      <c r="AN212" s="529" t="str">
        <v/>
      </c>
      <c r="AO212" s="529" t="str">
        <v/>
      </c>
      <c r="AP212" s="529" t="str">
        <v/>
      </c>
      <c r="AQ212" s="529" t="str">
        <v/>
      </c>
      <c r="AR212" s="529">
        <v>0</v>
      </c>
      <c r="AS212" s="529">
        <v>0</v>
      </c>
      <c r="AT212" s="529">
        <f t="shared" si="62"/>
        <v>0</v>
      </c>
      <c r="AU212" s="529">
        <v>0</v>
      </c>
      <c r="AV212" s="529">
        <f t="shared" si="63"/>
        <v>0</v>
      </c>
      <c r="AW212" s="529">
        <f t="shared" si="64"/>
        <v>0</v>
      </c>
      <c r="AX212" s="529">
        <v>0</v>
      </c>
      <c r="AY212" s="529">
        <v>0</v>
      </c>
      <c r="AZ212" s="761">
        <f t="shared" si="53"/>
        <v>0</v>
      </c>
      <c r="BA212" s="761">
        <f t="shared" si="54"/>
        <v>0</v>
      </c>
      <c r="BB212" s="761">
        <f t="shared" si="55"/>
        <v>0</v>
      </c>
      <c r="BC212" s="761">
        <f t="shared" si="56"/>
        <v>0</v>
      </c>
      <c r="BD212" s="761">
        <f t="shared" si="57"/>
        <v>0</v>
      </c>
      <c r="BE212" s="761">
        <f t="shared" si="58"/>
        <v>0</v>
      </c>
      <c r="BF212" s="761">
        <f t="shared" si="59"/>
        <v>0</v>
      </c>
      <c r="BG212" s="761">
        <f t="shared" si="60"/>
        <v>0</v>
      </c>
      <c r="BH212" s="777">
        <v>0</v>
      </c>
      <c r="BI212" s="755"/>
      <c r="BJ212" s="778">
        <f>IF(X213=0,0,           IF(ISNUMBER(BI212),BI212,               IF(ISTEXT(BI212),INDEX(AZ212:BG212,MATCH(BI212,$AZ$12:$BG$12,0)),             IF(BH212="INT",_xll.qInterp(X213,AB212:AI212,AZ212:BG212),            INDEX(AZ212:BG212,MATCH(BH212,$AZ$12:$BG$12,0))))))</f>
        <v>0</v>
      </c>
      <c r="BK212" s="408">
        <f t="shared" si="65"/>
        <v>0</v>
      </c>
      <c r="BL212" s="414">
        <f t="shared" si="66"/>
        <v>0</v>
      </c>
      <c r="BM212" s="408">
        <f t="shared" si="67"/>
        <v>0</v>
      </c>
    </row>
    <row r="213" spans="16:65">
      <c r="P213" s="779">
        <v>0</v>
      </c>
      <c r="Q213" s="780">
        <f t="shared" si="51"/>
        <v>0</v>
      </c>
      <c r="R213" s="776">
        <f>IF(P214,_xll.qDateYears(P213,P214,DCCfixed),0)</f>
        <v>0</v>
      </c>
      <c r="S213" s="553">
        <v>0</v>
      </c>
      <c r="T213" s="785"/>
      <c r="U213" s="409">
        <f t="shared" si="61"/>
        <v>0</v>
      </c>
      <c r="X213" s="363">
        <v>0</v>
      </c>
      <c r="Y213" s="775">
        <f t="shared" si="52"/>
        <v>0</v>
      </c>
      <c r="Z213" s="776">
        <f>IF(X214,_xll.qDateYears(X213,X214,DCCfloat),0)</f>
        <v>0</v>
      </c>
      <c r="AA213" s="553">
        <v>0</v>
      </c>
      <c r="AB213" s="789">
        <f>IF($X213=0,0,      _xll.qDateNext($X213,AB$12,"M",FRM&lt;&gt;"Calypso",CCY))</f>
        <v>0</v>
      </c>
      <c r="AC213" s="789">
        <f>IF($X213=0,0,      _xll.qDateNext($X213,AC$12,"M",FRM&lt;&gt;"Calypso",CCY))</f>
        <v>0</v>
      </c>
      <c r="AD213" s="789">
        <f>IF($X213=0,0,      _xll.qDateNext($X213,AD$12,"M",FRM&lt;&gt;"Calypso",CCY))</f>
        <v>0</v>
      </c>
      <c r="AE213" s="789">
        <f>IF($X213=0,0,      _xll.qDateNext($X213,AE$12,"M",FRM&lt;&gt;"Calypso",CCY))</f>
        <v>0</v>
      </c>
      <c r="AF213" s="789">
        <f>IF($X213=0,0,      _xll.qDateNext($X213,AF$12,"M",FRM&lt;&gt;"Calypso",CCY))</f>
        <v>0</v>
      </c>
      <c r="AG213" s="789">
        <f>IF($X213=0,0,      _xll.qDateNext($X213,AG$12,"M",FRM&lt;&gt;"Calypso",CCY))</f>
        <v>0</v>
      </c>
      <c r="AH213" s="789">
        <f>IF($X213=0,0,      _xll.qDateNext($X213,AH$12,"M",FRM&lt;&gt;"Calypso",CCY))</f>
        <v>0</v>
      </c>
      <c r="AI213" s="789">
        <f>IF($X213=0,0,      _xll.qDateNext($X213,AI$12,"M",FRM&lt;&gt;"Calypso",CCY))</f>
        <v>0</v>
      </c>
      <c r="AJ213" s="529" t="str">
        <v/>
      </c>
      <c r="AK213" s="529" t="str">
        <v/>
      </c>
      <c r="AL213" s="529" t="str">
        <v/>
      </c>
      <c r="AM213" s="529" t="str">
        <v/>
      </c>
      <c r="AN213" s="529" t="str">
        <v/>
      </c>
      <c r="AO213" s="529" t="str">
        <v/>
      </c>
      <c r="AP213" s="529" t="str">
        <v/>
      </c>
      <c r="AQ213" s="529" t="str">
        <v/>
      </c>
      <c r="AR213" s="529">
        <v>0</v>
      </c>
      <c r="AS213" s="529">
        <v>0</v>
      </c>
      <c r="AT213" s="529">
        <f t="shared" si="62"/>
        <v>0</v>
      </c>
      <c r="AU213" s="529">
        <v>0</v>
      </c>
      <c r="AV213" s="529">
        <f t="shared" si="63"/>
        <v>0</v>
      </c>
      <c r="AW213" s="529">
        <f t="shared" si="64"/>
        <v>0</v>
      </c>
      <c r="AX213" s="529">
        <v>0</v>
      </c>
      <c r="AY213" s="529">
        <v>0</v>
      </c>
      <c r="AZ213" s="761">
        <f t="shared" si="53"/>
        <v>0</v>
      </c>
      <c r="BA213" s="761">
        <f t="shared" si="54"/>
        <v>0</v>
      </c>
      <c r="BB213" s="761">
        <f t="shared" si="55"/>
        <v>0</v>
      </c>
      <c r="BC213" s="761">
        <f t="shared" si="56"/>
        <v>0</v>
      </c>
      <c r="BD213" s="761">
        <f t="shared" si="57"/>
        <v>0</v>
      </c>
      <c r="BE213" s="761">
        <f t="shared" si="58"/>
        <v>0</v>
      </c>
      <c r="BF213" s="761">
        <f t="shared" si="59"/>
        <v>0</v>
      </c>
      <c r="BG213" s="761">
        <f t="shared" si="60"/>
        <v>0</v>
      </c>
      <c r="BH213" s="777">
        <v>0</v>
      </c>
      <c r="BI213" s="755"/>
      <c r="BJ213" s="778">
        <f>IF(X214=0,0,           IF(ISNUMBER(BI213),BI213,               IF(ISTEXT(BI213),INDEX(AZ213:BG213,MATCH(BI213,$AZ$12:$BG$12,0)),             IF(BH213="INT",_xll.qInterp(X214,AB213:AI213,AZ213:BG213),            INDEX(AZ213:BG213,MATCH(BH213,$AZ$12:$BG$12,0))))))</f>
        <v>0</v>
      </c>
      <c r="BK213" s="408">
        <f t="shared" si="65"/>
        <v>0</v>
      </c>
      <c r="BL213" s="414">
        <f t="shared" si="66"/>
        <v>0</v>
      </c>
      <c r="BM213" s="408">
        <f t="shared" si="67"/>
        <v>0</v>
      </c>
    </row>
    <row r="214" spans="16:65">
      <c r="P214" s="779">
        <v>0</v>
      </c>
      <c r="Q214" s="780">
        <f t="shared" si="51"/>
        <v>0</v>
      </c>
      <c r="R214" s="776">
        <f>IF(P215,_xll.qDateYears(P214,P215,DCCfixed),0)</f>
        <v>0</v>
      </c>
      <c r="S214" s="553">
        <v>0</v>
      </c>
      <c r="T214" s="785"/>
      <c r="U214" s="409">
        <f t="shared" si="61"/>
        <v>0</v>
      </c>
      <c r="X214" s="363">
        <v>0</v>
      </c>
      <c r="Y214" s="775">
        <f t="shared" si="52"/>
        <v>0</v>
      </c>
      <c r="Z214" s="776">
        <f>IF(X215,_xll.qDateYears(X214,X215,DCCfloat),0)</f>
        <v>0</v>
      </c>
      <c r="AA214" s="553">
        <v>0</v>
      </c>
      <c r="AB214" s="789">
        <f>IF($X214=0,0,      _xll.qDateNext($X214,AB$12,"M",FRM&lt;&gt;"Calypso",CCY))</f>
        <v>0</v>
      </c>
      <c r="AC214" s="789">
        <f>IF($X214=0,0,      _xll.qDateNext($X214,AC$12,"M",FRM&lt;&gt;"Calypso",CCY))</f>
        <v>0</v>
      </c>
      <c r="AD214" s="789">
        <f>IF($X214=0,0,      _xll.qDateNext($X214,AD$12,"M",FRM&lt;&gt;"Calypso",CCY))</f>
        <v>0</v>
      </c>
      <c r="AE214" s="789">
        <f>IF($X214=0,0,      _xll.qDateNext($X214,AE$12,"M",FRM&lt;&gt;"Calypso",CCY))</f>
        <v>0</v>
      </c>
      <c r="AF214" s="789">
        <f>IF($X214=0,0,      _xll.qDateNext($X214,AF$12,"M",FRM&lt;&gt;"Calypso",CCY))</f>
        <v>0</v>
      </c>
      <c r="AG214" s="789">
        <f>IF($X214=0,0,      _xll.qDateNext($X214,AG$12,"M",FRM&lt;&gt;"Calypso",CCY))</f>
        <v>0</v>
      </c>
      <c r="AH214" s="789">
        <f>IF($X214=0,0,      _xll.qDateNext($X214,AH$12,"M",FRM&lt;&gt;"Calypso",CCY))</f>
        <v>0</v>
      </c>
      <c r="AI214" s="789">
        <f>IF($X214=0,0,      _xll.qDateNext($X214,AI$12,"M",FRM&lt;&gt;"Calypso",CCY))</f>
        <v>0</v>
      </c>
      <c r="AJ214" s="529" t="str">
        <v/>
      </c>
      <c r="AK214" s="529" t="str">
        <v/>
      </c>
      <c r="AL214" s="529" t="str">
        <v/>
      </c>
      <c r="AM214" s="529" t="str">
        <v/>
      </c>
      <c r="AN214" s="529" t="str">
        <v/>
      </c>
      <c r="AO214" s="529" t="str">
        <v/>
      </c>
      <c r="AP214" s="529" t="str">
        <v/>
      </c>
      <c r="AQ214" s="529" t="str">
        <v/>
      </c>
      <c r="AR214" s="529">
        <v>0</v>
      </c>
      <c r="AS214" s="529">
        <v>0</v>
      </c>
      <c r="AT214" s="529">
        <f t="shared" si="62"/>
        <v>0</v>
      </c>
      <c r="AU214" s="529">
        <v>0</v>
      </c>
      <c r="AV214" s="529">
        <f t="shared" si="63"/>
        <v>0</v>
      </c>
      <c r="AW214" s="529">
        <f t="shared" si="64"/>
        <v>0</v>
      </c>
      <c r="AX214" s="529">
        <v>0</v>
      </c>
      <c r="AY214" s="529">
        <v>0</v>
      </c>
      <c r="AZ214" s="761">
        <f t="shared" si="53"/>
        <v>0</v>
      </c>
      <c r="BA214" s="761">
        <f t="shared" si="54"/>
        <v>0</v>
      </c>
      <c r="BB214" s="761">
        <f t="shared" si="55"/>
        <v>0</v>
      </c>
      <c r="BC214" s="761">
        <f t="shared" si="56"/>
        <v>0</v>
      </c>
      <c r="BD214" s="761">
        <f t="shared" si="57"/>
        <v>0</v>
      </c>
      <c r="BE214" s="761">
        <f t="shared" si="58"/>
        <v>0</v>
      </c>
      <c r="BF214" s="761">
        <f t="shared" si="59"/>
        <v>0</v>
      </c>
      <c r="BG214" s="761">
        <f t="shared" si="60"/>
        <v>0</v>
      </c>
      <c r="BH214" s="777">
        <v>0</v>
      </c>
      <c r="BI214" s="755"/>
      <c r="BJ214" s="778">
        <f>IF(X215=0,0,           IF(ISNUMBER(BI214),BI214,               IF(ISTEXT(BI214),INDEX(AZ214:BG214,MATCH(BI214,$AZ$12:$BG$12,0)),             IF(BH214="INT",_xll.qInterp(X215,AB214:AI214,AZ214:BG214),            INDEX(AZ214:BG214,MATCH(BH214,$AZ$12:$BG$12,0))))))</f>
        <v>0</v>
      </c>
      <c r="BK214" s="408">
        <f t="shared" si="65"/>
        <v>0</v>
      </c>
      <c r="BL214" s="414">
        <f t="shared" si="66"/>
        <v>0</v>
      </c>
      <c r="BM214" s="408">
        <f t="shared" si="67"/>
        <v>0</v>
      </c>
    </row>
    <row r="215" spans="16:65">
      <c r="P215" s="779">
        <v>0</v>
      </c>
      <c r="Q215" s="780">
        <f t="shared" si="51"/>
        <v>0</v>
      </c>
      <c r="R215" s="776">
        <f>IF(P216,_xll.qDateYears(P215,P216,DCCfixed),0)</f>
        <v>0</v>
      </c>
      <c r="S215" s="553">
        <v>0</v>
      </c>
      <c r="T215" s="785"/>
      <c r="U215" s="409">
        <f t="shared" si="61"/>
        <v>0</v>
      </c>
      <c r="X215" s="363">
        <v>0</v>
      </c>
      <c r="Y215" s="775">
        <f t="shared" si="52"/>
        <v>0</v>
      </c>
      <c r="Z215" s="776">
        <f>IF(X216,_xll.qDateYears(X215,X216,DCCfloat),0)</f>
        <v>0</v>
      </c>
      <c r="AA215" s="553">
        <v>0</v>
      </c>
      <c r="AB215" s="789">
        <f>IF($X215=0,0,      _xll.qDateNext($X215,AB$12,"M",FRM&lt;&gt;"Calypso",CCY))</f>
        <v>0</v>
      </c>
      <c r="AC215" s="789">
        <f>IF($X215=0,0,      _xll.qDateNext($X215,AC$12,"M",FRM&lt;&gt;"Calypso",CCY))</f>
        <v>0</v>
      </c>
      <c r="AD215" s="789">
        <f>IF($X215=0,0,      _xll.qDateNext($X215,AD$12,"M",FRM&lt;&gt;"Calypso",CCY))</f>
        <v>0</v>
      </c>
      <c r="AE215" s="789">
        <f>IF($X215=0,0,      _xll.qDateNext($X215,AE$12,"M",FRM&lt;&gt;"Calypso",CCY))</f>
        <v>0</v>
      </c>
      <c r="AF215" s="789">
        <f>IF($X215=0,0,      _xll.qDateNext($X215,AF$12,"M",FRM&lt;&gt;"Calypso",CCY))</f>
        <v>0</v>
      </c>
      <c r="AG215" s="789">
        <f>IF($X215=0,0,      _xll.qDateNext($X215,AG$12,"M",FRM&lt;&gt;"Calypso",CCY))</f>
        <v>0</v>
      </c>
      <c r="AH215" s="789">
        <f>IF($X215=0,0,      _xll.qDateNext($X215,AH$12,"M",FRM&lt;&gt;"Calypso",CCY))</f>
        <v>0</v>
      </c>
      <c r="AI215" s="789">
        <f>IF($X215=0,0,      _xll.qDateNext($X215,AI$12,"M",FRM&lt;&gt;"Calypso",CCY))</f>
        <v>0</v>
      </c>
      <c r="AJ215" s="529" t="str">
        <v/>
      </c>
      <c r="AK215" s="529" t="str">
        <v/>
      </c>
      <c r="AL215" s="529" t="str">
        <v/>
      </c>
      <c r="AM215" s="529" t="str">
        <v/>
      </c>
      <c r="AN215" s="529" t="str">
        <v/>
      </c>
      <c r="AO215" s="529" t="str">
        <v/>
      </c>
      <c r="AP215" s="529" t="str">
        <v/>
      </c>
      <c r="AQ215" s="529" t="str">
        <v/>
      </c>
      <c r="AR215" s="529">
        <v>0</v>
      </c>
      <c r="AS215" s="529">
        <v>0</v>
      </c>
      <c r="AT215" s="529">
        <f t="shared" si="62"/>
        <v>0</v>
      </c>
      <c r="AU215" s="529">
        <v>0</v>
      </c>
      <c r="AV215" s="529">
        <f t="shared" si="63"/>
        <v>0</v>
      </c>
      <c r="AW215" s="529">
        <f t="shared" si="64"/>
        <v>0</v>
      </c>
      <c r="AX215" s="529">
        <v>0</v>
      </c>
      <c r="AY215" s="529">
        <v>0</v>
      </c>
      <c r="AZ215" s="761">
        <f t="shared" si="53"/>
        <v>0</v>
      </c>
      <c r="BA215" s="761">
        <f t="shared" si="54"/>
        <v>0</v>
      </c>
      <c r="BB215" s="761">
        <f t="shared" si="55"/>
        <v>0</v>
      </c>
      <c r="BC215" s="761">
        <f t="shared" si="56"/>
        <v>0</v>
      </c>
      <c r="BD215" s="761">
        <f t="shared" si="57"/>
        <v>0</v>
      </c>
      <c r="BE215" s="761">
        <f t="shared" si="58"/>
        <v>0</v>
      </c>
      <c r="BF215" s="761">
        <f t="shared" si="59"/>
        <v>0</v>
      </c>
      <c r="BG215" s="761">
        <f t="shared" si="60"/>
        <v>0</v>
      </c>
      <c r="BH215" s="777">
        <v>0</v>
      </c>
      <c r="BI215" s="755"/>
      <c r="BJ215" s="778">
        <f>IF(X216=0,0,           IF(ISNUMBER(BI215),BI215,               IF(ISTEXT(BI215),INDEX(AZ215:BG215,MATCH(BI215,$AZ$12:$BG$12,0)),             IF(BH215="INT",_xll.qInterp(X216,AB215:AI215,AZ215:BG215),            INDEX(AZ215:BG215,MATCH(BH215,$AZ$12:$BG$12,0))))))</f>
        <v>0</v>
      </c>
      <c r="BK215" s="408">
        <f t="shared" si="65"/>
        <v>0</v>
      </c>
      <c r="BL215" s="414">
        <f t="shared" si="66"/>
        <v>0</v>
      </c>
      <c r="BM215" s="408">
        <f t="shared" si="67"/>
        <v>0</v>
      </c>
    </row>
    <row r="216" spans="16:65">
      <c r="P216" s="779">
        <v>0</v>
      </c>
      <c r="Q216" s="780">
        <f t="shared" si="51"/>
        <v>0</v>
      </c>
      <c r="R216" s="776">
        <f>IF(P217,_xll.qDateYears(P216,P217,DCCfixed),0)</f>
        <v>0</v>
      </c>
      <c r="S216" s="553">
        <v>0</v>
      </c>
      <c r="T216" s="785"/>
      <c r="U216" s="409">
        <f t="shared" si="61"/>
        <v>0</v>
      </c>
      <c r="X216" s="363">
        <v>0</v>
      </c>
      <c r="Y216" s="775">
        <f t="shared" si="52"/>
        <v>0</v>
      </c>
      <c r="Z216" s="776">
        <f>IF(X217,_xll.qDateYears(X216,X217,DCCfloat),0)</f>
        <v>0</v>
      </c>
      <c r="AA216" s="553">
        <v>0</v>
      </c>
      <c r="AB216" s="789">
        <f>IF($X216=0,0,      _xll.qDateNext($X216,AB$12,"M",FRM&lt;&gt;"Calypso",CCY))</f>
        <v>0</v>
      </c>
      <c r="AC216" s="789">
        <f>IF($X216=0,0,      _xll.qDateNext($X216,AC$12,"M",FRM&lt;&gt;"Calypso",CCY))</f>
        <v>0</v>
      </c>
      <c r="AD216" s="789">
        <f>IF($X216=0,0,      _xll.qDateNext($X216,AD$12,"M",FRM&lt;&gt;"Calypso",CCY))</f>
        <v>0</v>
      </c>
      <c r="AE216" s="789">
        <f>IF($X216=0,0,      _xll.qDateNext($X216,AE$12,"M",FRM&lt;&gt;"Calypso",CCY))</f>
        <v>0</v>
      </c>
      <c r="AF216" s="789">
        <f>IF($X216=0,0,      _xll.qDateNext($X216,AF$12,"M",FRM&lt;&gt;"Calypso",CCY))</f>
        <v>0</v>
      </c>
      <c r="AG216" s="789">
        <f>IF($X216=0,0,      _xll.qDateNext($X216,AG$12,"M",FRM&lt;&gt;"Calypso",CCY))</f>
        <v>0</v>
      </c>
      <c r="AH216" s="789">
        <f>IF($X216=0,0,      _xll.qDateNext($X216,AH$12,"M",FRM&lt;&gt;"Calypso",CCY))</f>
        <v>0</v>
      </c>
      <c r="AI216" s="789">
        <f>IF($X216=0,0,      _xll.qDateNext($X216,AI$12,"M",FRM&lt;&gt;"Calypso",CCY))</f>
        <v>0</v>
      </c>
      <c r="AJ216" s="529" t="str">
        <v/>
      </c>
      <c r="AK216" s="529" t="str">
        <v/>
      </c>
      <c r="AL216" s="529" t="str">
        <v/>
      </c>
      <c r="AM216" s="529" t="str">
        <v/>
      </c>
      <c r="AN216" s="529" t="str">
        <v/>
      </c>
      <c r="AO216" s="529" t="str">
        <v/>
      </c>
      <c r="AP216" s="529" t="str">
        <v/>
      </c>
      <c r="AQ216" s="529" t="str">
        <v/>
      </c>
      <c r="AR216" s="529">
        <v>0</v>
      </c>
      <c r="AS216" s="529">
        <v>0</v>
      </c>
      <c r="AT216" s="529">
        <f t="shared" si="62"/>
        <v>0</v>
      </c>
      <c r="AU216" s="529">
        <v>0</v>
      </c>
      <c r="AV216" s="529">
        <f t="shared" si="63"/>
        <v>0</v>
      </c>
      <c r="AW216" s="529">
        <f t="shared" si="64"/>
        <v>0</v>
      </c>
      <c r="AX216" s="529">
        <v>0</v>
      </c>
      <c r="AY216" s="529">
        <v>0</v>
      </c>
      <c r="AZ216" s="761">
        <f t="shared" si="53"/>
        <v>0</v>
      </c>
      <c r="BA216" s="761">
        <f t="shared" si="54"/>
        <v>0</v>
      </c>
      <c r="BB216" s="761">
        <f t="shared" si="55"/>
        <v>0</v>
      </c>
      <c r="BC216" s="761">
        <f t="shared" si="56"/>
        <v>0</v>
      </c>
      <c r="BD216" s="761">
        <f t="shared" si="57"/>
        <v>0</v>
      </c>
      <c r="BE216" s="761">
        <f t="shared" si="58"/>
        <v>0</v>
      </c>
      <c r="BF216" s="761">
        <f t="shared" si="59"/>
        <v>0</v>
      </c>
      <c r="BG216" s="761">
        <f t="shared" si="60"/>
        <v>0</v>
      </c>
      <c r="BH216" s="777">
        <v>0</v>
      </c>
      <c r="BI216" s="755"/>
      <c r="BJ216" s="778">
        <f>IF(X217=0,0,           IF(ISNUMBER(BI216),BI216,               IF(ISTEXT(BI216),INDEX(AZ216:BG216,MATCH(BI216,$AZ$12:$BG$12,0)),             IF(BH216="INT",_xll.qInterp(X217,AB216:AI216,AZ216:BG216),            INDEX(AZ216:BG216,MATCH(BH216,$AZ$12:$BG$12,0))))))</f>
        <v>0</v>
      </c>
      <c r="BK216" s="408">
        <f t="shared" si="65"/>
        <v>0</v>
      </c>
      <c r="BL216" s="414">
        <f t="shared" si="66"/>
        <v>0</v>
      </c>
      <c r="BM216" s="408">
        <f t="shared" si="67"/>
        <v>0</v>
      </c>
    </row>
    <row r="217" spans="16:65">
      <c r="P217" s="779">
        <v>0</v>
      </c>
      <c r="Q217" s="780">
        <f t="shared" si="51"/>
        <v>0</v>
      </c>
      <c r="R217" s="776">
        <f>IF(P218,_xll.qDateYears(P217,P218,DCCfixed),0)</f>
        <v>0</v>
      </c>
      <c r="S217" s="553">
        <v>0</v>
      </c>
      <c r="T217" s="785"/>
      <c r="U217" s="409">
        <f t="shared" si="61"/>
        <v>0</v>
      </c>
      <c r="X217" s="363">
        <v>0</v>
      </c>
      <c r="Y217" s="775">
        <f t="shared" si="52"/>
        <v>0</v>
      </c>
      <c r="Z217" s="776">
        <f>IF(X218,_xll.qDateYears(X217,X218,DCCfloat),0)</f>
        <v>0</v>
      </c>
      <c r="AA217" s="553">
        <v>0</v>
      </c>
      <c r="AB217" s="789">
        <f>IF($X217=0,0,      _xll.qDateNext($X217,AB$12,"M",FRM&lt;&gt;"Calypso",CCY))</f>
        <v>0</v>
      </c>
      <c r="AC217" s="789">
        <f>IF($X217=0,0,      _xll.qDateNext($X217,AC$12,"M",FRM&lt;&gt;"Calypso",CCY))</f>
        <v>0</v>
      </c>
      <c r="AD217" s="789">
        <f>IF($X217=0,0,      _xll.qDateNext($X217,AD$12,"M",FRM&lt;&gt;"Calypso",CCY))</f>
        <v>0</v>
      </c>
      <c r="AE217" s="789">
        <f>IF($X217=0,0,      _xll.qDateNext($X217,AE$12,"M",FRM&lt;&gt;"Calypso",CCY))</f>
        <v>0</v>
      </c>
      <c r="AF217" s="789">
        <f>IF($X217=0,0,      _xll.qDateNext($X217,AF$12,"M",FRM&lt;&gt;"Calypso",CCY))</f>
        <v>0</v>
      </c>
      <c r="AG217" s="789">
        <f>IF($X217=0,0,      _xll.qDateNext($X217,AG$12,"M",FRM&lt;&gt;"Calypso",CCY))</f>
        <v>0</v>
      </c>
      <c r="AH217" s="789">
        <f>IF($X217=0,0,      _xll.qDateNext($X217,AH$12,"M",FRM&lt;&gt;"Calypso",CCY))</f>
        <v>0</v>
      </c>
      <c r="AI217" s="789">
        <f>IF($X217=0,0,      _xll.qDateNext($X217,AI$12,"M",FRM&lt;&gt;"Calypso",CCY))</f>
        <v>0</v>
      </c>
      <c r="AJ217" s="529" t="str">
        <v/>
      </c>
      <c r="AK217" s="529" t="str">
        <v/>
      </c>
      <c r="AL217" s="529" t="str">
        <v/>
      </c>
      <c r="AM217" s="529" t="str">
        <v/>
      </c>
      <c r="AN217" s="529" t="str">
        <v/>
      </c>
      <c r="AO217" s="529" t="str">
        <v/>
      </c>
      <c r="AP217" s="529" t="str">
        <v/>
      </c>
      <c r="AQ217" s="529" t="str">
        <v/>
      </c>
      <c r="AR217" s="529">
        <v>0</v>
      </c>
      <c r="AS217" s="529">
        <v>0</v>
      </c>
      <c r="AT217" s="529">
        <f t="shared" si="62"/>
        <v>0</v>
      </c>
      <c r="AU217" s="529">
        <v>0</v>
      </c>
      <c r="AV217" s="529">
        <f t="shared" si="63"/>
        <v>0</v>
      </c>
      <c r="AW217" s="529">
        <f t="shared" si="64"/>
        <v>0</v>
      </c>
      <c r="AX217" s="529">
        <v>0</v>
      </c>
      <c r="AY217" s="529">
        <v>0</v>
      </c>
      <c r="AZ217" s="761">
        <f t="shared" si="53"/>
        <v>0</v>
      </c>
      <c r="BA217" s="761">
        <f t="shared" si="54"/>
        <v>0</v>
      </c>
      <c r="BB217" s="761">
        <f t="shared" si="55"/>
        <v>0</v>
      </c>
      <c r="BC217" s="761">
        <f t="shared" si="56"/>
        <v>0</v>
      </c>
      <c r="BD217" s="761">
        <f t="shared" si="57"/>
        <v>0</v>
      </c>
      <c r="BE217" s="761">
        <f t="shared" si="58"/>
        <v>0</v>
      </c>
      <c r="BF217" s="761">
        <f t="shared" si="59"/>
        <v>0</v>
      </c>
      <c r="BG217" s="761">
        <f t="shared" si="60"/>
        <v>0</v>
      </c>
      <c r="BH217" s="777">
        <v>0</v>
      </c>
      <c r="BI217" s="755"/>
      <c r="BJ217" s="778">
        <f>IF(X218=0,0,           IF(ISNUMBER(BI217),BI217,               IF(ISTEXT(BI217),INDEX(AZ217:BG217,MATCH(BI217,$AZ$12:$BG$12,0)),             IF(BH217="INT",_xll.qInterp(X218,AB217:AI217,AZ217:BG217),            INDEX(AZ217:BG217,MATCH(BH217,$AZ$12:$BG$12,0))))))</f>
        <v>0</v>
      </c>
      <c r="BK217" s="408">
        <f t="shared" si="65"/>
        <v>0</v>
      </c>
      <c r="BL217" s="414">
        <f t="shared" si="66"/>
        <v>0</v>
      </c>
      <c r="BM217" s="408">
        <f t="shared" si="67"/>
        <v>0</v>
      </c>
    </row>
    <row r="218" spans="16:65">
      <c r="P218" s="779">
        <v>0</v>
      </c>
      <c r="Q218" s="780">
        <f t="shared" si="51"/>
        <v>0</v>
      </c>
      <c r="R218" s="776">
        <f>IF(P219,_xll.qDateYears(P218,P219,DCCfixed),0)</f>
        <v>0</v>
      </c>
      <c r="S218" s="553">
        <v>0</v>
      </c>
      <c r="T218" s="785"/>
      <c r="U218" s="409">
        <f t="shared" si="61"/>
        <v>0</v>
      </c>
      <c r="X218" s="363">
        <v>0</v>
      </c>
      <c r="Y218" s="775">
        <f t="shared" si="52"/>
        <v>0</v>
      </c>
      <c r="Z218" s="776">
        <f>IF(X219,_xll.qDateYears(X218,X219,DCCfloat),0)</f>
        <v>0</v>
      </c>
      <c r="AA218" s="553">
        <v>0</v>
      </c>
      <c r="AB218" s="789">
        <f>IF($X218=0,0,      _xll.qDateNext($X218,AB$12,"M",FRM&lt;&gt;"Calypso",CCY))</f>
        <v>0</v>
      </c>
      <c r="AC218" s="789">
        <f>IF($X218=0,0,      _xll.qDateNext($X218,AC$12,"M",FRM&lt;&gt;"Calypso",CCY))</f>
        <v>0</v>
      </c>
      <c r="AD218" s="789">
        <f>IF($X218=0,0,      _xll.qDateNext($X218,AD$12,"M",FRM&lt;&gt;"Calypso",CCY))</f>
        <v>0</v>
      </c>
      <c r="AE218" s="789">
        <f>IF($X218=0,0,      _xll.qDateNext($X218,AE$12,"M",FRM&lt;&gt;"Calypso",CCY))</f>
        <v>0</v>
      </c>
      <c r="AF218" s="789">
        <f>IF($X218=0,0,      _xll.qDateNext($X218,AF$12,"M",FRM&lt;&gt;"Calypso",CCY))</f>
        <v>0</v>
      </c>
      <c r="AG218" s="789">
        <f>IF($X218=0,0,      _xll.qDateNext($X218,AG$12,"M",FRM&lt;&gt;"Calypso",CCY))</f>
        <v>0</v>
      </c>
      <c r="AH218" s="789">
        <f>IF($X218=0,0,      _xll.qDateNext($X218,AH$12,"M",FRM&lt;&gt;"Calypso",CCY))</f>
        <v>0</v>
      </c>
      <c r="AI218" s="789">
        <f>IF($X218=0,0,      _xll.qDateNext($X218,AI$12,"M",FRM&lt;&gt;"Calypso",CCY))</f>
        <v>0</v>
      </c>
      <c r="AJ218" s="529" t="str">
        <v/>
      </c>
      <c r="AK218" s="529" t="str">
        <v/>
      </c>
      <c r="AL218" s="529" t="str">
        <v/>
      </c>
      <c r="AM218" s="529" t="str">
        <v/>
      </c>
      <c r="AN218" s="529" t="str">
        <v/>
      </c>
      <c r="AO218" s="529" t="str">
        <v/>
      </c>
      <c r="AP218" s="529" t="str">
        <v/>
      </c>
      <c r="AQ218" s="529" t="str">
        <v/>
      </c>
      <c r="AR218" s="529">
        <v>0</v>
      </c>
      <c r="AS218" s="529">
        <v>0</v>
      </c>
      <c r="AT218" s="529">
        <f t="shared" si="62"/>
        <v>0</v>
      </c>
      <c r="AU218" s="529">
        <v>0</v>
      </c>
      <c r="AV218" s="529">
        <f t="shared" si="63"/>
        <v>0</v>
      </c>
      <c r="AW218" s="529">
        <f t="shared" si="64"/>
        <v>0</v>
      </c>
      <c r="AX218" s="529">
        <v>0</v>
      </c>
      <c r="AY218" s="529">
        <v>0</v>
      </c>
      <c r="AZ218" s="761">
        <f t="shared" si="53"/>
        <v>0</v>
      </c>
      <c r="BA218" s="761">
        <f t="shared" si="54"/>
        <v>0</v>
      </c>
      <c r="BB218" s="761">
        <f t="shared" si="55"/>
        <v>0</v>
      </c>
      <c r="BC218" s="761">
        <f t="shared" si="56"/>
        <v>0</v>
      </c>
      <c r="BD218" s="761">
        <f t="shared" si="57"/>
        <v>0</v>
      </c>
      <c r="BE218" s="761">
        <f t="shared" si="58"/>
        <v>0</v>
      </c>
      <c r="BF218" s="761">
        <f t="shared" si="59"/>
        <v>0</v>
      </c>
      <c r="BG218" s="761">
        <f t="shared" si="60"/>
        <v>0</v>
      </c>
      <c r="BH218" s="777">
        <v>0</v>
      </c>
      <c r="BI218" s="755"/>
      <c r="BJ218" s="778">
        <f>IF(X219=0,0,           IF(ISNUMBER(BI218),BI218,               IF(ISTEXT(BI218),INDEX(AZ218:BG218,MATCH(BI218,$AZ$12:$BG$12,0)),             IF(BH218="INT",_xll.qInterp(X219,AB218:AI218,AZ218:BG218),            INDEX(AZ218:BG218,MATCH(BH218,$AZ$12:$BG$12,0))))))</f>
        <v>0</v>
      </c>
      <c r="BK218" s="408">
        <f t="shared" si="65"/>
        <v>0</v>
      </c>
      <c r="BL218" s="414">
        <f t="shared" si="66"/>
        <v>0</v>
      </c>
      <c r="BM218" s="408">
        <f t="shared" si="67"/>
        <v>0</v>
      </c>
    </row>
    <row r="219" spans="16:65">
      <c r="P219" s="779">
        <v>0</v>
      </c>
      <c r="Q219" s="780">
        <f t="shared" si="51"/>
        <v>0</v>
      </c>
      <c r="R219" s="776">
        <f>IF(P220,_xll.qDateYears(P219,P220,DCCfixed),0)</f>
        <v>0</v>
      </c>
      <c r="S219" s="553">
        <v>0</v>
      </c>
      <c r="T219" s="785"/>
      <c r="U219" s="409">
        <f t="shared" si="61"/>
        <v>0</v>
      </c>
      <c r="X219" s="363">
        <v>0</v>
      </c>
      <c r="Y219" s="775">
        <f t="shared" si="52"/>
        <v>0</v>
      </c>
      <c r="Z219" s="776">
        <f>IF(X220,_xll.qDateYears(X219,X220,DCCfloat),0)</f>
        <v>0</v>
      </c>
      <c r="AA219" s="553">
        <v>0</v>
      </c>
      <c r="AB219" s="789">
        <f>IF($X219=0,0,      _xll.qDateNext($X219,AB$12,"M",FRM&lt;&gt;"Calypso",CCY))</f>
        <v>0</v>
      </c>
      <c r="AC219" s="789">
        <f>IF($X219=0,0,      _xll.qDateNext($X219,AC$12,"M",FRM&lt;&gt;"Calypso",CCY))</f>
        <v>0</v>
      </c>
      <c r="AD219" s="789">
        <f>IF($X219=0,0,      _xll.qDateNext($X219,AD$12,"M",FRM&lt;&gt;"Calypso",CCY))</f>
        <v>0</v>
      </c>
      <c r="AE219" s="789">
        <f>IF($X219=0,0,      _xll.qDateNext($X219,AE$12,"M",FRM&lt;&gt;"Calypso",CCY))</f>
        <v>0</v>
      </c>
      <c r="AF219" s="789">
        <f>IF($X219=0,0,      _xll.qDateNext($X219,AF$12,"M",FRM&lt;&gt;"Calypso",CCY))</f>
        <v>0</v>
      </c>
      <c r="AG219" s="789">
        <f>IF($X219=0,0,      _xll.qDateNext($X219,AG$12,"M",FRM&lt;&gt;"Calypso",CCY))</f>
        <v>0</v>
      </c>
      <c r="AH219" s="789">
        <f>IF($X219=0,0,      _xll.qDateNext($X219,AH$12,"M",FRM&lt;&gt;"Calypso",CCY))</f>
        <v>0</v>
      </c>
      <c r="AI219" s="789">
        <f>IF($X219=0,0,      _xll.qDateNext($X219,AI$12,"M",FRM&lt;&gt;"Calypso",CCY))</f>
        <v>0</v>
      </c>
      <c r="AJ219" s="529" t="str">
        <v/>
      </c>
      <c r="AK219" s="529" t="str">
        <v/>
      </c>
      <c r="AL219" s="529" t="str">
        <v/>
      </c>
      <c r="AM219" s="529" t="str">
        <v/>
      </c>
      <c r="AN219" s="529" t="str">
        <v/>
      </c>
      <c r="AO219" s="529" t="str">
        <v/>
      </c>
      <c r="AP219" s="529" t="str">
        <v/>
      </c>
      <c r="AQ219" s="529" t="str">
        <v/>
      </c>
      <c r="AR219" s="529">
        <v>0</v>
      </c>
      <c r="AS219" s="529">
        <v>0</v>
      </c>
      <c r="AT219" s="529">
        <f t="shared" si="62"/>
        <v>0</v>
      </c>
      <c r="AU219" s="529">
        <v>0</v>
      </c>
      <c r="AV219" s="529">
        <f t="shared" si="63"/>
        <v>0</v>
      </c>
      <c r="AW219" s="529">
        <f t="shared" si="64"/>
        <v>0</v>
      </c>
      <c r="AX219" s="529">
        <v>0</v>
      </c>
      <c r="AY219" s="529">
        <v>0</v>
      </c>
      <c r="AZ219" s="761">
        <f t="shared" si="53"/>
        <v>0</v>
      </c>
      <c r="BA219" s="761">
        <f t="shared" si="54"/>
        <v>0</v>
      </c>
      <c r="BB219" s="761">
        <f t="shared" si="55"/>
        <v>0</v>
      </c>
      <c r="BC219" s="761">
        <f t="shared" si="56"/>
        <v>0</v>
      </c>
      <c r="BD219" s="761">
        <f t="shared" si="57"/>
        <v>0</v>
      </c>
      <c r="BE219" s="761">
        <f t="shared" si="58"/>
        <v>0</v>
      </c>
      <c r="BF219" s="761">
        <f t="shared" si="59"/>
        <v>0</v>
      </c>
      <c r="BG219" s="761">
        <f t="shared" si="60"/>
        <v>0</v>
      </c>
      <c r="BH219" s="777">
        <v>0</v>
      </c>
      <c r="BI219" s="755"/>
      <c r="BJ219" s="778">
        <f>IF(X220=0,0,           IF(ISNUMBER(BI219),BI219,               IF(ISTEXT(BI219),INDEX(AZ219:BG219,MATCH(BI219,$AZ$12:$BG$12,0)),             IF(BH219="INT",_xll.qInterp(X220,AB219:AI219,AZ219:BG219),            INDEX(AZ219:BG219,MATCH(BH219,$AZ$12:$BG$12,0))))))</f>
        <v>0</v>
      </c>
      <c r="BK219" s="408">
        <f t="shared" si="65"/>
        <v>0</v>
      </c>
      <c r="BL219" s="414">
        <f t="shared" si="66"/>
        <v>0</v>
      </c>
      <c r="BM219" s="408">
        <f t="shared" si="67"/>
        <v>0</v>
      </c>
    </row>
    <row r="220" spans="16:65">
      <c r="P220" s="779">
        <v>0</v>
      </c>
      <c r="Q220" s="780">
        <f t="shared" si="51"/>
        <v>0</v>
      </c>
      <c r="R220" s="776">
        <f>IF(P221,_xll.qDateYears(P220,P221,DCCfixed),0)</f>
        <v>0</v>
      </c>
      <c r="S220" s="553">
        <v>0</v>
      </c>
      <c r="T220" s="785"/>
      <c r="U220" s="409">
        <f t="shared" si="61"/>
        <v>0</v>
      </c>
      <c r="X220" s="363">
        <v>0</v>
      </c>
      <c r="Y220" s="775">
        <f t="shared" si="52"/>
        <v>0</v>
      </c>
      <c r="Z220" s="776">
        <f>IF(X221,_xll.qDateYears(X220,X221,DCCfloat),0)</f>
        <v>0</v>
      </c>
      <c r="AA220" s="553">
        <v>0</v>
      </c>
      <c r="AB220" s="789">
        <f>IF($X220=0,0,      _xll.qDateNext($X220,AB$12,"M",FRM&lt;&gt;"Calypso",CCY))</f>
        <v>0</v>
      </c>
      <c r="AC220" s="789">
        <f>IF($X220=0,0,      _xll.qDateNext($X220,AC$12,"M",FRM&lt;&gt;"Calypso",CCY))</f>
        <v>0</v>
      </c>
      <c r="AD220" s="789">
        <f>IF($X220=0,0,      _xll.qDateNext($X220,AD$12,"M",FRM&lt;&gt;"Calypso",CCY))</f>
        <v>0</v>
      </c>
      <c r="AE220" s="789">
        <f>IF($X220=0,0,      _xll.qDateNext($X220,AE$12,"M",FRM&lt;&gt;"Calypso",CCY))</f>
        <v>0</v>
      </c>
      <c r="AF220" s="789">
        <f>IF($X220=0,0,      _xll.qDateNext($X220,AF$12,"M",FRM&lt;&gt;"Calypso",CCY))</f>
        <v>0</v>
      </c>
      <c r="AG220" s="789">
        <f>IF($X220=0,0,      _xll.qDateNext($X220,AG$12,"M",FRM&lt;&gt;"Calypso",CCY))</f>
        <v>0</v>
      </c>
      <c r="AH220" s="789">
        <f>IF($X220=0,0,      _xll.qDateNext($X220,AH$12,"M",FRM&lt;&gt;"Calypso",CCY))</f>
        <v>0</v>
      </c>
      <c r="AI220" s="789">
        <f>IF($X220=0,0,      _xll.qDateNext($X220,AI$12,"M",FRM&lt;&gt;"Calypso",CCY))</f>
        <v>0</v>
      </c>
      <c r="AJ220" s="529" t="str">
        <v/>
      </c>
      <c r="AK220" s="529" t="str">
        <v/>
      </c>
      <c r="AL220" s="529" t="str">
        <v/>
      </c>
      <c r="AM220" s="529" t="str">
        <v/>
      </c>
      <c r="AN220" s="529" t="str">
        <v/>
      </c>
      <c r="AO220" s="529" t="str">
        <v/>
      </c>
      <c r="AP220" s="529" t="str">
        <v/>
      </c>
      <c r="AQ220" s="529" t="str">
        <v/>
      </c>
      <c r="AR220" s="529">
        <v>0</v>
      </c>
      <c r="AS220" s="529">
        <v>0</v>
      </c>
      <c r="AT220" s="529">
        <f t="shared" si="62"/>
        <v>0</v>
      </c>
      <c r="AU220" s="529">
        <v>0</v>
      </c>
      <c r="AV220" s="529">
        <f t="shared" si="63"/>
        <v>0</v>
      </c>
      <c r="AW220" s="529">
        <f t="shared" si="64"/>
        <v>0</v>
      </c>
      <c r="AX220" s="529">
        <v>0</v>
      </c>
      <c r="AY220" s="529">
        <v>0</v>
      </c>
      <c r="AZ220" s="761">
        <f t="shared" si="53"/>
        <v>0</v>
      </c>
      <c r="BA220" s="761">
        <f t="shared" si="54"/>
        <v>0</v>
      </c>
      <c r="BB220" s="761">
        <f t="shared" si="55"/>
        <v>0</v>
      </c>
      <c r="BC220" s="761">
        <f t="shared" si="56"/>
        <v>0</v>
      </c>
      <c r="BD220" s="761">
        <f t="shared" si="57"/>
        <v>0</v>
      </c>
      <c r="BE220" s="761">
        <f t="shared" si="58"/>
        <v>0</v>
      </c>
      <c r="BF220" s="761">
        <f t="shared" si="59"/>
        <v>0</v>
      </c>
      <c r="BG220" s="761">
        <f t="shared" si="60"/>
        <v>0</v>
      </c>
      <c r="BH220" s="777">
        <v>0</v>
      </c>
      <c r="BI220" s="755"/>
      <c r="BJ220" s="778">
        <f>IF(X221=0,0,           IF(ISNUMBER(BI220),BI220,               IF(ISTEXT(BI220),INDEX(AZ220:BG220,MATCH(BI220,$AZ$12:$BG$12,0)),             IF(BH220="INT",_xll.qInterp(X221,AB220:AI220,AZ220:BG220),            INDEX(AZ220:BG220,MATCH(BH220,$AZ$12:$BG$12,0))))))</f>
        <v>0</v>
      </c>
      <c r="BK220" s="408">
        <f t="shared" si="65"/>
        <v>0</v>
      </c>
      <c r="BL220" s="414">
        <f t="shared" si="66"/>
        <v>0</v>
      </c>
      <c r="BM220" s="408">
        <f t="shared" si="67"/>
        <v>0</v>
      </c>
    </row>
    <row r="221" spans="16:65">
      <c r="P221" s="779">
        <v>0</v>
      </c>
      <c r="Q221" s="780">
        <f t="shared" si="51"/>
        <v>0</v>
      </c>
      <c r="R221" s="776">
        <f>IF(P222,_xll.qDateYears(P221,P222,DCCfixed),0)</f>
        <v>0</v>
      </c>
      <c r="S221" s="553">
        <v>0</v>
      </c>
      <c r="T221" s="785"/>
      <c r="U221" s="409">
        <f t="shared" si="61"/>
        <v>0</v>
      </c>
      <c r="X221" s="363">
        <v>0</v>
      </c>
      <c r="Y221" s="775">
        <f t="shared" si="52"/>
        <v>0</v>
      </c>
      <c r="Z221" s="776">
        <f>IF(X222,_xll.qDateYears(X221,X222,DCCfloat),0)</f>
        <v>0</v>
      </c>
      <c r="AA221" s="553">
        <v>0</v>
      </c>
      <c r="AB221" s="789">
        <f>IF($X221=0,0,      _xll.qDateNext($X221,AB$12,"M",FRM&lt;&gt;"Calypso",CCY))</f>
        <v>0</v>
      </c>
      <c r="AC221" s="789">
        <f>IF($X221=0,0,      _xll.qDateNext($X221,AC$12,"M",FRM&lt;&gt;"Calypso",CCY))</f>
        <v>0</v>
      </c>
      <c r="AD221" s="789">
        <f>IF($X221=0,0,      _xll.qDateNext($X221,AD$12,"M",FRM&lt;&gt;"Calypso",CCY))</f>
        <v>0</v>
      </c>
      <c r="AE221" s="789">
        <f>IF($X221=0,0,      _xll.qDateNext($X221,AE$12,"M",FRM&lt;&gt;"Calypso",CCY))</f>
        <v>0</v>
      </c>
      <c r="AF221" s="789">
        <f>IF($X221=0,0,      _xll.qDateNext($X221,AF$12,"M",FRM&lt;&gt;"Calypso",CCY))</f>
        <v>0</v>
      </c>
      <c r="AG221" s="789">
        <f>IF($X221=0,0,      _xll.qDateNext($X221,AG$12,"M",FRM&lt;&gt;"Calypso",CCY))</f>
        <v>0</v>
      </c>
      <c r="AH221" s="789">
        <f>IF($X221=0,0,      _xll.qDateNext($X221,AH$12,"M",FRM&lt;&gt;"Calypso",CCY))</f>
        <v>0</v>
      </c>
      <c r="AI221" s="789">
        <f>IF($X221=0,0,      _xll.qDateNext($X221,AI$12,"M",FRM&lt;&gt;"Calypso",CCY))</f>
        <v>0</v>
      </c>
      <c r="AJ221" s="529" t="str">
        <v/>
      </c>
      <c r="AK221" s="529" t="str">
        <v/>
      </c>
      <c r="AL221" s="529" t="str">
        <v/>
      </c>
      <c r="AM221" s="529" t="str">
        <v/>
      </c>
      <c r="AN221" s="529" t="str">
        <v/>
      </c>
      <c r="AO221" s="529" t="str">
        <v/>
      </c>
      <c r="AP221" s="529" t="str">
        <v/>
      </c>
      <c r="AQ221" s="529" t="str">
        <v/>
      </c>
      <c r="AR221" s="529">
        <v>0</v>
      </c>
      <c r="AS221" s="529">
        <v>0</v>
      </c>
      <c r="AT221" s="529">
        <f t="shared" si="62"/>
        <v>0</v>
      </c>
      <c r="AU221" s="529">
        <v>0</v>
      </c>
      <c r="AV221" s="529">
        <f t="shared" si="63"/>
        <v>0</v>
      </c>
      <c r="AW221" s="529">
        <f t="shared" si="64"/>
        <v>0</v>
      </c>
      <c r="AX221" s="529">
        <v>0</v>
      </c>
      <c r="AY221" s="529">
        <v>0</v>
      </c>
      <c r="AZ221" s="761">
        <f t="shared" si="53"/>
        <v>0</v>
      </c>
      <c r="BA221" s="761">
        <f t="shared" si="54"/>
        <v>0</v>
      </c>
      <c r="BB221" s="761">
        <f t="shared" si="55"/>
        <v>0</v>
      </c>
      <c r="BC221" s="761">
        <f t="shared" si="56"/>
        <v>0</v>
      </c>
      <c r="BD221" s="761">
        <f t="shared" si="57"/>
        <v>0</v>
      </c>
      <c r="BE221" s="761">
        <f t="shared" si="58"/>
        <v>0</v>
      </c>
      <c r="BF221" s="761">
        <f t="shared" si="59"/>
        <v>0</v>
      </c>
      <c r="BG221" s="761">
        <f t="shared" si="60"/>
        <v>0</v>
      </c>
      <c r="BH221" s="777">
        <v>0</v>
      </c>
      <c r="BI221" s="755"/>
      <c r="BJ221" s="778">
        <f>IF(X222=0,0,           IF(ISNUMBER(BI221),BI221,               IF(ISTEXT(BI221),INDEX(AZ221:BG221,MATCH(BI221,$AZ$12:$BG$12,0)),             IF(BH221="INT",_xll.qInterp(X222,AB221:AI221,AZ221:BG221),            INDEX(AZ221:BG221,MATCH(BH221,$AZ$12:$BG$12,0))))))</f>
        <v>0</v>
      </c>
      <c r="BK221" s="408">
        <f t="shared" si="65"/>
        <v>0</v>
      </c>
      <c r="BL221" s="414">
        <f t="shared" si="66"/>
        <v>0</v>
      </c>
      <c r="BM221" s="408">
        <f t="shared" si="67"/>
        <v>0</v>
      </c>
    </row>
    <row r="222" spans="16:65">
      <c r="P222" s="779">
        <v>0</v>
      </c>
      <c r="Q222" s="780">
        <f t="shared" si="51"/>
        <v>0</v>
      </c>
      <c r="R222" s="776">
        <f>IF(P223,_xll.qDateYears(P222,P223,DCCfixed),0)</f>
        <v>0</v>
      </c>
      <c r="S222" s="553">
        <v>0</v>
      </c>
      <c r="T222" s="785"/>
      <c r="U222" s="409">
        <f t="shared" si="61"/>
        <v>0</v>
      </c>
      <c r="X222" s="363">
        <v>0</v>
      </c>
      <c r="Y222" s="775">
        <f t="shared" si="52"/>
        <v>0</v>
      </c>
      <c r="Z222" s="776">
        <f>IF(X223,_xll.qDateYears(X222,X223,DCCfloat),0)</f>
        <v>0</v>
      </c>
      <c r="AA222" s="553">
        <v>0</v>
      </c>
      <c r="AB222" s="789">
        <f>IF($X222=0,0,      _xll.qDateNext($X222,AB$12,"M",FRM&lt;&gt;"Calypso",CCY))</f>
        <v>0</v>
      </c>
      <c r="AC222" s="789">
        <f>IF($X222=0,0,      _xll.qDateNext($X222,AC$12,"M",FRM&lt;&gt;"Calypso",CCY))</f>
        <v>0</v>
      </c>
      <c r="AD222" s="789">
        <f>IF($X222=0,0,      _xll.qDateNext($X222,AD$12,"M",FRM&lt;&gt;"Calypso",CCY))</f>
        <v>0</v>
      </c>
      <c r="AE222" s="789">
        <f>IF($X222=0,0,      _xll.qDateNext($X222,AE$12,"M",FRM&lt;&gt;"Calypso",CCY))</f>
        <v>0</v>
      </c>
      <c r="AF222" s="789">
        <f>IF($X222=0,0,      _xll.qDateNext($X222,AF$12,"M",FRM&lt;&gt;"Calypso",CCY))</f>
        <v>0</v>
      </c>
      <c r="AG222" s="789">
        <f>IF($X222=0,0,      _xll.qDateNext($X222,AG$12,"M",FRM&lt;&gt;"Calypso",CCY))</f>
        <v>0</v>
      </c>
      <c r="AH222" s="789">
        <f>IF($X222=0,0,      _xll.qDateNext($X222,AH$12,"M",FRM&lt;&gt;"Calypso",CCY))</f>
        <v>0</v>
      </c>
      <c r="AI222" s="789">
        <f>IF($X222=0,0,      _xll.qDateNext($X222,AI$12,"M",FRM&lt;&gt;"Calypso",CCY))</f>
        <v>0</v>
      </c>
      <c r="AJ222" s="529" t="str">
        <v/>
      </c>
      <c r="AK222" s="529" t="str">
        <v/>
      </c>
      <c r="AL222" s="529" t="str">
        <v/>
      </c>
      <c r="AM222" s="529" t="str">
        <v/>
      </c>
      <c r="AN222" s="529" t="str">
        <v/>
      </c>
      <c r="AO222" s="529" t="str">
        <v/>
      </c>
      <c r="AP222" s="529" t="str">
        <v/>
      </c>
      <c r="AQ222" s="529" t="str">
        <v/>
      </c>
      <c r="AR222" s="529">
        <v>0</v>
      </c>
      <c r="AS222" s="529">
        <v>0</v>
      </c>
      <c r="AT222" s="529">
        <f t="shared" si="62"/>
        <v>0</v>
      </c>
      <c r="AU222" s="529">
        <v>0</v>
      </c>
      <c r="AV222" s="529">
        <f t="shared" si="63"/>
        <v>0</v>
      </c>
      <c r="AW222" s="529">
        <f t="shared" si="64"/>
        <v>0</v>
      </c>
      <c r="AX222" s="529">
        <v>0</v>
      </c>
      <c r="AY222" s="529">
        <v>0</v>
      </c>
      <c r="AZ222" s="761">
        <f t="shared" si="53"/>
        <v>0</v>
      </c>
      <c r="BA222" s="761">
        <f t="shared" si="54"/>
        <v>0</v>
      </c>
      <c r="BB222" s="761">
        <f t="shared" si="55"/>
        <v>0</v>
      </c>
      <c r="BC222" s="761">
        <f t="shared" si="56"/>
        <v>0</v>
      </c>
      <c r="BD222" s="761">
        <f t="shared" si="57"/>
        <v>0</v>
      </c>
      <c r="BE222" s="761">
        <f t="shared" si="58"/>
        <v>0</v>
      </c>
      <c r="BF222" s="761">
        <f t="shared" si="59"/>
        <v>0</v>
      </c>
      <c r="BG222" s="761">
        <f t="shared" si="60"/>
        <v>0</v>
      </c>
      <c r="BH222" s="777">
        <v>0</v>
      </c>
      <c r="BI222" s="755"/>
      <c r="BJ222" s="778">
        <f>IF(X223=0,0,           IF(ISNUMBER(BI222),BI222,               IF(ISTEXT(BI222),INDEX(AZ222:BG222,MATCH(BI222,$AZ$12:$BG$12,0)),             IF(BH222="INT",_xll.qInterp(X223,AB222:AI222,AZ222:BG222),            INDEX(AZ222:BG222,MATCH(BH222,$AZ$12:$BG$12,0))))))</f>
        <v>0</v>
      </c>
      <c r="BK222" s="408">
        <f t="shared" si="65"/>
        <v>0</v>
      </c>
      <c r="BL222" s="414">
        <f t="shared" si="66"/>
        <v>0</v>
      </c>
      <c r="BM222" s="408">
        <f t="shared" si="67"/>
        <v>0</v>
      </c>
    </row>
    <row r="223" spans="16:65">
      <c r="P223" s="779">
        <v>0</v>
      </c>
      <c r="Q223" s="780">
        <f t="shared" si="51"/>
        <v>0</v>
      </c>
      <c r="R223" s="776">
        <f>IF(P224,_xll.qDateYears(P223,P224,DCCfixed),0)</f>
        <v>0</v>
      </c>
      <c r="S223" s="553">
        <v>0</v>
      </c>
      <c r="T223" s="785"/>
      <c r="U223" s="409">
        <f t="shared" si="61"/>
        <v>0</v>
      </c>
      <c r="X223" s="363">
        <v>0</v>
      </c>
      <c r="Y223" s="775">
        <f t="shared" si="52"/>
        <v>0</v>
      </c>
      <c r="Z223" s="776">
        <f>IF(X224,_xll.qDateYears(X223,X224,DCCfloat),0)</f>
        <v>0</v>
      </c>
      <c r="AA223" s="553">
        <v>0</v>
      </c>
      <c r="AB223" s="789">
        <f>IF($X223=0,0,      _xll.qDateNext($X223,AB$12,"M",FRM&lt;&gt;"Calypso",CCY))</f>
        <v>0</v>
      </c>
      <c r="AC223" s="789">
        <f>IF($X223=0,0,      _xll.qDateNext($X223,AC$12,"M",FRM&lt;&gt;"Calypso",CCY))</f>
        <v>0</v>
      </c>
      <c r="AD223" s="789">
        <f>IF($X223=0,0,      _xll.qDateNext($X223,AD$12,"M",FRM&lt;&gt;"Calypso",CCY))</f>
        <v>0</v>
      </c>
      <c r="AE223" s="789">
        <f>IF($X223=0,0,      _xll.qDateNext($X223,AE$12,"M",FRM&lt;&gt;"Calypso",CCY))</f>
        <v>0</v>
      </c>
      <c r="AF223" s="789">
        <f>IF($X223=0,0,      _xll.qDateNext($X223,AF$12,"M",FRM&lt;&gt;"Calypso",CCY))</f>
        <v>0</v>
      </c>
      <c r="AG223" s="789">
        <f>IF($X223=0,0,      _xll.qDateNext($X223,AG$12,"M",FRM&lt;&gt;"Calypso",CCY))</f>
        <v>0</v>
      </c>
      <c r="AH223" s="789">
        <f>IF($X223=0,0,      _xll.qDateNext($X223,AH$12,"M",FRM&lt;&gt;"Calypso",CCY))</f>
        <v>0</v>
      </c>
      <c r="AI223" s="789">
        <f>IF($X223=0,0,      _xll.qDateNext($X223,AI$12,"M",FRM&lt;&gt;"Calypso",CCY))</f>
        <v>0</v>
      </c>
      <c r="AJ223" s="529" t="str">
        <v/>
      </c>
      <c r="AK223" s="529" t="str">
        <v/>
      </c>
      <c r="AL223" s="529" t="str">
        <v/>
      </c>
      <c r="AM223" s="529" t="str">
        <v/>
      </c>
      <c r="AN223" s="529" t="str">
        <v/>
      </c>
      <c r="AO223" s="529" t="str">
        <v/>
      </c>
      <c r="AP223" s="529" t="str">
        <v/>
      </c>
      <c r="AQ223" s="529" t="str">
        <v/>
      </c>
      <c r="AR223" s="529">
        <v>0</v>
      </c>
      <c r="AS223" s="529">
        <v>0</v>
      </c>
      <c r="AT223" s="529">
        <f t="shared" si="62"/>
        <v>0</v>
      </c>
      <c r="AU223" s="529">
        <v>0</v>
      </c>
      <c r="AV223" s="529">
        <f t="shared" si="63"/>
        <v>0</v>
      </c>
      <c r="AW223" s="529">
        <f t="shared" si="64"/>
        <v>0</v>
      </c>
      <c r="AX223" s="529">
        <v>0</v>
      </c>
      <c r="AY223" s="529">
        <v>0</v>
      </c>
      <c r="AZ223" s="761">
        <f t="shared" si="53"/>
        <v>0</v>
      </c>
      <c r="BA223" s="761">
        <f t="shared" si="54"/>
        <v>0</v>
      </c>
      <c r="BB223" s="761">
        <f t="shared" si="55"/>
        <v>0</v>
      </c>
      <c r="BC223" s="761">
        <f t="shared" si="56"/>
        <v>0</v>
      </c>
      <c r="BD223" s="761">
        <f t="shared" si="57"/>
        <v>0</v>
      </c>
      <c r="BE223" s="761">
        <f t="shared" si="58"/>
        <v>0</v>
      </c>
      <c r="BF223" s="761">
        <f t="shared" si="59"/>
        <v>0</v>
      </c>
      <c r="BG223" s="761">
        <f t="shared" si="60"/>
        <v>0</v>
      </c>
      <c r="BH223" s="777">
        <v>0</v>
      </c>
      <c r="BI223" s="755"/>
      <c r="BJ223" s="778">
        <f>IF(X224=0,0,           IF(ISNUMBER(BI223),BI223,               IF(ISTEXT(BI223),INDEX(AZ223:BG223,MATCH(BI223,$AZ$12:$BG$12,0)),             IF(BH223="INT",_xll.qInterp(X224,AB223:AI223,AZ223:BG223),            INDEX(AZ223:BG223,MATCH(BH223,$AZ$12:$BG$12,0))))))</f>
        <v>0</v>
      </c>
      <c r="BK223" s="408">
        <f t="shared" si="65"/>
        <v>0</v>
      </c>
      <c r="BL223" s="414">
        <f t="shared" si="66"/>
        <v>0</v>
      </c>
      <c r="BM223" s="408">
        <f t="shared" si="67"/>
        <v>0</v>
      </c>
    </row>
    <row r="224" spans="16:65">
      <c r="P224" s="779">
        <v>0</v>
      </c>
      <c r="Q224" s="780">
        <f t="shared" si="51"/>
        <v>0</v>
      </c>
      <c r="R224" s="776">
        <f>IF(P225,_xll.qDateYears(P224,P225,DCCfixed),0)</f>
        <v>0</v>
      </c>
      <c r="S224" s="553">
        <v>0</v>
      </c>
      <c r="T224" s="785"/>
      <c r="U224" s="409">
        <f t="shared" si="61"/>
        <v>0</v>
      </c>
      <c r="X224" s="363">
        <v>0</v>
      </c>
      <c r="Y224" s="775">
        <f t="shared" si="52"/>
        <v>0</v>
      </c>
      <c r="Z224" s="776">
        <f>IF(X225,_xll.qDateYears(X224,X225,DCCfloat),0)</f>
        <v>0</v>
      </c>
      <c r="AA224" s="553">
        <v>0</v>
      </c>
      <c r="AB224" s="789">
        <f>IF($X224=0,0,      _xll.qDateNext($X224,AB$12,"M",FRM&lt;&gt;"Calypso",CCY))</f>
        <v>0</v>
      </c>
      <c r="AC224" s="789">
        <f>IF($X224=0,0,      _xll.qDateNext($X224,AC$12,"M",FRM&lt;&gt;"Calypso",CCY))</f>
        <v>0</v>
      </c>
      <c r="AD224" s="789">
        <f>IF($X224=0,0,      _xll.qDateNext($X224,AD$12,"M",FRM&lt;&gt;"Calypso",CCY))</f>
        <v>0</v>
      </c>
      <c r="AE224" s="789">
        <f>IF($X224=0,0,      _xll.qDateNext($X224,AE$12,"M",FRM&lt;&gt;"Calypso",CCY))</f>
        <v>0</v>
      </c>
      <c r="AF224" s="789">
        <f>IF($X224=0,0,      _xll.qDateNext($X224,AF$12,"M",FRM&lt;&gt;"Calypso",CCY))</f>
        <v>0</v>
      </c>
      <c r="AG224" s="789">
        <f>IF($X224=0,0,      _xll.qDateNext($X224,AG$12,"M",FRM&lt;&gt;"Calypso",CCY))</f>
        <v>0</v>
      </c>
      <c r="AH224" s="789">
        <f>IF($X224=0,0,      _xll.qDateNext($X224,AH$12,"M",FRM&lt;&gt;"Calypso",CCY))</f>
        <v>0</v>
      </c>
      <c r="AI224" s="789">
        <f>IF($X224=0,0,      _xll.qDateNext($X224,AI$12,"M",FRM&lt;&gt;"Calypso",CCY))</f>
        <v>0</v>
      </c>
      <c r="AJ224" s="529" t="str">
        <v/>
      </c>
      <c r="AK224" s="529" t="str">
        <v/>
      </c>
      <c r="AL224" s="529" t="str">
        <v/>
      </c>
      <c r="AM224" s="529" t="str">
        <v/>
      </c>
      <c r="AN224" s="529" t="str">
        <v/>
      </c>
      <c r="AO224" s="529" t="str">
        <v/>
      </c>
      <c r="AP224" s="529" t="str">
        <v/>
      </c>
      <c r="AQ224" s="529" t="str">
        <v/>
      </c>
      <c r="AR224" s="529">
        <v>0</v>
      </c>
      <c r="AS224" s="529">
        <v>0</v>
      </c>
      <c r="AT224" s="529">
        <f t="shared" si="62"/>
        <v>0</v>
      </c>
      <c r="AU224" s="529">
        <v>0</v>
      </c>
      <c r="AV224" s="529">
        <f t="shared" si="63"/>
        <v>0</v>
      </c>
      <c r="AW224" s="529">
        <f t="shared" si="64"/>
        <v>0</v>
      </c>
      <c r="AX224" s="529">
        <v>0</v>
      </c>
      <c r="AY224" s="529">
        <v>0</v>
      </c>
      <c r="AZ224" s="761">
        <f t="shared" si="53"/>
        <v>0</v>
      </c>
      <c r="BA224" s="761">
        <f t="shared" si="54"/>
        <v>0</v>
      </c>
      <c r="BB224" s="761">
        <f t="shared" si="55"/>
        <v>0</v>
      </c>
      <c r="BC224" s="761">
        <f t="shared" si="56"/>
        <v>0</v>
      </c>
      <c r="BD224" s="761">
        <f t="shared" si="57"/>
        <v>0</v>
      </c>
      <c r="BE224" s="761">
        <f t="shared" si="58"/>
        <v>0</v>
      </c>
      <c r="BF224" s="761">
        <f t="shared" si="59"/>
        <v>0</v>
      </c>
      <c r="BG224" s="761">
        <f t="shared" si="60"/>
        <v>0</v>
      </c>
      <c r="BH224" s="777">
        <v>0</v>
      </c>
      <c r="BI224" s="755"/>
      <c r="BJ224" s="778">
        <f>IF(X225=0,0,           IF(ISNUMBER(BI224),BI224,               IF(ISTEXT(BI224),INDEX(AZ224:BG224,MATCH(BI224,$AZ$12:$BG$12,0)),             IF(BH224="INT",_xll.qInterp(X225,AB224:AI224,AZ224:BG224),            INDEX(AZ224:BG224,MATCH(BH224,$AZ$12:$BG$12,0))))))</f>
        <v>0</v>
      </c>
      <c r="BK224" s="408">
        <f t="shared" si="65"/>
        <v>0</v>
      </c>
      <c r="BL224" s="414">
        <f t="shared" si="66"/>
        <v>0</v>
      </c>
      <c r="BM224" s="408">
        <f t="shared" si="67"/>
        <v>0</v>
      </c>
    </row>
    <row r="225" spans="16:65">
      <c r="P225" s="779">
        <v>0</v>
      </c>
      <c r="Q225" s="780">
        <f t="shared" si="51"/>
        <v>0</v>
      </c>
      <c r="R225" s="776">
        <f>IF(P226,_xll.qDateYears(P225,P226,DCCfixed),0)</f>
        <v>0</v>
      </c>
      <c r="S225" s="553">
        <v>0</v>
      </c>
      <c r="T225" s="785"/>
      <c r="U225" s="409">
        <f t="shared" si="61"/>
        <v>0</v>
      </c>
      <c r="X225" s="363">
        <v>0</v>
      </c>
      <c r="Y225" s="775">
        <f t="shared" si="52"/>
        <v>0</v>
      </c>
      <c r="Z225" s="776">
        <f>IF(X226,_xll.qDateYears(X225,X226,DCCfloat),0)</f>
        <v>0</v>
      </c>
      <c r="AA225" s="553">
        <v>0</v>
      </c>
      <c r="AB225" s="789">
        <f>IF($X225=0,0,      _xll.qDateNext($X225,AB$12,"M",FRM&lt;&gt;"Calypso",CCY))</f>
        <v>0</v>
      </c>
      <c r="AC225" s="789">
        <f>IF($X225=0,0,      _xll.qDateNext($X225,AC$12,"M",FRM&lt;&gt;"Calypso",CCY))</f>
        <v>0</v>
      </c>
      <c r="AD225" s="789">
        <f>IF($X225=0,0,      _xll.qDateNext($X225,AD$12,"M",FRM&lt;&gt;"Calypso",CCY))</f>
        <v>0</v>
      </c>
      <c r="AE225" s="789">
        <f>IF($X225=0,0,      _xll.qDateNext($X225,AE$12,"M",FRM&lt;&gt;"Calypso",CCY))</f>
        <v>0</v>
      </c>
      <c r="AF225" s="789">
        <f>IF($X225=0,0,      _xll.qDateNext($X225,AF$12,"M",FRM&lt;&gt;"Calypso",CCY))</f>
        <v>0</v>
      </c>
      <c r="AG225" s="789">
        <f>IF($X225=0,0,      _xll.qDateNext($X225,AG$12,"M",FRM&lt;&gt;"Calypso",CCY))</f>
        <v>0</v>
      </c>
      <c r="AH225" s="789">
        <f>IF($X225=0,0,      _xll.qDateNext($X225,AH$12,"M",FRM&lt;&gt;"Calypso",CCY))</f>
        <v>0</v>
      </c>
      <c r="AI225" s="789">
        <f>IF($X225=0,0,      _xll.qDateNext($X225,AI$12,"M",FRM&lt;&gt;"Calypso",CCY))</f>
        <v>0</v>
      </c>
      <c r="AJ225" s="529" t="str">
        <v/>
      </c>
      <c r="AK225" s="529" t="str">
        <v/>
      </c>
      <c r="AL225" s="529" t="str">
        <v/>
      </c>
      <c r="AM225" s="529" t="str">
        <v/>
      </c>
      <c r="AN225" s="529" t="str">
        <v/>
      </c>
      <c r="AO225" s="529" t="str">
        <v/>
      </c>
      <c r="AP225" s="529" t="str">
        <v/>
      </c>
      <c r="AQ225" s="529" t="str">
        <v/>
      </c>
      <c r="AR225" s="529">
        <v>0</v>
      </c>
      <c r="AS225" s="529">
        <v>0</v>
      </c>
      <c r="AT225" s="529">
        <f t="shared" si="62"/>
        <v>0</v>
      </c>
      <c r="AU225" s="529">
        <v>0</v>
      </c>
      <c r="AV225" s="529">
        <f t="shared" si="63"/>
        <v>0</v>
      </c>
      <c r="AW225" s="529">
        <f t="shared" si="64"/>
        <v>0</v>
      </c>
      <c r="AX225" s="529">
        <v>0</v>
      </c>
      <c r="AY225" s="529">
        <v>0</v>
      </c>
      <c r="AZ225" s="761">
        <f t="shared" si="53"/>
        <v>0</v>
      </c>
      <c r="BA225" s="761">
        <f t="shared" si="54"/>
        <v>0</v>
      </c>
      <c r="BB225" s="761">
        <f t="shared" si="55"/>
        <v>0</v>
      </c>
      <c r="BC225" s="761">
        <f t="shared" si="56"/>
        <v>0</v>
      </c>
      <c r="BD225" s="761">
        <f t="shared" si="57"/>
        <v>0</v>
      </c>
      <c r="BE225" s="761">
        <f t="shared" si="58"/>
        <v>0</v>
      </c>
      <c r="BF225" s="761">
        <f t="shared" si="59"/>
        <v>0</v>
      </c>
      <c r="BG225" s="761">
        <f t="shared" si="60"/>
        <v>0</v>
      </c>
      <c r="BH225" s="777">
        <v>0</v>
      </c>
      <c r="BI225" s="755"/>
      <c r="BJ225" s="778">
        <f>IF(X226=0,0,           IF(ISNUMBER(BI225),BI225,               IF(ISTEXT(BI225),INDEX(AZ225:BG225,MATCH(BI225,$AZ$12:$BG$12,0)),             IF(BH225="INT",_xll.qInterp(X226,AB225:AI225,AZ225:BG225),            INDEX(AZ225:BG225,MATCH(BH225,$AZ$12:$BG$12,0))))))</f>
        <v>0</v>
      </c>
      <c r="BK225" s="408">
        <f t="shared" si="65"/>
        <v>0</v>
      </c>
      <c r="BL225" s="414">
        <f t="shared" si="66"/>
        <v>0</v>
      </c>
      <c r="BM225" s="408">
        <f t="shared" si="67"/>
        <v>0</v>
      </c>
    </row>
    <row r="226" spans="16:65">
      <c r="P226" s="779">
        <v>0</v>
      </c>
      <c r="Q226" s="780">
        <f t="shared" si="51"/>
        <v>0</v>
      </c>
      <c r="R226" s="776">
        <f>IF(P227,_xll.qDateYears(P226,P227,DCCfixed),0)</f>
        <v>0</v>
      </c>
      <c r="S226" s="553">
        <v>0</v>
      </c>
      <c r="T226" s="785"/>
      <c r="U226" s="409">
        <f t="shared" si="61"/>
        <v>0</v>
      </c>
      <c r="X226" s="363">
        <v>0</v>
      </c>
      <c r="Y226" s="775">
        <f t="shared" si="52"/>
        <v>0</v>
      </c>
      <c r="Z226" s="776">
        <f>IF(X227,_xll.qDateYears(X226,X227,DCCfloat),0)</f>
        <v>0</v>
      </c>
      <c r="AA226" s="553">
        <v>0</v>
      </c>
      <c r="AB226" s="789">
        <f>IF($X226=0,0,      _xll.qDateNext($X226,AB$12,"M",FRM&lt;&gt;"Calypso",CCY))</f>
        <v>0</v>
      </c>
      <c r="AC226" s="789">
        <f>IF($X226=0,0,      _xll.qDateNext($X226,AC$12,"M",FRM&lt;&gt;"Calypso",CCY))</f>
        <v>0</v>
      </c>
      <c r="AD226" s="789">
        <f>IF($X226=0,0,      _xll.qDateNext($X226,AD$12,"M",FRM&lt;&gt;"Calypso",CCY))</f>
        <v>0</v>
      </c>
      <c r="AE226" s="789">
        <f>IF($X226=0,0,      _xll.qDateNext($X226,AE$12,"M",FRM&lt;&gt;"Calypso",CCY))</f>
        <v>0</v>
      </c>
      <c r="AF226" s="789">
        <f>IF($X226=0,0,      _xll.qDateNext($X226,AF$12,"M",FRM&lt;&gt;"Calypso",CCY))</f>
        <v>0</v>
      </c>
      <c r="AG226" s="789">
        <f>IF($X226=0,0,      _xll.qDateNext($X226,AG$12,"M",FRM&lt;&gt;"Calypso",CCY))</f>
        <v>0</v>
      </c>
      <c r="AH226" s="789">
        <f>IF($X226=0,0,      _xll.qDateNext($X226,AH$12,"M",FRM&lt;&gt;"Calypso",CCY))</f>
        <v>0</v>
      </c>
      <c r="AI226" s="789">
        <f>IF($X226=0,0,      _xll.qDateNext($X226,AI$12,"M",FRM&lt;&gt;"Calypso",CCY))</f>
        <v>0</v>
      </c>
      <c r="AJ226" s="529" t="str">
        <v/>
      </c>
      <c r="AK226" s="529" t="str">
        <v/>
      </c>
      <c r="AL226" s="529" t="str">
        <v/>
      </c>
      <c r="AM226" s="529" t="str">
        <v/>
      </c>
      <c r="AN226" s="529" t="str">
        <v/>
      </c>
      <c r="AO226" s="529" t="str">
        <v/>
      </c>
      <c r="AP226" s="529" t="str">
        <v/>
      </c>
      <c r="AQ226" s="529" t="str">
        <v/>
      </c>
      <c r="AR226" s="529">
        <v>0</v>
      </c>
      <c r="AS226" s="529">
        <v>0</v>
      </c>
      <c r="AT226" s="529">
        <f t="shared" si="62"/>
        <v>0</v>
      </c>
      <c r="AU226" s="529">
        <v>0</v>
      </c>
      <c r="AV226" s="529">
        <f t="shared" si="63"/>
        <v>0</v>
      </c>
      <c r="AW226" s="529">
        <f t="shared" si="64"/>
        <v>0</v>
      </c>
      <c r="AX226" s="529">
        <v>0</v>
      </c>
      <c r="AY226" s="529">
        <v>0</v>
      </c>
      <c r="AZ226" s="761">
        <f t="shared" si="53"/>
        <v>0</v>
      </c>
      <c r="BA226" s="761">
        <f t="shared" si="54"/>
        <v>0</v>
      </c>
      <c r="BB226" s="761">
        <f t="shared" si="55"/>
        <v>0</v>
      </c>
      <c r="BC226" s="761">
        <f t="shared" si="56"/>
        <v>0</v>
      </c>
      <c r="BD226" s="761">
        <f t="shared" si="57"/>
        <v>0</v>
      </c>
      <c r="BE226" s="761">
        <f t="shared" si="58"/>
        <v>0</v>
      </c>
      <c r="BF226" s="761">
        <f t="shared" si="59"/>
        <v>0</v>
      </c>
      <c r="BG226" s="761">
        <f t="shared" si="60"/>
        <v>0</v>
      </c>
      <c r="BH226" s="777">
        <v>0</v>
      </c>
      <c r="BI226" s="755"/>
      <c r="BJ226" s="778">
        <f>IF(X227=0,0,           IF(ISNUMBER(BI226),BI226,               IF(ISTEXT(BI226),INDEX(AZ226:BG226,MATCH(BI226,$AZ$12:$BG$12,0)),             IF(BH226="INT",_xll.qInterp(X227,AB226:AI226,AZ226:BG226),            INDEX(AZ226:BG226,MATCH(BH226,$AZ$12:$BG$12,0))))))</f>
        <v>0</v>
      </c>
      <c r="BK226" s="408">
        <f t="shared" si="65"/>
        <v>0</v>
      </c>
      <c r="BL226" s="414">
        <f t="shared" si="66"/>
        <v>0</v>
      </c>
      <c r="BM226" s="408">
        <f t="shared" si="67"/>
        <v>0</v>
      </c>
    </row>
    <row r="227" spans="16:65">
      <c r="P227" s="779">
        <v>0</v>
      </c>
      <c r="Q227" s="780">
        <f t="shared" si="51"/>
        <v>0</v>
      </c>
      <c r="R227" s="776">
        <f>IF(P228,_xll.qDateYears(P227,P228,DCCfixed),0)</f>
        <v>0</v>
      </c>
      <c r="S227" s="553">
        <v>0</v>
      </c>
      <c r="T227" s="785"/>
      <c r="U227" s="409">
        <f t="shared" si="61"/>
        <v>0</v>
      </c>
      <c r="X227" s="363">
        <v>0</v>
      </c>
      <c r="Y227" s="775">
        <f t="shared" si="52"/>
        <v>0</v>
      </c>
      <c r="Z227" s="776">
        <f>IF(X228,_xll.qDateYears(X227,X228,DCCfloat),0)</f>
        <v>0</v>
      </c>
      <c r="AA227" s="553">
        <v>0</v>
      </c>
      <c r="AB227" s="789">
        <f>IF($X227=0,0,      _xll.qDateNext($X227,AB$12,"M",FRM&lt;&gt;"Calypso",CCY))</f>
        <v>0</v>
      </c>
      <c r="AC227" s="789">
        <f>IF($X227=0,0,      _xll.qDateNext($X227,AC$12,"M",FRM&lt;&gt;"Calypso",CCY))</f>
        <v>0</v>
      </c>
      <c r="AD227" s="789">
        <f>IF($X227=0,0,      _xll.qDateNext($X227,AD$12,"M",FRM&lt;&gt;"Calypso",CCY))</f>
        <v>0</v>
      </c>
      <c r="AE227" s="789">
        <f>IF($X227=0,0,      _xll.qDateNext($X227,AE$12,"M",FRM&lt;&gt;"Calypso",CCY))</f>
        <v>0</v>
      </c>
      <c r="AF227" s="789">
        <f>IF($X227=0,0,      _xll.qDateNext($X227,AF$12,"M",FRM&lt;&gt;"Calypso",CCY))</f>
        <v>0</v>
      </c>
      <c r="AG227" s="789">
        <f>IF($X227=0,0,      _xll.qDateNext($X227,AG$12,"M",FRM&lt;&gt;"Calypso",CCY))</f>
        <v>0</v>
      </c>
      <c r="AH227" s="789">
        <f>IF($X227=0,0,      _xll.qDateNext($X227,AH$12,"M",FRM&lt;&gt;"Calypso",CCY))</f>
        <v>0</v>
      </c>
      <c r="AI227" s="789">
        <f>IF($X227=0,0,      _xll.qDateNext($X227,AI$12,"M",FRM&lt;&gt;"Calypso",CCY))</f>
        <v>0</v>
      </c>
      <c r="AJ227" s="529" t="str">
        <v/>
      </c>
      <c r="AK227" s="529" t="str">
        <v/>
      </c>
      <c r="AL227" s="529" t="str">
        <v/>
      </c>
      <c r="AM227" s="529" t="str">
        <v/>
      </c>
      <c r="AN227" s="529" t="str">
        <v/>
      </c>
      <c r="AO227" s="529" t="str">
        <v/>
      </c>
      <c r="AP227" s="529" t="str">
        <v/>
      </c>
      <c r="AQ227" s="529" t="str">
        <v/>
      </c>
      <c r="AR227" s="529">
        <v>0</v>
      </c>
      <c r="AS227" s="529">
        <v>0</v>
      </c>
      <c r="AT227" s="529">
        <f t="shared" si="62"/>
        <v>0</v>
      </c>
      <c r="AU227" s="529">
        <v>0</v>
      </c>
      <c r="AV227" s="529">
        <f t="shared" si="63"/>
        <v>0</v>
      </c>
      <c r="AW227" s="529">
        <f t="shared" si="64"/>
        <v>0</v>
      </c>
      <c r="AX227" s="529">
        <v>0</v>
      </c>
      <c r="AY227" s="529">
        <v>0</v>
      </c>
      <c r="AZ227" s="761">
        <f t="shared" si="53"/>
        <v>0</v>
      </c>
      <c r="BA227" s="761">
        <f t="shared" si="54"/>
        <v>0</v>
      </c>
      <c r="BB227" s="761">
        <f t="shared" si="55"/>
        <v>0</v>
      </c>
      <c r="BC227" s="761">
        <f t="shared" si="56"/>
        <v>0</v>
      </c>
      <c r="BD227" s="761">
        <f t="shared" si="57"/>
        <v>0</v>
      </c>
      <c r="BE227" s="761">
        <f t="shared" si="58"/>
        <v>0</v>
      </c>
      <c r="BF227" s="761">
        <f t="shared" si="59"/>
        <v>0</v>
      </c>
      <c r="BG227" s="761">
        <f t="shared" si="60"/>
        <v>0</v>
      </c>
      <c r="BH227" s="777">
        <v>0</v>
      </c>
      <c r="BI227" s="755"/>
      <c r="BJ227" s="778">
        <f>IF(X228=0,0,           IF(ISNUMBER(BI227),BI227,               IF(ISTEXT(BI227),INDEX(AZ227:BG227,MATCH(BI227,$AZ$12:$BG$12,0)),             IF(BH227="INT",_xll.qInterp(X228,AB227:AI227,AZ227:BG227),            INDEX(AZ227:BG227,MATCH(BH227,$AZ$12:$BG$12,0))))))</f>
        <v>0</v>
      </c>
      <c r="BK227" s="408">
        <f t="shared" si="65"/>
        <v>0</v>
      </c>
      <c r="BL227" s="414">
        <f t="shared" si="66"/>
        <v>0</v>
      </c>
      <c r="BM227" s="408">
        <f t="shared" si="67"/>
        <v>0</v>
      </c>
    </row>
    <row r="228" spans="16:65">
      <c r="P228" s="779">
        <v>0</v>
      </c>
      <c r="Q228" s="780">
        <f t="shared" si="51"/>
        <v>0</v>
      </c>
      <c r="R228" s="776">
        <f>IF(P229,_xll.qDateYears(P228,P229,DCCfixed),0)</f>
        <v>0</v>
      </c>
      <c r="S228" s="553">
        <v>0</v>
      </c>
      <c r="T228" s="785"/>
      <c r="U228" s="409">
        <f t="shared" si="61"/>
        <v>0</v>
      </c>
      <c r="X228" s="363">
        <v>0</v>
      </c>
      <c r="Y228" s="775">
        <f t="shared" si="52"/>
        <v>0</v>
      </c>
      <c r="Z228" s="776">
        <f>IF(X229,_xll.qDateYears(X228,X229,DCCfloat),0)</f>
        <v>0</v>
      </c>
      <c r="AA228" s="553">
        <v>0</v>
      </c>
      <c r="AB228" s="789">
        <f>IF($X228=0,0,      _xll.qDateNext($X228,AB$12,"M",FRM&lt;&gt;"Calypso",CCY))</f>
        <v>0</v>
      </c>
      <c r="AC228" s="789">
        <f>IF($X228=0,0,      _xll.qDateNext($X228,AC$12,"M",FRM&lt;&gt;"Calypso",CCY))</f>
        <v>0</v>
      </c>
      <c r="AD228" s="789">
        <f>IF($X228=0,0,      _xll.qDateNext($X228,AD$12,"M",FRM&lt;&gt;"Calypso",CCY))</f>
        <v>0</v>
      </c>
      <c r="AE228" s="789">
        <f>IF($X228=0,0,      _xll.qDateNext($X228,AE$12,"M",FRM&lt;&gt;"Calypso",CCY))</f>
        <v>0</v>
      </c>
      <c r="AF228" s="789">
        <f>IF($X228=0,0,      _xll.qDateNext($X228,AF$12,"M",FRM&lt;&gt;"Calypso",CCY))</f>
        <v>0</v>
      </c>
      <c r="AG228" s="789">
        <f>IF($X228=0,0,      _xll.qDateNext($X228,AG$12,"M",FRM&lt;&gt;"Calypso",CCY))</f>
        <v>0</v>
      </c>
      <c r="AH228" s="789">
        <f>IF($X228=0,0,      _xll.qDateNext($X228,AH$12,"M",FRM&lt;&gt;"Calypso",CCY))</f>
        <v>0</v>
      </c>
      <c r="AI228" s="789">
        <f>IF($X228=0,0,      _xll.qDateNext($X228,AI$12,"M",FRM&lt;&gt;"Calypso",CCY))</f>
        <v>0</v>
      </c>
      <c r="AJ228" s="529" t="str">
        <v/>
      </c>
      <c r="AK228" s="529" t="str">
        <v/>
      </c>
      <c r="AL228" s="529" t="str">
        <v/>
      </c>
      <c r="AM228" s="529" t="str">
        <v/>
      </c>
      <c r="AN228" s="529" t="str">
        <v/>
      </c>
      <c r="AO228" s="529" t="str">
        <v/>
      </c>
      <c r="AP228" s="529" t="str">
        <v/>
      </c>
      <c r="AQ228" s="529" t="str">
        <v/>
      </c>
      <c r="AR228" s="529">
        <v>0</v>
      </c>
      <c r="AS228" s="529">
        <v>0</v>
      </c>
      <c r="AT228" s="529">
        <f t="shared" si="62"/>
        <v>0</v>
      </c>
      <c r="AU228" s="529">
        <v>0</v>
      </c>
      <c r="AV228" s="529">
        <f t="shared" si="63"/>
        <v>0</v>
      </c>
      <c r="AW228" s="529">
        <f t="shared" si="64"/>
        <v>0</v>
      </c>
      <c r="AX228" s="529">
        <v>0</v>
      </c>
      <c r="AY228" s="529">
        <v>0</v>
      </c>
      <c r="AZ228" s="761">
        <f t="shared" si="53"/>
        <v>0</v>
      </c>
      <c r="BA228" s="761">
        <f t="shared" si="54"/>
        <v>0</v>
      </c>
      <c r="BB228" s="761">
        <f t="shared" si="55"/>
        <v>0</v>
      </c>
      <c r="BC228" s="761">
        <f t="shared" si="56"/>
        <v>0</v>
      </c>
      <c r="BD228" s="761">
        <f t="shared" si="57"/>
        <v>0</v>
      </c>
      <c r="BE228" s="761">
        <f t="shared" si="58"/>
        <v>0</v>
      </c>
      <c r="BF228" s="761">
        <f t="shared" si="59"/>
        <v>0</v>
      </c>
      <c r="BG228" s="761">
        <f t="shared" si="60"/>
        <v>0</v>
      </c>
      <c r="BH228" s="777">
        <v>0</v>
      </c>
      <c r="BI228" s="755"/>
      <c r="BJ228" s="778">
        <f>IF(X229=0,0,           IF(ISNUMBER(BI228),BI228,               IF(ISTEXT(BI228),INDEX(AZ228:BG228,MATCH(BI228,$AZ$12:$BG$12,0)),             IF(BH228="INT",_xll.qInterp(X229,AB228:AI228,AZ228:BG228),            INDEX(AZ228:BG228,MATCH(BH228,$AZ$12:$BG$12,0))))))</f>
        <v>0</v>
      </c>
      <c r="BK228" s="408">
        <f t="shared" si="65"/>
        <v>0</v>
      </c>
      <c r="BL228" s="414">
        <f t="shared" si="66"/>
        <v>0</v>
      </c>
      <c r="BM228" s="408">
        <f t="shared" si="67"/>
        <v>0</v>
      </c>
    </row>
    <row r="229" spans="16:65">
      <c r="P229" s="779">
        <v>0</v>
      </c>
      <c r="Q229" s="780">
        <f t="shared" si="51"/>
        <v>0</v>
      </c>
      <c r="R229" s="776">
        <f>IF(P230,_xll.qDateYears(P229,P230,DCCfixed),0)</f>
        <v>0</v>
      </c>
      <c r="S229" s="553">
        <v>0</v>
      </c>
      <c r="T229" s="785"/>
      <c r="U229" s="409">
        <f t="shared" si="61"/>
        <v>0</v>
      </c>
      <c r="X229" s="363">
        <v>0</v>
      </c>
      <c r="Y229" s="775">
        <f t="shared" si="52"/>
        <v>0</v>
      </c>
      <c r="Z229" s="776">
        <f>IF(X230,_xll.qDateYears(X229,X230,DCCfloat),0)</f>
        <v>0</v>
      </c>
      <c r="AA229" s="553">
        <v>0</v>
      </c>
      <c r="AB229" s="789">
        <f>IF($X229=0,0,      _xll.qDateNext($X229,AB$12,"M",FRM&lt;&gt;"Calypso",CCY))</f>
        <v>0</v>
      </c>
      <c r="AC229" s="789">
        <f>IF($X229=0,0,      _xll.qDateNext($X229,AC$12,"M",FRM&lt;&gt;"Calypso",CCY))</f>
        <v>0</v>
      </c>
      <c r="AD229" s="789">
        <f>IF($X229=0,0,      _xll.qDateNext($X229,AD$12,"M",FRM&lt;&gt;"Calypso",CCY))</f>
        <v>0</v>
      </c>
      <c r="AE229" s="789">
        <f>IF($X229=0,0,      _xll.qDateNext($X229,AE$12,"M",FRM&lt;&gt;"Calypso",CCY))</f>
        <v>0</v>
      </c>
      <c r="AF229" s="789">
        <f>IF($X229=0,0,      _xll.qDateNext($X229,AF$12,"M",FRM&lt;&gt;"Calypso",CCY))</f>
        <v>0</v>
      </c>
      <c r="AG229" s="789">
        <f>IF($X229=0,0,      _xll.qDateNext($X229,AG$12,"M",FRM&lt;&gt;"Calypso",CCY))</f>
        <v>0</v>
      </c>
      <c r="AH229" s="789">
        <f>IF($X229=0,0,      _xll.qDateNext($X229,AH$12,"M",FRM&lt;&gt;"Calypso",CCY))</f>
        <v>0</v>
      </c>
      <c r="AI229" s="789">
        <f>IF($X229=0,0,      _xll.qDateNext($X229,AI$12,"M",FRM&lt;&gt;"Calypso",CCY))</f>
        <v>0</v>
      </c>
      <c r="AJ229" s="529" t="str">
        <v/>
      </c>
      <c r="AK229" s="529" t="str">
        <v/>
      </c>
      <c r="AL229" s="529" t="str">
        <v/>
      </c>
      <c r="AM229" s="529" t="str">
        <v/>
      </c>
      <c r="AN229" s="529" t="str">
        <v/>
      </c>
      <c r="AO229" s="529" t="str">
        <v/>
      </c>
      <c r="AP229" s="529" t="str">
        <v/>
      </c>
      <c r="AQ229" s="529" t="str">
        <v/>
      </c>
      <c r="AR229" s="529">
        <v>0</v>
      </c>
      <c r="AS229" s="529">
        <v>0</v>
      </c>
      <c r="AT229" s="529">
        <f t="shared" si="62"/>
        <v>0</v>
      </c>
      <c r="AU229" s="529">
        <v>0</v>
      </c>
      <c r="AV229" s="529">
        <f t="shared" si="63"/>
        <v>0</v>
      </c>
      <c r="AW229" s="529">
        <f t="shared" si="64"/>
        <v>0</v>
      </c>
      <c r="AX229" s="529">
        <v>0</v>
      </c>
      <c r="AY229" s="529">
        <v>0</v>
      </c>
      <c r="AZ229" s="761">
        <f t="shared" si="53"/>
        <v>0</v>
      </c>
      <c r="BA229" s="761">
        <f t="shared" si="54"/>
        <v>0</v>
      </c>
      <c r="BB229" s="761">
        <f t="shared" si="55"/>
        <v>0</v>
      </c>
      <c r="BC229" s="761">
        <f t="shared" si="56"/>
        <v>0</v>
      </c>
      <c r="BD229" s="761">
        <f t="shared" si="57"/>
        <v>0</v>
      </c>
      <c r="BE229" s="761">
        <f t="shared" si="58"/>
        <v>0</v>
      </c>
      <c r="BF229" s="761">
        <f t="shared" si="59"/>
        <v>0</v>
      </c>
      <c r="BG229" s="761">
        <f t="shared" si="60"/>
        <v>0</v>
      </c>
      <c r="BH229" s="777">
        <v>0</v>
      </c>
      <c r="BI229" s="755"/>
      <c r="BJ229" s="778">
        <f>IF(X230=0,0,           IF(ISNUMBER(BI229),BI229,               IF(ISTEXT(BI229),INDEX(AZ229:BG229,MATCH(BI229,$AZ$12:$BG$12,0)),             IF(BH229="INT",_xll.qInterp(X230,AB229:AI229,AZ229:BG229),            INDEX(AZ229:BG229,MATCH(BH229,$AZ$12:$BG$12,0))))))</f>
        <v>0</v>
      </c>
      <c r="BK229" s="408">
        <f t="shared" si="65"/>
        <v>0</v>
      </c>
      <c r="BL229" s="414">
        <f t="shared" si="66"/>
        <v>0</v>
      </c>
      <c r="BM229" s="408">
        <f t="shared" si="67"/>
        <v>0</v>
      </c>
    </row>
    <row r="230" spans="16:65">
      <c r="P230" s="779">
        <v>0</v>
      </c>
      <c r="Q230" s="780">
        <f t="shared" si="51"/>
        <v>0</v>
      </c>
      <c r="R230" s="776">
        <f>IF(P231,_xll.qDateYears(P230,P231,DCCfixed),0)</f>
        <v>0</v>
      </c>
      <c r="S230" s="553">
        <v>0</v>
      </c>
      <c r="T230" s="785"/>
      <c r="U230" s="409">
        <f t="shared" si="61"/>
        <v>0</v>
      </c>
      <c r="X230" s="363">
        <v>0</v>
      </c>
      <c r="Y230" s="775">
        <f t="shared" si="52"/>
        <v>0</v>
      </c>
      <c r="Z230" s="776">
        <f>IF(X231,_xll.qDateYears(X230,X231,DCCfloat),0)</f>
        <v>0</v>
      </c>
      <c r="AA230" s="553">
        <v>0</v>
      </c>
      <c r="AB230" s="789">
        <f>IF($X230=0,0,      _xll.qDateNext($X230,AB$12,"M",FRM&lt;&gt;"Calypso",CCY))</f>
        <v>0</v>
      </c>
      <c r="AC230" s="789">
        <f>IF($X230=0,0,      _xll.qDateNext($X230,AC$12,"M",FRM&lt;&gt;"Calypso",CCY))</f>
        <v>0</v>
      </c>
      <c r="AD230" s="789">
        <f>IF($X230=0,0,      _xll.qDateNext($X230,AD$12,"M",FRM&lt;&gt;"Calypso",CCY))</f>
        <v>0</v>
      </c>
      <c r="AE230" s="789">
        <f>IF($X230=0,0,      _xll.qDateNext($X230,AE$12,"M",FRM&lt;&gt;"Calypso",CCY))</f>
        <v>0</v>
      </c>
      <c r="AF230" s="789">
        <f>IF($X230=0,0,      _xll.qDateNext($X230,AF$12,"M",FRM&lt;&gt;"Calypso",CCY))</f>
        <v>0</v>
      </c>
      <c r="AG230" s="789">
        <f>IF($X230=0,0,      _xll.qDateNext($X230,AG$12,"M",FRM&lt;&gt;"Calypso",CCY))</f>
        <v>0</v>
      </c>
      <c r="AH230" s="789">
        <f>IF($X230=0,0,      _xll.qDateNext($X230,AH$12,"M",FRM&lt;&gt;"Calypso",CCY))</f>
        <v>0</v>
      </c>
      <c r="AI230" s="789">
        <f>IF($X230=0,0,      _xll.qDateNext($X230,AI$12,"M",FRM&lt;&gt;"Calypso",CCY))</f>
        <v>0</v>
      </c>
      <c r="AJ230" s="529" t="str">
        <v/>
      </c>
      <c r="AK230" s="529" t="str">
        <v/>
      </c>
      <c r="AL230" s="529" t="str">
        <v/>
      </c>
      <c r="AM230" s="529" t="str">
        <v/>
      </c>
      <c r="AN230" s="529" t="str">
        <v/>
      </c>
      <c r="AO230" s="529" t="str">
        <v/>
      </c>
      <c r="AP230" s="529" t="str">
        <v/>
      </c>
      <c r="AQ230" s="529" t="str">
        <v/>
      </c>
      <c r="AR230" s="529">
        <v>0</v>
      </c>
      <c r="AS230" s="529">
        <v>0</v>
      </c>
      <c r="AT230" s="529">
        <f t="shared" si="62"/>
        <v>0</v>
      </c>
      <c r="AU230" s="529">
        <v>0</v>
      </c>
      <c r="AV230" s="529">
        <f t="shared" si="63"/>
        <v>0</v>
      </c>
      <c r="AW230" s="529">
        <f t="shared" si="64"/>
        <v>0</v>
      </c>
      <c r="AX230" s="529">
        <v>0</v>
      </c>
      <c r="AY230" s="529">
        <v>0</v>
      </c>
      <c r="AZ230" s="761">
        <f t="shared" si="53"/>
        <v>0</v>
      </c>
      <c r="BA230" s="761">
        <f t="shared" si="54"/>
        <v>0</v>
      </c>
      <c r="BB230" s="761">
        <f t="shared" si="55"/>
        <v>0</v>
      </c>
      <c r="BC230" s="761">
        <f t="shared" si="56"/>
        <v>0</v>
      </c>
      <c r="BD230" s="761">
        <f t="shared" si="57"/>
        <v>0</v>
      </c>
      <c r="BE230" s="761">
        <f t="shared" si="58"/>
        <v>0</v>
      </c>
      <c r="BF230" s="761">
        <f t="shared" si="59"/>
        <v>0</v>
      </c>
      <c r="BG230" s="761">
        <f t="shared" si="60"/>
        <v>0</v>
      </c>
      <c r="BH230" s="777">
        <v>0</v>
      </c>
      <c r="BI230" s="755"/>
      <c r="BJ230" s="778">
        <f>IF(X231=0,0,           IF(ISNUMBER(BI230),BI230,               IF(ISTEXT(BI230),INDEX(AZ230:BG230,MATCH(BI230,$AZ$12:$BG$12,0)),             IF(BH230="INT",_xll.qInterp(X231,AB230:AI230,AZ230:BG230),            INDEX(AZ230:BG230,MATCH(BH230,$AZ$12:$BG$12,0))))))</f>
        <v>0</v>
      </c>
      <c r="BK230" s="408">
        <f t="shared" si="65"/>
        <v>0</v>
      </c>
      <c r="BL230" s="414">
        <f t="shared" si="66"/>
        <v>0</v>
      </c>
      <c r="BM230" s="408">
        <f t="shared" si="67"/>
        <v>0</v>
      </c>
    </row>
    <row r="231" spans="16:65">
      <c r="P231" s="779">
        <v>0</v>
      </c>
      <c r="Q231" s="780">
        <f t="shared" si="51"/>
        <v>0</v>
      </c>
      <c r="R231" s="776">
        <f>IF(P232,_xll.qDateYears(P231,P232,DCCfixed),0)</f>
        <v>0</v>
      </c>
      <c r="S231" s="553">
        <v>0</v>
      </c>
      <c r="T231" s="785"/>
      <c r="U231" s="409">
        <f t="shared" si="61"/>
        <v>0</v>
      </c>
      <c r="X231" s="363">
        <v>0</v>
      </c>
      <c r="Y231" s="775">
        <f t="shared" si="52"/>
        <v>0</v>
      </c>
      <c r="Z231" s="776">
        <f>IF(X232,_xll.qDateYears(X231,X232,DCCfloat),0)</f>
        <v>0</v>
      </c>
      <c r="AA231" s="553">
        <v>0</v>
      </c>
      <c r="AB231" s="789">
        <f>IF($X231=0,0,      _xll.qDateNext($X231,AB$12,"M",FRM&lt;&gt;"Calypso",CCY))</f>
        <v>0</v>
      </c>
      <c r="AC231" s="789">
        <f>IF($X231=0,0,      _xll.qDateNext($X231,AC$12,"M",FRM&lt;&gt;"Calypso",CCY))</f>
        <v>0</v>
      </c>
      <c r="AD231" s="789">
        <f>IF($X231=0,0,      _xll.qDateNext($X231,AD$12,"M",FRM&lt;&gt;"Calypso",CCY))</f>
        <v>0</v>
      </c>
      <c r="AE231" s="789">
        <f>IF($X231=0,0,      _xll.qDateNext($X231,AE$12,"M",FRM&lt;&gt;"Calypso",CCY))</f>
        <v>0</v>
      </c>
      <c r="AF231" s="789">
        <f>IF($X231=0,0,      _xll.qDateNext($X231,AF$12,"M",FRM&lt;&gt;"Calypso",CCY))</f>
        <v>0</v>
      </c>
      <c r="AG231" s="789">
        <f>IF($X231=0,0,      _xll.qDateNext($X231,AG$12,"M",FRM&lt;&gt;"Calypso",CCY))</f>
        <v>0</v>
      </c>
      <c r="AH231" s="789">
        <f>IF($X231=0,0,      _xll.qDateNext($X231,AH$12,"M",FRM&lt;&gt;"Calypso",CCY))</f>
        <v>0</v>
      </c>
      <c r="AI231" s="789">
        <f>IF($X231=0,0,      _xll.qDateNext($X231,AI$12,"M",FRM&lt;&gt;"Calypso",CCY))</f>
        <v>0</v>
      </c>
      <c r="AJ231" s="529" t="str">
        <v/>
      </c>
      <c r="AK231" s="529" t="str">
        <v/>
      </c>
      <c r="AL231" s="529" t="str">
        <v/>
      </c>
      <c r="AM231" s="529" t="str">
        <v/>
      </c>
      <c r="AN231" s="529" t="str">
        <v/>
      </c>
      <c r="AO231" s="529" t="str">
        <v/>
      </c>
      <c r="AP231" s="529" t="str">
        <v/>
      </c>
      <c r="AQ231" s="529" t="str">
        <v/>
      </c>
      <c r="AR231" s="529">
        <v>0</v>
      </c>
      <c r="AS231" s="529">
        <v>0</v>
      </c>
      <c r="AT231" s="529">
        <f t="shared" si="62"/>
        <v>0</v>
      </c>
      <c r="AU231" s="529">
        <v>0</v>
      </c>
      <c r="AV231" s="529">
        <f t="shared" si="63"/>
        <v>0</v>
      </c>
      <c r="AW231" s="529">
        <f t="shared" si="64"/>
        <v>0</v>
      </c>
      <c r="AX231" s="529">
        <v>0</v>
      </c>
      <c r="AY231" s="529">
        <v>0</v>
      </c>
      <c r="AZ231" s="761">
        <f t="shared" si="53"/>
        <v>0</v>
      </c>
      <c r="BA231" s="761">
        <f t="shared" si="54"/>
        <v>0</v>
      </c>
      <c r="BB231" s="761">
        <f t="shared" si="55"/>
        <v>0</v>
      </c>
      <c r="BC231" s="761">
        <f t="shared" si="56"/>
        <v>0</v>
      </c>
      <c r="BD231" s="761">
        <f t="shared" si="57"/>
        <v>0</v>
      </c>
      <c r="BE231" s="761">
        <f t="shared" si="58"/>
        <v>0</v>
      </c>
      <c r="BF231" s="761">
        <f t="shared" si="59"/>
        <v>0</v>
      </c>
      <c r="BG231" s="761">
        <f t="shared" si="60"/>
        <v>0</v>
      </c>
      <c r="BH231" s="777">
        <v>0</v>
      </c>
      <c r="BI231" s="755"/>
      <c r="BJ231" s="778">
        <f>IF(X232=0,0,           IF(ISNUMBER(BI231),BI231,               IF(ISTEXT(BI231),INDEX(AZ231:BG231,MATCH(BI231,$AZ$12:$BG$12,0)),             IF(BH231="INT",_xll.qInterp(X232,AB231:AI231,AZ231:BG231),            INDEX(AZ231:BG231,MATCH(BH231,$AZ$12:$BG$12,0))))))</f>
        <v>0</v>
      </c>
      <c r="BK231" s="408">
        <f t="shared" si="65"/>
        <v>0</v>
      </c>
      <c r="BL231" s="414">
        <f t="shared" si="66"/>
        <v>0</v>
      </c>
      <c r="BM231" s="408">
        <f t="shared" si="67"/>
        <v>0</v>
      </c>
    </row>
    <row r="232" spans="16:65">
      <c r="P232" s="779">
        <v>0</v>
      </c>
      <c r="Q232" s="780">
        <f t="shared" si="51"/>
        <v>0</v>
      </c>
      <c r="R232" s="776">
        <f>IF(P233,_xll.qDateYears(P232,P233,DCCfixed),0)</f>
        <v>0</v>
      </c>
      <c r="S232" s="553">
        <v>0</v>
      </c>
      <c r="T232" s="785"/>
      <c r="U232" s="409">
        <f t="shared" si="61"/>
        <v>0</v>
      </c>
      <c r="X232" s="363">
        <v>0</v>
      </c>
      <c r="Y232" s="775">
        <f t="shared" si="52"/>
        <v>0</v>
      </c>
      <c r="Z232" s="776">
        <f>IF(X233,_xll.qDateYears(X232,X233,DCCfloat),0)</f>
        <v>0</v>
      </c>
      <c r="AA232" s="553">
        <v>0</v>
      </c>
      <c r="AB232" s="789">
        <f>IF($X232=0,0,      _xll.qDateNext($X232,AB$12,"M",FRM&lt;&gt;"Calypso",CCY))</f>
        <v>0</v>
      </c>
      <c r="AC232" s="789">
        <f>IF($X232=0,0,      _xll.qDateNext($X232,AC$12,"M",FRM&lt;&gt;"Calypso",CCY))</f>
        <v>0</v>
      </c>
      <c r="AD232" s="789">
        <f>IF($X232=0,0,      _xll.qDateNext($X232,AD$12,"M",FRM&lt;&gt;"Calypso",CCY))</f>
        <v>0</v>
      </c>
      <c r="AE232" s="789">
        <f>IF($X232=0,0,      _xll.qDateNext($X232,AE$12,"M",FRM&lt;&gt;"Calypso",CCY))</f>
        <v>0</v>
      </c>
      <c r="AF232" s="789">
        <f>IF($X232=0,0,      _xll.qDateNext($X232,AF$12,"M",FRM&lt;&gt;"Calypso",CCY))</f>
        <v>0</v>
      </c>
      <c r="AG232" s="789">
        <f>IF($X232=0,0,      _xll.qDateNext($X232,AG$12,"M",FRM&lt;&gt;"Calypso",CCY))</f>
        <v>0</v>
      </c>
      <c r="AH232" s="789">
        <f>IF($X232=0,0,      _xll.qDateNext($X232,AH$12,"M",FRM&lt;&gt;"Calypso",CCY))</f>
        <v>0</v>
      </c>
      <c r="AI232" s="789">
        <f>IF($X232=0,0,      _xll.qDateNext($X232,AI$12,"M",FRM&lt;&gt;"Calypso",CCY))</f>
        <v>0</v>
      </c>
      <c r="AJ232" s="529" t="str">
        <v/>
      </c>
      <c r="AK232" s="529" t="str">
        <v/>
      </c>
      <c r="AL232" s="529" t="str">
        <v/>
      </c>
      <c r="AM232" s="529" t="str">
        <v/>
      </c>
      <c r="AN232" s="529" t="str">
        <v/>
      </c>
      <c r="AO232" s="529" t="str">
        <v/>
      </c>
      <c r="AP232" s="529" t="str">
        <v/>
      </c>
      <c r="AQ232" s="529" t="str">
        <v/>
      </c>
      <c r="AR232" s="529">
        <v>0</v>
      </c>
      <c r="AS232" s="529">
        <v>0</v>
      </c>
      <c r="AT232" s="529">
        <f t="shared" si="62"/>
        <v>0</v>
      </c>
      <c r="AU232" s="529">
        <v>0</v>
      </c>
      <c r="AV232" s="529">
        <f t="shared" si="63"/>
        <v>0</v>
      </c>
      <c r="AW232" s="529">
        <f t="shared" si="64"/>
        <v>0</v>
      </c>
      <c r="AX232" s="529">
        <v>0</v>
      </c>
      <c r="AY232" s="529">
        <v>0</v>
      </c>
      <c r="AZ232" s="761">
        <f t="shared" si="53"/>
        <v>0</v>
      </c>
      <c r="BA232" s="761">
        <f t="shared" si="54"/>
        <v>0</v>
      </c>
      <c r="BB232" s="761">
        <f t="shared" si="55"/>
        <v>0</v>
      </c>
      <c r="BC232" s="761">
        <f t="shared" si="56"/>
        <v>0</v>
      </c>
      <c r="BD232" s="761">
        <f t="shared" si="57"/>
        <v>0</v>
      </c>
      <c r="BE232" s="761">
        <f t="shared" si="58"/>
        <v>0</v>
      </c>
      <c r="BF232" s="761">
        <f t="shared" si="59"/>
        <v>0</v>
      </c>
      <c r="BG232" s="761">
        <f t="shared" si="60"/>
        <v>0</v>
      </c>
      <c r="BH232" s="777">
        <v>0</v>
      </c>
      <c r="BI232" s="755"/>
      <c r="BJ232" s="778">
        <f>IF(X233=0,0,           IF(ISNUMBER(BI232),BI232,               IF(ISTEXT(BI232),INDEX(AZ232:BG232,MATCH(BI232,$AZ$12:$BG$12,0)),             IF(BH232="INT",_xll.qInterp(X233,AB232:AI232,AZ232:BG232),            INDEX(AZ232:BG232,MATCH(BH232,$AZ$12:$BG$12,0))))))</f>
        <v>0</v>
      </c>
      <c r="BK232" s="408">
        <f t="shared" si="65"/>
        <v>0</v>
      </c>
      <c r="BL232" s="414">
        <f t="shared" si="66"/>
        <v>0</v>
      </c>
      <c r="BM232" s="408">
        <f t="shared" si="67"/>
        <v>0</v>
      </c>
    </row>
    <row r="233" spans="16:65">
      <c r="P233" s="779">
        <v>0</v>
      </c>
      <c r="Q233" s="780">
        <f t="shared" si="51"/>
        <v>0</v>
      </c>
      <c r="R233" s="776">
        <f>IF(P234,_xll.qDateYears(P233,P234,DCCfixed),0)</f>
        <v>0</v>
      </c>
      <c r="S233" s="553">
        <v>0</v>
      </c>
      <c r="T233" s="785"/>
      <c r="U233" s="409">
        <f t="shared" si="61"/>
        <v>0</v>
      </c>
      <c r="X233" s="363">
        <v>0</v>
      </c>
      <c r="Y233" s="775">
        <f t="shared" si="52"/>
        <v>0</v>
      </c>
      <c r="Z233" s="776">
        <f>IF(X234,_xll.qDateYears(X233,X234,DCCfloat),0)</f>
        <v>0</v>
      </c>
      <c r="AA233" s="553">
        <v>0</v>
      </c>
      <c r="AB233" s="789">
        <f>IF($X233=0,0,      _xll.qDateNext($X233,AB$12,"M",FRM&lt;&gt;"Calypso",CCY))</f>
        <v>0</v>
      </c>
      <c r="AC233" s="789">
        <f>IF($X233=0,0,      _xll.qDateNext($X233,AC$12,"M",FRM&lt;&gt;"Calypso",CCY))</f>
        <v>0</v>
      </c>
      <c r="AD233" s="789">
        <f>IF($X233=0,0,      _xll.qDateNext($X233,AD$12,"M",FRM&lt;&gt;"Calypso",CCY))</f>
        <v>0</v>
      </c>
      <c r="AE233" s="789">
        <f>IF($X233=0,0,      _xll.qDateNext($X233,AE$12,"M",FRM&lt;&gt;"Calypso",CCY))</f>
        <v>0</v>
      </c>
      <c r="AF233" s="789">
        <f>IF($X233=0,0,      _xll.qDateNext($X233,AF$12,"M",FRM&lt;&gt;"Calypso",CCY))</f>
        <v>0</v>
      </c>
      <c r="AG233" s="789">
        <f>IF($X233=0,0,      _xll.qDateNext($X233,AG$12,"M",FRM&lt;&gt;"Calypso",CCY))</f>
        <v>0</v>
      </c>
      <c r="AH233" s="789">
        <f>IF($X233=0,0,      _xll.qDateNext($X233,AH$12,"M",FRM&lt;&gt;"Calypso",CCY))</f>
        <v>0</v>
      </c>
      <c r="AI233" s="789">
        <f>IF($X233=0,0,      _xll.qDateNext($X233,AI$12,"M",FRM&lt;&gt;"Calypso",CCY))</f>
        <v>0</v>
      </c>
      <c r="AJ233" s="529" t="str">
        <v/>
      </c>
      <c r="AK233" s="529" t="str">
        <v/>
      </c>
      <c r="AL233" s="529" t="str">
        <v/>
      </c>
      <c r="AM233" s="529" t="str">
        <v/>
      </c>
      <c r="AN233" s="529" t="str">
        <v/>
      </c>
      <c r="AO233" s="529" t="str">
        <v/>
      </c>
      <c r="AP233" s="529" t="str">
        <v/>
      </c>
      <c r="AQ233" s="529" t="str">
        <v/>
      </c>
      <c r="AR233" s="529">
        <v>0</v>
      </c>
      <c r="AS233" s="529">
        <v>0</v>
      </c>
      <c r="AT233" s="529">
        <f t="shared" si="62"/>
        <v>0</v>
      </c>
      <c r="AU233" s="529">
        <v>0</v>
      </c>
      <c r="AV233" s="529">
        <f t="shared" si="63"/>
        <v>0</v>
      </c>
      <c r="AW233" s="529">
        <f t="shared" si="64"/>
        <v>0</v>
      </c>
      <c r="AX233" s="529">
        <v>0</v>
      </c>
      <c r="AY233" s="529">
        <v>0</v>
      </c>
      <c r="AZ233" s="761">
        <f t="shared" si="53"/>
        <v>0</v>
      </c>
      <c r="BA233" s="761">
        <f t="shared" si="54"/>
        <v>0</v>
      </c>
      <c r="BB233" s="761">
        <f t="shared" si="55"/>
        <v>0</v>
      </c>
      <c r="BC233" s="761">
        <f t="shared" si="56"/>
        <v>0</v>
      </c>
      <c r="BD233" s="761">
        <f t="shared" si="57"/>
        <v>0</v>
      </c>
      <c r="BE233" s="761">
        <f t="shared" si="58"/>
        <v>0</v>
      </c>
      <c r="BF233" s="761">
        <f t="shared" si="59"/>
        <v>0</v>
      </c>
      <c r="BG233" s="761">
        <f t="shared" si="60"/>
        <v>0</v>
      </c>
      <c r="BH233" s="777">
        <v>0</v>
      </c>
      <c r="BI233" s="755"/>
      <c r="BJ233" s="778">
        <f>IF(X234=0,0,           IF(ISNUMBER(BI233),BI233,               IF(ISTEXT(BI233),INDEX(AZ233:BG233,MATCH(BI233,$AZ$12:$BG$12,0)),             IF(BH233="INT",_xll.qInterp(X234,AB233:AI233,AZ233:BG233),            INDEX(AZ233:BG233,MATCH(BH233,$AZ$12:$BG$12,0))))))</f>
        <v>0</v>
      </c>
      <c r="BK233" s="408">
        <f t="shared" si="65"/>
        <v>0</v>
      </c>
      <c r="BL233" s="414">
        <f t="shared" si="66"/>
        <v>0</v>
      </c>
      <c r="BM233" s="408">
        <f t="shared" si="67"/>
        <v>0</v>
      </c>
    </row>
    <row r="234" spans="16:65">
      <c r="P234" s="779">
        <v>0</v>
      </c>
      <c r="Q234" s="780">
        <f t="shared" si="51"/>
        <v>0</v>
      </c>
      <c r="R234" s="776">
        <f>IF(P235,_xll.qDateYears(P234,P235,DCCfixed),0)</f>
        <v>0</v>
      </c>
      <c r="S234" s="553">
        <v>0</v>
      </c>
      <c r="T234" s="785"/>
      <c r="U234" s="409">
        <f t="shared" si="61"/>
        <v>0</v>
      </c>
      <c r="X234" s="363">
        <v>0</v>
      </c>
      <c r="Y234" s="775">
        <f t="shared" si="52"/>
        <v>0</v>
      </c>
      <c r="Z234" s="776">
        <f>IF(X235,_xll.qDateYears(X234,X235,DCCfloat),0)</f>
        <v>0</v>
      </c>
      <c r="AA234" s="553">
        <v>0</v>
      </c>
      <c r="AB234" s="789">
        <f>IF($X234=0,0,      _xll.qDateNext($X234,AB$12,"M",FRM&lt;&gt;"Calypso",CCY))</f>
        <v>0</v>
      </c>
      <c r="AC234" s="789">
        <f>IF($X234=0,0,      _xll.qDateNext($X234,AC$12,"M",FRM&lt;&gt;"Calypso",CCY))</f>
        <v>0</v>
      </c>
      <c r="AD234" s="789">
        <f>IF($X234=0,0,      _xll.qDateNext($X234,AD$12,"M",FRM&lt;&gt;"Calypso",CCY))</f>
        <v>0</v>
      </c>
      <c r="AE234" s="789">
        <f>IF($X234=0,0,      _xll.qDateNext($X234,AE$12,"M",FRM&lt;&gt;"Calypso",CCY))</f>
        <v>0</v>
      </c>
      <c r="AF234" s="789">
        <f>IF($X234=0,0,      _xll.qDateNext($X234,AF$12,"M",FRM&lt;&gt;"Calypso",CCY))</f>
        <v>0</v>
      </c>
      <c r="AG234" s="789">
        <f>IF($X234=0,0,      _xll.qDateNext($X234,AG$12,"M",FRM&lt;&gt;"Calypso",CCY))</f>
        <v>0</v>
      </c>
      <c r="AH234" s="789">
        <f>IF($X234=0,0,      _xll.qDateNext($X234,AH$12,"M",FRM&lt;&gt;"Calypso",CCY))</f>
        <v>0</v>
      </c>
      <c r="AI234" s="789">
        <f>IF($X234=0,0,      _xll.qDateNext($X234,AI$12,"M",FRM&lt;&gt;"Calypso",CCY))</f>
        <v>0</v>
      </c>
      <c r="AJ234" s="529" t="str">
        <v/>
      </c>
      <c r="AK234" s="529" t="str">
        <v/>
      </c>
      <c r="AL234" s="529" t="str">
        <v/>
      </c>
      <c r="AM234" s="529" t="str">
        <v/>
      </c>
      <c r="AN234" s="529" t="str">
        <v/>
      </c>
      <c r="AO234" s="529" t="str">
        <v/>
      </c>
      <c r="AP234" s="529" t="str">
        <v/>
      </c>
      <c r="AQ234" s="529" t="str">
        <v/>
      </c>
      <c r="AR234" s="529">
        <v>0</v>
      </c>
      <c r="AS234" s="529">
        <v>0</v>
      </c>
      <c r="AT234" s="529">
        <f t="shared" si="62"/>
        <v>0</v>
      </c>
      <c r="AU234" s="529">
        <v>0</v>
      </c>
      <c r="AV234" s="529">
        <f t="shared" si="63"/>
        <v>0</v>
      </c>
      <c r="AW234" s="529">
        <f t="shared" si="64"/>
        <v>0</v>
      </c>
      <c r="AX234" s="529">
        <v>0</v>
      </c>
      <c r="AY234" s="529">
        <v>0</v>
      </c>
      <c r="AZ234" s="761">
        <f t="shared" si="53"/>
        <v>0</v>
      </c>
      <c r="BA234" s="761">
        <f t="shared" si="54"/>
        <v>0</v>
      </c>
      <c r="BB234" s="761">
        <f t="shared" si="55"/>
        <v>0</v>
      </c>
      <c r="BC234" s="761">
        <f t="shared" si="56"/>
        <v>0</v>
      </c>
      <c r="BD234" s="761">
        <f t="shared" si="57"/>
        <v>0</v>
      </c>
      <c r="BE234" s="761">
        <f t="shared" si="58"/>
        <v>0</v>
      </c>
      <c r="BF234" s="761">
        <f t="shared" si="59"/>
        <v>0</v>
      </c>
      <c r="BG234" s="761">
        <f t="shared" si="60"/>
        <v>0</v>
      </c>
      <c r="BH234" s="777">
        <v>0</v>
      </c>
      <c r="BI234" s="755"/>
      <c r="BJ234" s="778">
        <f>IF(X235=0,0,           IF(ISNUMBER(BI234),BI234,               IF(ISTEXT(BI234),INDEX(AZ234:BG234,MATCH(BI234,$AZ$12:$BG$12,0)),             IF(BH234="INT",_xll.qInterp(X235,AB234:AI234,AZ234:BG234),            INDEX(AZ234:BG234,MATCH(BH234,$AZ$12:$BG$12,0))))))</f>
        <v>0</v>
      </c>
      <c r="BK234" s="408">
        <f t="shared" si="65"/>
        <v>0</v>
      </c>
      <c r="BL234" s="414">
        <f t="shared" si="66"/>
        <v>0</v>
      </c>
      <c r="BM234" s="408">
        <f t="shared" si="67"/>
        <v>0</v>
      </c>
    </row>
    <row r="235" spans="16:65">
      <c r="P235" s="779">
        <v>0</v>
      </c>
      <c r="Q235" s="780">
        <f t="shared" si="51"/>
        <v>0</v>
      </c>
      <c r="R235" s="776">
        <f>IF(P236,_xll.qDateYears(P235,P236,DCCfixed),0)</f>
        <v>0</v>
      </c>
      <c r="S235" s="553">
        <v>0</v>
      </c>
      <c r="T235" s="785"/>
      <c r="U235" s="409">
        <f t="shared" si="61"/>
        <v>0</v>
      </c>
      <c r="X235" s="363">
        <v>0</v>
      </c>
      <c r="Y235" s="775">
        <f t="shared" si="52"/>
        <v>0</v>
      </c>
      <c r="Z235" s="776">
        <f>IF(X236,_xll.qDateYears(X235,X236,DCCfloat),0)</f>
        <v>0</v>
      </c>
      <c r="AA235" s="553">
        <v>0</v>
      </c>
      <c r="AB235" s="789">
        <f>IF($X235=0,0,      _xll.qDateNext($X235,AB$12,"M",FRM&lt;&gt;"Calypso",CCY))</f>
        <v>0</v>
      </c>
      <c r="AC235" s="789">
        <f>IF($X235=0,0,      _xll.qDateNext($X235,AC$12,"M",FRM&lt;&gt;"Calypso",CCY))</f>
        <v>0</v>
      </c>
      <c r="AD235" s="789">
        <f>IF($X235=0,0,      _xll.qDateNext($X235,AD$12,"M",FRM&lt;&gt;"Calypso",CCY))</f>
        <v>0</v>
      </c>
      <c r="AE235" s="789">
        <f>IF($X235=0,0,      _xll.qDateNext($X235,AE$12,"M",FRM&lt;&gt;"Calypso",CCY))</f>
        <v>0</v>
      </c>
      <c r="AF235" s="789">
        <f>IF($X235=0,0,      _xll.qDateNext($X235,AF$12,"M",FRM&lt;&gt;"Calypso",CCY))</f>
        <v>0</v>
      </c>
      <c r="AG235" s="789">
        <f>IF($X235=0,0,      _xll.qDateNext($X235,AG$12,"M",FRM&lt;&gt;"Calypso",CCY))</f>
        <v>0</v>
      </c>
      <c r="AH235" s="789">
        <f>IF($X235=0,0,      _xll.qDateNext($X235,AH$12,"M",FRM&lt;&gt;"Calypso",CCY))</f>
        <v>0</v>
      </c>
      <c r="AI235" s="789">
        <f>IF($X235=0,0,      _xll.qDateNext($X235,AI$12,"M",FRM&lt;&gt;"Calypso",CCY))</f>
        <v>0</v>
      </c>
      <c r="AJ235" s="529" t="str">
        <v/>
      </c>
      <c r="AK235" s="529" t="str">
        <v/>
      </c>
      <c r="AL235" s="529" t="str">
        <v/>
      </c>
      <c r="AM235" s="529" t="str">
        <v/>
      </c>
      <c r="AN235" s="529" t="str">
        <v/>
      </c>
      <c r="AO235" s="529" t="str">
        <v/>
      </c>
      <c r="AP235" s="529" t="str">
        <v/>
      </c>
      <c r="AQ235" s="529" t="str">
        <v/>
      </c>
      <c r="AR235" s="529">
        <v>0</v>
      </c>
      <c r="AS235" s="529">
        <v>0</v>
      </c>
      <c r="AT235" s="529">
        <f t="shared" si="62"/>
        <v>0</v>
      </c>
      <c r="AU235" s="529">
        <v>0</v>
      </c>
      <c r="AV235" s="529">
        <f t="shared" si="63"/>
        <v>0</v>
      </c>
      <c r="AW235" s="529">
        <f t="shared" si="64"/>
        <v>0</v>
      </c>
      <c r="AX235" s="529">
        <v>0</v>
      </c>
      <c r="AY235" s="529">
        <v>0</v>
      </c>
      <c r="AZ235" s="761">
        <f t="shared" si="53"/>
        <v>0</v>
      </c>
      <c r="BA235" s="761">
        <f t="shared" si="54"/>
        <v>0</v>
      </c>
      <c r="BB235" s="761">
        <f t="shared" si="55"/>
        <v>0</v>
      </c>
      <c r="BC235" s="761">
        <f t="shared" si="56"/>
        <v>0</v>
      </c>
      <c r="BD235" s="761">
        <f t="shared" si="57"/>
        <v>0</v>
      </c>
      <c r="BE235" s="761">
        <f t="shared" si="58"/>
        <v>0</v>
      </c>
      <c r="BF235" s="761">
        <f t="shared" si="59"/>
        <v>0</v>
      </c>
      <c r="BG235" s="761">
        <f t="shared" si="60"/>
        <v>0</v>
      </c>
      <c r="BH235" s="777">
        <v>0</v>
      </c>
      <c r="BI235" s="755"/>
      <c r="BJ235" s="778">
        <f>IF(X236=0,0,           IF(ISNUMBER(BI235),BI235,               IF(ISTEXT(BI235),INDEX(AZ235:BG235,MATCH(BI235,$AZ$12:$BG$12,0)),             IF(BH235="INT",_xll.qInterp(X236,AB235:AI235,AZ235:BG235),            INDEX(AZ235:BG235,MATCH(BH235,$AZ$12:$BG$12,0))))))</f>
        <v>0</v>
      </c>
      <c r="BK235" s="408">
        <f t="shared" si="65"/>
        <v>0</v>
      </c>
      <c r="BL235" s="414">
        <f t="shared" si="66"/>
        <v>0</v>
      </c>
      <c r="BM235" s="408">
        <f t="shared" si="67"/>
        <v>0</v>
      </c>
    </row>
    <row r="236" spans="16:65">
      <c r="P236" s="779">
        <v>0</v>
      </c>
      <c r="Q236" s="780">
        <f t="shared" si="51"/>
        <v>0</v>
      </c>
      <c r="R236" s="776">
        <f>IF(P237,_xll.qDateYears(P236,P237,DCCfixed),0)</f>
        <v>0</v>
      </c>
      <c r="S236" s="553">
        <v>0</v>
      </c>
      <c r="T236" s="785"/>
      <c r="U236" s="409">
        <f t="shared" si="61"/>
        <v>0</v>
      </c>
      <c r="X236" s="363">
        <v>0</v>
      </c>
      <c r="Y236" s="775">
        <f t="shared" si="52"/>
        <v>0</v>
      </c>
      <c r="Z236" s="776">
        <f>IF(X237,_xll.qDateYears(X236,X237,DCCfloat),0)</f>
        <v>0</v>
      </c>
      <c r="AA236" s="553">
        <v>0</v>
      </c>
      <c r="AB236" s="789">
        <f>IF($X236=0,0,      _xll.qDateNext($X236,AB$12,"M",FRM&lt;&gt;"Calypso",CCY))</f>
        <v>0</v>
      </c>
      <c r="AC236" s="789">
        <f>IF($X236=0,0,      _xll.qDateNext($X236,AC$12,"M",FRM&lt;&gt;"Calypso",CCY))</f>
        <v>0</v>
      </c>
      <c r="AD236" s="789">
        <f>IF($X236=0,0,      _xll.qDateNext($X236,AD$12,"M",FRM&lt;&gt;"Calypso",CCY))</f>
        <v>0</v>
      </c>
      <c r="AE236" s="789">
        <f>IF($X236=0,0,      _xll.qDateNext($X236,AE$12,"M",FRM&lt;&gt;"Calypso",CCY))</f>
        <v>0</v>
      </c>
      <c r="AF236" s="789">
        <f>IF($X236=0,0,      _xll.qDateNext($X236,AF$12,"M",FRM&lt;&gt;"Calypso",CCY))</f>
        <v>0</v>
      </c>
      <c r="AG236" s="789">
        <f>IF($X236=0,0,      _xll.qDateNext($X236,AG$12,"M",FRM&lt;&gt;"Calypso",CCY))</f>
        <v>0</v>
      </c>
      <c r="AH236" s="789">
        <f>IF($X236=0,0,      _xll.qDateNext($X236,AH$12,"M",FRM&lt;&gt;"Calypso",CCY))</f>
        <v>0</v>
      </c>
      <c r="AI236" s="789">
        <f>IF($X236=0,0,      _xll.qDateNext($X236,AI$12,"M",FRM&lt;&gt;"Calypso",CCY))</f>
        <v>0</v>
      </c>
      <c r="AJ236" s="529" t="str">
        <v/>
      </c>
      <c r="AK236" s="529" t="str">
        <v/>
      </c>
      <c r="AL236" s="529" t="str">
        <v/>
      </c>
      <c r="AM236" s="529" t="str">
        <v/>
      </c>
      <c r="AN236" s="529" t="str">
        <v/>
      </c>
      <c r="AO236" s="529" t="str">
        <v/>
      </c>
      <c r="AP236" s="529" t="str">
        <v/>
      </c>
      <c r="AQ236" s="529" t="str">
        <v/>
      </c>
      <c r="AR236" s="529">
        <v>0</v>
      </c>
      <c r="AS236" s="529">
        <v>0</v>
      </c>
      <c r="AT236" s="529">
        <f t="shared" si="62"/>
        <v>0</v>
      </c>
      <c r="AU236" s="529">
        <v>0</v>
      </c>
      <c r="AV236" s="529">
        <f t="shared" si="63"/>
        <v>0</v>
      </c>
      <c r="AW236" s="529">
        <f t="shared" si="64"/>
        <v>0</v>
      </c>
      <c r="AX236" s="529">
        <v>0</v>
      </c>
      <c r="AY236" s="529">
        <v>0</v>
      </c>
      <c r="AZ236" s="761">
        <f t="shared" si="53"/>
        <v>0</v>
      </c>
      <c r="BA236" s="761">
        <f t="shared" si="54"/>
        <v>0</v>
      </c>
      <c r="BB236" s="761">
        <f t="shared" si="55"/>
        <v>0</v>
      </c>
      <c r="BC236" s="761">
        <f t="shared" si="56"/>
        <v>0</v>
      </c>
      <c r="BD236" s="761">
        <f t="shared" si="57"/>
        <v>0</v>
      </c>
      <c r="BE236" s="761">
        <f t="shared" si="58"/>
        <v>0</v>
      </c>
      <c r="BF236" s="761">
        <f t="shared" si="59"/>
        <v>0</v>
      </c>
      <c r="BG236" s="761">
        <f t="shared" si="60"/>
        <v>0</v>
      </c>
      <c r="BH236" s="777">
        <v>0</v>
      </c>
      <c r="BI236" s="755"/>
      <c r="BJ236" s="778">
        <f>IF(X237=0,0,           IF(ISNUMBER(BI236),BI236,               IF(ISTEXT(BI236),INDEX(AZ236:BG236,MATCH(BI236,$AZ$12:$BG$12,0)),             IF(BH236="INT",_xll.qInterp(X237,AB236:AI236,AZ236:BG236),            INDEX(AZ236:BG236,MATCH(BH236,$AZ$12:$BG$12,0))))))</f>
        <v>0</v>
      </c>
      <c r="BK236" s="408">
        <f t="shared" si="65"/>
        <v>0</v>
      </c>
      <c r="BL236" s="414">
        <f t="shared" si="66"/>
        <v>0</v>
      </c>
      <c r="BM236" s="408">
        <f t="shared" si="67"/>
        <v>0</v>
      </c>
    </row>
    <row r="237" spans="16:65">
      <c r="P237" s="779">
        <v>0</v>
      </c>
      <c r="Q237" s="780">
        <f t="shared" si="51"/>
        <v>0</v>
      </c>
      <c r="R237" s="776">
        <f>IF(P238,_xll.qDateYears(P237,P238,DCCfixed),0)</f>
        <v>0</v>
      </c>
      <c r="S237" s="553">
        <v>0</v>
      </c>
      <c r="T237" s="785"/>
      <c r="U237" s="409">
        <f t="shared" si="61"/>
        <v>0</v>
      </c>
      <c r="X237" s="363">
        <v>0</v>
      </c>
      <c r="Y237" s="775">
        <f t="shared" si="52"/>
        <v>0</v>
      </c>
      <c r="Z237" s="776">
        <f>IF(X238,_xll.qDateYears(X237,X238,DCCfloat),0)</f>
        <v>0</v>
      </c>
      <c r="AA237" s="553">
        <v>0</v>
      </c>
      <c r="AB237" s="789">
        <f>IF($X237=0,0,      _xll.qDateNext($X237,AB$12,"M",FRM&lt;&gt;"Calypso",CCY))</f>
        <v>0</v>
      </c>
      <c r="AC237" s="789">
        <f>IF($X237=0,0,      _xll.qDateNext($X237,AC$12,"M",FRM&lt;&gt;"Calypso",CCY))</f>
        <v>0</v>
      </c>
      <c r="AD237" s="789">
        <f>IF($X237=0,0,      _xll.qDateNext($X237,AD$12,"M",FRM&lt;&gt;"Calypso",CCY))</f>
        <v>0</v>
      </c>
      <c r="AE237" s="789">
        <f>IF($X237=0,0,      _xll.qDateNext($X237,AE$12,"M",FRM&lt;&gt;"Calypso",CCY))</f>
        <v>0</v>
      </c>
      <c r="AF237" s="789">
        <f>IF($X237=0,0,      _xll.qDateNext($X237,AF$12,"M",FRM&lt;&gt;"Calypso",CCY))</f>
        <v>0</v>
      </c>
      <c r="AG237" s="789">
        <f>IF($X237=0,0,      _xll.qDateNext($X237,AG$12,"M",FRM&lt;&gt;"Calypso",CCY))</f>
        <v>0</v>
      </c>
      <c r="AH237" s="789">
        <f>IF($X237=0,0,      _xll.qDateNext($X237,AH$12,"M",FRM&lt;&gt;"Calypso",CCY))</f>
        <v>0</v>
      </c>
      <c r="AI237" s="789">
        <f>IF($X237=0,0,      _xll.qDateNext($X237,AI$12,"M",FRM&lt;&gt;"Calypso",CCY))</f>
        <v>0</v>
      </c>
      <c r="AJ237" s="529" t="str">
        <v/>
      </c>
      <c r="AK237" s="529" t="str">
        <v/>
      </c>
      <c r="AL237" s="529" t="str">
        <v/>
      </c>
      <c r="AM237" s="529" t="str">
        <v/>
      </c>
      <c r="AN237" s="529" t="str">
        <v/>
      </c>
      <c r="AO237" s="529" t="str">
        <v/>
      </c>
      <c r="AP237" s="529" t="str">
        <v/>
      </c>
      <c r="AQ237" s="529" t="str">
        <v/>
      </c>
      <c r="AR237" s="529">
        <v>0</v>
      </c>
      <c r="AS237" s="529">
        <v>0</v>
      </c>
      <c r="AT237" s="529">
        <f t="shared" si="62"/>
        <v>0</v>
      </c>
      <c r="AU237" s="529">
        <v>0</v>
      </c>
      <c r="AV237" s="529">
        <f t="shared" si="63"/>
        <v>0</v>
      </c>
      <c r="AW237" s="529">
        <f t="shared" si="64"/>
        <v>0</v>
      </c>
      <c r="AX237" s="529">
        <v>0</v>
      </c>
      <c r="AY237" s="529">
        <v>0</v>
      </c>
      <c r="AZ237" s="761">
        <f t="shared" si="53"/>
        <v>0</v>
      </c>
      <c r="BA237" s="761">
        <f t="shared" si="54"/>
        <v>0</v>
      </c>
      <c r="BB237" s="761">
        <f t="shared" si="55"/>
        <v>0</v>
      </c>
      <c r="BC237" s="761">
        <f t="shared" si="56"/>
        <v>0</v>
      </c>
      <c r="BD237" s="761">
        <f t="shared" si="57"/>
        <v>0</v>
      </c>
      <c r="BE237" s="761">
        <f t="shared" si="58"/>
        <v>0</v>
      </c>
      <c r="BF237" s="761">
        <f t="shared" si="59"/>
        <v>0</v>
      </c>
      <c r="BG237" s="761">
        <f t="shared" si="60"/>
        <v>0</v>
      </c>
      <c r="BH237" s="777">
        <v>0</v>
      </c>
      <c r="BI237" s="755"/>
      <c r="BJ237" s="778">
        <f>IF(X238=0,0,           IF(ISNUMBER(BI237),BI237,               IF(ISTEXT(BI237),INDEX(AZ237:BG237,MATCH(BI237,$AZ$12:$BG$12,0)),             IF(BH237="INT",_xll.qInterp(X238,AB237:AI237,AZ237:BG237),            INDEX(AZ237:BG237,MATCH(BH237,$AZ$12:$BG$12,0))))))</f>
        <v>0</v>
      </c>
      <c r="BK237" s="408">
        <f t="shared" si="65"/>
        <v>0</v>
      </c>
      <c r="BL237" s="414">
        <f t="shared" si="66"/>
        <v>0</v>
      </c>
      <c r="BM237" s="408">
        <f t="shared" si="67"/>
        <v>0</v>
      </c>
    </row>
    <row r="238" spans="16:65">
      <c r="P238" s="779">
        <v>0</v>
      </c>
      <c r="Q238" s="780">
        <f t="shared" si="51"/>
        <v>0</v>
      </c>
      <c r="R238" s="776">
        <f>IF(P239,_xll.qDateYears(P238,P239,DCCfixed),0)</f>
        <v>0</v>
      </c>
      <c r="S238" s="553">
        <v>0</v>
      </c>
      <c r="T238" s="785"/>
      <c r="U238" s="409">
        <f t="shared" si="61"/>
        <v>0</v>
      </c>
      <c r="X238" s="363">
        <v>0</v>
      </c>
      <c r="Y238" s="775">
        <f t="shared" si="52"/>
        <v>0</v>
      </c>
      <c r="Z238" s="776">
        <f>IF(X239,_xll.qDateYears(X238,X239,DCCfloat),0)</f>
        <v>0</v>
      </c>
      <c r="AA238" s="553">
        <v>0</v>
      </c>
      <c r="AB238" s="789">
        <f>IF($X238=0,0,      _xll.qDateNext($X238,AB$12,"M",FRM&lt;&gt;"Calypso",CCY))</f>
        <v>0</v>
      </c>
      <c r="AC238" s="789">
        <f>IF($X238=0,0,      _xll.qDateNext($X238,AC$12,"M",FRM&lt;&gt;"Calypso",CCY))</f>
        <v>0</v>
      </c>
      <c r="AD238" s="789">
        <f>IF($X238=0,0,      _xll.qDateNext($X238,AD$12,"M",FRM&lt;&gt;"Calypso",CCY))</f>
        <v>0</v>
      </c>
      <c r="AE238" s="789">
        <f>IF($X238=0,0,      _xll.qDateNext($X238,AE$12,"M",FRM&lt;&gt;"Calypso",CCY))</f>
        <v>0</v>
      </c>
      <c r="AF238" s="789">
        <f>IF($X238=0,0,      _xll.qDateNext($X238,AF$12,"M",FRM&lt;&gt;"Calypso",CCY))</f>
        <v>0</v>
      </c>
      <c r="AG238" s="789">
        <f>IF($X238=0,0,      _xll.qDateNext($X238,AG$12,"M",FRM&lt;&gt;"Calypso",CCY))</f>
        <v>0</v>
      </c>
      <c r="AH238" s="789">
        <f>IF($X238=0,0,      _xll.qDateNext($X238,AH$12,"M",FRM&lt;&gt;"Calypso",CCY))</f>
        <v>0</v>
      </c>
      <c r="AI238" s="789">
        <f>IF($X238=0,0,      _xll.qDateNext($X238,AI$12,"M",FRM&lt;&gt;"Calypso",CCY))</f>
        <v>0</v>
      </c>
      <c r="AJ238" s="529" t="str">
        <v/>
      </c>
      <c r="AK238" s="529" t="str">
        <v/>
      </c>
      <c r="AL238" s="529" t="str">
        <v/>
      </c>
      <c r="AM238" s="529" t="str">
        <v/>
      </c>
      <c r="AN238" s="529" t="str">
        <v/>
      </c>
      <c r="AO238" s="529" t="str">
        <v/>
      </c>
      <c r="AP238" s="529" t="str">
        <v/>
      </c>
      <c r="AQ238" s="529" t="str">
        <v/>
      </c>
      <c r="AR238" s="529">
        <v>0</v>
      </c>
      <c r="AS238" s="529">
        <v>0</v>
      </c>
      <c r="AT238" s="529">
        <f t="shared" si="62"/>
        <v>0</v>
      </c>
      <c r="AU238" s="529">
        <v>0</v>
      </c>
      <c r="AV238" s="529">
        <f t="shared" si="63"/>
        <v>0</v>
      </c>
      <c r="AW238" s="529">
        <f t="shared" si="64"/>
        <v>0</v>
      </c>
      <c r="AX238" s="529">
        <v>0</v>
      </c>
      <c r="AY238" s="529">
        <v>0</v>
      </c>
      <c r="AZ238" s="761">
        <f t="shared" si="53"/>
        <v>0</v>
      </c>
      <c r="BA238" s="761">
        <f t="shared" si="54"/>
        <v>0</v>
      </c>
      <c r="BB238" s="761">
        <f t="shared" si="55"/>
        <v>0</v>
      </c>
      <c r="BC238" s="761">
        <f t="shared" si="56"/>
        <v>0</v>
      </c>
      <c r="BD238" s="761">
        <f t="shared" si="57"/>
        <v>0</v>
      </c>
      <c r="BE238" s="761">
        <f t="shared" si="58"/>
        <v>0</v>
      </c>
      <c r="BF238" s="761">
        <f t="shared" si="59"/>
        <v>0</v>
      </c>
      <c r="BG238" s="761">
        <f t="shared" si="60"/>
        <v>0</v>
      </c>
      <c r="BH238" s="777">
        <v>0</v>
      </c>
      <c r="BI238" s="755"/>
      <c r="BJ238" s="778">
        <f>IF(X239=0,0,           IF(ISNUMBER(BI238),BI238,               IF(ISTEXT(BI238),INDEX(AZ238:BG238,MATCH(BI238,$AZ$12:$BG$12,0)),             IF(BH238="INT",_xll.qInterp(X239,AB238:AI238,AZ238:BG238),            INDEX(AZ238:BG238,MATCH(BH238,$AZ$12:$BG$12,0))))))</f>
        <v>0</v>
      </c>
      <c r="BK238" s="408">
        <f t="shared" si="65"/>
        <v>0</v>
      </c>
      <c r="BL238" s="414">
        <f t="shared" si="66"/>
        <v>0</v>
      </c>
      <c r="BM238" s="408">
        <f t="shared" si="67"/>
        <v>0</v>
      </c>
    </row>
    <row r="239" spans="16:65">
      <c r="P239" s="779">
        <v>0</v>
      </c>
      <c r="Q239" s="780">
        <f t="shared" si="51"/>
        <v>0</v>
      </c>
      <c r="R239" s="776">
        <f>IF(P240,_xll.qDateYears(P239,P240,DCCfixed),0)</f>
        <v>0</v>
      </c>
      <c r="S239" s="553">
        <v>0</v>
      </c>
      <c r="T239" s="785"/>
      <c r="U239" s="409">
        <f t="shared" si="61"/>
        <v>0</v>
      </c>
      <c r="X239" s="363">
        <v>0</v>
      </c>
      <c r="Y239" s="775">
        <f t="shared" si="52"/>
        <v>0</v>
      </c>
      <c r="Z239" s="776">
        <f>IF(X240,_xll.qDateYears(X239,X240,DCCfloat),0)</f>
        <v>0</v>
      </c>
      <c r="AA239" s="553">
        <v>0</v>
      </c>
      <c r="AB239" s="789">
        <f>IF($X239=0,0,      _xll.qDateNext($X239,AB$12,"M",FRM&lt;&gt;"Calypso",CCY))</f>
        <v>0</v>
      </c>
      <c r="AC239" s="789">
        <f>IF($X239=0,0,      _xll.qDateNext($X239,AC$12,"M",FRM&lt;&gt;"Calypso",CCY))</f>
        <v>0</v>
      </c>
      <c r="AD239" s="789">
        <f>IF($X239=0,0,      _xll.qDateNext($X239,AD$12,"M",FRM&lt;&gt;"Calypso",CCY))</f>
        <v>0</v>
      </c>
      <c r="AE239" s="789">
        <f>IF($X239=0,0,      _xll.qDateNext($X239,AE$12,"M",FRM&lt;&gt;"Calypso",CCY))</f>
        <v>0</v>
      </c>
      <c r="AF239" s="789">
        <f>IF($X239=0,0,      _xll.qDateNext($X239,AF$12,"M",FRM&lt;&gt;"Calypso",CCY))</f>
        <v>0</v>
      </c>
      <c r="AG239" s="789">
        <f>IF($X239=0,0,      _xll.qDateNext($X239,AG$12,"M",FRM&lt;&gt;"Calypso",CCY))</f>
        <v>0</v>
      </c>
      <c r="AH239" s="789">
        <f>IF($X239=0,0,      _xll.qDateNext($X239,AH$12,"M",FRM&lt;&gt;"Calypso",CCY))</f>
        <v>0</v>
      </c>
      <c r="AI239" s="789">
        <f>IF($X239=0,0,      _xll.qDateNext($X239,AI$12,"M",FRM&lt;&gt;"Calypso",CCY))</f>
        <v>0</v>
      </c>
      <c r="AJ239" s="529" t="str">
        <v/>
      </c>
      <c r="AK239" s="529" t="str">
        <v/>
      </c>
      <c r="AL239" s="529" t="str">
        <v/>
      </c>
      <c r="AM239" s="529" t="str">
        <v/>
      </c>
      <c r="AN239" s="529" t="str">
        <v/>
      </c>
      <c r="AO239" s="529" t="str">
        <v/>
      </c>
      <c r="AP239" s="529" t="str">
        <v/>
      </c>
      <c r="AQ239" s="529" t="str">
        <v/>
      </c>
      <c r="AR239" s="529">
        <v>0</v>
      </c>
      <c r="AS239" s="529">
        <v>0</v>
      </c>
      <c r="AT239" s="529">
        <f t="shared" si="62"/>
        <v>0</v>
      </c>
      <c r="AU239" s="529">
        <v>0</v>
      </c>
      <c r="AV239" s="529">
        <f t="shared" si="63"/>
        <v>0</v>
      </c>
      <c r="AW239" s="529">
        <f t="shared" si="64"/>
        <v>0</v>
      </c>
      <c r="AX239" s="529">
        <v>0</v>
      </c>
      <c r="AY239" s="529">
        <v>0</v>
      </c>
      <c r="AZ239" s="761">
        <f t="shared" si="53"/>
        <v>0</v>
      </c>
      <c r="BA239" s="761">
        <f t="shared" si="54"/>
        <v>0</v>
      </c>
      <c r="BB239" s="761">
        <f t="shared" si="55"/>
        <v>0</v>
      </c>
      <c r="BC239" s="761">
        <f t="shared" si="56"/>
        <v>0</v>
      </c>
      <c r="BD239" s="761">
        <f t="shared" si="57"/>
        <v>0</v>
      </c>
      <c r="BE239" s="761">
        <f t="shared" si="58"/>
        <v>0</v>
      </c>
      <c r="BF239" s="761">
        <f t="shared" si="59"/>
        <v>0</v>
      </c>
      <c r="BG239" s="761">
        <f t="shared" si="60"/>
        <v>0</v>
      </c>
      <c r="BH239" s="777">
        <v>0</v>
      </c>
      <c r="BI239" s="755"/>
      <c r="BJ239" s="778">
        <f>IF(X240=0,0,           IF(ISNUMBER(BI239),BI239,               IF(ISTEXT(BI239),INDEX(AZ239:BG239,MATCH(BI239,$AZ$12:$BG$12,0)),             IF(BH239="INT",_xll.qInterp(X240,AB239:AI239,AZ239:BG239),            INDEX(AZ239:BG239,MATCH(BH239,$AZ$12:$BG$12,0))))))</f>
        <v>0</v>
      </c>
      <c r="BK239" s="408">
        <f t="shared" si="65"/>
        <v>0</v>
      </c>
      <c r="BL239" s="414">
        <f t="shared" si="66"/>
        <v>0</v>
      </c>
      <c r="BM239" s="408">
        <f t="shared" si="67"/>
        <v>0</v>
      </c>
    </row>
    <row r="240" spans="16:65">
      <c r="P240" s="779">
        <v>0</v>
      </c>
      <c r="Q240" s="780">
        <f t="shared" si="51"/>
        <v>0</v>
      </c>
      <c r="R240" s="776">
        <f>IF(P241,_xll.qDateYears(P240,P241,DCCfixed),0)</f>
        <v>0</v>
      </c>
      <c r="S240" s="553">
        <v>0</v>
      </c>
      <c r="T240" s="785"/>
      <c r="U240" s="409">
        <f t="shared" si="61"/>
        <v>0</v>
      </c>
      <c r="X240" s="363">
        <v>0</v>
      </c>
      <c r="Y240" s="775">
        <f t="shared" si="52"/>
        <v>0</v>
      </c>
      <c r="Z240" s="776">
        <f>IF(X241,_xll.qDateYears(X240,X241,DCCfloat),0)</f>
        <v>0</v>
      </c>
      <c r="AA240" s="553">
        <v>0</v>
      </c>
      <c r="AB240" s="789">
        <f>IF($X240=0,0,      _xll.qDateNext($X240,AB$12,"M",FRM&lt;&gt;"Calypso",CCY))</f>
        <v>0</v>
      </c>
      <c r="AC240" s="789">
        <f>IF($X240=0,0,      _xll.qDateNext($X240,AC$12,"M",FRM&lt;&gt;"Calypso",CCY))</f>
        <v>0</v>
      </c>
      <c r="AD240" s="789">
        <f>IF($X240=0,0,      _xll.qDateNext($X240,AD$12,"M",FRM&lt;&gt;"Calypso",CCY))</f>
        <v>0</v>
      </c>
      <c r="AE240" s="789">
        <f>IF($X240=0,0,      _xll.qDateNext($X240,AE$12,"M",FRM&lt;&gt;"Calypso",CCY))</f>
        <v>0</v>
      </c>
      <c r="AF240" s="789">
        <f>IF($X240=0,0,      _xll.qDateNext($X240,AF$12,"M",FRM&lt;&gt;"Calypso",CCY))</f>
        <v>0</v>
      </c>
      <c r="AG240" s="789">
        <f>IF($X240=0,0,      _xll.qDateNext($X240,AG$12,"M",FRM&lt;&gt;"Calypso",CCY))</f>
        <v>0</v>
      </c>
      <c r="AH240" s="789">
        <f>IF($X240=0,0,      _xll.qDateNext($X240,AH$12,"M",FRM&lt;&gt;"Calypso",CCY))</f>
        <v>0</v>
      </c>
      <c r="AI240" s="789">
        <f>IF($X240=0,0,      _xll.qDateNext($X240,AI$12,"M",FRM&lt;&gt;"Calypso",CCY))</f>
        <v>0</v>
      </c>
      <c r="AJ240" s="529" t="str">
        <v/>
      </c>
      <c r="AK240" s="529" t="str">
        <v/>
      </c>
      <c r="AL240" s="529" t="str">
        <v/>
      </c>
      <c r="AM240" s="529" t="str">
        <v/>
      </c>
      <c r="AN240" s="529" t="str">
        <v/>
      </c>
      <c r="AO240" s="529" t="str">
        <v/>
      </c>
      <c r="AP240" s="529" t="str">
        <v/>
      </c>
      <c r="AQ240" s="529" t="str">
        <v/>
      </c>
      <c r="AR240" s="529">
        <v>0</v>
      </c>
      <c r="AS240" s="529">
        <v>0</v>
      </c>
      <c r="AT240" s="529">
        <f t="shared" si="62"/>
        <v>0</v>
      </c>
      <c r="AU240" s="529">
        <v>0</v>
      </c>
      <c r="AV240" s="529">
        <f t="shared" si="63"/>
        <v>0</v>
      </c>
      <c r="AW240" s="529">
        <f t="shared" si="64"/>
        <v>0</v>
      </c>
      <c r="AX240" s="529">
        <v>0</v>
      </c>
      <c r="AY240" s="529">
        <v>0</v>
      </c>
      <c r="AZ240" s="761">
        <f t="shared" si="53"/>
        <v>0</v>
      </c>
      <c r="BA240" s="761">
        <f t="shared" si="54"/>
        <v>0</v>
      </c>
      <c r="BB240" s="761">
        <f t="shared" si="55"/>
        <v>0</v>
      </c>
      <c r="BC240" s="761">
        <f t="shared" si="56"/>
        <v>0</v>
      </c>
      <c r="BD240" s="761">
        <f t="shared" si="57"/>
        <v>0</v>
      </c>
      <c r="BE240" s="761">
        <f t="shared" si="58"/>
        <v>0</v>
      </c>
      <c r="BF240" s="761">
        <f t="shared" si="59"/>
        <v>0</v>
      </c>
      <c r="BG240" s="761">
        <f t="shared" si="60"/>
        <v>0</v>
      </c>
      <c r="BH240" s="777">
        <v>0</v>
      </c>
      <c r="BI240" s="755"/>
      <c r="BJ240" s="778">
        <f>IF(X241=0,0,           IF(ISNUMBER(BI240),BI240,               IF(ISTEXT(BI240),INDEX(AZ240:BG240,MATCH(BI240,$AZ$12:$BG$12,0)),             IF(BH240="INT",_xll.qInterp(X241,AB240:AI240,AZ240:BG240),            INDEX(AZ240:BG240,MATCH(BH240,$AZ$12:$BG$12,0))))))</f>
        <v>0</v>
      </c>
      <c r="BK240" s="408">
        <f t="shared" si="65"/>
        <v>0</v>
      </c>
      <c r="BL240" s="414">
        <f t="shared" si="66"/>
        <v>0</v>
      </c>
      <c r="BM240" s="408">
        <f t="shared" si="67"/>
        <v>0</v>
      </c>
    </row>
    <row r="241" spans="16:65">
      <c r="P241" s="779">
        <v>0</v>
      </c>
      <c r="Q241" s="780">
        <f t="shared" si="51"/>
        <v>0</v>
      </c>
      <c r="R241" s="776">
        <f>IF(P242,_xll.qDateYears(P241,P242,DCCfixed),0)</f>
        <v>0</v>
      </c>
      <c r="S241" s="553">
        <v>0</v>
      </c>
      <c r="T241" s="785"/>
      <c r="U241" s="409">
        <f t="shared" si="61"/>
        <v>0</v>
      </c>
      <c r="X241" s="363">
        <v>0</v>
      </c>
      <c r="Y241" s="775">
        <f t="shared" si="52"/>
        <v>0</v>
      </c>
      <c r="Z241" s="776">
        <f>IF(X242,_xll.qDateYears(X241,X242,DCCfloat),0)</f>
        <v>0</v>
      </c>
      <c r="AA241" s="553">
        <v>0</v>
      </c>
      <c r="AB241" s="789">
        <f>IF($X241=0,0,      _xll.qDateNext($X241,AB$12,"M",FRM&lt;&gt;"Calypso",CCY))</f>
        <v>0</v>
      </c>
      <c r="AC241" s="789">
        <f>IF($X241=0,0,      _xll.qDateNext($X241,AC$12,"M",FRM&lt;&gt;"Calypso",CCY))</f>
        <v>0</v>
      </c>
      <c r="AD241" s="789">
        <f>IF($X241=0,0,      _xll.qDateNext($X241,AD$12,"M",FRM&lt;&gt;"Calypso",CCY))</f>
        <v>0</v>
      </c>
      <c r="AE241" s="789">
        <f>IF($X241=0,0,      _xll.qDateNext($X241,AE$12,"M",FRM&lt;&gt;"Calypso",CCY))</f>
        <v>0</v>
      </c>
      <c r="AF241" s="789">
        <f>IF($X241=0,0,      _xll.qDateNext($X241,AF$12,"M",FRM&lt;&gt;"Calypso",CCY))</f>
        <v>0</v>
      </c>
      <c r="AG241" s="789">
        <f>IF($X241=0,0,      _xll.qDateNext($X241,AG$12,"M",FRM&lt;&gt;"Calypso",CCY))</f>
        <v>0</v>
      </c>
      <c r="AH241" s="789">
        <f>IF($X241=0,0,      _xll.qDateNext($X241,AH$12,"M",FRM&lt;&gt;"Calypso",CCY))</f>
        <v>0</v>
      </c>
      <c r="AI241" s="789">
        <f>IF($X241=0,0,      _xll.qDateNext($X241,AI$12,"M",FRM&lt;&gt;"Calypso",CCY))</f>
        <v>0</v>
      </c>
      <c r="AJ241" s="529" t="str">
        <v/>
      </c>
      <c r="AK241" s="529" t="str">
        <v/>
      </c>
      <c r="AL241" s="529" t="str">
        <v/>
      </c>
      <c r="AM241" s="529" t="str">
        <v/>
      </c>
      <c r="AN241" s="529" t="str">
        <v/>
      </c>
      <c r="AO241" s="529" t="str">
        <v/>
      </c>
      <c r="AP241" s="529" t="str">
        <v/>
      </c>
      <c r="AQ241" s="529" t="str">
        <v/>
      </c>
      <c r="AR241" s="529">
        <v>0</v>
      </c>
      <c r="AS241" s="529">
        <v>0</v>
      </c>
      <c r="AT241" s="529">
        <f t="shared" si="62"/>
        <v>0</v>
      </c>
      <c r="AU241" s="529">
        <v>0</v>
      </c>
      <c r="AV241" s="529">
        <f t="shared" si="63"/>
        <v>0</v>
      </c>
      <c r="AW241" s="529">
        <f t="shared" si="64"/>
        <v>0</v>
      </c>
      <c r="AX241" s="529">
        <v>0</v>
      </c>
      <c r="AY241" s="529">
        <v>0</v>
      </c>
      <c r="AZ241" s="761">
        <f t="shared" si="53"/>
        <v>0</v>
      </c>
      <c r="BA241" s="761">
        <f t="shared" si="54"/>
        <v>0</v>
      </c>
      <c r="BB241" s="761">
        <f t="shared" si="55"/>
        <v>0</v>
      </c>
      <c r="BC241" s="761">
        <f t="shared" si="56"/>
        <v>0</v>
      </c>
      <c r="BD241" s="761">
        <f t="shared" si="57"/>
        <v>0</v>
      </c>
      <c r="BE241" s="761">
        <f t="shared" si="58"/>
        <v>0</v>
      </c>
      <c r="BF241" s="761">
        <f t="shared" si="59"/>
        <v>0</v>
      </c>
      <c r="BG241" s="761">
        <f t="shared" si="60"/>
        <v>0</v>
      </c>
      <c r="BH241" s="777">
        <v>0</v>
      </c>
      <c r="BI241" s="755"/>
      <c r="BJ241" s="778">
        <f>IF(X242=0,0,           IF(ISNUMBER(BI241),BI241,               IF(ISTEXT(BI241),INDEX(AZ241:BG241,MATCH(BI241,$AZ$12:$BG$12,0)),             IF(BH241="INT",_xll.qInterp(X242,AB241:AI241,AZ241:BG241),            INDEX(AZ241:BG241,MATCH(BH241,$AZ$12:$BG$12,0))))))</f>
        <v>0</v>
      </c>
      <c r="BK241" s="408">
        <f t="shared" si="65"/>
        <v>0</v>
      </c>
      <c r="BL241" s="414">
        <f t="shared" si="66"/>
        <v>0</v>
      </c>
      <c r="BM241" s="408">
        <f t="shared" si="67"/>
        <v>0</v>
      </c>
    </row>
    <row r="242" spans="16:65">
      <c r="P242" s="779">
        <v>0</v>
      </c>
      <c r="Q242" s="780">
        <f t="shared" si="51"/>
        <v>0</v>
      </c>
      <c r="R242" s="776">
        <f>IF(P243,_xll.qDateYears(P242,P243,DCCfixed),0)</f>
        <v>0</v>
      </c>
      <c r="S242" s="553">
        <v>0</v>
      </c>
      <c r="T242" s="785"/>
      <c r="U242" s="409">
        <f t="shared" si="61"/>
        <v>0</v>
      </c>
      <c r="X242" s="363">
        <v>0</v>
      </c>
      <c r="Y242" s="775">
        <f t="shared" si="52"/>
        <v>0</v>
      </c>
      <c r="Z242" s="776">
        <f>IF(X243,_xll.qDateYears(X242,X243,DCCfloat),0)</f>
        <v>0</v>
      </c>
      <c r="AA242" s="553">
        <v>0</v>
      </c>
      <c r="AB242" s="789">
        <f>IF($X242=0,0,      _xll.qDateNext($X242,AB$12,"M",FRM&lt;&gt;"Calypso",CCY))</f>
        <v>0</v>
      </c>
      <c r="AC242" s="789">
        <f>IF($X242=0,0,      _xll.qDateNext($X242,AC$12,"M",FRM&lt;&gt;"Calypso",CCY))</f>
        <v>0</v>
      </c>
      <c r="AD242" s="789">
        <f>IF($X242=0,0,      _xll.qDateNext($X242,AD$12,"M",FRM&lt;&gt;"Calypso",CCY))</f>
        <v>0</v>
      </c>
      <c r="AE242" s="789">
        <f>IF($X242=0,0,      _xll.qDateNext($X242,AE$12,"M",FRM&lt;&gt;"Calypso",CCY))</f>
        <v>0</v>
      </c>
      <c r="AF242" s="789">
        <f>IF($X242=0,0,      _xll.qDateNext($X242,AF$12,"M",FRM&lt;&gt;"Calypso",CCY))</f>
        <v>0</v>
      </c>
      <c r="AG242" s="789">
        <f>IF($X242=0,0,      _xll.qDateNext($X242,AG$12,"M",FRM&lt;&gt;"Calypso",CCY))</f>
        <v>0</v>
      </c>
      <c r="AH242" s="789">
        <f>IF($X242=0,0,      _xll.qDateNext($X242,AH$12,"M",FRM&lt;&gt;"Calypso",CCY))</f>
        <v>0</v>
      </c>
      <c r="AI242" s="789">
        <f>IF($X242=0,0,      _xll.qDateNext($X242,AI$12,"M",FRM&lt;&gt;"Calypso",CCY))</f>
        <v>0</v>
      </c>
      <c r="AJ242" s="529" t="str">
        <v/>
      </c>
      <c r="AK242" s="529" t="str">
        <v/>
      </c>
      <c r="AL242" s="529" t="str">
        <v/>
      </c>
      <c r="AM242" s="529" t="str">
        <v/>
      </c>
      <c r="AN242" s="529" t="str">
        <v/>
      </c>
      <c r="AO242" s="529" t="str">
        <v/>
      </c>
      <c r="AP242" s="529" t="str">
        <v/>
      </c>
      <c r="AQ242" s="529" t="str">
        <v/>
      </c>
      <c r="AR242" s="529">
        <v>0</v>
      </c>
      <c r="AS242" s="529">
        <v>0</v>
      </c>
      <c r="AT242" s="529">
        <f t="shared" si="62"/>
        <v>0</v>
      </c>
      <c r="AU242" s="529">
        <v>0</v>
      </c>
      <c r="AV242" s="529">
        <f t="shared" si="63"/>
        <v>0</v>
      </c>
      <c r="AW242" s="529">
        <f t="shared" si="64"/>
        <v>0</v>
      </c>
      <c r="AX242" s="529">
        <v>0</v>
      </c>
      <c r="AY242" s="529">
        <v>0</v>
      </c>
      <c r="AZ242" s="761">
        <f t="shared" si="53"/>
        <v>0</v>
      </c>
      <c r="BA242" s="761">
        <f t="shared" si="54"/>
        <v>0</v>
      </c>
      <c r="BB242" s="761">
        <f t="shared" si="55"/>
        <v>0</v>
      </c>
      <c r="BC242" s="761">
        <f t="shared" si="56"/>
        <v>0</v>
      </c>
      <c r="BD242" s="761">
        <f t="shared" si="57"/>
        <v>0</v>
      </c>
      <c r="BE242" s="761">
        <f t="shared" si="58"/>
        <v>0</v>
      </c>
      <c r="BF242" s="761">
        <f t="shared" si="59"/>
        <v>0</v>
      </c>
      <c r="BG242" s="761">
        <f t="shared" si="60"/>
        <v>0</v>
      </c>
      <c r="BH242" s="777">
        <v>0</v>
      </c>
      <c r="BI242" s="755"/>
      <c r="BJ242" s="778">
        <f>IF(X243=0,0,           IF(ISNUMBER(BI242),BI242,               IF(ISTEXT(BI242),INDEX(AZ242:BG242,MATCH(BI242,$AZ$12:$BG$12,0)),             IF(BH242="INT",_xll.qInterp(X243,AB242:AI242,AZ242:BG242),            INDEX(AZ242:BG242,MATCH(BH242,$AZ$12:$BG$12,0))))))</f>
        <v>0</v>
      </c>
      <c r="BK242" s="408">
        <f t="shared" si="65"/>
        <v>0</v>
      </c>
      <c r="BL242" s="414">
        <f t="shared" si="66"/>
        <v>0</v>
      </c>
      <c r="BM242" s="408">
        <f t="shared" si="67"/>
        <v>0</v>
      </c>
    </row>
    <row r="243" spans="16:65">
      <c r="P243" s="779">
        <v>0</v>
      </c>
      <c r="Q243" s="780">
        <f t="shared" si="51"/>
        <v>0</v>
      </c>
      <c r="R243" s="776">
        <f>IF(P244,_xll.qDateYears(P243,P244,DCCfixed),0)</f>
        <v>0</v>
      </c>
      <c r="S243" s="553">
        <v>0</v>
      </c>
      <c r="T243" s="785"/>
      <c r="U243" s="409">
        <f t="shared" si="61"/>
        <v>0</v>
      </c>
      <c r="X243" s="363">
        <v>0</v>
      </c>
      <c r="Y243" s="775">
        <f t="shared" si="52"/>
        <v>0</v>
      </c>
      <c r="Z243" s="776">
        <f>IF(X244,_xll.qDateYears(X243,X244,DCCfloat),0)</f>
        <v>0</v>
      </c>
      <c r="AA243" s="553">
        <v>0</v>
      </c>
      <c r="AB243" s="789">
        <f>IF($X243=0,0,      _xll.qDateNext($X243,AB$12,"M",FRM&lt;&gt;"Calypso",CCY))</f>
        <v>0</v>
      </c>
      <c r="AC243" s="789">
        <f>IF($X243=0,0,      _xll.qDateNext($X243,AC$12,"M",FRM&lt;&gt;"Calypso",CCY))</f>
        <v>0</v>
      </c>
      <c r="AD243" s="789">
        <f>IF($X243=0,0,      _xll.qDateNext($X243,AD$12,"M",FRM&lt;&gt;"Calypso",CCY))</f>
        <v>0</v>
      </c>
      <c r="AE243" s="789">
        <f>IF($X243=0,0,      _xll.qDateNext($X243,AE$12,"M",FRM&lt;&gt;"Calypso",CCY))</f>
        <v>0</v>
      </c>
      <c r="AF243" s="789">
        <f>IF($X243=0,0,      _xll.qDateNext($X243,AF$12,"M",FRM&lt;&gt;"Calypso",CCY))</f>
        <v>0</v>
      </c>
      <c r="AG243" s="789">
        <f>IF($X243=0,0,      _xll.qDateNext($X243,AG$12,"M",FRM&lt;&gt;"Calypso",CCY))</f>
        <v>0</v>
      </c>
      <c r="AH243" s="789">
        <f>IF($X243=0,0,      _xll.qDateNext($X243,AH$12,"M",FRM&lt;&gt;"Calypso",CCY))</f>
        <v>0</v>
      </c>
      <c r="AI243" s="789">
        <f>IF($X243=0,0,      _xll.qDateNext($X243,AI$12,"M",FRM&lt;&gt;"Calypso",CCY))</f>
        <v>0</v>
      </c>
      <c r="AJ243" s="529" t="str">
        <v/>
      </c>
      <c r="AK243" s="529" t="str">
        <v/>
      </c>
      <c r="AL243" s="529" t="str">
        <v/>
      </c>
      <c r="AM243" s="529" t="str">
        <v/>
      </c>
      <c r="AN243" s="529" t="str">
        <v/>
      </c>
      <c r="AO243" s="529" t="str">
        <v/>
      </c>
      <c r="AP243" s="529" t="str">
        <v/>
      </c>
      <c r="AQ243" s="529" t="str">
        <v/>
      </c>
      <c r="AR243" s="529">
        <v>0</v>
      </c>
      <c r="AS243" s="529">
        <v>0</v>
      </c>
      <c r="AT243" s="529">
        <f t="shared" si="62"/>
        <v>0</v>
      </c>
      <c r="AU243" s="529">
        <v>0</v>
      </c>
      <c r="AV243" s="529">
        <f t="shared" si="63"/>
        <v>0</v>
      </c>
      <c r="AW243" s="529">
        <f t="shared" si="64"/>
        <v>0</v>
      </c>
      <c r="AX243" s="529">
        <v>0</v>
      </c>
      <c r="AY243" s="529">
        <v>0</v>
      </c>
      <c r="AZ243" s="761">
        <f t="shared" si="53"/>
        <v>0</v>
      </c>
      <c r="BA243" s="761">
        <f t="shared" si="54"/>
        <v>0</v>
      </c>
      <c r="BB243" s="761">
        <f t="shared" si="55"/>
        <v>0</v>
      </c>
      <c r="BC243" s="761">
        <f t="shared" si="56"/>
        <v>0</v>
      </c>
      <c r="BD243" s="761">
        <f t="shared" si="57"/>
        <v>0</v>
      </c>
      <c r="BE243" s="761">
        <f t="shared" si="58"/>
        <v>0</v>
      </c>
      <c r="BF243" s="761">
        <f t="shared" si="59"/>
        <v>0</v>
      </c>
      <c r="BG243" s="761">
        <f t="shared" si="60"/>
        <v>0</v>
      </c>
      <c r="BH243" s="777">
        <v>0</v>
      </c>
      <c r="BI243" s="755"/>
      <c r="BJ243" s="778">
        <f>IF(X244=0,0,           IF(ISNUMBER(BI243),BI243,               IF(ISTEXT(BI243),INDEX(AZ243:BG243,MATCH(BI243,$AZ$12:$BG$12,0)),             IF(BH243="INT",_xll.qInterp(X244,AB243:AI243,AZ243:BG243),            INDEX(AZ243:BG243,MATCH(BH243,$AZ$12:$BG$12,0))))))</f>
        <v>0</v>
      </c>
      <c r="BK243" s="408">
        <f t="shared" si="65"/>
        <v>0</v>
      </c>
      <c r="BL243" s="414">
        <f t="shared" si="66"/>
        <v>0</v>
      </c>
      <c r="BM243" s="408">
        <f t="shared" si="67"/>
        <v>0</v>
      </c>
    </row>
    <row r="244" spans="16:65">
      <c r="P244" s="779">
        <v>0</v>
      </c>
      <c r="Q244" s="780">
        <f t="shared" si="51"/>
        <v>0</v>
      </c>
      <c r="R244" s="776">
        <f>IF(P245,_xll.qDateYears(P244,P245,DCCfixed),0)</f>
        <v>0</v>
      </c>
      <c r="S244" s="553">
        <v>0</v>
      </c>
      <c r="T244" s="785"/>
      <c r="U244" s="409">
        <f t="shared" si="61"/>
        <v>0</v>
      </c>
      <c r="X244" s="363">
        <v>0</v>
      </c>
      <c r="Y244" s="775">
        <f t="shared" si="52"/>
        <v>0</v>
      </c>
      <c r="Z244" s="776">
        <f>IF(X245,_xll.qDateYears(X244,X245,DCCfloat),0)</f>
        <v>0</v>
      </c>
      <c r="AA244" s="553">
        <v>0</v>
      </c>
      <c r="AB244" s="789">
        <f>IF($X244=0,0,      _xll.qDateNext($X244,AB$12,"M",FRM&lt;&gt;"Calypso",CCY))</f>
        <v>0</v>
      </c>
      <c r="AC244" s="789">
        <f>IF($X244=0,0,      _xll.qDateNext($X244,AC$12,"M",FRM&lt;&gt;"Calypso",CCY))</f>
        <v>0</v>
      </c>
      <c r="AD244" s="789">
        <f>IF($X244=0,0,      _xll.qDateNext($X244,AD$12,"M",FRM&lt;&gt;"Calypso",CCY))</f>
        <v>0</v>
      </c>
      <c r="AE244" s="789">
        <f>IF($X244=0,0,      _xll.qDateNext($X244,AE$12,"M",FRM&lt;&gt;"Calypso",CCY))</f>
        <v>0</v>
      </c>
      <c r="AF244" s="789">
        <f>IF($X244=0,0,      _xll.qDateNext($X244,AF$12,"M",FRM&lt;&gt;"Calypso",CCY))</f>
        <v>0</v>
      </c>
      <c r="AG244" s="789">
        <f>IF($X244=0,0,      _xll.qDateNext($X244,AG$12,"M",FRM&lt;&gt;"Calypso",CCY))</f>
        <v>0</v>
      </c>
      <c r="AH244" s="789">
        <f>IF($X244=0,0,      _xll.qDateNext($X244,AH$12,"M",FRM&lt;&gt;"Calypso",CCY))</f>
        <v>0</v>
      </c>
      <c r="AI244" s="789">
        <f>IF($X244=0,0,      _xll.qDateNext($X244,AI$12,"M",FRM&lt;&gt;"Calypso",CCY))</f>
        <v>0</v>
      </c>
      <c r="AJ244" s="529" t="str">
        <v/>
      </c>
      <c r="AK244" s="529" t="str">
        <v/>
      </c>
      <c r="AL244" s="529" t="str">
        <v/>
      </c>
      <c r="AM244" s="529" t="str">
        <v/>
      </c>
      <c r="AN244" s="529" t="str">
        <v/>
      </c>
      <c r="AO244" s="529" t="str">
        <v/>
      </c>
      <c r="AP244" s="529" t="str">
        <v/>
      </c>
      <c r="AQ244" s="529" t="str">
        <v/>
      </c>
      <c r="AR244" s="529">
        <v>0</v>
      </c>
      <c r="AS244" s="529">
        <v>0</v>
      </c>
      <c r="AT244" s="529">
        <f t="shared" si="62"/>
        <v>0</v>
      </c>
      <c r="AU244" s="529">
        <v>0</v>
      </c>
      <c r="AV244" s="529">
        <f t="shared" si="63"/>
        <v>0</v>
      </c>
      <c r="AW244" s="529">
        <f t="shared" si="64"/>
        <v>0</v>
      </c>
      <c r="AX244" s="529">
        <v>0</v>
      </c>
      <c r="AY244" s="529">
        <v>0</v>
      </c>
      <c r="AZ244" s="761">
        <f t="shared" si="53"/>
        <v>0</v>
      </c>
      <c r="BA244" s="761">
        <f t="shared" si="54"/>
        <v>0</v>
      </c>
      <c r="BB244" s="761">
        <f t="shared" si="55"/>
        <v>0</v>
      </c>
      <c r="BC244" s="761">
        <f t="shared" si="56"/>
        <v>0</v>
      </c>
      <c r="BD244" s="761">
        <f t="shared" si="57"/>
        <v>0</v>
      </c>
      <c r="BE244" s="761">
        <f t="shared" si="58"/>
        <v>0</v>
      </c>
      <c r="BF244" s="761">
        <f t="shared" si="59"/>
        <v>0</v>
      </c>
      <c r="BG244" s="761">
        <f t="shared" si="60"/>
        <v>0</v>
      </c>
      <c r="BH244" s="777">
        <v>0</v>
      </c>
      <c r="BI244" s="755"/>
      <c r="BJ244" s="778">
        <f>IF(X245=0,0,           IF(ISNUMBER(BI244),BI244,               IF(ISTEXT(BI244),INDEX(AZ244:BG244,MATCH(BI244,$AZ$12:$BG$12,0)),             IF(BH244="INT",_xll.qInterp(X245,AB244:AI244,AZ244:BG244),            INDEX(AZ244:BG244,MATCH(BH244,$AZ$12:$BG$12,0))))))</f>
        <v>0</v>
      </c>
      <c r="BK244" s="408">
        <f t="shared" si="65"/>
        <v>0</v>
      </c>
      <c r="BL244" s="414">
        <f t="shared" si="66"/>
        <v>0</v>
      </c>
      <c r="BM244" s="408">
        <f t="shared" si="67"/>
        <v>0</v>
      </c>
    </row>
    <row r="245" spans="16:65">
      <c r="P245" s="779">
        <v>0</v>
      </c>
      <c r="Q245" s="780">
        <f t="shared" si="51"/>
        <v>0</v>
      </c>
      <c r="R245" s="776">
        <f>IF(P246,_xll.qDateYears(P245,P246,DCCfixed),0)</f>
        <v>0</v>
      </c>
      <c r="S245" s="553">
        <v>0</v>
      </c>
      <c r="T245" s="785"/>
      <c r="U245" s="409">
        <f t="shared" si="61"/>
        <v>0</v>
      </c>
      <c r="X245" s="363">
        <v>0</v>
      </c>
      <c r="Y245" s="775">
        <f t="shared" si="52"/>
        <v>0</v>
      </c>
      <c r="Z245" s="776">
        <f>IF(X246,_xll.qDateYears(X245,X246,DCCfloat),0)</f>
        <v>0</v>
      </c>
      <c r="AA245" s="553">
        <v>0</v>
      </c>
      <c r="AB245" s="789">
        <f>IF($X245=0,0,      _xll.qDateNext($X245,AB$12,"M",FRM&lt;&gt;"Calypso",CCY))</f>
        <v>0</v>
      </c>
      <c r="AC245" s="789">
        <f>IF($X245=0,0,      _xll.qDateNext($X245,AC$12,"M",FRM&lt;&gt;"Calypso",CCY))</f>
        <v>0</v>
      </c>
      <c r="AD245" s="789">
        <f>IF($X245=0,0,      _xll.qDateNext($X245,AD$12,"M",FRM&lt;&gt;"Calypso",CCY))</f>
        <v>0</v>
      </c>
      <c r="AE245" s="789">
        <f>IF($X245=0,0,      _xll.qDateNext($X245,AE$12,"M",FRM&lt;&gt;"Calypso",CCY))</f>
        <v>0</v>
      </c>
      <c r="AF245" s="789">
        <f>IF($X245=0,0,      _xll.qDateNext($X245,AF$12,"M",FRM&lt;&gt;"Calypso",CCY))</f>
        <v>0</v>
      </c>
      <c r="AG245" s="789">
        <f>IF($X245=0,0,      _xll.qDateNext($X245,AG$12,"M",FRM&lt;&gt;"Calypso",CCY))</f>
        <v>0</v>
      </c>
      <c r="AH245" s="789">
        <f>IF($X245=0,0,      _xll.qDateNext($X245,AH$12,"M",FRM&lt;&gt;"Calypso",CCY))</f>
        <v>0</v>
      </c>
      <c r="AI245" s="789">
        <f>IF($X245=0,0,      _xll.qDateNext($X245,AI$12,"M",FRM&lt;&gt;"Calypso",CCY))</f>
        <v>0</v>
      </c>
      <c r="AJ245" s="529" t="str">
        <v/>
      </c>
      <c r="AK245" s="529" t="str">
        <v/>
      </c>
      <c r="AL245" s="529" t="str">
        <v/>
      </c>
      <c r="AM245" s="529" t="str">
        <v/>
      </c>
      <c r="AN245" s="529" t="str">
        <v/>
      </c>
      <c r="AO245" s="529" t="str">
        <v/>
      </c>
      <c r="AP245" s="529" t="str">
        <v/>
      </c>
      <c r="AQ245" s="529" t="str">
        <v/>
      </c>
      <c r="AR245" s="529">
        <v>0</v>
      </c>
      <c r="AS245" s="529">
        <v>0</v>
      </c>
      <c r="AT245" s="529">
        <f t="shared" si="62"/>
        <v>0</v>
      </c>
      <c r="AU245" s="529">
        <v>0</v>
      </c>
      <c r="AV245" s="529">
        <f t="shared" si="63"/>
        <v>0</v>
      </c>
      <c r="AW245" s="529">
        <f t="shared" si="64"/>
        <v>0</v>
      </c>
      <c r="AX245" s="529">
        <v>0</v>
      </c>
      <c r="AY245" s="529">
        <v>0</v>
      </c>
      <c r="AZ245" s="761">
        <f t="shared" si="53"/>
        <v>0</v>
      </c>
      <c r="BA245" s="761">
        <f t="shared" si="54"/>
        <v>0</v>
      </c>
      <c r="BB245" s="761">
        <f t="shared" si="55"/>
        <v>0</v>
      </c>
      <c r="BC245" s="761">
        <f t="shared" si="56"/>
        <v>0</v>
      </c>
      <c r="BD245" s="761">
        <f t="shared" si="57"/>
        <v>0</v>
      </c>
      <c r="BE245" s="761">
        <f t="shared" si="58"/>
        <v>0</v>
      </c>
      <c r="BF245" s="761">
        <f t="shared" si="59"/>
        <v>0</v>
      </c>
      <c r="BG245" s="761">
        <f t="shared" si="60"/>
        <v>0</v>
      </c>
      <c r="BH245" s="777">
        <v>0</v>
      </c>
      <c r="BI245" s="755"/>
      <c r="BJ245" s="778">
        <f>IF(X246=0,0,           IF(ISNUMBER(BI245),BI245,               IF(ISTEXT(BI245),INDEX(AZ245:BG245,MATCH(BI245,$AZ$12:$BG$12,0)),             IF(BH245="INT",_xll.qInterp(X246,AB245:AI245,AZ245:BG245),            INDEX(AZ245:BG245,MATCH(BH245,$AZ$12:$BG$12,0))))))</f>
        <v>0</v>
      </c>
      <c r="BK245" s="408">
        <f t="shared" si="65"/>
        <v>0</v>
      </c>
      <c r="BL245" s="414">
        <f t="shared" si="66"/>
        <v>0</v>
      </c>
      <c r="BM245" s="408">
        <f t="shared" si="67"/>
        <v>0</v>
      </c>
    </row>
    <row r="246" spans="16:65">
      <c r="P246" s="779">
        <v>0</v>
      </c>
      <c r="Q246" s="780">
        <f t="shared" si="51"/>
        <v>0</v>
      </c>
      <c r="R246" s="776">
        <f>IF(P247,_xll.qDateYears(P246,P247,DCCfixed),0)</f>
        <v>0</v>
      </c>
      <c r="S246" s="553">
        <v>0</v>
      </c>
      <c r="T246" s="785"/>
      <c r="U246" s="409">
        <f t="shared" si="61"/>
        <v>0</v>
      </c>
      <c r="X246" s="363">
        <v>0</v>
      </c>
      <c r="Y246" s="775">
        <f t="shared" si="52"/>
        <v>0</v>
      </c>
      <c r="Z246" s="776">
        <f>IF(X247,_xll.qDateYears(X246,X247,DCCfloat),0)</f>
        <v>0</v>
      </c>
      <c r="AA246" s="553">
        <v>0</v>
      </c>
      <c r="AB246" s="789">
        <f>IF($X246=0,0,      _xll.qDateNext($X246,AB$12,"M",FRM&lt;&gt;"Calypso",CCY))</f>
        <v>0</v>
      </c>
      <c r="AC246" s="789">
        <f>IF($X246=0,0,      _xll.qDateNext($X246,AC$12,"M",FRM&lt;&gt;"Calypso",CCY))</f>
        <v>0</v>
      </c>
      <c r="AD246" s="789">
        <f>IF($X246=0,0,      _xll.qDateNext($X246,AD$12,"M",FRM&lt;&gt;"Calypso",CCY))</f>
        <v>0</v>
      </c>
      <c r="AE246" s="789">
        <f>IF($X246=0,0,      _xll.qDateNext($X246,AE$12,"M",FRM&lt;&gt;"Calypso",CCY))</f>
        <v>0</v>
      </c>
      <c r="AF246" s="789">
        <f>IF($X246=0,0,      _xll.qDateNext($X246,AF$12,"M",FRM&lt;&gt;"Calypso",CCY))</f>
        <v>0</v>
      </c>
      <c r="AG246" s="789">
        <f>IF($X246=0,0,      _xll.qDateNext($X246,AG$12,"M",FRM&lt;&gt;"Calypso",CCY))</f>
        <v>0</v>
      </c>
      <c r="AH246" s="789">
        <f>IF($X246=0,0,      _xll.qDateNext($X246,AH$12,"M",FRM&lt;&gt;"Calypso",CCY))</f>
        <v>0</v>
      </c>
      <c r="AI246" s="789">
        <f>IF($X246=0,0,      _xll.qDateNext($X246,AI$12,"M",FRM&lt;&gt;"Calypso",CCY))</f>
        <v>0</v>
      </c>
      <c r="AJ246" s="529" t="str">
        <v/>
      </c>
      <c r="AK246" s="529" t="str">
        <v/>
      </c>
      <c r="AL246" s="529" t="str">
        <v/>
      </c>
      <c r="AM246" s="529" t="str">
        <v/>
      </c>
      <c r="AN246" s="529" t="str">
        <v/>
      </c>
      <c r="AO246" s="529" t="str">
        <v/>
      </c>
      <c r="AP246" s="529" t="str">
        <v/>
      </c>
      <c r="AQ246" s="529" t="str">
        <v/>
      </c>
      <c r="AR246" s="529">
        <v>0</v>
      </c>
      <c r="AS246" s="529">
        <v>0</v>
      </c>
      <c r="AT246" s="529">
        <f t="shared" si="62"/>
        <v>0</v>
      </c>
      <c r="AU246" s="529">
        <v>0</v>
      </c>
      <c r="AV246" s="529">
        <f t="shared" si="63"/>
        <v>0</v>
      </c>
      <c r="AW246" s="529">
        <f t="shared" si="64"/>
        <v>0</v>
      </c>
      <c r="AX246" s="529">
        <v>0</v>
      </c>
      <c r="AY246" s="529">
        <v>0</v>
      </c>
      <c r="AZ246" s="761">
        <f t="shared" si="53"/>
        <v>0</v>
      </c>
      <c r="BA246" s="761">
        <f t="shared" si="54"/>
        <v>0</v>
      </c>
      <c r="BB246" s="761">
        <f t="shared" si="55"/>
        <v>0</v>
      </c>
      <c r="BC246" s="761">
        <f t="shared" si="56"/>
        <v>0</v>
      </c>
      <c r="BD246" s="761">
        <f t="shared" si="57"/>
        <v>0</v>
      </c>
      <c r="BE246" s="761">
        <f t="shared" si="58"/>
        <v>0</v>
      </c>
      <c r="BF246" s="761">
        <f t="shared" si="59"/>
        <v>0</v>
      </c>
      <c r="BG246" s="761">
        <f t="shared" si="60"/>
        <v>0</v>
      </c>
      <c r="BH246" s="777">
        <v>0</v>
      </c>
      <c r="BI246" s="755"/>
      <c r="BJ246" s="778">
        <f>IF(X247=0,0,           IF(ISNUMBER(BI246),BI246,               IF(ISTEXT(BI246),INDEX(AZ246:BG246,MATCH(BI246,$AZ$12:$BG$12,0)),             IF(BH246="INT",_xll.qInterp(X247,AB246:AI246,AZ246:BG246),            INDEX(AZ246:BG246,MATCH(BH246,$AZ$12:$BG$12,0))))))</f>
        <v>0</v>
      </c>
      <c r="BK246" s="408">
        <f t="shared" si="65"/>
        <v>0</v>
      </c>
      <c r="BL246" s="414">
        <f t="shared" si="66"/>
        <v>0</v>
      </c>
      <c r="BM246" s="408">
        <f t="shared" si="67"/>
        <v>0</v>
      </c>
    </row>
    <row r="247" spans="16:65">
      <c r="P247" s="779">
        <v>0</v>
      </c>
      <c r="Q247" s="780">
        <f t="shared" si="51"/>
        <v>0</v>
      </c>
      <c r="R247" s="776">
        <f>IF(P248,_xll.qDateYears(P247,P248,DCCfixed),0)</f>
        <v>0</v>
      </c>
      <c r="S247" s="553">
        <v>0</v>
      </c>
      <c r="T247" s="785"/>
      <c r="U247" s="409">
        <f t="shared" si="61"/>
        <v>0</v>
      </c>
      <c r="X247" s="363">
        <v>0</v>
      </c>
      <c r="Y247" s="775">
        <f t="shared" si="52"/>
        <v>0</v>
      </c>
      <c r="Z247" s="776">
        <f>IF(X248,_xll.qDateYears(X247,X248,DCCfloat),0)</f>
        <v>0</v>
      </c>
      <c r="AA247" s="553">
        <v>0</v>
      </c>
      <c r="AB247" s="789">
        <f>IF($X247=0,0,      _xll.qDateNext($X247,AB$12,"M",FRM&lt;&gt;"Calypso",CCY))</f>
        <v>0</v>
      </c>
      <c r="AC247" s="789">
        <f>IF($X247=0,0,      _xll.qDateNext($X247,AC$12,"M",FRM&lt;&gt;"Calypso",CCY))</f>
        <v>0</v>
      </c>
      <c r="AD247" s="789">
        <f>IF($X247=0,0,      _xll.qDateNext($X247,AD$12,"M",FRM&lt;&gt;"Calypso",CCY))</f>
        <v>0</v>
      </c>
      <c r="AE247" s="789">
        <f>IF($X247=0,0,      _xll.qDateNext($X247,AE$12,"M",FRM&lt;&gt;"Calypso",CCY))</f>
        <v>0</v>
      </c>
      <c r="AF247" s="789">
        <f>IF($X247=0,0,      _xll.qDateNext($X247,AF$12,"M",FRM&lt;&gt;"Calypso",CCY))</f>
        <v>0</v>
      </c>
      <c r="AG247" s="789">
        <f>IF($X247=0,0,      _xll.qDateNext($X247,AG$12,"M",FRM&lt;&gt;"Calypso",CCY))</f>
        <v>0</v>
      </c>
      <c r="AH247" s="789">
        <f>IF($X247=0,0,      _xll.qDateNext($X247,AH$12,"M",FRM&lt;&gt;"Calypso",CCY))</f>
        <v>0</v>
      </c>
      <c r="AI247" s="789">
        <f>IF($X247=0,0,      _xll.qDateNext($X247,AI$12,"M",FRM&lt;&gt;"Calypso",CCY))</f>
        <v>0</v>
      </c>
      <c r="AJ247" s="529" t="str">
        <v/>
      </c>
      <c r="AK247" s="529" t="str">
        <v/>
      </c>
      <c r="AL247" s="529" t="str">
        <v/>
      </c>
      <c r="AM247" s="529" t="str">
        <v/>
      </c>
      <c r="AN247" s="529" t="str">
        <v/>
      </c>
      <c r="AO247" s="529" t="str">
        <v/>
      </c>
      <c r="AP247" s="529" t="str">
        <v/>
      </c>
      <c r="AQ247" s="529" t="str">
        <v/>
      </c>
      <c r="AR247" s="529">
        <v>0</v>
      </c>
      <c r="AS247" s="529">
        <v>0</v>
      </c>
      <c r="AT247" s="529">
        <f t="shared" si="62"/>
        <v>0</v>
      </c>
      <c r="AU247" s="529">
        <v>0</v>
      </c>
      <c r="AV247" s="529">
        <f t="shared" si="63"/>
        <v>0</v>
      </c>
      <c r="AW247" s="529">
        <f t="shared" si="64"/>
        <v>0</v>
      </c>
      <c r="AX247" s="529">
        <v>0</v>
      </c>
      <c r="AY247" s="529">
        <v>0</v>
      </c>
      <c r="AZ247" s="761">
        <f t="shared" si="53"/>
        <v>0</v>
      </c>
      <c r="BA247" s="761">
        <f t="shared" si="54"/>
        <v>0</v>
      </c>
      <c r="BB247" s="761">
        <f t="shared" si="55"/>
        <v>0</v>
      </c>
      <c r="BC247" s="761">
        <f t="shared" si="56"/>
        <v>0</v>
      </c>
      <c r="BD247" s="761">
        <f t="shared" si="57"/>
        <v>0</v>
      </c>
      <c r="BE247" s="761">
        <f t="shared" si="58"/>
        <v>0</v>
      </c>
      <c r="BF247" s="761">
        <f t="shared" si="59"/>
        <v>0</v>
      </c>
      <c r="BG247" s="761">
        <f t="shared" si="60"/>
        <v>0</v>
      </c>
      <c r="BH247" s="777">
        <v>0</v>
      </c>
      <c r="BI247" s="755"/>
      <c r="BJ247" s="778">
        <f>IF(X248=0,0,           IF(ISNUMBER(BI247),BI247,               IF(ISTEXT(BI247),INDEX(AZ247:BG247,MATCH(BI247,$AZ$12:$BG$12,0)),             IF(BH247="INT",_xll.qInterp(X248,AB247:AI247,AZ247:BG247),            INDEX(AZ247:BG247,MATCH(BH247,$AZ$12:$BG$12,0))))))</f>
        <v>0</v>
      </c>
      <c r="BK247" s="408">
        <f t="shared" si="65"/>
        <v>0</v>
      </c>
      <c r="BL247" s="414">
        <f t="shared" si="66"/>
        <v>0</v>
      </c>
      <c r="BM247" s="408">
        <f t="shared" si="67"/>
        <v>0</v>
      </c>
    </row>
    <row r="248" spans="16:65">
      <c r="P248" s="779">
        <v>0</v>
      </c>
      <c r="Q248" s="780">
        <f t="shared" si="51"/>
        <v>0</v>
      </c>
      <c r="R248" s="776">
        <f>IF(P249,_xll.qDateYears(P248,P249,DCCfixed),0)</f>
        <v>0</v>
      </c>
      <c r="S248" s="553">
        <v>0</v>
      </c>
      <c r="T248" s="785"/>
      <c r="U248" s="409">
        <f t="shared" si="61"/>
        <v>0</v>
      </c>
      <c r="X248" s="363">
        <v>0</v>
      </c>
      <c r="Y248" s="775">
        <f t="shared" si="52"/>
        <v>0</v>
      </c>
      <c r="Z248" s="776">
        <f>IF(X249,_xll.qDateYears(X248,X249,DCCfloat),0)</f>
        <v>0</v>
      </c>
      <c r="AA248" s="553">
        <v>0</v>
      </c>
      <c r="AB248" s="789">
        <f>IF($X248=0,0,      _xll.qDateNext($X248,AB$12,"M",FRM&lt;&gt;"Calypso",CCY))</f>
        <v>0</v>
      </c>
      <c r="AC248" s="789">
        <f>IF($X248=0,0,      _xll.qDateNext($X248,AC$12,"M",FRM&lt;&gt;"Calypso",CCY))</f>
        <v>0</v>
      </c>
      <c r="AD248" s="789">
        <f>IF($X248=0,0,      _xll.qDateNext($X248,AD$12,"M",FRM&lt;&gt;"Calypso",CCY))</f>
        <v>0</v>
      </c>
      <c r="AE248" s="789">
        <f>IF($X248=0,0,      _xll.qDateNext($X248,AE$12,"M",FRM&lt;&gt;"Calypso",CCY))</f>
        <v>0</v>
      </c>
      <c r="AF248" s="789">
        <f>IF($X248=0,0,      _xll.qDateNext($X248,AF$12,"M",FRM&lt;&gt;"Calypso",CCY))</f>
        <v>0</v>
      </c>
      <c r="AG248" s="789">
        <f>IF($X248=0,0,      _xll.qDateNext($X248,AG$12,"M",FRM&lt;&gt;"Calypso",CCY))</f>
        <v>0</v>
      </c>
      <c r="AH248" s="789">
        <f>IF($X248=0,0,      _xll.qDateNext($X248,AH$12,"M",FRM&lt;&gt;"Calypso",CCY))</f>
        <v>0</v>
      </c>
      <c r="AI248" s="789">
        <f>IF($X248=0,0,      _xll.qDateNext($X248,AI$12,"M",FRM&lt;&gt;"Calypso",CCY))</f>
        <v>0</v>
      </c>
      <c r="AJ248" s="529" t="str">
        <v/>
      </c>
      <c r="AK248" s="529" t="str">
        <v/>
      </c>
      <c r="AL248" s="529" t="str">
        <v/>
      </c>
      <c r="AM248" s="529" t="str">
        <v/>
      </c>
      <c r="AN248" s="529" t="str">
        <v/>
      </c>
      <c r="AO248" s="529" t="str">
        <v/>
      </c>
      <c r="AP248" s="529" t="str">
        <v/>
      </c>
      <c r="AQ248" s="529" t="str">
        <v/>
      </c>
      <c r="AR248" s="529">
        <v>0</v>
      </c>
      <c r="AS248" s="529">
        <v>0</v>
      </c>
      <c r="AT248" s="529">
        <f t="shared" si="62"/>
        <v>0</v>
      </c>
      <c r="AU248" s="529">
        <v>0</v>
      </c>
      <c r="AV248" s="529">
        <f t="shared" si="63"/>
        <v>0</v>
      </c>
      <c r="AW248" s="529">
        <f t="shared" si="64"/>
        <v>0</v>
      </c>
      <c r="AX248" s="529">
        <v>0</v>
      </c>
      <c r="AY248" s="529">
        <v>0</v>
      </c>
      <c r="AZ248" s="761">
        <f t="shared" si="53"/>
        <v>0</v>
      </c>
      <c r="BA248" s="761">
        <f t="shared" si="54"/>
        <v>0</v>
      </c>
      <c r="BB248" s="761">
        <f t="shared" si="55"/>
        <v>0</v>
      </c>
      <c r="BC248" s="761">
        <f t="shared" si="56"/>
        <v>0</v>
      </c>
      <c r="BD248" s="761">
        <f t="shared" si="57"/>
        <v>0</v>
      </c>
      <c r="BE248" s="761">
        <f t="shared" si="58"/>
        <v>0</v>
      </c>
      <c r="BF248" s="761">
        <f t="shared" si="59"/>
        <v>0</v>
      </c>
      <c r="BG248" s="761">
        <f t="shared" si="60"/>
        <v>0</v>
      </c>
      <c r="BH248" s="777">
        <v>0</v>
      </c>
      <c r="BI248" s="755"/>
      <c r="BJ248" s="778">
        <f>IF(X249=0,0,           IF(ISNUMBER(BI248),BI248,               IF(ISTEXT(BI248),INDEX(AZ248:BG248,MATCH(BI248,$AZ$12:$BG$12,0)),             IF(BH248="INT",_xll.qInterp(X249,AB248:AI248,AZ248:BG248),            INDEX(AZ248:BG248,MATCH(BH248,$AZ$12:$BG$12,0))))))</f>
        <v>0</v>
      </c>
      <c r="BK248" s="408">
        <f t="shared" si="65"/>
        <v>0</v>
      </c>
      <c r="BL248" s="414">
        <f t="shared" si="66"/>
        <v>0</v>
      </c>
      <c r="BM248" s="408">
        <f t="shared" si="67"/>
        <v>0</v>
      </c>
    </row>
    <row r="249" spans="16:65">
      <c r="P249" s="779">
        <v>0</v>
      </c>
      <c r="Q249" s="780">
        <f t="shared" si="51"/>
        <v>0</v>
      </c>
      <c r="R249" s="776">
        <f>IF(P250,_xll.qDateYears(P249,P250,DCCfixed),0)</f>
        <v>0</v>
      </c>
      <c r="S249" s="553">
        <v>0</v>
      </c>
      <c r="T249" s="785"/>
      <c r="U249" s="409">
        <f t="shared" si="61"/>
        <v>0</v>
      </c>
      <c r="X249" s="363">
        <v>0</v>
      </c>
      <c r="Y249" s="775">
        <f t="shared" si="52"/>
        <v>0</v>
      </c>
      <c r="Z249" s="776">
        <f>IF(X250,_xll.qDateYears(X249,X250,DCCfloat),0)</f>
        <v>0</v>
      </c>
      <c r="AA249" s="553">
        <v>0</v>
      </c>
      <c r="AB249" s="789">
        <f>IF($X249=0,0,      _xll.qDateNext($X249,AB$12,"M",FRM&lt;&gt;"Calypso",CCY))</f>
        <v>0</v>
      </c>
      <c r="AC249" s="789">
        <f>IF($X249=0,0,      _xll.qDateNext($X249,AC$12,"M",FRM&lt;&gt;"Calypso",CCY))</f>
        <v>0</v>
      </c>
      <c r="AD249" s="789">
        <f>IF($X249=0,0,      _xll.qDateNext($X249,AD$12,"M",FRM&lt;&gt;"Calypso",CCY))</f>
        <v>0</v>
      </c>
      <c r="AE249" s="789">
        <f>IF($X249=0,0,      _xll.qDateNext($X249,AE$12,"M",FRM&lt;&gt;"Calypso",CCY))</f>
        <v>0</v>
      </c>
      <c r="AF249" s="789">
        <f>IF($X249=0,0,      _xll.qDateNext($X249,AF$12,"M",FRM&lt;&gt;"Calypso",CCY))</f>
        <v>0</v>
      </c>
      <c r="AG249" s="789">
        <f>IF($X249=0,0,      _xll.qDateNext($X249,AG$12,"M",FRM&lt;&gt;"Calypso",CCY))</f>
        <v>0</v>
      </c>
      <c r="AH249" s="789">
        <f>IF($X249=0,0,      _xll.qDateNext($X249,AH$12,"M",FRM&lt;&gt;"Calypso",CCY))</f>
        <v>0</v>
      </c>
      <c r="AI249" s="789">
        <f>IF($X249=0,0,      _xll.qDateNext($X249,AI$12,"M",FRM&lt;&gt;"Calypso",CCY))</f>
        <v>0</v>
      </c>
      <c r="AJ249" s="529" t="str">
        <v/>
      </c>
      <c r="AK249" s="529" t="str">
        <v/>
      </c>
      <c r="AL249" s="529" t="str">
        <v/>
      </c>
      <c r="AM249" s="529" t="str">
        <v/>
      </c>
      <c r="AN249" s="529" t="str">
        <v/>
      </c>
      <c r="AO249" s="529" t="str">
        <v/>
      </c>
      <c r="AP249" s="529" t="str">
        <v/>
      </c>
      <c r="AQ249" s="529" t="str">
        <v/>
      </c>
      <c r="AR249" s="529">
        <v>0</v>
      </c>
      <c r="AS249" s="529">
        <v>0</v>
      </c>
      <c r="AT249" s="529">
        <f t="shared" si="62"/>
        <v>0</v>
      </c>
      <c r="AU249" s="529">
        <v>0</v>
      </c>
      <c r="AV249" s="529">
        <f t="shared" si="63"/>
        <v>0</v>
      </c>
      <c r="AW249" s="529">
        <f t="shared" si="64"/>
        <v>0</v>
      </c>
      <c r="AX249" s="529">
        <v>0</v>
      </c>
      <c r="AY249" s="529">
        <v>0</v>
      </c>
      <c r="AZ249" s="761">
        <f t="shared" si="53"/>
        <v>0</v>
      </c>
      <c r="BA249" s="761">
        <f t="shared" si="54"/>
        <v>0</v>
      </c>
      <c r="BB249" s="761">
        <f t="shared" si="55"/>
        <v>0</v>
      </c>
      <c r="BC249" s="761">
        <f t="shared" si="56"/>
        <v>0</v>
      </c>
      <c r="BD249" s="761">
        <f t="shared" si="57"/>
        <v>0</v>
      </c>
      <c r="BE249" s="761">
        <f t="shared" si="58"/>
        <v>0</v>
      </c>
      <c r="BF249" s="761">
        <f t="shared" si="59"/>
        <v>0</v>
      </c>
      <c r="BG249" s="761">
        <f t="shared" si="60"/>
        <v>0</v>
      </c>
      <c r="BH249" s="777">
        <v>0</v>
      </c>
      <c r="BI249" s="755"/>
      <c r="BJ249" s="778">
        <f>IF(X250=0,0,           IF(ISNUMBER(BI249),BI249,               IF(ISTEXT(BI249),INDEX(AZ249:BG249,MATCH(BI249,$AZ$12:$BG$12,0)),             IF(BH249="INT",_xll.qInterp(X250,AB249:AI249,AZ249:BG249),            INDEX(AZ249:BG249,MATCH(BH249,$AZ$12:$BG$12,0))))))</f>
        <v>0</v>
      </c>
      <c r="BK249" s="408">
        <f t="shared" si="65"/>
        <v>0</v>
      </c>
      <c r="BL249" s="414">
        <f t="shared" si="66"/>
        <v>0</v>
      </c>
      <c r="BM249" s="408">
        <f t="shared" si="67"/>
        <v>0</v>
      </c>
    </row>
    <row r="250" spans="16:65">
      <c r="P250" s="779">
        <v>0</v>
      </c>
      <c r="Q250" s="780">
        <f t="shared" si="51"/>
        <v>0</v>
      </c>
      <c r="R250" s="776">
        <f>IF(P251,_xll.qDateYears(P250,P251,DCCfixed),0)</f>
        <v>0</v>
      </c>
      <c r="S250" s="553">
        <v>0</v>
      </c>
      <c r="T250" s="785"/>
      <c r="U250" s="409">
        <f t="shared" si="61"/>
        <v>0</v>
      </c>
      <c r="X250" s="363">
        <v>0</v>
      </c>
      <c r="Y250" s="775">
        <f t="shared" si="52"/>
        <v>0</v>
      </c>
      <c r="Z250" s="776">
        <f>IF(X251,_xll.qDateYears(X250,X251,DCCfloat),0)</f>
        <v>0</v>
      </c>
      <c r="AA250" s="553">
        <v>0</v>
      </c>
      <c r="AB250" s="789">
        <f>IF($X250=0,0,      _xll.qDateNext($X250,AB$12,"M",FRM&lt;&gt;"Calypso",CCY))</f>
        <v>0</v>
      </c>
      <c r="AC250" s="789">
        <f>IF($X250=0,0,      _xll.qDateNext($X250,AC$12,"M",FRM&lt;&gt;"Calypso",CCY))</f>
        <v>0</v>
      </c>
      <c r="AD250" s="789">
        <f>IF($X250=0,0,      _xll.qDateNext($X250,AD$12,"M",FRM&lt;&gt;"Calypso",CCY))</f>
        <v>0</v>
      </c>
      <c r="AE250" s="789">
        <f>IF($X250=0,0,      _xll.qDateNext($X250,AE$12,"M",FRM&lt;&gt;"Calypso",CCY))</f>
        <v>0</v>
      </c>
      <c r="AF250" s="789">
        <f>IF($X250=0,0,      _xll.qDateNext($X250,AF$12,"M",FRM&lt;&gt;"Calypso",CCY))</f>
        <v>0</v>
      </c>
      <c r="AG250" s="789">
        <f>IF($X250=0,0,      _xll.qDateNext($X250,AG$12,"M",FRM&lt;&gt;"Calypso",CCY))</f>
        <v>0</v>
      </c>
      <c r="AH250" s="789">
        <f>IF($X250=0,0,      _xll.qDateNext($X250,AH$12,"M",FRM&lt;&gt;"Calypso",CCY))</f>
        <v>0</v>
      </c>
      <c r="AI250" s="789">
        <f>IF($X250=0,0,      _xll.qDateNext($X250,AI$12,"M",FRM&lt;&gt;"Calypso",CCY))</f>
        <v>0</v>
      </c>
      <c r="AJ250" s="529" t="str">
        <v/>
      </c>
      <c r="AK250" s="529" t="str">
        <v/>
      </c>
      <c r="AL250" s="529" t="str">
        <v/>
      </c>
      <c r="AM250" s="529" t="str">
        <v/>
      </c>
      <c r="AN250" s="529" t="str">
        <v/>
      </c>
      <c r="AO250" s="529" t="str">
        <v/>
      </c>
      <c r="AP250" s="529" t="str">
        <v/>
      </c>
      <c r="AQ250" s="529" t="str">
        <v/>
      </c>
      <c r="AR250" s="529">
        <v>0</v>
      </c>
      <c r="AS250" s="529">
        <v>0</v>
      </c>
      <c r="AT250" s="529">
        <f t="shared" si="62"/>
        <v>0</v>
      </c>
      <c r="AU250" s="529">
        <v>0</v>
      </c>
      <c r="AV250" s="529">
        <f t="shared" si="63"/>
        <v>0</v>
      </c>
      <c r="AW250" s="529">
        <f t="shared" si="64"/>
        <v>0</v>
      </c>
      <c r="AX250" s="529">
        <v>0</v>
      </c>
      <c r="AY250" s="529">
        <v>0</v>
      </c>
      <c r="AZ250" s="761">
        <f t="shared" si="53"/>
        <v>0</v>
      </c>
      <c r="BA250" s="761">
        <f t="shared" si="54"/>
        <v>0</v>
      </c>
      <c r="BB250" s="761">
        <f t="shared" si="55"/>
        <v>0</v>
      </c>
      <c r="BC250" s="761">
        <f t="shared" si="56"/>
        <v>0</v>
      </c>
      <c r="BD250" s="761">
        <f t="shared" si="57"/>
        <v>0</v>
      </c>
      <c r="BE250" s="761">
        <f t="shared" si="58"/>
        <v>0</v>
      </c>
      <c r="BF250" s="761">
        <f t="shared" si="59"/>
        <v>0</v>
      </c>
      <c r="BG250" s="761">
        <f t="shared" si="60"/>
        <v>0</v>
      </c>
      <c r="BH250" s="777">
        <v>0</v>
      </c>
      <c r="BI250" s="755"/>
      <c r="BJ250" s="778">
        <f>IF(X251=0,0,           IF(ISNUMBER(BI250),BI250,               IF(ISTEXT(BI250),INDEX(AZ250:BG250,MATCH(BI250,$AZ$12:$BG$12,0)),             IF(BH250="INT",_xll.qInterp(X251,AB250:AI250,AZ250:BG250),            INDEX(AZ250:BG250,MATCH(BH250,$AZ$12:$BG$12,0))))))</f>
        <v>0</v>
      </c>
      <c r="BK250" s="408">
        <f t="shared" si="65"/>
        <v>0</v>
      </c>
      <c r="BL250" s="414">
        <f t="shared" si="66"/>
        <v>0</v>
      </c>
      <c r="BM250" s="408">
        <f t="shared" si="67"/>
        <v>0</v>
      </c>
    </row>
    <row r="251" spans="16:65">
      <c r="P251" s="779">
        <v>0</v>
      </c>
      <c r="Q251" s="780">
        <f t="shared" si="51"/>
        <v>0</v>
      </c>
      <c r="R251" s="776">
        <f>IF(P252,_xll.qDateYears(P251,P252,DCCfixed),0)</f>
        <v>0</v>
      </c>
      <c r="S251" s="553">
        <v>0</v>
      </c>
      <c r="T251" s="785"/>
      <c r="U251" s="409">
        <f t="shared" si="61"/>
        <v>0</v>
      </c>
      <c r="X251" s="363">
        <v>0</v>
      </c>
      <c r="Y251" s="775">
        <f t="shared" si="52"/>
        <v>0</v>
      </c>
      <c r="Z251" s="776">
        <f>IF(X252,_xll.qDateYears(X251,X252,DCCfloat),0)</f>
        <v>0</v>
      </c>
      <c r="AA251" s="553">
        <v>0</v>
      </c>
      <c r="AB251" s="789">
        <f>IF($X251=0,0,      _xll.qDateNext($X251,AB$12,"M",FRM&lt;&gt;"Calypso",CCY))</f>
        <v>0</v>
      </c>
      <c r="AC251" s="789">
        <f>IF($X251=0,0,      _xll.qDateNext($X251,AC$12,"M",FRM&lt;&gt;"Calypso",CCY))</f>
        <v>0</v>
      </c>
      <c r="AD251" s="789">
        <f>IF($X251=0,0,      _xll.qDateNext($X251,AD$12,"M",FRM&lt;&gt;"Calypso",CCY))</f>
        <v>0</v>
      </c>
      <c r="AE251" s="789">
        <f>IF($X251=0,0,      _xll.qDateNext($X251,AE$12,"M",FRM&lt;&gt;"Calypso",CCY))</f>
        <v>0</v>
      </c>
      <c r="AF251" s="789">
        <f>IF($X251=0,0,      _xll.qDateNext($X251,AF$12,"M",FRM&lt;&gt;"Calypso",CCY))</f>
        <v>0</v>
      </c>
      <c r="AG251" s="789">
        <f>IF($X251=0,0,      _xll.qDateNext($X251,AG$12,"M",FRM&lt;&gt;"Calypso",CCY))</f>
        <v>0</v>
      </c>
      <c r="AH251" s="789">
        <f>IF($X251=0,0,      _xll.qDateNext($X251,AH$12,"M",FRM&lt;&gt;"Calypso",CCY))</f>
        <v>0</v>
      </c>
      <c r="AI251" s="789">
        <f>IF($X251=0,0,      _xll.qDateNext($X251,AI$12,"M",FRM&lt;&gt;"Calypso",CCY))</f>
        <v>0</v>
      </c>
      <c r="AJ251" s="529" t="str">
        <v/>
      </c>
      <c r="AK251" s="529" t="str">
        <v/>
      </c>
      <c r="AL251" s="529" t="str">
        <v/>
      </c>
      <c r="AM251" s="529" t="str">
        <v/>
      </c>
      <c r="AN251" s="529" t="str">
        <v/>
      </c>
      <c r="AO251" s="529" t="str">
        <v/>
      </c>
      <c r="AP251" s="529" t="str">
        <v/>
      </c>
      <c r="AQ251" s="529" t="str">
        <v/>
      </c>
      <c r="AR251" s="529">
        <v>0</v>
      </c>
      <c r="AS251" s="529">
        <v>0</v>
      </c>
      <c r="AT251" s="529">
        <f t="shared" si="62"/>
        <v>0</v>
      </c>
      <c r="AU251" s="529">
        <v>0</v>
      </c>
      <c r="AV251" s="529">
        <f t="shared" si="63"/>
        <v>0</v>
      </c>
      <c r="AW251" s="529">
        <f t="shared" si="64"/>
        <v>0</v>
      </c>
      <c r="AX251" s="529">
        <v>0</v>
      </c>
      <c r="AY251" s="529">
        <v>0</v>
      </c>
      <c r="AZ251" s="761">
        <f t="shared" si="53"/>
        <v>0</v>
      </c>
      <c r="BA251" s="761">
        <f t="shared" si="54"/>
        <v>0</v>
      </c>
      <c r="BB251" s="761">
        <f t="shared" si="55"/>
        <v>0</v>
      </c>
      <c r="BC251" s="761">
        <f t="shared" si="56"/>
        <v>0</v>
      </c>
      <c r="BD251" s="761">
        <f t="shared" si="57"/>
        <v>0</v>
      </c>
      <c r="BE251" s="761">
        <f t="shared" si="58"/>
        <v>0</v>
      </c>
      <c r="BF251" s="761">
        <f t="shared" si="59"/>
        <v>0</v>
      </c>
      <c r="BG251" s="761">
        <f t="shared" si="60"/>
        <v>0</v>
      </c>
      <c r="BH251" s="777">
        <v>0</v>
      </c>
      <c r="BI251" s="755"/>
      <c r="BJ251" s="778">
        <f>IF(X252=0,0,           IF(ISNUMBER(BI251),BI251,               IF(ISTEXT(BI251),INDEX(AZ251:BG251,MATCH(BI251,$AZ$12:$BG$12,0)),             IF(BH251="INT",_xll.qInterp(X252,AB251:AI251,AZ251:BG251),            INDEX(AZ251:BG251,MATCH(BH251,$AZ$12:$BG$12,0))))))</f>
        <v>0</v>
      </c>
      <c r="BK251" s="408">
        <f t="shared" si="65"/>
        <v>0</v>
      </c>
      <c r="BL251" s="414">
        <f t="shared" si="66"/>
        <v>0</v>
      </c>
      <c r="BM251" s="408">
        <f t="shared" si="67"/>
        <v>0</v>
      </c>
    </row>
    <row r="252" spans="16:65">
      <c r="P252" s="779">
        <v>0</v>
      </c>
      <c r="Q252" s="780">
        <f t="shared" si="51"/>
        <v>0</v>
      </c>
      <c r="R252" s="776">
        <f>IF(P253,_xll.qDateYears(P252,P253,DCCfixed),0)</f>
        <v>0</v>
      </c>
      <c r="S252" s="553">
        <v>0</v>
      </c>
      <c r="T252" s="785"/>
      <c r="U252" s="409">
        <f t="shared" si="61"/>
        <v>0</v>
      </c>
      <c r="X252" s="363">
        <v>0</v>
      </c>
      <c r="Y252" s="775">
        <f t="shared" si="52"/>
        <v>0</v>
      </c>
      <c r="Z252" s="776">
        <f>IF(X253,_xll.qDateYears(X252,X253,DCCfloat),0)</f>
        <v>0</v>
      </c>
      <c r="AA252" s="553">
        <v>0</v>
      </c>
      <c r="AB252" s="789">
        <f>IF($X252=0,0,      _xll.qDateNext($X252,AB$12,"M",FRM&lt;&gt;"Calypso",CCY))</f>
        <v>0</v>
      </c>
      <c r="AC252" s="789">
        <f>IF($X252=0,0,      _xll.qDateNext($X252,AC$12,"M",FRM&lt;&gt;"Calypso",CCY))</f>
        <v>0</v>
      </c>
      <c r="AD252" s="789">
        <f>IF($X252=0,0,      _xll.qDateNext($X252,AD$12,"M",FRM&lt;&gt;"Calypso",CCY))</f>
        <v>0</v>
      </c>
      <c r="AE252" s="789">
        <f>IF($X252=0,0,      _xll.qDateNext($X252,AE$12,"M",FRM&lt;&gt;"Calypso",CCY))</f>
        <v>0</v>
      </c>
      <c r="AF252" s="789">
        <f>IF($X252=0,0,      _xll.qDateNext($X252,AF$12,"M",FRM&lt;&gt;"Calypso",CCY))</f>
        <v>0</v>
      </c>
      <c r="AG252" s="789">
        <f>IF($X252=0,0,      _xll.qDateNext($X252,AG$12,"M",FRM&lt;&gt;"Calypso",CCY))</f>
        <v>0</v>
      </c>
      <c r="AH252" s="789">
        <f>IF($X252=0,0,      _xll.qDateNext($X252,AH$12,"M",FRM&lt;&gt;"Calypso",CCY))</f>
        <v>0</v>
      </c>
      <c r="AI252" s="789">
        <f>IF($X252=0,0,      _xll.qDateNext($X252,AI$12,"M",FRM&lt;&gt;"Calypso",CCY))</f>
        <v>0</v>
      </c>
      <c r="AJ252" s="529" t="str">
        <v/>
      </c>
      <c r="AK252" s="529" t="str">
        <v/>
      </c>
      <c r="AL252" s="529" t="str">
        <v/>
      </c>
      <c r="AM252" s="529" t="str">
        <v/>
      </c>
      <c r="AN252" s="529" t="str">
        <v/>
      </c>
      <c r="AO252" s="529" t="str">
        <v/>
      </c>
      <c r="AP252" s="529" t="str">
        <v/>
      </c>
      <c r="AQ252" s="529" t="str">
        <v/>
      </c>
      <c r="AR252" s="529">
        <v>0</v>
      </c>
      <c r="AS252" s="529">
        <v>0</v>
      </c>
      <c r="AT252" s="529">
        <f t="shared" si="62"/>
        <v>0</v>
      </c>
      <c r="AU252" s="529">
        <v>0</v>
      </c>
      <c r="AV252" s="529">
        <f t="shared" si="63"/>
        <v>0</v>
      </c>
      <c r="AW252" s="529">
        <f t="shared" si="64"/>
        <v>0</v>
      </c>
      <c r="AX252" s="529">
        <v>0</v>
      </c>
      <c r="AY252" s="529">
        <v>0</v>
      </c>
      <c r="AZ252" s="761">
        <f t="shared" si="53"/>
        <v>0</v>
      </c>
      <c r="BA252" s="761">
        <f t="shared" si="54"/>
        <v>0</v>
      </c>
      <c r="BB252" s="761">
        <f t="shared" si="55"/>
        <v>0</v>
      </c>
      <c r="BC252" s="761">
        <f t="shared" si="56"/>
        <v>0</v>
      </c>
      <c r="BD252" s="761">
        <f t="shared" si="57"/>
        <v>0</v>
      </c>
      <c r="BE252" s="761">
        <f t="shared" si="58"/>
        <v>0</v>
      </c>
      <c r="BF252" s="761">
        <f t="shared" si="59"/>
        <v>0</v>
      </c>
      <c r="BG252" s="761">
        <f t="shared" si="60"/>
        <v>0</v>
      </c>
      <c r="BH252" s="777">
        <v>0</v>
      </c>
      <c r="BI252" s="755"/>
      <c r="BJ252" s="778">
        <f>IF(X253=0,0,           IF(ISNUMBER(BI252),BI252,               IF(ISTEXT(BI252),INDEX(AZ252:BG252,MATCH(BI252,$AZ$12:$BG$12,0)),             IF(BH252="INT",_xll.qInterp(X253,AB252:AI252,AZ252:BG252),            INDEX(AZ252:BG252,MATCH(BH252,$AZ$12:$BG$12,0))))))</f>
        <v>0</v>
      </c>
      <c r="BK252" s="408">
        <f t="shared" si="65"/>
        <v>0</v>
      </c>
      <c r="BL252" s="414">
        <f t="shared" si="66"/>
        <v>0</v>
      </c>
      <c r="BM252" s="408">
        <f t="shared" si="67"/>
        <v>0</v>
      </c>
    </row>
    <row r="253" spans="16:65">
      <c r="P253" s="779">
        <v>0</v>
      </c>
      <c r="Q253" s="780">
        <f t="shared" si="51"/>
        <v>0</v>
      </c>
      <c r="R253" s="776">
        <f>IF(P254,_xll.qDateYears(P253,P254,DCCfixed),0)</f>
        <v>0</v>
      </c>
      <c r="S253" s="553">
        <v>0</v>
      </c>
      <c r="T253" s="785"/>
      <c r="U253" s="409">
        <f t="shared" si="61"/>
        <v>0</v>
      </c>
      <c r="X253" s="363">
        <v>0</v>
      </c>
      <c r="Y253" s="775">
        <f t="shared" si="52"/>
        <v>0</v>
      </c>
      <c r="Z253" s="776">
        <f>IF(X254,_xll.qDateYears(X253,X254,DCCfloat),0)</f>
        <v>0</v>
      </c>
      <c r="AA253" s="553">
        <v>0</v>
      </c>
      <c r="AB253" s="789">
        <f>IF($X253=0,0,      _xll.qDateNext($X253,AB$12,"M",FRM&lt;&gt;"Calypso",CCY))</f>
        <v>0</v>
      </c>
      <c r="AC253" s="789">
        <f>IF($X253=0,0,      _xll.qDateNext($X253,AC$12,"M",FRM&lt;&gt;"Calypso",CCY))</f>
        <v>0</v>
      </c>
      <c r="AD253" s="789">
        <f>IF($X253=0,0,      _xll.qDateNext($X253,AD$12,"M",FRM&lt;&gt;"Calypso",CCY))</f>
        <v>0</v>
      </c>
      <c r="AE253" s="789">
        <f>IF($X253=0,0,      _xll.qDateNext($X253,AE$12,"M",FRM&lt;&gt;"Calypso",CCY))</f>
        <v>0</v>
      </c>
      <c r="AF253" s="789">
        <f>IF($X253=0,0,      _xll.qDateNext($X253,AF$12,"M",FRM&lt;&gt;"Calypso",CCY))</f>
        <v>0</v>
      </c>
      <c r="AG253" s="789">
        <f>IF($X253=0,0,      _xll.qDateNext($X253,AG$12,"M",FRM&lt;&gt;"Calypso",CCY))</f>
        <v>0</v>
      </c>
      <c r="AH253" s="789">
        <f>IF($X253=0,0,      _xll.qDateNext($X253,AH$12,"M",FRM&lt;&gt;"Calypso",CCY))</f>
        <v>0</v>
      </c>
      <c r="AI253" s="789">
        <f>IF($X253=0,0,      _xll.qDateNext($X253,AI$12,"M",FRM&lt;&gt;"Calypso",CCY))</f>
        <v>0</v>
      </c>
      <c r="AJ253" s="529" t="str">
        <v/>
      </c>
      <c r="AK253" s="529" t="str">
        <v/>
      </c>
      <c r="AL253" s="529" t="str">
        <v/>
      </c>
      <c r="AM253" s="529" t="str">
        <v/>
      </c>
      <c r="AN253" s="529" t="str">
        <v/>
      </c>
      <c r="AO253" s="529" t="str">
        <v/>
      </c>
      <c r="AP253" s="529" t="str">
        <v/>
      </c>
      <c r="AQ253" s="529" t="str">
        <v/>
      </c>
      <c r="AR253" s="529">
        <v>0</v>
      </c>
      <c r="AS253" s="529">
        <v>0</v>
      </c>
      <c r="AT253" s="529">
        <f t="shared" si="62"/>
        <v>0</v>
      </c>
      <c r="AU253" s="529">
        <v>0</v>
      </c>
      <c r="AV253" s="529">
        <f t="shared" si="63"/>
        <v>0</v>
      </c>
      <c r="AW253" s="529">
        <f t="shared" si="64"/>
        <v>0</v>
      </c>
      <c r="AX253" s="529">
        <v>0</v>
      </c>
      <c r="AY253" s="529">
        <v>0</v>
      </c>
      <c r="AZ253" s="761">
        <f t="shared" si="53"/>
        <v>0</v>
      </c>
      <c r="BA253" s="761">
        <f t="shared" si="54"/>
        <v>0</v>
      </c>
      <c r="BB253" s="761">
        <f t="shared" si="55"/>
        <v>0</v>
      </c>
      <c r="BC253" s="761">
        <f t="shared" si="56"/>
        <v>0</v>
      </c>
      <c r="BD253" s="761">
        <f t="shared" si="57"/>
        <v>0</v>
      </c>
      <c r="BE253" s="761">
        <f t="shared" si="58"/>
        <v>0</v>
      </c>
      <c r="BF253" s="761">
        <f t="shared" si="59"/>
        <v>0</v>
      </c>
      <c r="BG253" s="761">
        <f t="shared" si="60"/>
        <v>0</v>
      </c>
      <c r="BH253" s="777">
        <v>0</v>
      </c>
      <c r="BI253" s="755"/>
      <c r="BJ253" s="778">
        <f>IF(X254=0,0,           IF(ISNUMBER(BI253),BI253,               IF(ISTEXT(BI253),INDEX(AZ253:BG253,MATCH(BI253,$AZ$12:$BG$12,0)),             IF(BH253="INT",_xll.qInterp(X254,AB253:AI253,AZ253:BG253),            INDEX(AZ253:BG253,MATCH(BH253,$AZ$12:$BG$12,0))))))</f>
        <v>0</v>
      </c>
      <c r="BK253" s="408">
        <f t="shared" si="65"/>
        <v>0</v>
      </c>
      <c r="BL253" s="414">
        <f t="shared" si="66"/>
        <v>0</v>
      </c>
      <c r="BM253" s="408">
        <f t="shared" si="67"/>
        <v>0</v>
      </c>
    </row>
    <row r="254" spans="16:65">
      <c r="P254" s="779">
        <v>0</v>
      </c>
      <c r="Q254" s="780">
        <f t="shared" si="51"/>
        <v>0</v>
      </c>
      <c r="R254" s="776">
        <f>IF(P255,_xll.qDateYears(P254,P255,DCCfixed),0)</f>
        <v>0</v>
      </c>
      <c r="S254" s="553">
        <v>0</v>
      </c>
      <c r="T254" s="785"/>
      <c r="U254" s="409">
        <f t="shared" si="61"/>
        <v>0</v>
      </c>
      <c r="X254" s="363">
        <v>0</v>
      </c>
      <c r="Y254" s="775">
        <f t="shared" si="52"/>
        <v>0</v>
      </c>
      <c r="Z254" s="776">
        <f>IF(X255,_xll.qDateYears(X254,X255,DCCfloat),0)</f>
        <v>0</v>
      </c>
      <c r="AA254" s="553">
        <v>0</v>
      </c>
      <c r="AB254" s="789">
        <f>IF($X254=0,0,      _xll.qDateNext($X254,AB$12,"M",FRM&lt;&gt;"Calypso",CCY))</f>
        <v>0</v>
      </c>
      <c r="AC254" s="789">
        <f>IF($X254=0,0,      _xll.qDateNext($X254,AC$12,"M",FRM&lt;&gt;"Calypso",CCY))</f>
        <v>0</v>
      </c>
      <c r="AD254" s="789">
        <f>IF($X254=0,0,      _xll.qDateNext($X254,AD$12,"M",FRM&lt;&gt;"Calypso",CCY))</f>
        <v>0</v>
      </c>
      <c r="AE254" s="789">
        <f>IF($X254=0,0,      _xll.qDateNext($X254,AE$12,"M",FRM&lt;&gt;"Calypso",CCY))</f>
        <v>0</v>
      </c>
      <c r="AF254" s="789">
        <f>IF($X254=0,0,      _xll.qDateNext($X254,AF$12,"M",FRM&lt;&gt;"Calypso",CCY))</f>
        <v>0</v>
      </c>
      <c r="AG254" s="789">
        <f>IF($X254=0,0,      _xll.qDateNext($X254,AG$12,"M",FRM&lt;&gt;"Calypso",CCY))</f>
        <v>0</v>
      </c>
      <c r="AH254" s="789">
        <f>IF($X254=0,0,      _xll.qDateNext($X254,AH$12,"M",FRM&lt;&gt;"Calypso",CCY))</f>
        <v>0</v>
      </c>
      <c r="AI254" s="789">
        <f>IF($X254=0,0,      _xll.qDateNext($X254,AI$12,"M",FRM&lt;&gt;"Calypso",CCY))</f>
        <v>0</v>
      </c>
      <c r="AJ254" s="529" t="str">
        <v/>
      </c>
      <c r="AK254" s="529" t="str">
        <v/>
      </c>
      <c r="AL254" s="529" t="str">
        <v/>
      </c>
      <c r="AM254" s="529" t="str">
        <v/>
      </c>
      <c r="AN254" s="529" t="str">
        <v/>
      </c>
      <c r="AO254" s="529" t="str">
        <v/>
      </c>
      <c r="AP254" s="529" t="str">
        <v/>
      </c>
      <c r="AQ254" s="529" t="str">
        <v/>
      </c>
      <c r="AR254" s="529">
        <v>0</v>
      </c>
      <c r="AS254" s="529">
        <v>0</v>
      </c>
      <c r="AT254" s="529">
        <f t="shared" si="62"/>
        <v>0</v>
      </c>
      <c r="AU254" s="529">
        <v>0</v>
      </c>
      <c r="AV254" s="529">
        <f t="shared" si="63"/>
        <v>0</v>
      </c>
      <c r="AW254" s="529">
        <f t="shared" si="64"/>
        <v>0</v>
      </c>
      <c r="AX254" s="529">
        <v>0</v>
      </c>
      <c r="AY254" s="529">
        <v>0</v>
      </c>
      <c r="AZ254" s="761">
        <f t="shared" si="53"/>
        <v>0</v>
      </c>
      <c r="BA254" s="761">
        <f t="shared" si="54"/>
        <v>0</v>
      </c>
      <c r="BB254" s="761">
        <f t="shared" si="55"/>
        <v>0</v>
      </c>
      <c r="BC254" s="761">
        <f t="shared" si="56"/>
        <v>0</v>
      </c>
      <c r="BD254" s="761">
        <f t="shared" si="57"/>
        <v>0</v>
      </c>
      <c r="BE254" s="761">
        <f t="shared" si="58"/>
        <v>0</v>
      </c>
      <c r="BF254" s="761">
        <f t="shared" si="59"/>
        <v>0</v>
      </c>
      <c r="BG254" s="761">
        <f t="shared" si="60"/>
        <v>0</v>
      </c>
      <c r="BH254" s="777">
        <v>0</v>
      </c>
      <c r="BI254" s="755"/>
      <c r="BJ254" s="778">
        <f>IF(X255=0,0,           IF(ISNUMBER(BI254),BI254,               IF(ISTEXT(BI254),INDEX(AZ254:BG254,MATCH(BI254,$AZ$12:$BG$12,0)),             IF(BH254="INT",_xll.qInterp(X255,AB254:AI254,AZ254:BG254),            INDEX(AZ254:BG254,MATCH(BH254,$AZ$12:$BG$12,0))))))</f>
        <v>0</v>
      </c>
      <c r="BK254" s="408">
        <f t="shared" si="65"/>
        <v>0</v>
      </c>
      <c r="BL254" s="414">
        <f t="shared" si="66"/>
        <v>0</v>
      </c>
      <c r="BM254" s="408">
        <f t="shared" si="67"/>
        <v>0</v>
      </c>
    </row>
    <row r="255" spans="16:65">
      <c r="P255" s="779">
        <v>0</v>
      </c>
      <c r="Q255" s="780">
        <f t="shared" si="51"/>
        <v>0</v>
      </c>
      <c r="R255" s="776">
        <f>IF(P256,_xll.qDateYears(P255,P256,DCCfixed),0)</f>
        <v>0</v>
      </c>
      <c r="S255" s="553">
        <v>0</v>
      </c>
      <c r="T255" s="785"/>
      <c r="U255" s="409">
        <f t="shared" si="61"/>
        <v>0</v>
      </c>
      <c r="X255" s="363">
        <v>0</v>
      </c>
      <c r="Y255" s="775">
        <f t="shared" si="52"/>
        <v>0</v>
      </c>
      <c r="Z255" s="776">
        <f>IF(X256,_xll.qDateYears(X255,X256,DCCfloat),0)</f>
        <v>0</v>
      </c>
      <c r="AA255" s="553">
        <v>0</v>
      </c>
      <c r="AB255" s="789">
        <f>IF($X255=0,0,      _xll.qDateNext($X255,AB$12,"M",FRM&lt;&gt;"Calypso",CCY))</f>
        <v>0</v>
      </c>
      <c r="AC255" s="789">
        <f>IF($X255=0,0,      _xll.qDateNext($X255,AC$12,"M",FRM&lt;&gt;"Calypso",CCY))</f>
        <v>0</v>
      </c>
      <c r="AD255" s="789">
        <f>IF($X255=0,0,      _xll.qDateNext($X255,AD$12,"M",FRM&lt;&gt;"Calypso",CCY))</f>
        <v>0</v>
      </c>
      <c r="AE255" s="789">
        <f>IF($X255=0,0,      _xll.qDateNext($X255,AE$12,"M",FRM&lt;&gt;"Calypso",CCY))</f>
        <v>0</v>
      </c>
      <c r="AF255" s="789">
        <f>IF($X255=0,0,      _xll.qDateNext($X255,AF$12,"M",FRM&lt;&gt;"Calypso",CCY))</f>
        <v>0</v>
      </c>
      <c r="AG255" s="789">
        <f>IF($X255=0,0,      _xll.qDateNext($X255,AG$12,"M",FRM&lt;&gt;"Calypso",CCY))</f>
        <v>0</v>
      </c>
      <c r="AH255" s="789">
        <f>IF($X255=0,0,      _xll.qDateNext($X255,AH$12,"M",FRM&lt;&gt;"Calypso",CCY))</f>
        <v>0</v>
      </c>
      <c r="AI255" s="789">
        <f>IF($X255=0,0,      _xll.qDateNext($X255,AI$12,"M",FRM&lt;&gt;"Calypso",CCY))</f>
        <v>0</v>
      </c>
      <c r="AJ255" s="529" t="str">
        <v/>
      </c>
      <c r="AK255" s="529" t="str">
        <v/>
      </c>
      <c r="AL255" s="529" t="str">
        <v/>
      </c>
      <c r="AM255" s="529" t="str">
        <v/>
      </c>
      <c r="AN255" s="529" t="str">
        <v/>
      </c>
      <c r="AO255" s="529" t="str">
        <v/>
      </c>
      <c r="AP255" s="529" t="str">
        <v/>
      </c>
      <c r="AQ255" s="529" t="str">
        <v/>
      </c>
      <c r="AR255" s="529">
        <v>0</v>
      </c>
      <c r="AS255" s="529">
        <v>0</v>
      </c>
      <c r="AT255" s="529">
        <f t="shared" si="62"/>
        <v>0</v>
      </c>
      <c r="AU255" s="529">
        <v>0</v>
      </c>
      <c r="AV255" s="529">
        <f t="shared" si="63"/>
        <v>0</v>
      </c>
      <c r="AW255" s="529">
        <f t="shared" si="64"/>
        <v>0</v>
      </c>
      <c r="AX255" s="529">
        <v>0</v>
      </c>
      <c r="AY255" s="529">
        <v>0</v>
      </c>
      <c r="AZ255" s="761">
        <f t="shared" si="53"/>
        <v>0</v>
      </c>
      <c r="BA255" s="761">
        <f t="shared" si="54"/>
        <v>0</v>
      </c>
      <c r="BB255" s="761">
        <f t="shared" si="55"/>
        <v>0</v>
      </c>
      <c r="BC255" s="761">
        <f t="shared" si="56"/>
        <v>0</v>
      </c>
      <c r="BD255" s="761">
        <f t="shared" si="57"/>
        <v>0</v>
      </c>
      <c r="BE255" s="761">
        <f t="shared" si="58"/>
        <v>0</v>
      </c>
      <c r="BF255" s="761">
        <f t="shared" si="59"/>
        <v>0</v>
      </c>
      <c r="BG255" s="761">
        <f t="shared" si="60"/>
        <v>0</v>
      </c>
      <c r="BH255" s="777">
        <v>0</v>
      </c>
      <c r="BI255" s="755"/>
      <c r="BJ255" s="778">
        <f>IF(X256=0,0,           IF(ISNUMBER(BI255),BI255,               IF(ISTEXT(BI255),INDEX(AZ255:BG255,MATCH(BI255,$AZ$12:$BG$12,0)),             IF(BH255="INT",_xll.qInterp(X256,AB255:AI255,AZ255:BG255),            INDEX(AZ255:BG255,MATCH(BH255,$AZ$12:$BG$12,0))))))</f>
        <v>0</v>
      </c>
      <c r="BK255" s="408">
        <f t="shared" si="65"/>
        <v>0</v>
      </c>
      <c r="BL255" s="414">
        <f t="shared" si="66"/>
        <v>0</v>
      </c>
      <c r="BM255" s="408">
        <f t="shared" si="67"/>
        <v>0</v>
      </c>
    </row>
    <row r="256" spans="16:65">
      <c r="P256" s="779">
        <v>0</v>
      </c>
      <c r="Q256" s="780">
        <f t="shared" si="51"/>
        <v>0</v>
      </c>
      <c r="R256" s="776">
        <f>IF(P257,_xll.qDateYears(P256,P257,DCCfixed),0)</f>
        <v>0</v>
      </c>
      <c r="S256" s="553">
        <v>0</v>
      </c>
      <c r="T256" s="785"/>
      <c r="U256" s="409">
        <f t="shared" si="61"/>
        <v>0</v>
      </c>
      <c r="X256" s="363">
        <v>0</v>
      </c>
      <c r="Y256" s="775">
        <f t="shared" si="52"/>
        <v>0</v>
      </c>
      <c r="Z256" s="776">
        <f>IF(X257,_xll.qDateYears(X256,X257,DCCfloat),0)</f>
        <v>0</v>
      </c>
      <c r="AA256" s="553">
        <v>0</v>
      </c>
      <c r="AB256" s="789">
        <f>IF($X256=0,0,      _xll.qDateNext($X256,AB$12,"M",FRM&lt;&gt;"Calypso",CCY))</f>
        <v>0</v>
      </c>
      <c r="AC256" s="789">
        <f>IF($X256=0,0,      _xll.qDateNext($X256,AC$12,"M",FRM&lt;&gt;"Calypso",CCY))</f>
        <v>0</v>
      </c>
      <c r="AD256" s="789">
        <f>IF($X256=0,0,      _xll.qDateNext($X256,AD$12,"M",FRM&lt;&gt;"Calypso",CCY))</f>
        <v>0</v>
      </c>
      <c r="AE256" s="789">
        <f>IF($X256=0,0,      _xll.qDateNext($X256,AE$12,"M",FRM&lt;&gt;"Calypso",CCY))</f>
        <v>0</v>
      </c>
      <c r="AF256" s="789">
        <f>IF($X256=0,0,      _xll.qDateNext($X256,AF$12,"M",FRM&lt;&gt;"Calypso",CCY))</f>
        <v>0</v>
      </c>
      <c r="AG256" s="789">
        <f>IF($X256=0,0,      _xll.qDateNext($X256,AG$12,"M",FRM&lt;&gt;"Calypso",CCY))</f>
        <v>0</v>
      </c>
      <c r="AH256" s="789">
        <f>IF($X256=0,0,      _xll.qDateNext($X256,AH$12,"M",FRM&lt;&gt;"Calypso",CCY))</f>
        <v>0</v>
      </c>
      <c r="AI256" s="789">
        <f>IF($X256=0,0,      _xll.qDateNext($X256,AI$12,"M",FRM&lt;&gt;"Calypso",CCY))</f>
        <v>0</v>
      </c>
      <c r="AJ256" s="529" t="str">
        <v/>
      </c>
      <c r="AK256" s="529" t="str">
        <v/>
      </c>
      <c r="AL256" s="529" t="str">
        <v/>
      </c>
      <c r="AM256" s="529" t="str">
        <v/>
      </c>
      <c r="AN256" s="529" t="str">
        <v/>
      </c>
      <c r="AO256" s="529" t="str">
        <v/>
      </c>
      <c r="AP256" s="529" t="str">
        <v/>
      </c>
      <c r="AQ256" s="529" t="str">
        <v/>
      </c>
      <c r="AR256" s="529">
        <v>0</v>
      </c>
      <c r="AS256" s="529">
        <v>0</v>
      </c>
      <c r="AT256" s="529">
        <f t="shared" si="62"/>
        <v>0</v>
      </c>
      <c r="AU256" s="529">
        <v>0</v>
      </c>
      <c r="AV256" s="529">
        <f t="shared" si="63"/>
        <v>0</v>
      </c>
      <c r="AW256" s="529">
        <f t="shared" si="64"/>
        <v>0</v>
      </c>
      <c r="AX256" s="529">
        <v>0</v>
      </c>
      <c r="AY256" s="529">
        <v>0</v>
      </c>
      <c r="AZ256" s="761">
        <f t="shared" si="53"/>
        <v>0</v>
      </c>
      <c r="BA256" s="761">
        <f t="shared" si="54"/>
        <v>0</v>
      </c>
      <c r="BB256" s="761">
        <f t="shared" si="55"/>
        <v>0</v>
      </c>
      <c r="BC256" s="761">
        <f t="shared" si="56"/>
        <v>0</v>
      </c>
      <c r="BD256" s="761">
        <f t="shared" si="57"/>
        <v>0</v>
      </c>
      <c r="BE256" s="761">
        <f t="shared" si="58"/>
        <v>0</v>
      </c>
      <c r="BF256" s="761">
        <f t="shared" si="59"/>
        <v>0</v>
      </c>
      <c r="BG256" s="761">
        <f t="shared" si="60"/>
        <v>0</v>
      </c>
      <c r="BH256" s="777">
        <v>0</v>
      </c>
      <c r="BI256" s="755"/>
      <c r="BJ256" s="778">
        <f>IF(X257=0,0,           IF(ISNUMBER(BI256),BI256,               IF(ISTEXT(BI256),INDEX(AZ256:BG256,MATCH(BI256,$AZ$12:$BG$12,0)),             IF(BH256="INT",_xll.qInterp(X257,AB256:AI256,AZ256:BG256),            INDEX(AZ256:BG256,MATCH(BH256,$AZ$12:$BG$12,0))))))</f>
        <v>0</v>
      </c>
      <c r="BK256" s="408">
        <f t="shared" si="65"/>
        <v>0</v>
      </c>
      <c r="BL256" s="414">
        <f t="shared" si="66"/>
        <v>0</v>
      </c>
      <c r="BM256" s="408">
        <f t="shared" si="67"/>
        <v>0</v>
      </c>
    </row>
    <row r="257" spans="16:65">
      <c r="P257" s="779">
        <v>0</v>
      </c>
      <c r="Q257" s="780">
        <f t="shared" si="51"/>
        <v>0</v>
      </c>
      <c r="R257" s="776">
        <f>IF(P258,_xll.qDateYears(P257,P258,DCCfixed),0)</f>
        <v>0</v>
      </c>
      <c r="S257" s="553">
        <v>0</v>
      </c>
      <c r="T257" s="785"/>
      <c r="U257" s="409">
        <f t="shared" si="61"/>
        <v>0</v>
      </c>
      <c r="X257" s="363">
        <v>0</v>
      </c>
      <c r="Y257" s="775">
        <f t="shared" si="52"/>
        <v>0</v>
      </c>
      <c r="Z257" s="776">
        <f>IF(X258,_xll.qDateYears(X257,X258,DCCfloat),0)</f>
        <v>0</v>
      </c>
      <c r="AA257" s="553">
        <v>0</v>
      </c>
      <c r="AB257" s="789">
        <f>IF($X257=0,0,      _xll.qDateNext($X257,AB$12,"M",FRM&lt;&gt;"Calypso",CCY))</f>
        <v>0</v>
      </c>
      <c r="AC257" s="789">
        <f>IF($X257=0,0,      _xll.qDateNext($X257,AC$12,"M",FRM&lt;&gt;"Calypso",CCY))</f>
        <v>0</v>
      </c>
      <c r="AD257" s="789">
        <f>IF($X257=0,0,      _xll.qDateNext($X257,AD$12,"M",FRM&lt;&gt;"Calypso",CCY))</f>
        <v>0</v>
      </c>
      <c r="AE257" s="789">
        <f>IF($X257=0,0,      _xll.qDateNext($X257,AE$12,"M",FRM&lt;&gt;"Calypso",CCY))</f>
        <v>0</v>
      </c>
      <c r="AF257" s="789">
        <f>IF($X257=0,0,      _xll.qDateNext($X257,AF$12,"M",FRM&lt;&gt;"Calypso",CCY))</f>
        <v>0</v>
      </c>
      <c r="AG257" s="789">
        <f>IF($X257=0,0,      _xll.qDateNext($X257,AG$12,"M",FRM&lt;&gt;"Calypso",CCY))</f>
        <v>0</v>
      </c>
      <c r="AH257" s="789">
        <f>IF($X257=0,0,      _xll.qDateNext($X257,AH$12,"M",FRM&lt;&gt;"Calypso",CCY))</f>
        <v>0</v>
      </c>
      <c r="AI257" s="789">
        <f>IF($X257=0,0,      _xll.qDateNext($X257,AI$12,"M",FRM&lt;&gt;"Calypso",CCY))</f>
        <v>0</v>
      </c>
      <c r="AJ257" s="529" t="str">
        <v/>
      </c>
      <c r="AK257" s="529" t="str">
        <v/>
      </c>
      <c r="AL257" s="529" t="str">
        <v/>
      </c>
      <c r="AM257" s="529" t="str">
        <v/>
      </c>
      <c r="AN257" s="529" t="str">
        <v/>
      </c>
      <c r="AO257" s="529" t="str">
        <v/>
      </c>
      <c r="AP257" s="529" t="str">
        <v/>
      </c>
      <c r="AQ257" s="529" t="str">
        <v/>
      </c>
      <c r="AR257" s="529">
        <v>0</v>
      </c>
      <c r="AS257" s="529">
        <v>0</v>
      </c>
      <c r="AT257" s="529">
        <f t="shared" si="62"/>
        <v>0</v>
      </c>
      <c r="AU257" s="529">
        <v>0</v>
      </c>
      <c r="AV257" s="529">
        <f t="shared" si="63"/>
        <v>0</v>
      </c>
      <c r="AW257" s="529">
        <f t="shared" si="64"/>
        <v>0</v>
      </c>
      <c r="AX257" s="529">
        <v>0</v>
      </c>
      <c r="AY257" s="529">
        <v>0</v>
      </c>
      <c r="AZ257" s="761">
        <f t="shared" si="53"/>
        <v>0</v>
      </c>
      <c r="BA257" s="761">
        <f t="shared" si="54"/>
        <v>0</v>
      </c>
      <c r="BB257" s="761">
        <f t="shared" si="55"/>
        <v>0</v>
      </c>
      <c r="BC257" s="761">
        <f t="shared" si="56"/>
        <v>0</v>
      </c>
      <c r="BD257" s="761">
        <f t="shared" si="57"/>
        <v>0</v>
      </c>
      <c r="BE257" s="761">
        <f t="shared" si="58"/>
        <v>0</v>
      </c>
      <c r="BF257" s="761">
        <f t="shared" si="59"/>
        <v>0</v>
      </c>
      <c r="BG257" s="761">
        <f t="shared" si="60"/>
        <v>0</v>
      </c>
      <c r="BH257" s="777">
        <v>0</v>
      </c>
      <c r="BI257" s="755"/>
      <c r="BJ257" s="778">
        <f>IF(X258=0,0,           IF(ISNUMBER(BI257),BI257,               IF(ISTEXT(BI257),INDEX(AZ257:BG257,MATCH(BI257,$AZ$12:$BG$12,0)),             IF(BH257="INT",_xll.qInterp(X258,AB257:AI257,AZ257:BG257),            INDEX(AZ257:BG257,MATCH(BH257,$AZ$12:$BG$12,0))))))</f>
        <v>0</v>
      </c>
      <c r="BK257" s="408">
        <f t="shared" si="65"/>
        <v>0</v>
      </c>
      <c r="BL257" s="414">
        <f t="shared" si="66"/>
        <v>0</v>
      </c>
      <c r="BM257" s="408">
        <f t="shared" si="67"/>
        <v>0</v>
      </c>
    </row>
    <row r="258" spans="16:65">
      <c r="P258" s="779">
        <v>0</v>
      </c>
      <c r="Q258" s="780">
        <f t="shared" si="51"/>
        <v>0</v>
      </c>
      <c r="R258" s="776">
        <f>IF(P259,_xll.qDateYears(P258,P259,DCCfixed),0)</f>
        <v>0</v>
      </c>
      <c r="S258" s="553">
        <v>0</v>
      </c>
      <c r="T258" s="785"/>
      <c r="U258" s="409">
        <f t="shared" si="61"/>
        <v>0</v>
      </c>
      <c r="X258" s="363">
        <v>0</v>
      </c>
      <c r="Y258" s="775">
        <f t="shared" si="52"/>
        <v>0</v>
      </c>
      <c r="Z258" s="776">
        <f>IF(X259,_xll.qDateYears(X258,X259,DCCfloat),0)</f>
        <v>0</v>
      </c>
      <c r="AA258" s="553">
        <v>0</v>
      </c>
      <c r="AB258" s="789">
        <f>IF($X258=0,0,      _xll.qDateNext($X258,AB$12,"M",FRM&lt;&gt;"Calypso",CCY))</f>
        <v>0</v>
      </c>
      <c r="AC258" s="789">
        <f>IF($X258=0,0,      _xll.qDateNext($X258,AC$12,"M",FRM&lt;&gt;"Calypso",CCY))</f>
        <v>0</v>
      </c>
      <c r="AD258" s="789">
        <f>IF($X258=0,0,      _xll.qDateNext($X258,AD$12,"M",FRM&lt;&gt;"Calypso",CCY))</f>
        <v>0</v>
      </c>
      <c r="AE258" s="789">
        <f>IF($X258=0,0,      _xll.qDateNext($X258,AE$12,"M",FRM&lt;&gt;"Calypso",CCY))</f>
        <v>0</v>
      </c>
      <c r="AF258" s="789">
        <f>IF($X258=0,0,      _xll.qDateNext($X258,AF$12,"M",FRM&lt;&gt;"Calypso",CCY))</f>
        <v>0</v>
      </c>
      <c r="AG258" s="789">
        <f>IF($X258=0,0,      _xll.qDateNext($X258,AG$12,"M",FRM&lt;&gt;"Calypso",CCY))</f>
        <v>0</v>
      </c>
      <c r="AH258" s="789">
        <f>IF($X258=0,0,      _xll.qDateNext($X258,AH$12,"M",FRM&lt;&gt;"Calypso",CCY))</f>
        <v>0</v>
      </c>
      <c r="AI258" s="789">
        <f>IF($X258=0,0,      _xll.qDateNext($X258,AI$12,"M",FRM&lt;&gt;"Calypso",CCY))</f>
        <v>0</v>
      </c>
      <c r="AJ258" s="529" t="str">
        <v/>
      </c>
      <c r="AK258" s="529" t="str">
        <v/>
      </c>
      <c r="AL258" s="529" t="str">
        <v/>
      </c>
      <c r="AM258" s="529" t="str">
        <v/>
      </c>
      <c r="AN258" s="529" t="str">
        <v/>
      </c>
      <c r="AO258" s="529" t="str">
        <v/>
      </c>
      <c r="AP258" s="529" t="str">
        <v/>
      </c>
      <c r="AQ258" s="529" t="str">
        <v/>
      </c>
      <c r="AR258" s="529">
        <v>0</v>
      </c>
      <c r="AS258" s="529">
        <v>0</v>
      </c>
      <c r="AT258" s="529">
        <f t="shared" si="62"/>
        <v>0</v>
      </c>
      <c r="AU258" s="529">
        <v>0</v>
      </c>
      <c r="AV258" s="529">
        <f t="shared" si="63"/>
        <v>0</v>
      </c>
      <c r="AW258" s="529">
        <f t="shared" si="64"/>
        <v>0</v>
      </c>
      <c r="AX258" s="529">
        <v>0</v>
      </c>
      <c r="AY258" s="529">
        <v>0</v>
      </c>
      <c r="AZ258" s="761">
        <f t="shared" si="53"/>
        <v>0</v>
      </c>
      <c r="BA258" s="761">
        <f t="shared" si="54"/>
        <v>0</v>
      </c>
      <c r="BB258" s="761">
        <f t="shared" si="55"/>
        <v>0</v>
      </c>
      <c r="BC258" s="761">
        <f t="shared" si="56"/>
        <v>0</v>
      </c>
      <c r="BD258" s="761">
        <f t="shared" si="57"/>
        <v>0</v>
      </c>
      <c r="BE258" s="761">
        <f t="shared" si="58"/>
        <v>0</v>
      </c>
      <c r="BF258" s="761">
        <f t="shared" si="59"/>
        <v>0</v>
      </c>
      <c r="BG258" s="761">
        <f t="shared" si="60"/>
        <v>0</v>
      </c>
      <c r="BH258" s="777">
        <v>0</v>
      </c>
      <c r="BI258" s="755"/>
      <c r="BJ258" s="778">
        <f>IF(X259=0,0,           IF(ISNUMBER(BI258),BI258,               IF(ISTEXT(BI258),INDEX(AZ258:BG258,MATCH(BI258,$AZ$12:$BG$12,0)),             IF(BH258="INT",_xll.qInterp(X259,AB258:AI258,AZ258:BG258),            INDEX(AZ258:BG258,MATCH(BH258,$AZ$12:$BG$12,0))))))</f>
        <v>0</v>
      </c>
      <c r="BK258" s="408">
        <f t="shared" si="65"/>
        <v>0</v>
      </c>
      <c r="BL258" s="414">
        <f t="shared" si="66"/>
        <v>0</v>
      </c>
      <c r="BM258" s="408">
        <f t="shared" si="67"/>
        <v>0</v>
      </c>
    </row>
    <row r="259" spans="16:65">
      <c r="P259" s="779">
        <v>0</v>
      </c>
      <c r="Q259" s="780">
        <f t="shared" si="51"/>
        <v>0</v>
      </c>
      <c r="R259" s="776">
        <f>IF(P260,_xll.qDateYears(P259,P260,DCCfixed),0)</f>
        <v>0</v>
      </c>
      <c r="S259" s="553">
        <v>0</v>
      </c>
      <c r="T259" s="785"/>
      <c r="U259" s="409">
        <f t="shared" si="61"/>
        <v>0</v>
      </c>
      <c r="X259" s="363">
        <v>0</v>
      </c>
      <c r="Y259" s="775">
        <f t="shared" si="52"/>
        <v>0</v>
      </c>
      <c r="Z259" s="776">
        <f>IF(X260,_xll.qDateYears(X259,X260,DCCfloat),0)</f>
        <v>0</v>
      </c>
      <c r="AA259" s="553">
        <v>0</v>
      </c>
      <c r="AB259" s="789">
        <f>IF($X259=0,0,      _xll.qDateNext($X259,AB$12,"M",FRM&lt;&gt;"Calypso",CCY))</f>
        <v>0</v>
      </c>
      <c r="AC259" s="789">
        <f>IF($X259=0,0,      _xll.qDateNext($X259,AC$12,"M",FRM&lt;&gt;"Calypso",CCY))</f>
        <v>0</v>
      </c>
      <c r="AD259" s="789">
        <f>IF($X259=0,0,      _xll.qDateNext($X259,AD$12,"M",FRM&lt;&gt;"Calypso",CCY))</f>
        <v>0</v>
      </c>
      <c r="AE259" s="789">
        <f>IF($X259=0,0,      _xll.qDateNext($X259,AE$12,"M",FRM&lt;&gt;"Calypso",CCY))</f>
        <v>0</v>
      </c>
      <c r="AF259" s="789">
        <f>IF($X259=0,0,      _xll.qDateNext($X259,AF$12,"M",FRM&lt;&gt;"Calypso",CCY))</f>
        <v>0</v>
      </c>
      <c r="AG259" s="789">
        <f>IF($X259=0,0,      _xll.qDateNext($X259,AG$12,"M",FRM&lt;&gt;"Calypso",CCY))</f>
        <v>0</v>
      </c>
      <c r="AH259" s="789">
        <f>IF($X259=0,0,      _xll.qDateNext($X259,AH$12,"M",FRM&lt;&gt;"Calypso",CCY))</f>
        <v>0</v>
      </c>
      <c r="AI259" s="789">
        <f>IF($X259=0,0,      _xll.qDateNext($X259,AI$12,"M",FRM&lt;&gt;"Calypso",CCY))</f>
        <v>0</v>
      </c>
      <c r="AJ259" s="529" t="str">
        <v/>
      </c>
      <c r="AK259" s="529" t="str">
        <v/>
      </c>
      <c r="AL259" s="529" t="str">
        <v/>
      </c>
      <c r="AM259" s="529" t="str">
        <v/>
      </c>
      <c r="AN259" s="529" t="str">
        <v/>
      </c>
      <c r="AO259" s="529" t="str">
        <v/>
      </c>
      <c r="AP259" s="529" t="str">
        <v/>
      </c>
      <c r="AQ259" s="529" t="str">
        <v/>
      </c>
      <c r="AR259" s="529">
        <v>0</v>
      </c>
      <c r="AS259" s="529">
        <v>0</v>
      </c>
      <c r="AT259" s="529">
        <f t="shared" si="62"/>
        <v>0</v>
      </c>
      <c r="AU259" s="529">
        <v>0</v>
      </c>
      <c r="AV259" s="529">
        <f t="shared" si="63"/>
        <v>0</v>
      </c>
      <c r="AW259" s="529">
        <f t="shared" si="64"/>
        <v>0</v>
      </c>
      <c r="AX259" s="529">
        <v>0</v>
      </c>
      <c r="AY259" s="529">
        <v>0</v>
      </c>
      <c r="AZ259" s="761">
        <f t="shared" si="53"/>
        <v>0</v>
      </c>
      <c r="BA259" s="761">
        <f t="shared" si="54"/>
        <v>0</v>
      </c>
      <c r="BB259" s="761">
        <f t="shared" si="55"/>
        <v>0</v>
      </c>
      <c r="BC259" s="761">
        <f t="shared" si="56"/>
        <v>0</v>
      </c>
      <c r="BD259" s="761">
        <f t="shared" si="57"/>
        <v>0</v>
      </c>
      <c r="BE259" s="761">
        <f t="shared" si="58"/>
        <v>0</v>
      </c>
      <c r="BF259" s="761">
        <f t="shared" si="59"/>
        <v>0</v>
      </c>
      <c r="BG259" s="761">
        <f t="shared" si="60"/>
        <v>0</v>
      </c>
      <c r="BH259" s="777">
        <v>0</v>
      </c>
      <c r="BI259" s="755"/>
      <c r="BJ259" s="778">
        <f>IF(X260=0,0,           IF(ISNUMBER(BI259),BI259,               IF(ISTEXT(BI259),INDEX(AZ259:BG259,MATCH(BI259,$AZ$12:$BG$12,0)),             IF(BH259="INT",_xll.qInterp(X260,AB259:AI259,AZ259:BG259),            INDEX(AZ259:BG259,MATCH(BH259,$AZ$12:$BG$12,0))))))</f>
        <v>0</v>
      </c>
      <c r="BK259" s="408">
        <f t="shared" si="65"/>
        <v>0</v>
      </c>
      <c r="BL259" s="414">
        <f t="shared" si="66"/>
        <v>0</v>
      </c>
      <c r="BM259" s="408">
        <f t="shared" si="67"/>
        <v>0</v>
      </c>
    </row>
    <row r="260" spans="16:65">
      <c r="P260" s="779">
        <v>0</v>
      </c>
      <c r="Q260" s="780">
        <f t="shared" si="51"/>
        <v>0</v>
      </c>
      <c r="R260" s="776">
        <f>IF(P261,_xll.qDateYears(P260,P261,DCCfixed),0)</f>
        <v>0</v>
      </c>
      <c r="S260" s="553">
        <v>0</v>
      </c>
      <c r="T260" s="785"/>
      <c r="U260" s="409">
        <f t="shared" si="61"/>
        <v>0</v>
      </c>
      <c r="X260" s="363">
        <v>0</v>
      </c>
      <c r="Y260" s="775">
        <f t="shared" si="52"/>
        <v>0</v>
      </c>
      <c r="Z260" s="776">
        <f>IF(X261,_xll.qDateYears(X260,X261,DCCfloat),0)</f>
        <v>0</v>
      </c>
      <c r="AA260" s="553">
        <v>0</v>
      </c>
      <c r="AB260" s="789">
        <f>IF($X260=0,0,      _xll.qDateNext($X260,AB$12,"M",FRM&lt;&gt;"Calypso",CCY))</f>
        <v>0</v>
      </c>
      <c r="AC260" s="789">
        <f>IF($X260=0,0,      _xll.qDateNext($X260,AC$12,"M",FRM&lt;&gt;"Calypso",CCY))</f>
        <v>0</v>
      </c>
      <c r="AD260" s="789">
        <f>IF($X260=0,0,      _xll.qDateNext($X260,AD$12,"M",FRM&lt;&gt;"Calypso",CCY))</f>
        <v>0</v>
      </c>
      <c r="AE260" s="789">
        <f>IF($X260=0,0,      _xll.qDateNext($X260,AE$12,"M",FRM&lt;&gt;"Calypso",CCY))</f>
        <v>0</v>
      </c>
      <c r="AF260" s="789">
        <f>IF($X260=0,0,      _xll.qDateNext($X260,AF$12,"M",FRM&lt;&gt;"Calypso",CCY))</f>
        <v>0</v>
      </c>
      <c r="AG260" s="789">
        <f>IF($X260=0,0,      _xll.qDateNext($X260,AG$12,"M",FRM&lt;&gt;"Calypso",CCY))</f>
        <v>0</v>
      </c>
      <c r="AH260" s="789">
        <f>IF($X260=0,0,      _xll.qDateNext($X260,AH$12,"M",FRM&lt;&gt;"Calypso",CCY))</f>
        <v>0</v>
      </c>
      <c r="AI260" s="789">
        <f>IF($X260=0,0,      _xll.qDateNext($X260,AI$12,"M",FRM&lt;&gt;"Calypso",CCY))</f>
        <v>0</v>
      </c>
      <c r="AJ260" s="529" t="str">
        <v/>
      </c>
      <c r="AK260" s="529" t="str">
        <v/>
      </c>
      <c r="AL260" s="529" t="str">
        <v/>
      </c>
      <c r="AM260" s="529" t="str">
        <v/>
      </c>
      <c r="AN260" s="529" t="str">
        <v/>
      </c>
      <c r="AO260" s="529" t="str">
        <v/>
      </c>
      <c r="AP260" s="529" t="str">
        <v/>
      </c>
      <c r="AQ260" s="529" t="str">
        <v/>
      </c>
      <c r="AR260" s="529">
        <v>0</v>
      </c>
      <c r="AS260" s="529">
        <v>0</v>
      </c>
      <c r="AT260" s="529">
        <f t="shared" si="62"/>
        <v>0</v>
      </c>
      <c r="AU260" s="529">
        <v>0</v>
      </c>
      <c r="AV260" s="529">
        <f t="shared" si="63"/>
        <v>0</v>
      </c>
      <c r="AW260" s="529">
        <f t="shared" si="64"/>
        <v>0</v>
      </c>
      <c r="AX260" s="529">
        <v>0</v>
      </c>
      <c r="AY260" s="529">
        <v>0</v>
      </c>
      <c r="AZ260" s="761">
        <f t="shared" si="53"/>
        <v>0</v>
      </c>
      <c r="BA260" s="761">
        <f t="shared" si="54"/>
        <v>0</v>
      </c>
      <c r="BB260" s="761">
        <f t="shared" si="55"/>
        <v>0</v>
      </c>
      <c r="BC260" s="761">
        <f t="shared" si="56"/>
        <v>0</v>
      </c>
      <c r="BD260" s="761">
        <f t="shared" si="57"/>
        <v>0</v>
      </c>
      <c r="BE260" s="761">
        <f t="shared" si="58"/>
        <v>0</v>
      </c>
      <c r="BF260" s="761">
        <f t="shared" si="59"/>
        <v>0</v>
      </c>
      <c r="BG260" s="761">
        <f t="shared" si="60"/>
        <v>0</v>
      </c>
      <c r="BH260" s="777">
        <v>0</v>
      </c>
      <c r="BI260" s="755"/>
      <c r="BJ260" s="778">
        <f>IF(X261=0,0,           IF(ISNUMBER(BI260),BI260,               IF(ISTEXT(BI260),INDEX(AZ260:BG260,MATCH(BI260,$AZ$12:$BG$12,0)),             IF(BH260="INT",_xll.qInterp(X261,AB260:AI260,AZ260:BG260),            INDEX(AZ260:BG260,MATCH(BH260,$AZ$12:$BG$12,0))))))</f>
        <v>0</v>
      </c>
      <c r="BK260" s="408">
        <f t="shared" si="65"/>
        <v>0</v>
      </c>
      <c r="BL260" s="414">
        <f t="shared" si="66"/>
        <v>0</v>
      </c>
      <c r="BM260" s="408">
        <f t="shared" si="67"/>
        <v>0</v>
      </c>
    </row>
    <row r="261" spans="16:65">
      <c r="P261" s="779">
        <v>0</v>
      </c>
      <c r="Q261" s="780">
        <f t="shared" si="51"/>
        <v>0</v>
      </c>
      <c r="R261" s="776">
        <f>IF(P262,_xll.qDateYears(P261,P262,DCCfixed),0)</f>
        <v>0</v>
      </c>
      <c r="S261" s="553">
        <v>0</v>
      </c>
      <c r="T261" s="785"/>
      <c r="U261" s="409">
        <f t="shared" si="61"/>
        <v>0</v>
      </c>
      <c r="X261" s="363">
        <v>0</v>
      </c>
      <c r="Y261" s="775">
        <f t="shared" si="52"/>
        <v>0</v>
      </c>
      <c r="Z261" s="776">
        <f>IF(X262,_xll.qDateYears(X261,X262,DCCfloat),0)</f>
        <v>0</v>
      </c>
      <c r="AA261" s="553">
        <v>0</v>
      </c>
      <c r="AB261" s="789">
        <f>IF($X261=0,0,      _xll.qDateNext($X261,AB$12,"M",FRM&lt;&gt;"Calypso",CCY))</f>
        <v>0</v>
      </c>
      <c r="AC261" s="789">
        <f>IF($X261=0,0,      _xll.qDateNext($X261,AC$12,"M",FRM&lt;&gt;"Calypso",CCY))</f>
        <v>0</v>
      </c>
      <c r="AD261" s="789">
        <f>IF($X261=0,0,      _xll.qDateNext($X261,AD$12,"M",FRM&lt;&gt;"Calypso",CCY))</f>
        <v>0</v>
      </c>
      <c r="AE261" s="789">
        <f>IF($X261=0,0,      _xll.qDateNext($X261,AE$12,"M",FRM&lt;&gt;"Calypso",CCY))</f>
        <v>0</v>
      </c>
      <c r="AF261" s="789">
        <f>IF($X261=0,0,      _xll.qDateNext($X261,AF$12,"M",FRM&lt;&gt;"Calypso",CCY))</f>
        <v>0</v>
      </c>
      <c r="AG261" s="789">
        <f>IF($X261=0,0,      _xll.qDateNext($X261,AG$12,"M",FRM&lt;&gt;"Calypso",CCY))</f>
        <v>0</v>
      </c>
      <c r="AH261" s="789">
        <f>IF($X261=0,0,      _xll.qDateNext($X261,AH$12,"M",FRM&lt;&gt;"Calypso",CCY))</f>
        <v>0</v>
      </c>
      <c r="AI261" s="789">
        <f>IF($X261=0,0,      _xll.qDateNext($X261,AI$12,"M",FRM&lt;&gt;"Calypso",CCY))</f>
        <v>0</v>
      </c>
      <c r="AJ261" s="529" t="str">
        <v/>
      </c>
      <c r="AK261" s="529" t="str">
        <v/>
      </c>
      <c r="AL261" s="529" t="str">
        <v/>
      </c>
      <c r="AM261" s="529" t="str">
        <v/>
      </c>
      <c r="AN261" s="529" t="str">
        <v/>
      </c>
      <c r="AO261" s="529" t="str">
        <v/>
      </c>
      <c r="AP261" s="529" t="str">
        <v/>
      </c>
      <c r="AQ261" s="529" t="str">
        <v/>
      </c>
      <c r="AR261" s="529">
        <v>0</v>
      </c>
      <c r="AS261" s="529">
        <v>0</v>
      </c>
      <c r="AT261" s="529">
        <f t="shared" si="62"/>
        <v>0</v>
      </c>
      <c r="AU261" s="529">
        <v>0</v>
      </c>
      <c r="AV261" s="529">
        <f t="shared" si="63"/>
        <v>0</v>
      </c>
      <c r="AW261" s="529">
        <f t="shared" si="64"/>
        <v>0</v>
      </c>
      <c r="AX261" s="529">
        <v>0</v>
      </c>
      <c r="AY261" s="529">
        <v>0</v>
      </c>
      <c r="AZ261" s="761">
        <f t="shared" si="53"/>
        <v>0</v>
      </c>
      <c r="BA261" s="761">
        <f t="shared" si="54"/>
        <v>0</v>
      </c>
      <c r="BB261" s="761">
        <f t="shared" si="55"/>
        <v>0</v>
      </c>
      <c r="BC261" s="761">
        <f t="shared" si="56"/>
        <v>0</v>
      </c>
      <c r="BD261" s="761">
        <f t="shared" si="57"/>
        <v>0</v>
      </c>
      <c r="BE261" s="761">
        <f t="shared" si="58"/>
        <v>0</v>
      </c>
      <c r="BF261" s="761">
        <f t="shared" si="59"/>
        <v>0</v>
      </c>
      <c r="BG261" s="761">
        <f t="shared" si="60"/>
        <v>0</v>
      </c>
      <c r="BH261" s="777">
        <v>0</v>
      </c>
      <c r="BI261" s="755"/>
      <c r="BJ261" s="778">
        <f>IF(X262=0,0,           IF(ISNUMBER(BI261),BI261,               IF(ISTEXT(BI261),INDEX(AZ261:BG261,MATCH(BI261,$AZ$12:$BG$12,0)),             IF(BH261="INT",_xll.qInterp(X262,AB261:AI261,AZ261:BG261),            INDEX(AZ261:BG261,MATCH(BH261,$AZ$12:$BG$12,0))))))</f>
        <v>0</v>
      </c>
      <c r="BK261" s="408">
        <f t="shared" si="65"/>
        <v>0</v>
      </c>
      <c r="BL261" s="414">
        <f t="shared" si="66"/>
        <v>0</v>
      </c>
      <c r="BM261" s="408">
        <f t="shared" si="67"/>
        <v>0</v>
      </c>
    </row>
    <row r="262" spans="16:65">
      <c r="P262" s="779">
        <v>0</v>
      </c>
      <c r="Q262" s="780">
        <f t="shared" si="51"/>
        <v>0</v>
      </c>
      <c r="R262" s="776">
        <f>IF(P263,_xll.qDateYears(P262,P263,DCCfixed),0)</f>
        <v>0</v>
      </c>
      <c r="S262" s="553">
        <v>0</v>
      </c>
      <c r="T262" s="785"/>
      <c r="U262" s="409">
        <f t="shared" si="61"/>
        <v>0</v>
      </c>
      <c r="X262" s="363">
        <v>0</v>
      </c>
      <c r="Y262" s="775">
        <f t="shared" si="52"/>
        <v>0</v>
      </c>
      <c r="Z262" s="776">
        <f>IF(X263,_xll.qDateYears(X262,X263,DCCfloat),0)</f>
        <v>0</v>
      </c>
      <c r="AA262" s="553">
        <v>0</v>
      </c>
      <c r="AB262" s="789">
        <f>IF($X262=0,0,      _xll.qDateNext($X262,AB$12,"M",FRM&lt;&gt;"Calypso",CCY))</f>
        <v>0</v>
      </c>
      <c r="AC262" s="789">
        <f>IF($X262=0,0,      _xll.qDateNext($X262,AC$12,"M",FRM&lt;&gt;"Calypso",CCY))</f>
        <v>0</v>
      </c>
      <c r="AD262" s="789">
        <f>IF($X262=0,0,      _xll.qDateNext($X262,AD$12,"M",FRM&lt;&gt;"Calypso",CCY))</f>
        <v>0</v>
      </c>
      <c r="AE262" s="789">
        <f>IF($X262=0,0,      _xll.qDateNext($X262,AE$12,"M",FRM&lt;&gt;"Calypso",CCY))</f>
        <v>0</v>
      </c>
      <c r="AF262" s="789">
        <f>IF($X262=0,0,      _xll.qDateNext($X262,AF$12,"M",FRM&lt;&gt;"Calypso",CCY))</f>
        <v>0</v>
      </c>
      <c r="AG262" s="789">
        <f>IF($X262=0,0,      _xll.qDateNext($X262,AG$12,"M",FRM&lt;&gt;"Calypso",CCY))</f>
        <v>0</v>
      </c>
      <c r="AH262" s="789">
        <f>IF($X262=0,0,      _xll.qDateNext($X262,AH$12,"M",FRM&lt;&gt;"Calypso",CCY))</f>
        <v>0</v>
      </c>
      <c r="AI262" s="789">
        <f>IF($X262=0,0,      _xll.qDateNext($X262,AI$12,"M",FRM&lt;&gt;"Calypso",CCY))</f>
        <v>0</v>
      </c>
      <c r="AJ262" s="529" t="str">
        <v/>
      </c>
      <c r="AK262" s="529" t="str">
        <v/>
      </c>
      <c r="AL262" s="529" t="str">
        <v/>
      </c>
      <c r="AM262" s="529" t="str">
        <v/>
      </c>
      <c r="AN262" s="529" t="str">
        <v/>
      </c>
      <c r="AO262" s="529" t="str">
        <v/>
      </c>
      <c r="AP262" s="529" t="str">
        <v/>
      </c>
      <c r="AQ262" s="529" t="str">
        <v/>
      </c>
      <c r="AR262" s="529">
        <v>0</v>
      </c>
      <c r="AS262" s="529">
        <v>0</v>
      </c>
      <c r="AT262" s="529">
        <f t="shared" si="62"/>
        <v>0</v>
      </c>
      <c r="AU262" s="529">
        <v>0</v>
      </c>
      <c r="AV262" s="529">
        <f t="shared" si="63"/>
        <v>0</v>
      </c>
      <c r="AW262" s="529">
        <f t="shared" si="64"/>
        <v>0</v>
      </c>
      <c r="AX262" s="529">
        <v>0</v>
      </c>
      <c r="AY262" s="529">
        <v>0</v>
      </c>
      <c r="AZ262" s="761">
        <f t="shared" si="53"/>
        <v>0</v>
      </c>
      <c r="BA262" s="761">
        <f t="shared" si="54"/>
        <v>0</v>
      </c>
      <c r="BB262" s="761">
        <f t="shared" si="55"/>
        <v>0</v>
      </c>
      <c r="BC262" s="761">
        <f t="shared" si="56"/>
        <v>0</v>
      </c>
      <c r="BD262" s="761">
        <f t="shared" si="57"/>
        <v>0</v>
      </c>
      <c r="BE262" s="761">
        <f t="shared" si="58"/>
        <v>0</v>
      </c>
      <c r="BF262" s="761">
        <f t="shared" si="59"/>
        <v>0</v>
      </c>
      <c r="BG262" s="761">
        <f t="shared" si="60"/>
        <v>0</v>
      </c>
      <c r="BH262" s="777">
        <v>0</v>
      </c>
      <c r="BI262" s="755"/>
      <c r="BJ262" s="778">
        <f>IF(X263=0,0,           IF(ISNUMBER(BI262),BI262,               IF(ISTEXT(BI262),INDEX(AZ262:BG262,MATCH(BI262,$AZ$12:$BG$12,0)),             IF(BH262="INT",_xll.qInterp(X263,AB262:AI262,AZ262:BG262),            INDEX(AZ262:BG262,MATCH(BH262,$AZ$12:$BG$12,0))))))</f>
        <v>0</v>
      </c>
      <c r="BK262" s="408">
        <f t="shared" si="65"/>
        <v>0</v>
      </c>
      <c r="BL262" s="414">
        <f t="shared" si="66"/>
        <v>0</v>
      </c>
      <c r="BM262" s="408">
        <f t="shared" si="67"/>
        <v>0</v>
      </c>
    </row>
    <row r="263" spans="16:65">
      <c r="P263" s="781">
        <v>0</v>
      </c>
      <c r="Q263" s="780">
        <f t="shared" si="51"/>
        <v>0</v>
      </c>
      <c r="R263" s="776">
        <f>IF(P264,_xll.qDateYears(P263,P264,DCCfixed),0)</f>
        <v>0</v>
      </c>
      <c r="S263" s="553">
        <v>0</v>
      </c>
      <c r="T263" s="785"/>
      <c r="U263" s="409">
        <f t="shared" si="61"/>
        <v>0</v>
      </c>
      <c r="X263" s="363">
        <v>0</v>
      </c>
      <c r="Y263" s="775">
        <f t="shared" si="52"/>
        <v>0</v>
      </c>
      <c r="Z263" s="776">
        <f>IF(X264,_xll.qDateYears(X263,X264,DCCfloat),0)</f>
        <v>0</v>
      </c>
      <c r="AA263" s="553">
        <v>0</v>
      </c>
      <c r="AB263" s="789">
        <f>IF($X263=0,0,      _xll.qDateNext($X263,AB$12,"M",FRM&lt;&gt;"Calypso",CCY))</f>
        <v>0</v>
      </c>
      <c r="AC263" s="789">
        <f>IF($X263=0,0,      _xll.qDateNext($X263,AC$12,"M",FRM&lt;&gt;"Calypso",CCY))</f>
        <v>0</v>
      </c>
      <c r="AD263" s="789">
        <f>IF($X263=0,0,      _xll.qDateNext($X263,AD$12,"M",FRM&lt;&gt;"Calypso",CCY))</f>
        <v>0</v>
      </c>
      <c r="AE263" s="789">
        <f>IF($X263=0,0,      _xll.qDateNext($X263,AE$12,"M",FRM&lt;&gt;"Calypso",CCY))</f>
        <v>0</v>
      </c>
      <c r="AF263" s="789">
        <f>IF($X263=0,0,      _xll.qDateNext($X263,AF$12,"M",FRM&lt;&gt;"Calypso",CCY))</f>
        <v>0</v>
      </c>
      <c r="AG263" s="789">
        <f>IF($X263=0,0,      _xll.qDateNext($X263,AG$12,"M",FRM&lt;&gt;"Calypso",CCY))</f>
        <v>0</v>
      </c>
      <c r="AH263" s="789">
        <f>IF($X263=0,0,      _xll.qDateNext($X263,AH$12,"M",FRM&lt;&gt;"Calypso",CCY))</f>
        <v>0</v>
      </c>
      <c r="AI263" s="789">
        <f>IF($X263=0,0,      _xll.qDateNext($X263,AI$12,"M",FRM&lt;&gt;"Calypso",CCY))</f>
        <v>0</v>
      </c>
      <c r="AJ263" s="529" t="str">
        <v/>
      </c>
      <c r="AK263" s="529" t="str">
        <v/>
      </c>
      <c r="AL263" s="529" t="str">
        <v/>
      </c>
      <c r="AM263" s="529" t="str">
        <v/>
      </c>
      <c r="AN263" s="529" t="str">
        <v/>
      </c>
      <c r="AO263" s="529" t="str">
        <v/>
      </c>
      <c r="AP263" s="529" t="str">
        <v/>
      </c>
      <c r="AQ263" s="529" t="str">
        <v/>
      </c>
      <c r="AR263" s="529">
        <v>0</v>
      </c>
      <c r="AS263" s="529">
        <v>0</v>
      </c>
      <c r="AT263" s="529">
        <f t="shared" si="62"/>
        <v>0</v>
      </c>
      <c r="AU263" s="529">
        <v>0</v>
      </c>
      <c r="AV263" s="529">
        <f t="shared" si="63"/>
        <v>0</v>
      </c>
      <c r="AW263" s="529">
        <f t="shared" si="64"/>
        <v>0</v>
      </c>
      <c r="AX263" s="529">
        <v>0</v>
      </c>
      <c r="AY263" s="529">
        <v>0</v>
      </c>
      <c r="AZ263" s="761">
        <f t="shared" si="53"/>
        <v>0</v>
      </c>
      <c r="BA263" s="761">
        <f t="shared" si="54"/>
        <v>0</v>
      </c>
      <c r="BB263" s="761">
        <f t="shared" si="55"/>
        <v>0</v>
      </c>
      <c r="BC263" s="761">
        <f t="shared" si="56"/>
        <v>0</v>
      </c>
      <c r="BD263" s="761">
        <f t="shared" si="57"/>
        <v>0</v>
      </c>
      <c r="BE263" s="761">
        <f t="shared" si="58"/>
        <v>0</v>
      </c>
      <c r="BF263" s="761">
        <f t="shared" si="59"/>
        <v>0</v>
      </c>
      <c r="BG263" s="761">
        <f t="shared" si="60"/>
        <v>0</v>
      </c>
      <c r="BH263" s="777">
        <v>0</v>
      </c>
      <c r="BI263" s="755"/>
      <c r="BJ263" s="778">
        <f>IF(X264=0,0,           IF(ISNUMBER(BI263),BI263,               IF(ISTEXT(BI263),INDEX(AZ263:BG263,MATCH(BI263,$AZ$12:$BG$12,0)),             IF(BH263="INT",_xll.qInterp(X264,AB263:AI263,AZ263:BG263),            INDEX(AZ263:BG263,MATCH(BH263,$AZ$12:$BG$12,0))))))</f>
        <v>0</v>
      </c>
      <c r="BK263" s="408">
        <f t="shared" si="65"/>
        <v>0</v>
      </c>
      <c r="BL263" s="414">
        <f t="shared" si="66"/>
        <v>0</v>
      </c>
      <c r="BM263" s="408">
        <f t="shared" si="67"/>
        <v>0</v>
      </c>
    </row>
    <row r="264" spans="16:65">
      <c r="P264" s="781">
        <v>0</v>
      </c>
      <c r="Q264" s="780">
        <f t="shared" si="51"/>
        <v>0</v>
      </c>
      <c r="R264" s="776">
        <f>IF(P265,_xll.qDateYears(P264,P265,DCCfixed),0)</f>
        <v>0</v>
      </c>
      <c r="S264" s="553">
        <v>0</v>
      </c>
      <c r="T264" s="785"/>
      <c r="U264" s="409">
        <f t="shared" si="61"/>
        <v>0</v>
      </c>
      <c r="X264" s="363">
        <v>0</v>
      </c>
      <c r="Y264" s="775">
        <f t="shared" si="52"/>
        <v>0</v>
      </c>
      <c r="Z264" s="776">
        <f>IF(X265,_xll.qDateYears(X264,X265,DCCfloat),0)</f>
        <v>0</v>
      </c>
      <c r="AA264" s="553">
        <v>0</v>
      </c>
      <c r="AB264" s="789">
        <f>IF($X264=0,0,      _xll.qDateNext($X264,AB$12,"M",FRM&lt;&gt;"Calypso",CCY))</f>
        <v>0</v>
      </c>
      <c r="AC264" s="789">
        <f>IF($X264=0,0,      _xll.qDateNext($X264,AC$12,"M",FRM&lt;&gt;"Calypso",CCY))</f>
        <v>0</v>
      </c>
      <c r="AD264" s="789">
        <f>IF($X264=0,0,      _xll.qDateNext($X264,AD$12,"M",FRM&lt;&gt;"Calypso",CCY))</f>
        <v>0</v>
      </c>
      <c r="AE264" s="789">
        <f>IF($X264=0,0,      _xll.qDateNext($X264,AE$12,"M",FRM&lt;&gt;"Calypso",CCY))</f>
        <v>0</v>
      </c>
      <c r="AF264" s="789">
        <f>IF($X264=0,0,      _xll.qDateNext($X264,AF$12,"M",FRM&lt;&gt;"Calypso",CCY))</f>
        <v>0</v>
      </c>
      <c r="AG264" s="789">
        <f>IF($X264=0,0,      _xll.qDateNext($X264,AG$12,"M",FRM&lt;&gt;"Calypso",CCY))</f>
        <v>0</v>
      </c>
      <c r="AH264" s="789">
        <f>IF($X264=0,0,      _xll.qDateNext($X264,AH$12,"M",FRM&lt;&gt;"Calypso",CCY))</f>
        <v>0</v>
      </c>
      <c r="AI264" s="789">
        <f>IF($X264=0,0,      _xll.qDateNext($X264,AI$12,"M",FRM&lt;&gt;"Calypso",CCY))</f>
        <v>0</v>
      </c>
      <c r="AJ264" s="529" t="str">
        <v/>
      </c>
      <c r="AK264" s="529" t="str">
        <v/>
      </c>
      <c r="AL264" s="529" t="str">
        <v/>
      </c>
      <c r="AM264" s="529" t="str">
        <v/>
      </c>
      <c r="AN264" s="529" t="str">
        <v/>
      </c>
      <c r="AO264" s="529" t="str">
        <v/>
      </c>
      <c r="AP264" s="529" t="str">
        <v/>
      </c>
      <c r="AQ264" s="529" t="str">
        <v/>
      </c>
      <c r="AR264" s="529">
        <v>0</v>
      </c>
      <c r="AS264" s="529">
        <v>0</v>
      </c>
      <c r="AT264" s="529">
        <f t="shared" si="62"/>
        <v>0</v>
      </c>
      <c r="AU264" s="529">
        <v>0</v>
      </c>
      <c r="AV264" s="529">
        <f t="shared" si="63"/>
        <v>0</v>
      </c>
      <c r="AW264" s="529">
        <f t="shared" si="64"/>
        <v>0</v>
      </c>
      <c r="AX264" s="529">
        <v>0</v>
      </c>
      <c r="AY264" s="529">
        <v>0</v>
      </c>
      <c r="AZ264" s="761">
        <f t="shared" si="53"/>
        <v>0</v>
      </c>
      <c r="BA264" s="761">
        <f t="shared" si="54"/>
        <v>0</v>
      </c>
      <c r="BB264" s="761">
        <f t="shared" si="55"/>
        <v>0</v>
      </c>
      <c r="BC264" s="761">
        <f t="shared" si="56"/>
        <v>0</v>
      </c>
      <c r="BD264" s="761">
        <f t="shared" si="57"/>
        <v>0</v>
      </c>
      <c r="BE264" s="761">
        <f t="shared" si="58"/>
        <v>0</v>
      </c>
      <c r="BF264" s="761">
        <f t="shared" si="59"/>
        <v>0</v>
      </c>
      <c r="BG264" s="761">
        <f t="shared" si="60"/>
        <v>0</v>
      </c>
      <c r="BH264" s="777">
        <v>0</v>
      </c>
      <c r="BI264" s="755"/>
      <c r="BJ264" s="778">
        <f>IF(X265=0,0,           IF(ISNUMBER(BI264),BI264,               IF(ISTEXT(BI264),INDEX(AZ264:BG264,MATCH(BI264,$AZ$12:$BG$12,0)),             IF(BH264="INT",_xll.qInterp(X265,AB264:AI264,AZ264:BG264),            INDEX(AZ264:BG264,MATCH(BH264,$AZ$12:$BG$12,0))))))</f>
        <v>0</v>
      </c>
      <c r="BK264" s="408">
        <f t="shared" si="65"/>
        <v>0</v>
      </c>
      <c r="BL264" s="414">
        <f t="shared" si="66"/>
        <v>0</v>
      </c>
      <c r="BM264" s="408">
        <f t="shared" si="67"/>
        <v>0</v>
      </c>
    </row>
    <row r="265" spans="16:65">
      <c r="P265" s="781">
        <v>0</v>
      </c>
      <c r="Q265" s="780">
        <f t="shared" si="51"/>
        <v>0</v>
      </c>
      <c r="R265" s="776">
        <f>IF(P266,_xll.qDateYears(P265,P266,DCCfixed),0)</f>
        <v>0</v>
      </c>
      <c r="S265" s="553">
        <v>0</v>
      </c>
      <c r="T265" s="785"/>
      <c r="U265" s="409">
        <f t="shared" si="61"/>
        <v>0</v>
      </c>
      <c r="X265" s="363">
        <v>0</v>
      </c>
      <c r="Y265" s="775">
        <f t="shared" si="52"/>
        <v>0</v>
      </c>
      <c r="Z265" s="776">
        <f>IF(X266,_xll.qDateYears(X265,X266,DCCfloat),0)</f>
        <v>0</v>
      </c>
      <c r="AA265" s="553">
        <v>0</v>
      </c>
      <c r="AB265" s="789">
        <f>IF($X265=0,0,      _xll.qDateNext($X265,AB$12,"M",FRM&lt;&gt;"Calypso",CCY))</f>
        <v>0</v>
      </c>
      <c r="AC265" s="789">
        <f>IF($X265=0,0,      _xll.qDateNext($X265,AC$12,"M",FRM&lt;&gt;"Calypso",CCY))</f>
        <v>0</v>
      </c>
      <c r="AD265" s="789">
        <f>IF($X265=0,0,      _xll.qDateNext($X265,AD$12,"M",FRM&lt;&gt;"Calypso",CCY))</f>
        <v>0</v>
      </c>
      <c r="AE265" s="789">
        <f>IF($X265=0,0,      _xll.qDateNext($X265,AE$12,"M",FRM&lt;&gt;"Calypso",CCY))</f>
        <v>0</v>
      </c>
      <c r="AF265" s="789">
        <f>IF($X265=0,0,      _xll.qDateNext($X265,AF$12,"M",FRM&lt;&gt;"Calypso",CCY))</f>
        <v>0</v>
      </c>
      <c r="AG265" s="789">
        <f>IF($X265=0,0,      _xll.qDateNext($X265,AG$12,"M",FRM&lt;&gt;"Calypso",CCY))</f>
        <v>0</v>
      </c>
      <c r="AH265" s="789">
        <f>IF($X265=0,0,      _xll.qDateNext($X265,AH$12,"M",FRM&lt;&gt;"Calypso",CCY))</f>
        <v>0</v>
      </c>
      <c r="AI265" s="789">
        <f>IF($X265=0,0,      _xll.qDateNext($X265,AI$12,"M",FRM&lt;&gt;"Calypso",CCY))</f>
        <v>0</v>
      </c>
      <c r="AJ265" s="529" t="str">
        <v/>
      </c>
      <c r="AK265" s="529" t="str">
        <v/>
      </c>
      <c r="AL265" s="529" t="str">
        <v/>
      </c>
      <c r="AM265" s="529" t="str">
        <v/>
      </c>
      <c r="AN265" s="529" t="str">
        <v/>
      </c>
      <c r="AO265" s="529" t="str">
        <v/>
      </c>
      <c r="AP265" s="529" t="str">
        <v/>
      </c>
      <c r="AQ265" s="529" t="str">
        <v/>
      </c>
      <c r="AR265" s="529">
        <v>0</v>
      </c>
      <c r="AS265" s="529">
        <v>0</v>
      </c>
      <c r="AT265" s="529">
        <f t="shared" si="62"/>
        <v>0</v>
      </c>
      <c r="AU265" s="529">
        <v>0</v>
      </c>
      <c r="AV265" s="529">
        <f t="shared" si="63"/>
        <v>0</v>
      </c>
      <c r="AW265" s="529">
        <f t="shared" si="64"/>
        <v>0</v>
      </c>
      <c r="AX265" s="529">
        <v>0</v>
      </c>
      <c r="AY265" s="529">
        <v>0</v>
      </c>
      <c r="AZ265" s="761">
        <f t="shared" si="53"/>
        <v>0</v>
      </c>
      <c r="BA265" s="761">
        <f t="shared" si="54"/>
        <v>0</v>
      </c>
      <c r="BB265" s="761">
        <f t="shared" si="55"/>
        <v>0</v>
      </c>
      <c r="BC265" s="761">
        <f t="shared" si="56"/>
        <v>0</v>
      </c>
      <c r="BD265" s="761">
        <f t="shared" si="57"/>
        <v>0</v>
      </c>
      <c r="BE265" s="761">
        <f t="shared" si="58"/>
        <v>0</v>
      </c>
      <c r="BF265" s="761">
        <f t="shared" si="59"/>
        <v>0</v>
      </c>
      <c r="BG265" s="761">
        <f t="shared" si="60"/>
        <v>0</v>
      </c>
      <c r="BH265" s="777">
        <v>0</v>
      </c>
      <c r="BI265" s="755"/>
      <c r="BJ265" s="778">
        <f>IF(X266=0,0,           IF(ISNUMBER(BI265),BI265,               IF(ISTEXT(BI265),INDEX(AZ265:BG265,MATCH(BI265,$AZ$12:$BG$12,0)),             IF(BH265="INT",_xll.qInterp(X266,AB265:AI265,AZ265:BG265),            INDEX(AZ265:BG265,MATCH(BH265,$AZ$12:$BG$12,0))))))</f>
        <v>0</v>
      </c>
      <c r="BK265" s="408">
        <f t="shared" si="65"/>
        <v>0</v>
      </c>
      <c r="BL265" s="414">
        <f t="shared" si="66"/>
        <v>0</v>
      </c>
      <c r="BM265" s="408">
        <f t="shared" si="67"/>
        <v>0</v>
      </c>
    </row>
    <row r="266" spans="16:65">
      <c r="P266" s="781">
        <v>0</v>
      </c>
      <c r="Q266" s="780">
        <f t="shared" si="51"/>
        <v>0</v>
      </c>
      <c r="R266" s="776">
        <f>IF(P267,_xll.qDateYears(P266,P267,DCCfixed),0)</f>
        <v>0</v>
      </c>
      <c r="S266" s="553">
        <v>0</v>
      </c>
      <c r="T266" s="785"/>
      <c r="U266" s="409">
        <f t="shared" si="61"/>
        <v>0</v>
      </c>
      <c r="X266" s="363">
        <v>0</v>
      </c>
      <c r="Y266" s="775">
        <f t="shared" si="52"/>
        <v>0</v>
      </c>
      <c r="Z266" s="776">
        <f>IF(X267,_xll.qDateYears(X266,X267,DCCfloat),0)</f>
        <v>0</v>
      </c>
      <c r="AA266" s="553">
        <v>0</v>
      </c>
      <c r="AB266" s="789">
        <f>IF($X266=0,0,      _xll.qDateNext($X266,AB$12,"M",FRM&lt;&gt;"Calypso",CCY))</f>
        <v>0</v>
      </c>
      <c r="AC266" s="789">
        <f>IF($X266=0,0,      _xll.qDateNext($X266,AC$12,"M",FRM&lt;&gt;"Calypso",CCY))</f>
        <v>0</v>
      </c>
      <c r="AD266" s="789">
        <f>IF($X266=0,0,      _xll.qDateNext($X266,AD$12,"M",FRM&lt;&gt;"Calypso",CCY))</f>
        <v>0</v>
      </c>
      <c r="AE266" s="789">
        <f>IF($X266=0,0,      _xll.qDateNext($X266,AE$12,"M",FRM&lt;&gt;"Calypso",CCY))</f>
        <v>0</v>
      </c>
      <c r="AF266" s="789">
        <f>IF($X266=0,0,      _xll.qDateNext($X266,AF$12,"M",FRM&lt;&gt;"Calypso",CCY))</f>
        <v>0</v>
      </c>
      <c r="AG266" s="789">
        <f>IF($X266=0,0,      _xll.qDateNext($X266,AG$12,"M",FRM&lt;&gt;"Calypso",CCY))</f>
        <v>0</v>
      </c>
      <c r="AH266" s="789">
        <f>IF($X266=0,0,      _xll.qDateNext($X266,AH$12,"M",FRM&lt;&gt;"Calypso",CCY))</f>
        <v>0</v>
      </c>
      <c r="AI266" s="789">
        <f>IF($X266=0,0,      _xll.qDateNext($X266,AI$12,"M",FRM&lt;&gt;"Calypso",CCY))</f>
        <v>0</v>
      </c>
      <c r="AJ266" s="529" t="str">
        <v/>
      </c>
      <c r="AK266" s="529" t="str">
        <v/>
      </c>
      <c r="AL266" s="529" t="str">
        <v/>
      </c>
      <c r="AM266" s="529" t="str">
        <v/>
      </c>
      <c r="AN266" s="529" t="str">
        <v/>
      </c>
      <c r="AO266" s="529" t="str">
        <v/>
      </c>
      <c r="AP266" s="529" t="str">
        <v/>
      </c>
      <c r="AQ266" s="529" t="str">
        <v/>
      </c>
      <c r="AR266" s="529">
        <v>0</v>
      </c>
      <c r="AS266" s="529">
        <v>0</v>
      </c>
      <c r="AT266" s="529">
        <f t="shared" si="62"/>
        <v>0</v>
      </c>
      <c r="AU266" s="529">
        <v>0</v>
      </c>
      <c r="AV266" s="529">
        <f t="shared" si="63"/>
        <v>0</v>
      </c>
      <c r="AW266" s="529">
        <f t="shared" si="64"/>
        <v>0</v>
      </c>
      <c r="AX266" s="529">
        <v>0</v>
      </c>
      <c r="AY266" s="529">
        <v>0</v>
      </c>
      <c r="AZ266" s="761">
        <f t="shared" si="53"/>
        <v>0</v>
      </c>
      <c r="BA266" s="761">
        <f t="shared" si="54"/>
        <v>0</v>
      </c>
      <c r="BB266" s="761">
        <f t="shared" si="55"/>
        <v>0</v>
      </c>
      <c r="BC266" s="761">
        <f t="shared" si="56"/>
        <v>0</v>
      </c>
      <c r="BD266" s="761">
        <f t="shared" si="57"/>
        <v>0</v>
      </c>
      <c r="BE266" s="761">
        <f t="shared" si="58"/>
        <v>0</v>
      </c>
      <c r="BF266" s="761">
        <f t="shared" si="59"/>
        <v>0</v>
      </c>
      <c r="BG266" s="761">
        <f t="shared" si="60"/>
        <v>0</v>
      </c>
      <c r="BH266" s="777">
        <v>0</v>
      </c>
      <c r="BI266" s="755"/>
      <c r="BJ266" s="778">
        <f>IF(X267=0,0,           IF(ISNUMBER(BI266),BI266,               IF(ISTEXT(BI266),INDEX(AZ266:BG266,MATCH(BI266,$AZ$12:$BG$12,0)),             IF(BH266="INT",_xll.qInterp(X267,AB266:AI266,AZ266:BG266),            INDEX(AZ266:BG266,MATCH(BH266,$AZ$12:$BG$12,0))))))</f>
        <v>0</v>
      </c>
      <c r="BK266" s="408">
        <f t="shared" si="65"/>
        <v>0</v>
      </c>
      <c r="BL266" s="414">
        <f t="shared" si="66"/>
        <v>0</v>
      </c>
      <c r="BM266" s="408">
        <f t="shared" si="67"/>
        <v>0</v>
      </c>
    </row>
    <row r="267" spans="16:65">
      <c r="P267" s="781">
        <v>0</v>
      </c>
      <c r="Q267" s="780">
        <f t="shared" si="51"/>
        <v>0</v>
      </c>
      <c r="R267" s="776">
        <f>IF(P268,_xll.qDateYears(P267,P268,DCCfixed),0)</f>
        <v>0</v>
      </c>
      <c r="S267" s="553">
        <v>0</v>
      </c>
      <c r="T267" s="785"/>
      <c r="U267" s="409">
        <f t="shared" si="61"/>
        <v>0</v>
      </c>
      <c r="X267" s="363">
        <v>0</v>
      </c>
      <c r="Y267" s="775">
        <f t="shared" si="52"/>
        <v>0</v>
      </c>
      <c r="Z267" s="776">
        <f>IF(X268,_xll.qDateYears(X267,X268,DCCfloat),0)</f>
        <v>0</v>
      </c>
      <c r="AA267" s="553">
        <v>0</v>
      </c>
      <c r="AB267" s="789">
        <f>IF($X267=0,0,      _xll.qDateNext($X267,AB$12,"M",FRM&lt;&gt;"Calypso",CCY))</f>
        <v>0</v>
      </c>
      <c r="AC267" s="789">
        <f>IF($X267=0,0,      _xll.qDateNext($X267,AC$12,"M",FRM&lt;&gt;"Calypso",CCY))</f>
        <v>0</v>
      </c>
      <c r="AD267" s="789">
        <f>IF($X267=0,0,      _xll.qDateNext($X267,AD$12,"M",FRM&lt;&gt;"Calypso",CCY))</f>
        <v>0</v>
      </c>
      <c r="AE267" s="789">
        <f>IF($X267=0,0,      _xll.qDateNext($X267,AE$12,"M",FRM&lt;&gt;"Calypso",CCY))</f>
        <v>0</v>
      </c>
      <c r="AF267" s="789">
        <f>IF($X267=0,0,      _xll.qDateNext($X267,AF$12,"M",FRM&lt;&gt;"Calypso",CCY))</f>
        <v>0</v>
      </c>
      <c r="AG267" s="789">
        <f>IF($X267=0,0,      _xll.qDateNext($X267,AG$12,"M",FRM&lt;&gt;"Calypso",CCY))</f>
        <v>0</v>
      </c>
      <c r="AH267" s="789">
        <f>IF($X267=0,0,      _xll.qDateNext($X267,AH$12,"M",FRM&lt;&gt;"Calypso",CCY))</f>
        <v>0</v>
      </c>
      <c r="AI267" s="789">
        <f>IF($X267=0,0,      _xll.qDateNext($X267,AI$12,"M",FRM&lt;&gt;"Calypso",CCY))</f>
        <v>0</v>
      </c>
      <c r="AJ267" s="529" t="str">
        <v/>
      </c>
      <c r="AK267" s="529" t="str">
        <v/>
      </c>
      <c r="AL267" s="529" t="str">
        <v/>
      </c>
      <c r="AM267" s="529" t="str">
        <v/>
      </c>
      <c r="AN267" s="529" t="str">
        <v/>
      </c>
      <c r="AO267" s="529" t="str">
        <v/>
      </c>
      <c r="AP267" s="529" t="str">
        <v/>
      </c>
      <c r="AQ267" s="529" t="str">
        <v/>
      </c>
      <c r="AR267" s="529">
        <v>0</v>
      </c>
      <c r="AS267" s="529">
        <v>0</v>
      </c>
      <c r="AT267" s="529">
        <f t="shared" si="62"/>
        <v>0</v>
      </c>
      <c r="AU267" s="529">
        <v>0</v>
      </c>
      <c r="AV267" s="529">
        <f t="shared" si="63"/>
        <v>0</v>
      </c>
      <c r="AW267" s="529">
        <f t="shared" si="64"/>
        <v>0</v>
      </c>
      <c r="AX267" s="529">
        <v>0</v>
      </c>
      <c r="AY267" s="529">
        <v>0</v>
      </c>
      <c r="AZ267" s="761">
        <f t="shared" si="53"/>
        <v>0</v>
      </c>
      <c r="BA267" s="761">
        <f t="shared" si="54"/>
        <v>0</v>
      </c>
      <c r="BB267" s="761">
        <f t="shared" si="55"/>
        <v>0</v>
      </c>
      <c r="BC267" s="761">
        <f t="shared" si="56"/>
        <v>0</v>
      </c>
      <c r="BD267" s="761">
        <f t="shared" si="57"/>
        <v>0</v>
      </c>
      <c r="BE267" s="761">
        <f t="shared" si="58"/>
        <v>0</v>
      </c>
      <c r="BF267" s="761">
        <f t="shared" si="59"/>
        <v>0</v>
      </c>
      <c r="BG267" s="761">
        <f t="shared" si="60"/>
        <v>0</v>
      </c>
      <c r="BH267" s="777">
        <v>0</v>
      </c>
      <c r="BI267" s="755"/>
      <c r="BJ267" s="778">
        <f>IF(X268=0,0,           IF(ISNUMBER(BI267),BI267,               IF(ISTEXT(BI267),INDEX(AZ267:BG267,MATCH(BI267,$AZ$12:$BG$12,0)),             IF(BH267="INT",_xll.qInterp(X268,AB267:AI267,AZ267:BG267),            INDEX(AZ267:BG267,MATCH(BH267,$AZ$12:$BG$12,0))))))</f>
        <v>0</v>
      </c>
      <c r="BK267" s="408">
        <f t="shared" si="65"/>
        <v>0</v>
      </c>
      <c r="BL267" s="414">
        <f t="shared" si="66"/>
        <v>0</v>
      </c>
      <c r="BM267" s="408">
        <f t="shared" si="67"/>
        <v>0</v>
      </c>
    </row>
    <row r="268" spans="16:65">
      <c r="P268" s="781">
        <v>0</v>
      </c>
      <c r="Q268" s="780">
        <f t="shared" si="51"/>
        <v>0</v>
      </c>
      <c r="R268" s="776">
        <f>IF(P269,_xll.qDateYears(P268,P269,DCCfixed),0)</f>
        <v>0</v>
      </c>
      <c r="S268" s="553">
        <v>0</v>
      </c>
      <c r="T268" s="785"/>
      <c r="U268" s="409">
        <f t="shared" si="61"/>
        <v>0</v>
      </c>
      <c r="X268" s="363">
        <v>0</v>
      </c>
      <c r="Y268" s="775">
        <f t="shared" si="52"/>
        <v>0</v>
      </c>
      <c r="Z268" s="776">
        <f>IF(X269,_xll.qDateYears(X268,X269,DCCfloat),0)</f>
        <v>0</v>
      </c>
      <c r="AA268" s="553">
        <v>0</v>
      </c>
      <c r="AB268" s="789">
        <f>IF($X268=0,0,      _xll.qDateNext($X268,AB$12,"M",FRM&lt;&gt;"Calypso",CCY))</f>
        <v>0</v>
      </c>
      <c r="AC268" s="789">
        <f>IF($X268=0,0,      _xll.qDateNext($X268,AC$12,"M",FRM&lt;&gt;"Calypso",CCY))</f>
        <v>0</v>
      </c>
      <c r="AD268" s="789">
        <f>IF($X268=0,0,      _xll.qDateNext($X268,AD$12,"M",FRM&lt;&gt;"Calypso",CCY))</f>
        <v>0</v>
      </c>
      <c r="AE268" s="789">
        <f>IF($X268=0,0,      _xll.qDateNext($X268,AE$12,"M",FRM&lt;&gt;"Calypso",CCY))</f>
        <v>0</v>
      </c>
      <c r="AF268" s="789">
        <f>IF($X268=0,0,      _xll.qDateNext($X268,AF$12,"M",FRM&lt;&gt;"Calypso",CCY))</f>
        <v>0</v>
      </c>
      <c r="AG268" s="789">
        <f>IF($X268=0,0,      _xll.qDateNext($X268,AG$12,"M",FRM&lt;&gt;"Calypso",CCY))</f>
        <v>0</v>
      </c>
      <c r="AH268" s="789">
        <f>IF($X268=0,0,      _xll.qDateNext($X268,AH$12,"M",FRM&lt;&gt;"Calypso",CCY))</f>
        <v>0</v>
      </c>
      <c r="AI268" s="789">
        <f>IF($X268=0,0,      _xll.qDateNext($X268,AI$12,"M",FRM&lt;&gt;"Calypso",CCY))</f>
        <v>0</v>
      </c>
      <c r="AJ268" s="529" t="str">
        <v/>
      </c>
      <c r="AK268" s="529" t="str">
        <v/>
      </c>
      <c r="AL268" s="529" t="str">
        <v/>
      </c>
      <c r="AM268" s="529" t="str">
        <v/>
      </c>
      <c r="AN268" s="529" t="str">
        <v/>
      </c>
      <c r="AO268" s="529" t="str">
        <v/>
      </c>
      <c r="AP268" s="529" t="str">
        <v/>
      </c>
      <c r="AQ268" s="529" t="str">
        <v/>
      </c>
      <c r="AR268" s="529">
        <v>0</v>
      </c>
      <c r="AS268" s="529">
        <v>0</v>
      </c>
      <c r="AT268" s="529">
        <f t="shared" si="62"/>
        <v>0</v>
      </c>
      <c r="AU268" s="529">
        <v>0</v>
      </c>
      <c r="AV268" s="529">
        <f t="shared" si="63"/>
        <v>0</v>
      </c>
      <c r="AW268" s="529">
        <f t="shared" si="64"/>
        <v>0</v>
      </c>
      <c r="AX268" s="529">
        <v>0</v>
      </c>
      <c r="AY268" s="529">
        <v>0</v>
      </c>
      <c r="AZ268" s="761">
        <f t="shared" si="53"/>
        <v>0</v>
      </c>
      <c r="BA268" s="761">
        <f t="shared" si="54"/>
        <v>0</v>
      </c>
      <c r="BB268" s="761">
        <f t="shared" si="55"/>
        <v>0</v>
      </c>
      <c r="BC268" s="761">
        <f t="shared" si="56"/>
        <v>0</v>
      </c>
      <c r="BD268" s="761">
        <f t="shared" si="57"/>
        <v>0</v>
      </c>
      <c r="BE268" s="761">
        <f t="shared" si="58"/>
        <v>0</v>
      </c>
      <c r="BF268" s="761">
        <f t="shared" si="59"/>
        <v>0</v>
      </c>
      <c r="BG268" s="761">
        <f t="shared" si="60"/>
        <v>0</v>
      </c>
      <c r="BH268" s="777">
        <v>0</v>
      </c>
      <c r="BI268" s="755"/>
      <c r="BJ268" s="778">
        <f>IF(X269=0,0,           IF(ISNUMBER(BI268),BI268,               IF(ISTEXT(BI268),INDEX(AZ268:BG268,MATCH(BI268,$AZ$12:$BG$12,0)),             IF(BH268="INT",_xll.qInterp(X269,AB268:AI268,AZ268:BG268),            INDEX(AZ268:BG268,MATCH(BH268,$AZ$12:$BG$12,0))))))</f>
        <v>0</v>
      </c>
      <c r="BK268" s="408">
        <f t="shared" si="65"/>
        <v>0</v>
      </c>
      <c r="BL268" s="414">
        <f t="shared" si="66"/>
        <v>0</v>
      </c>
      <c r="BM268" s="408">
        <f t="shared" si="67"/>
        <v>0</v>
      </c>
    </row>
    <row r="269" spans="16:65">
      <c r="P269" s="781">
        <v>0</v>
      </c>
      <c r="Q269" s="780">
        <f t="shared" ref="Q269:Q332" si="68">IF(P270,IF(LEFT(DCCfixed,3)="Act",P270-P269,DAYS360(P269,P270)),0)</f>
        <v>0</v>
      </c>
      <c r="R269" s="776">
        <f>IF(P270,_xll.qDateYears(P269,P270,DCCfixed),0)</f>
        <v>0</v>
      </c>
      <c r="S269" s="553">
        <v>0</v>
      </c>
      <c r="T269" s="785"/>
      <c r="U269" s="409">
        <f t="shared" si="61"/>
        <v>0</v>
      </c>
      <c r="X269" s="363">
        <v>0</v>
      </c>
      <c r="Y269" s="775">
        <f t="shared" ref="Y269:Y332" si="69">IF(X270,IF(LEFT(DCCfloat,3)="Act",X270-X269,DAYS360(X269,X270)),0)</f>
        <v>0</v>
      </c>
      <c r="Z269" s="776">
        <f>IF(X270,_xll.qDateYears(X269,X270,DCCfloat),0)</f>
        <v>0</v>
      </c>
      <c r="AA269" s="553">
        <v>0</v>
      </c>
      <c r="AB269" s="789">
        <f>IF($X269=0,0,      _xll.qDateNext($X269,AB$12,"M",FRM&lt;&gt;"Calypso",CCY))</f>
        <v>0</v>
      </c>
      <c r="AC269" s="789">
        <f>IF($X269=0,0,      _xll.qDateNext($X269,AC$12,"M",FRM&lt;&gt;"Calypso",CCY))</f>
        <v>0</v>
      </c>
      <c r="AD269" s="789">
        <f>IF($X269=0,0,      _xll.qDateNext($X269,AD$12,"M",FRM&lt;&gt;"Calypso",CCY))</f>
        <v>0</v>
      </c>
      <c r="AE269" s="789">
        <f>IF($X269=0,0,      _xll.qDateNext($X269,AE$12,"M",FRM&lt;&gt;"Calypso",CCY))</f>
        <v>0</v>
      </c>
      <c r="AF269" s="789">
        <f>IF($X269=0,0,      _xll.qDateNext($X269,AF$12,"M",FRM&lt;&gt;"Calypso",CCY))</f>
        <v>0</v>
      </c>
      <c r="AG269" s="789">
        <f>IF($X269=0,0,      _xll.qDateNext($X269,AG$12,"M",FRM&lt;&gt;"Calypso",CCY))</f>
        <v>0</v>
      </c>
      <c r="AH269" s="789">
        <f>IF($X269=0,0,      _xll.qDateNext($X269,AH$12,"M",FRM&lt;&gt;"Calypso",CCY))</f>
        <v>0</v>
      </c>
      <c r="AI269" s="789">
        <f>IF($X269=0,0,      _xll.qDateNext($X269,AI$12,"M",FRM&lt;&gt;"Calypso",CCY))</f>
        <v>0</v>
      </c>
      <c r="AJ269" s="529" t="str">
        <v/>
      </c>
      <c r="AK269" s="529" t="str">
        <v/>
      </c>
      <c r="AL269" s="529" t="str">
        <v/>
      </c>
      <c r="AM269" s="529" t="str">
        <v/>
      </c>
      <c r="AN269" s="529" t="str">
        <v/>
      </c>
      <c r="AO269" s="529" t="str">
        <v/>
      </c>
      <c r="AP269" s="529" t="str">
        <v/>
      </c>
      <c r="AQ269" s="529" t="str">
        <v/>
      </c>
      <c r="AR269" s="529">
        <v>0</v>
      </c>
      <c r="AS269" s="529">
        <v>0</v>
      </c>
      <c r="AT269" s="529">
        <f t="shared" si="62"/>
        <v>0</v>
      </c>
      <c r="AU269" s="529">
        <v>0</v>
      </c>
      <c r="AV269" s="529">
        <f t="shared" si="63"/>
        <v>0</v>
      </c>
      <c r="AW269" s="529">
        <f t="shared" si="64"/>
        <v>0</v>
      </c>
      <c r="AX269" s="529">
        <v>0</v>
      </c>
      <c r="AY269" s="529">
        <v>0</v>
      </c>
      <c r="AZ269" s="761">
        <f t="shared" ref="AZ269:AZ332" si="70">IF($X269=0,0,   IF(ISNUMBER(AJ269),AJ269,AR269))</f>
        <v>0</v>
      </c>
      <c r="BA269" s="761">
        <f t="shared" ref="BA269:BA332" si="71">IF($X269=0,0,   IF(ISNUMBER(AK269),AK269,AS269))</f>
        <v>0</v>
      </c>
      <c r="BB269" s="761">
        <f t="shared" ref="BB269:BB332" si="72">IF($X269=0,0,   IF(ISNUMBER(AL269),AL269,AT269))</f>
        <v>0</v>
      </c>
      <c r="BC269" s="761">
        <f t="shared" ref="BC269:BC332" si="73">IF($X269=0,0,   IF(ISNUMBER(AM269),AM269,AU269))</f>
        <v>0</v>
      </c>
      <c r="BD269" s="761">
        <f t="shared" ref="BD269:BD332" si="74">IF($X269=0,0,   IF(ISNUMBER(AN269),AN269,AV269))</f>
        <v>0</v>
      </c>
      <c r="BE269" s="761">
        <f t="shared" ref="BE269:BE332" si="75">IF($X269=0,0,   IF(ISNUMBER(AO269),AO269,AW269))</f>
        <v>0</v>
      </c>
      <c r="BF269" s="761">
        <f t="shared" ref="BF269:BF332" si="76">IF($X269=0,0,   IF(ISNUMBER(AP269),AP269,AX269))</f>
        <v>0</v>
      </c>
      <c r="BG269" s="761">
        <f t="shared" ref="BG269:BG332" si="77">IF($X269=0,0,   IF(ISNUMBER(AQ269),AQ269,AY269))</f>
        <v>0</v>
      </c>
      <c r="BH269" s="777">
        <v>0</v>
      </c>
      <c r="BI269" s="755"/>
      <c r="BJ269" s="778">
        <f>IF(X270=0,0,           IF(ISNUMBER(BI269),BI269,               IF(ISTEXT(BI269),INDEX(AZ269:BG269,MATCH(BI269,$AZ$12:$BG$12,0)),             IF(BH269="INT",_xll.qInterp(X270,AB269:AI269,AZ269:BG269),            INDEX(AZ269:BG269,MATCH(BH269,$AZ$12:$BG$12,0))))))</f>
        <v>0</v>
      </c>
      <c r="BK269" s="408">
        <f t="shared" si="65"/>
        <v>0</v>
      </c>
      <c r="BL269" s="414">
        <f t="shared" si="66"/>
        <v>0</v>
      </c>
      <c r="BM269" s="408">
        <f t="shared" si="67"/>
        <v>0</v>
      </c>
    </row>
    <row r="270" spans="16:65">
      <c r="P270" s="781">
        <v>0</v>
      </c>
      <c r="Q270" s="780">
        <f t="shared" si="68"/>
        <v>0</v>
      </c>
      <c r="R270" s="776">
        <f>IF(P271,_xll.qDateYears(P270,P271,DCCfixed),0)</f>
        <v>0</v>
      </c>
      <c r="S270" s="553">
        <v>0</v>
      </c>
      <c r="T270" s="785"/>
      <c r="U270" s="409">
        <f t="shared" ref="U270:U333" si="78">IF(P270,$U$5%*R269*Face,0) + IF(AND(IncludePrincipals,P270&gt;0,P271=0),Face,0) + IF(P270,T270,0)</f>
        <v>0</v>
      </c>
      <c r="X270" s="363">
        <v>0</v>
      </c>
      <c r="Y270" s="775">
        <f t="shared" si="69"/>
        <v>0</v>
      </c>
      <c r="Z270" s="776">
        <f>IF(X271,_xll.qDateYears(X270,X271,DCCfloat),0)</f>
        <v>0</v>
      </c>
      <c r="AA270" s="553">
        <v>0</v>
      </c>
      <c r="AB270" s="789">
        <f>IF($X270=0,0,      _xll.qDateNext($X270,AB$12,"M",FRM&lt;&gt;"Calypso",CCY))</f>
        <v>0</v>
      </c>
      <c r="AC270" s="789">
        <f>IF($X270=0,0,      _xll.qDateNext($X270,AC$12,"M",FRM&lt;&gt;"Calypso",CCY))</f>
        <v>0</v>
      </c>
      <c r="AD270" s="789">
        <f>IF($X270=0,0,      _xll.qDateNext($X270,AD$12,"M",FRM&lt;&gt;"Calypso",CCY))</f>
        <v>0</v>
      </c>
      <c r="AE270" s="789">
        <f>IF($X270=0,0,      _xll.qDateNext($X270,AE$12,"M",FRM&lt;&gt;"Calypso",CCY))</f>
        <v>0</v>
      </c>
      <c r="AF270" s="789">
        <f>IF($X270=0,0,      _xll.qDateNext($X270,AF$12,"M",FRM&lt;&gt;"Calypso",CCY))</f>
        <v>0</v>
      </c>
      <c r="AG270" s="789">
        <f>IF($X270=0,0,      _xll.qDateNext($X270,AG$12,"M",FRM&lt;&gt;"Calypso",CCY))</f>
        <v>0</v>
      </c>
      <c r="AH270" s="789">
        <f>IF($X270=0,0,      _xll.qDateNext($X270,AH$12,"M",FRM&lt;&gt;"Calypso",CCY))</f>
        <v>0</v>
      </c>
      <c r="AI270" s="789">
        <f>IF($X270=0,0,      _xll.qDateNext($X270,AI$12,"M",FRM&lt;&gt;"Calypso",CCY))</f>
        <v>0</v>
      </c>
      <c r="AJ270" s="529" t="str">
        <v/>
      </c>
      <c r="AK270" s="529" t="str">
        <v/>
      </c>
      <c r="AL270" s="529" t="str">
        <v/>
      </c>
      <c r="AM270" s="529" t="str">
        <v/>
      </c>
      <c r="AN270" s="529" t="str">
        <v/>
      </c>
      <c r="AO270" s="529" t="str">
        <v/>
      </c>
      <c r="AP270" s="529" t="str">
        <v/>
      </c>
      <c r="AQ270" s="529" t="str">
        <v/>
      </c>
      <c r="AR270" s="529">
        <v>0</v>
      </c>
      <c r="AS270" s="529">
        <v>0</v>
      </c>
      <c r="AT270" s="529">
        <f t="shared" ref="AT270:AT333" si="79">IF($X270,AVERAGE(AS270,AU270),0)</f>
        <v>0</v>
      </c>
      <c r="AU270" s="529">
        <v>0</v>
      </c>
      <c r="AV270" s="529">
        <f t="shared" ref="AV270:AV333" si="80">IF($X270,AU270+(AX270-AU270)/3,0)</f>
        <v>0</v>
      </c>
      <c r="AW270" s="529">
        <f t="shared" ref="AW270:AW333" si="81">IF($X270,AVERAGE(AV270,AX270),0)</f>
        <v>0</v>
      </c>
      <c r="AX270" s="529">
        <v>0</v>
      </c>
      <c r="AY270" s="529">
        <v>0</v>
      </c>
      <c r="AZ270" s="761">
        <f t="shared" si="70"/>
        <v>0</v>
      </c>
      <c r="BA270" s="761">
        <f t="shared" si="71"/>
        <v>0</v>
      </c>
      <c r="BB270" s="761">
        <f t="shared" si="72"/>
        <v>0</v>
      </c>
      <c r="BC270" s="761">
        <f t="shared" si="73"/>
        <v>0</v>
      </c>
      <c r="BD270" s="761">
        <f t="shared" si="74"/>
        <v>0</v>
      </c>
      <c r="BE270" s="761">
        <f t="shared" si="75"/>
        <v>0</v>
      </c>
      <c r="BF270" s="761">
        <f t="shared" si="76"/>
        <v>0</v>
      </c>
      <c r="BG270" s="761">
        <f t="shared" si="77"/>
        <v>0</v>
      </c>
      <c r="BH270" s="777">
        <v>0</v>
      </c>
      <c r="BI270" s="755"/>
      <c r="BJ270" s="778">
        <f>IF(X271=0,0,           IF(ISNUMBER(BI270),BI270,               IF(ISTEXT(BI270),INDEX(AZ270:BG270,MATCH(BI270,$AZ$12:$BG$12,0)),             IF(BH270="INT",_xll.qInterp(X271,AB270:AI270,AZ270:BG270),            INDEX(AZ270:BG270,MATCH(BH270,$AZ$12:$BG$12,0))))))</f>
        <v>0</v>
      </c>
      <c r="BK270" s="408">
        <f t="shared" ref="BK270:BK333" si="82">IF(X270,-BJ269%*Face*Z269,0)</f>
        <v>0</v>
      </c>
      <c r="BL270" s="414">
        <f t="shared" ref="BL270:BL333" si="83">IF(X270,-Margin%%*Z269*Face,0)</f>
        <v>0</v>
      </c>
      <c r="BM270" s="408">
        <f t="shared" ref="BM270:BM333" si="84">SUM(BK270:BL270)+IF(AND(IncludePrincipals,X270&lt;&gt;0,X271=0),-Face,0)</f>
        <v>0</v>
      </c>
    </row>
    <row r="271" spans="16:65">
      <c r="P271" s="781">
        <v>0</v>
      </c>
      <c r="Q271" s="780">
        <f t="shared" si="68"/>
        <v>0</v>
      </c>
      <c r="R271" s="776">
        <f>IF(P272,_xll.qDateYears(P271,P272,DCCfixed),0)</f>
        <v>0</v>
      </c>
      <c r="S271" s="553">
        <v>0</v>
      </c>
      <c r="T271" s="785"/>
      <c r="U271" s="409">
        <f t="shared" si="78"/>
        <v>0</v>
      </c>
      <c r="X271" s="363">
        <v>0</v>
      </c>
      <c r="Y271" s="775">
        <f t="shared" si="69"/>
        <v>0</v>
      </c>
      <c r="Z271" s="776">
        <f>IF(X272,_xll.qDateYears(X271,X272,DCCfloat),0)</f>
        <v>0</v>
      </c>
      <c r="AA271" s="553">
        <v>0</v>
      </c>
      <c r="AB271" s="789">
        <f>IF($X271=0,0,      _xll.qDateNext($X271,AB$12,"M",FRM&lt;&gt;"Calypso",CCY))</f>
        <v>0</v>
      </c>
      <c r="AC271" s="789">
        <f>IF($X271=0,0,      _xll.qDateNext($X271,AC$12,"M",FRM&lt;&gt;"Calypso",CCY))</f>
        <v>0</v>
      </c>
      <c r="AD271" s="789">
        <f>IF($X271=0,0,      _xll.qDateNext($X271,AD$12,"M",FRM&lt;&gt;"Calypso",CCY))</f>
        <v>0</v>
      </c>
      <c r="AE271" s="789">
        <f>IF($X271=0,0,      _xll.qDateNext($X271,AE$12,"M",FRM&lt;&gt;"Calypso",CCY))</f>
        <v>0</v>
      </c>
      <c r="AF271" s="789">
        <f>IF($X271=0,0,      _xll.qDateNext($X271,AF$12,"M",FRM&lt;&gt;"Calypso",CCY))</f>
        <v>0</v>
      </c>
      <c r="AG271" s="789">
        <f>IF($X271=0,0,      _xll.qDateNext($X271,AG$12,"M",FRM&lt;&gt;"Calypso",CCY))</f>
        <v>0</v>
      </c>
      <c r="AH271" s="789">
        <f>IF($X271=0,0,      _xll.qDateNext($X271,AH$12,"M",FRM&lt;&gt;"Calypso",CCY))</f>
        <v>0</v>
      </c>
      <c r="AI271" s="789">
        <f>IF($X271=0,0,      _xll.qDateNext($X271,AI$12,"M",FRM&lt;&gt;"Calypso",CCY))</f>
        <v>0</v>
      </c>
      <c r="AJ271" s="529" t="str">
        <v/>
      </c>
      <c r="AK271" s="529" t="str">
        <v/>
      </c>
      <c r="AL271" s="529" t="str">
        <v/>
      </c>
      <c r="AM271" s="529" t="str">
        <v/>
      </c>
      <c r="AN271" s="529" t="str">
        <v/>
      </c>
      <c r="AO271" s="529" t="str">
        <v/>
      </c>
      <c r="AP271" s="529" t="str">
        <v/>
      </c>
      <c r="AQ271" s="529" t="str">
        <v/>
      </c>
      <c r="AR271" s="529">
        <v>0</v>
      </c>
      <c r="AS271" s="529">
        <v>0</v>
      </c>
      <c r="AT271" s="529">
        <f t="shared" si="79"/>
        <v>0</v>
      </c>
      <c r="AU271" s="529">
        <v>0</v>
      </c>
      <c r="AV271" s="529">
        <f t="shared" si="80"/>
        <v>0</v>
      </c>
      <c r="AW271" s="529">
        <f t="shared" si="81"/>
        <v>0</v>
      </c>
      <c r="AX271" s="529">
        <v>0</v>
      </c>
      <c r="AY271" s="529">
        <v>0</v>
      </c>
      <c r="AZ271" s="761">
        <f t="shared" si="70"/>
        <v>0</v>
      </c>
      <c r="BA271" s="761">
        <f t="shared" si="71"/>
        <v>0</v>
      </c>
      <c r="BB271" s="761">
        <f t="shared" si="72"/>
        <v>0</v>
      </c>
      <c r="BC271" s="761">
        <f t="shared" si="73"/>
        <v>0</v>
      </c>
      <c r="BD271" s="761">
        <f t="shared" si="74"/>
        <v>0</v>
      </c>
      <c r="BE271" s="761">
        <f t="shared" si="75"/>
        <v>0</v>
      </c>
      <c r="BF271" s="761">
        <f t="shared" si="76"/>
        <v>0</v>
      </c>
      <c r="BG271" s="761">
        <f t="shared" si="77"/>
        <v>0</v>
      </c>
      <c r="BH271" s="777">
        <v>0</v>
      </c>
      <c r="BI271" s="755"/>
      <c r="BJ271" s="778">
        <f>IF(X272=0,0,           IF(ISNUMBER(BI271),BI271,               IF(ISTEXT(BI271),INDEX(AZ271:BG271,MATCH(BI271,$AZ$12:$BG$12,0)),             IF(BH271="INT",_xll.qInterp(X272,AB271:AI271,AZ271:BG271),            INDEX(AZ271:BG271,MATCH(BH271,$AZ$12:$BG$12,0))))))</f>
        <v>0</v>
      </c>
      <c r="BK271" s="408">
        <f t="shared" si="82"/>
        <v>0</v>
      </c>
      <c r="BL271" s="414">
        <f t="shared" si="83"/>
        <v>0</v>
      </c>
      <c r="BM271" s="408">
        <f t="shared" si="84"/>
        <v>0</v>
      </c>
    </row>
    <row r="272" spans="16:65">
      <c r="P272" s="781">
        <v>0</v>
      </c>
      <c r="Q272" s="780">
        <f t="shared" si="68"/>
        <v>0</v>
      </c>
      <c r="R272" s="776">
        <f>IF(P273,_xll.qDateYears(P272,P273,DCCfixed),0)</f>
        <v>0</v>
      </c>
      <c r="S272" s="553">
        <v>0</v>
      </c>
      <c r="T272" s="785"/>
      <c r="U272" s="409">
        <f t="shared" si="78"/>
        <v>0</v>
      </c>
      <c r="X272" s="363">
        <v>0</v>
      </c>
      <c r="Y272" s="775">
        <f t="shared" si="69"/>
        <v>0</v>
      </c>
      <c r="Z272" s="776">
        <f>IF(X273,_xll.qDateYears(X272,X273,DCCfloat),0)</f>
        <v>0</v>
      </c>
      <c r="AA272" s="553">
        <v>0</v>
      </c>
      <c r="AB272" s="789">
        <f>IF($X272=0,0,      _xll.qDateNext($X272,AB$12,"M",FRM&lt;&gt;"Calypso",CCY))</f>
        <v>0</v>
      </c>
      <c r="AC272" s="789">
        <f>IF($X272=0,0,      _xll.qDateNext($X272,AC$12,"M",FRM&lt;&gt;"Calypso",CCY))</f>
        <v>0</v>
      </c>
      <c r="AD272" s="789">
        <f>IF($X272=0,0,      _xll.qDateNext($X272,AD$12,"M",FRM&lt;&gt;"Calypso",CCY))</f>
        <v>0</v>
      </c>
      <c r="AE272" s="789">
        <f>IF($X272=0,0,      _xll.qDateNext($X272,AE$12,"M",FRM&lt;&gt;"Calypso",CCY))</f>
        <v>0</v>
      </c>
      <c r="AF272" s="789">
        <f>IF($X272=0,0,      _xll.qDateNext($X272,AF$12,"M",FRM&lt;&gt;"Calypso",CCY))</f>
        <v>0</v>
      </c>
      <c r="AG272" s="789">
        <f>IF($X272=0,0,      _xll.qDateNext($X272,AG$12,"M",FRM&lt;&gt;"Calypso",CCY))</f>
        <v>0</v>
      </c>
      <c r="AH272" s="789">
        <f>IF($X272=0,0,      _xll.qDateNext($X272,AH$12,"M",FRM&lt;&gt;"Calypso",CCY))</f>
        <v>0</v>
      </c>
      <c r="AI272" s="789">
        <f>IF($X272=0,0,      _xll.qDateNext($X272,AI$12,"M",FRM&lt;&gt;"Calypso",CCY))</f>
        <v>0</v>
      </c>
      <c r="AJ272" s="529" t="str">
        <v/>
      </c>
      <c r="AK272" s="529" t="str">
        <v/>
      </c>
      <c r="AL272" s="529" t="str">
        <v/>
      </c>
      <c r="AM272" s="529" t="str">
        <v/>
      </c>
      <c r="AN272" s="529" t="str">
        <v/>
      </c>
      <c r="AO272" s="529" t="str">
        <v/>
      </c>
      <c r="AP272" s="529" t="str">
        <v/>
      </c>
      <c r="AQ272" s="529" t="str">
        <v/>
      </c>
      <c r="AR272" s="529">
        <v>0</v>
      </c>
      <c r="AS272" s="529">
        <v>0</v>
      </c>
      <c r="AT272" s="529">
        <f t="shared" si="79"/>
        <v>0</v>
      </c>
      <c r="AU272" s="529">
        <v>0</v>
      </c>
      <c r="AV272" s="529">
        <f t="shared" si="80"/>
        <v>0</v>
      </c>
      <c r="AW272" s="529">
        <f t="shared" si="81"/>
        <v>0</v>
      </c>
      <c r="AX272" s="529">
        <v>0</v>
      </c>
      <c r="AY272" s="529">
        <v>0</v>
      </c>
      <c r="AZ272" s="761">
        <f t="shared" si="70"/>
        <v>0</v>
      </c>
      <c r="BA272" s="761">
        <f t="shared" si="71"/>
        <v>0</v>
      </c>
      <c r="BB272" s="761">
        <f t="shared" si="72"/>
        <v>0</v>
      </c>
      <c r="BC272" s="761">
        <f t="shared" si="73"/>
        <v>0</v>
      </c>
      <c r="BD272" s="761">
        <f t="shared" si="74"/>
        <v>0</v>
      </c>
      <c r="BE272" s="761">
        <f t="shared" si="75"/>
        <v>0</v>
      </c>
      <c r="BF272" s="761">
        <f t="shared" si="76"/>
        <v>0</v>
      </c>
      <c r="BG272" s="761">
        <f t="shared" si="77"/>
        <v>0</v>
      </c>
      <c r="BH272" s="777">
        <v>0</v>
      </c>
      <c r="BI272" s="755"/>
      <c r="BJ272" s="778">
        <f>IF(X273=0,0,           IF(ISNUMBER(BI272),BI272,               IF(ISTEXT(BI272),INDEX(AZ272:BG272,MATCH(BI272,$AZ$12:$BG$12,0)),             IF(BH272="INT",_xll.qInterp(X273,AB272:AI272,AZ272:BG272),            INDEX(AZ272:BG272,MATCH(BH272,$AZ$12:$BG$12,0))))))</f>
        <v>0</v>
      </c>
      <c r="BK272" s="408">
        <f t="shared" si="82"/>
        <v>0</v>
      </c>
      <c r="BL272" s="414">
        <f t="shared" si="83"/>
        <v>0</v>
      </c>
      <c r="BM272" s="408">
        <f t="shared" si="84"/>
        <v>0</v>
      </c>
    </row>
    <row r="273" spans="16:65">
      <c r="P273" s="781">
        <v>0</v>
      </c>
      <c r="Q273" s="780">
        <f t="shared" si="68"/>
        <v>0</v>
      </c>
      <c r="R273" s="776">
        <f>IF(P274,_xll.qDateYears(P273,P274,DCCfixed),0)</f>
        <v>0</v>
      </c>
      <c r="S273" s="553">
        <v>0</v>
      </c>
      <c r="T273" s="785"/>
      <c r="U273" s="409">
        <f t="shared" si="78"/>
        <v>0</v>
      </c>
      <c r="X273" s="363">
        <v>0</v>
      </c>
      <c r="Y273" s="775">
        <f t="shared" si="69"/>
        <v>0</v>
      </c>
      <c r="Z273" s="776">
        <f>IF(X274,_xll.qDateYears(X273,X274,DCCfloat),0)</f>
        <v>0</v>
      </c>
      <c r="AA273" s="553">
        <v>0</v>
      </c>
      <c r="AB273" s="789">
        <f>IF($X273=0,0,      _xll.qDateNext($X273,AB$12,"M",FRM&lt;&gt;"Calypso",CCY))</f>
        <v>0</v>
      </c>
      <c r="AC273" s="789">
        <f>IF($X273=0,0,      _xll.qDateNext($X273,AC$12,"M",FRM&lt;&gt;"Calypso",CCY))</f>
        <v>0</v>
      </c>
      <c r="AD273" s="789">
        <f>IF($X273=0,0,      _xll.qDateNext($X273,AD$12,"M",FRM&lt;&gt;"Calypso",CCY))</f>
        <v>0</v>
      </c>
      <c r="AE273" s="789">
        <f>IF($X273=0,0,      _xll.qDateNext($X273,AE$12,"M",FRM&lt;&gt;"Calypso",CCY))</f>
        <v>0</v>
      </c>
      <c r="AF273" s="789">
        <f>IF($X273=0,0,      _xll.qDateNext($X273,AF$12,"M",FRM&lt;&gt;"Calypso",CCY))</f>
        <v>0</v>
      </c>
      <c r="AG273" s="789">
        <f>IF($X273=0,0,      _xll.qDateNext($X273,AG$12,"M",FRM&lt;&gt;"Calypso",CCY))</f>
        <v>0</v>
      </c>
      <c r="AH273" s="789">
        <f>IF($X273=0,0,      _xll.qDateNext($X273,AH$12,"M",FRM&lt;&gt;"Calypso",CCY))</f>
        <v>0</v>
      </c>
      <c r="AI273" s="789">
        <f>IF($X273=0,0,      _xll.qDateNext($X273,AI$12,"M",FRM&lt;&gt;"Calypso",CCY))</f>
        <v>0</v>
      </c>
      <c r="AJ273" s="529" t="str">
        <v/>
      </c>
      <c r="AK273" s="529" t="str">
        <v/>
      </c>
      <c r="AL273" s="529" t="str">
        <v/>
      </c>
      <c r="AM273" s="529" t="str">
        <v/>
      </c>
      <c r="AN273" s="529" t="str">
        <v/>
      </c>
      <c r="AO273" s="529" t="str">
        <v/>
      </c>
      <c r="AP273" s="529" t="str">
        <v/>
      </c>
      <c r="AQ273" s="529" t="str">
        <v/>
      </c>
      <c r="AR273" s="529">
        <v>0</v>
      </c>
      <c r="AS273" s="529">
        <v>0</v>
      </c>
      <c r="AT273" s="529">
        <f t="shared" si="79"/>
        <v>0</v>
      </c>
      <c r="AU273" s="529">
        <v>0</v>
      </c>
      <c r="AV273" s="529">
        <f t="shared" si="80"/>
        <v>0</v>
      </c>
      <c r="AW273" s="529">
        <f t="shared" si="81"/>
        <v>0</v>
      </c>
      <c r="AX273" s="529">
        <v>0</v>
      </c>
      <c r="AY273" s="529">
        <v>0</v>
      </c>
      <c r="AZ273" s="761">
        <f t="shared" si="70"/>
        <v>0</v>
      </c>
      <c r="BA273" s="761">
        <f t="shared" si="71"/>
        <v>0</v>
      </c>
      <c r="BB273" s="761">
        <f t="shared" si="72"/>
        <v>0</v>
      </c>
      <c r="BC273" s="761">
        <f t="shared" si="73"/>
        <v>0</v>
      </c>
      <c r="BD273" s="761">
        <f t="shared" si="74"/>
        <v>0</v>
      </c>
      <c r="BE273" s="761">
        <f t="shared" si="75"/>
        <v>0</v>
      </c>
      <c r="BF273" s="761">
        <f t="shared" si="76"/>
        <v>0</v>
      </c>
      <c r="BG273" s="761">
        <f t="shared" si="77"/>
        <v>0</v>
      </c>
      <c r="BH273" s="777">
        <v>0</v>
      </c>
      <c r="BI273" s="755"/>
      <c r="BJ273" s="778">
        <f>IF(X274=0,0,           IF(ISNUMBER(BI273),BI273,               IF(ISTEXT(BI273),INDEX(AZ273:BG273,MATCH(BI273,$AZ$12:$BG$12,0)),             IF(BH273="INT",_xll.qInterp(X274,AB273:AI273,AZ273:BG273),            INDEX(AZ273:BG273,MATCH(BH273,$AZ$12:$BG$12,0))))))</f>
        <v>0</v>
      </c>
      <c r="BK273" s="408">
        <f t="shared" si="82"/>
        <v>0</v>
      </c>
      <c r="BL273" s="414">
        <f t="shared" si="83"/>
        <v>0</v>
      </c>
      <c r="BM273" s="408">
        <f t="shared" si="84"/>
        <v>0</v>
      </c>
    </row>
    <row r="274" spans="16:65">
      <c r="P274" s="781">
        <v>0</v>
      </c>
      <c r="Q274" s="780">
        <f t="shared" si="68"/>
        <v>0</v>
      </c>
      <c r="R274" s="776">
        <f>IF(P275,_xll.qDateYears(P274,P275,DCCfixed),0)</f>
        <v>0</v>
      </c>
      <c r="S274" s="553">
        <v>0</v>
      </c>
      <c r="T274" s="785"/>
      <c r="U274" s="409">
        <f t="shared" si="78"/>
        <v>0</v>
      </c>
      <c r="X274" s="363">
        <v>0</v>
      </c>
      <c r="Y274" s="775">
        <f t="shared" si="69"/>
        <v>0</v>
      </c>
      <c r="Z274" s="776">
        <f>IF(X275,_xll.qDateYears(X274,X275,DCCfloat),0)</f>
        <v>0</v>
      </c>
      <c r="AA274" s="553">
        <v>0</v>
      </c>
      <c r="AB274" s="789">
        <f>IF($X274=0,0,      _xll.qDateNext($X274,AB$12,"M",FRM&lt;&gt;"Calypso",CCY))</f>
        <v>0</v>
      </c>
      <c r="AC274" s="789">
        <f>IF($X274=0,0,      _xll.qDateNext($X274,AC$12,"M",FRM&lt;&gt;"Calypso",CCY))</f>
        <v>0</v>
      </c>
      <c r="AD274" s="789">
        <f>IF($X274=0,0,      _xll.qDateNext($X274,AD$12,"M",FRM&lt;&gt;"Calypso",CCY))</f>
        <v>0</v>
      </c>
      <c r="AE274" s="789">
        <f>IF($X274=0,0,      _xll.qDateNext($X274,AE$12,"M",FRM&lt;&gt;"Calypso",CCY))</f>
        <v>0</v>
      </c>
      <c r="AF274" s="789">
        <f>IF($X274=0,0,      _xll.qDateNext($X274,AF$12,"M",FRM&lt;&gt;"Calypso",CCY))</f>
        <v>0</v>
      </c>
      <c r="AG274" s="789">
        <f>IF($X274=0,0,      _xll.qDateNext($X274,AG$12,"M",FRM&lt;&gt;"Calypso",CCY))</f>
        <v>0</v>
      </c>
      <c r="AH274" s="789">
        <f>IF($X274=0,0,      _xll.qDateNext($X274,AH$12,"M",FRM&lt;&gt;"Calypso",CCY))</f>
        <v>0</v>
      </c>
      <c r="AI274" s="789">
        <f>IF($X274=0,0,      _xll.qDateNext($X274,AI$12,"M",FRM&lt;&gt;"Calypso",CCY))</f>
        <v>0</v>
      </c>
      <c r="AJ274" s="529" t="str">
        <v/>
      </c>
      <c r="AK274" s="529" t="str">
        <v/>
      </c>
      <c r="AL274" s="529" t="str">
        <v/>
      </c>
      <c r="AM274" s="529" t="str">
        <v/>
      </c>
      <c r="AN274" s="529" t="str">
        <v/>
      </c>
      <c r="AO274" s="529" t="str">
        <v/>
      </c>
      <c r="AP274" s="529" t="str">
        <v/>
      </c>
      <c r="AQ274" s="529" t="str">
        <v/>
      </c>
      <c r="AR274" s="529">
        <v>0</v>
      </c>
      <c r="AS274" s="529">
        <v>0</v>
      </c>
      <c r="AT274" s="529">
        <f t="shared" si="79"/>
        <v>0</v>
      </c>
      <c r="AU274" s="529">
        <v>0</v>
      </c>
      <c r="AV274" s="529">
        <f t="shared" si="80"/>
        <v>0</v>
      </c>
      <c r="AW274" s="529">
        <f t="shared" si="81"/>
        <v>0</v>
      </c>
      <c r="AX274" s="529">
        <v>0</v>
      </c>
      <c r="AY274" s="529">
        <v>0</v>
      </c>
      <c r="AZ274" s="761">
        <f t="shared" si="70"/>
        <v>0</v>
      </c>
      <c r="BA274" s="761">
        <f t="shared" si="71"/>
        <v>0</v>
      </c>
      <c r="BB274" s="761">
        <f t="shared" si="72"/>
        <v>0</v>
      </c>
      <c r="BC274" s="761">
        <f t="shared" si="73"/>
        <v>0</v>
      </c>
      <c r="BD274" s="761">
        <f t="shared" si="74"/>
        <v>0</v>
      </c>
      <c r="BE274" s="761">
        <f t="shared" si="75"/>
        <v>0</v>
      </c>
      <c r="BF274" s="761">
        <f t="shared" si="76"/>
        <v>0</v>
      </c>
      <c r="BG274" s="761">
        <f t="shared" si="77"/>
        <v>0</v>
      </c>
      <c r="BH274" s="777">
        <v>0</v>
      </c>
      <c r="BI274" s="755"/>
      <c r="BJ274" s="778">
        <f>IF(X275=0,0,           IF(ISNUMBER(BI274),BI274,               IF(ISTEXT(BI274),INDEX(AZ274:BG274,MATCH(BI274,$AZ$12:$BG$12,0)),             IF(BH274="INT",_xll.qInterp(X275,AB274:AI274,AZ274:BG274),            INDEX(AZ274:BG274,MATCH(BH274,$AZ$12:$BG$12,0))))))</f>
        <v>0</v>
      </c>
      <c r="BK274" s="408">
        <f t="shared" si="82"/>
        <v>0</v>
      </c>
      <c r="BL274" s="414">
        <f t="shared" si="83"/>
        <v>0</v>
      </c>
      <c r="BM274" s="408">
        <f t="shared" si="84"/>
        <v>0</v>
      </c>
    </row>
    <row r="275" spans="16:65">
      <c r="P275" s="781">
        <v>0</v>
      </c>
      <c r="Q275" s="780">
        <f t="shared" si="68"/>
        <v>0</v>
      </c>
      <c r="R275" s="776">
        <f>IF(P276,_xll.qDateYears(P275,P276,DCCfixed),0)</f>
        <v>0</v>
      </c>
      <c r="S275" s="553">
        <v>0</v>
      </c>
      <c r="T275" s="785"/>
      <c r="U275" s="409">
        <f t="shared" si="78"/>
        <v>0</v>
      </c>
      <c r="X275" s="363">
        <v>0</v>
      </c>
      <c r="Y275" s="775">
        <f t="shared" si="69"/>
        <v>0</v>
      </c>
      <c r="Z275" s="776">
        <f>IF(X276,_xll.qDateYears(X275,X276,DCCfloat),0)</f>
        <v>0</v>
      </c>
      <c r="AA275" s="553">
        <v>0</v>
      </c>
      <c r="AB275" s="789">
        <f>IF($X275=0,0,      _xll.qDateNext($X275,AB$12,"M",FRM&lt;&gt;"Calypso",CCY))</f>
        <v>0</v>
      </c>
      <c r="AC275" s="789">
        <f>IF($X275=0,0,      _xll.qDateNext($X275,AC$12,"M",FRM&lt;&gt;"Calypso",CCY))</f>
        <v>0</v>
      </c>
      <c r="AD275" s="789">
        <f>IF($X275=0,0,      _xll.qDateNext($X275,AD$12,"M",FRM&lt;&gt;"Calypso",CCY))</f>
        <v>0</v>
      </c>
      <c r="AE275" s="789">
        <f>IF($X275=0,0,      _xll.qDateNext($X275,AE$12,"M",FRM&lt;&gt;"Calypso",CCY))</f>
        <v>0</v>
      </c>
      <c r="AF275" s="789">
        <f>IF($X275=0,0,      _xll.qDateNext($X275,AF$12,"M",FRM&lt;&gt;"Calypso",CCY))</f>
        <v>0</v>
      </c>
      <c r="AG275" s="789">
        <f>IF($X275=0,0,      _xll.qDateNext($X275,AG$12,"M",FRM&lt;&gt;"Calypso",CCY))</f>
        <v>0</v>
      </c>
      <c r="AH275" s="789">
        <f>IF($X275=0,0,      _xll.qDateNext($X275,AH$12,"M",FRM&lt;&gt;"Calypso",CCY))</f>
        <v>0</v>
      </c>
      <c r="AI275" s="789">
        <f>IF($X275=0,0,      _xll.qDateNext($X275,AI$12,"M",FRM&lt;&gt;"Calypso",CCY))</f>
        <v>0</v>
      </c>
      <c r="AJ275" s="529" t="str">
        <v/>
      </c>
      <c r="AK275" s="529" t="str">
        <v/>
      </c>
      <c r="AL275" s="529" t="str">
        <v/>
      </c>
      <c r="AM275" s="529" t="str">
        <v/>
      </c>
      <c r="AN275" s="529" t="str">
        <v/>
      </c>
      <c r="AO275" s="529" t="str">
        <v/>
      </c>
      <c r="AP275" s="529" t="str">
        <v/>
      </c>
      <c r="AQ275" s="529" t="str">
        <v/>
      </c>
      <c r="AR275" s="529">
        <v>0</v>
      </c>
      <c r="AS275" s="529">
        <v>0</v>
      </c>
      <c r="AT275" s="529">
        <f t="shared" si="79"/>
        <v>0</v>
      </c>
      <c r="AU275" s="529">
        <v>0</v>
      </c>
      <c r="AV275" s="529">
        <f t="shared" si="80"/>
        <v>0</v>
      </c>
      <c r="AW275" s="529">
        <f t="shared" si="81"/>
        <v>0</v>
      </c>
      <c r="AX275" s="529">
        <v>0</v>
      </c>
      <c r="AY275" s="529">
        <v>0</v>
      </c>
      <c r="AZ275" s="761">
        <f t="shared" si="70"/>
        <v>0</v>
      </c>
      <c r="BA275" s="761">
        <f t="shared" si="71"/>
        <v>0</v>
      </c>
      <c r="BB275" s="761">
        <f t="shared" si="72"/>
        <v>0</v>
      </c>
      <c r="BC275" s="761">
        <f t="shared" si="73"/>
        <v>0</v>
      </c>
      <c r="BD275" s="761">
        <f t="shared" si="74"/>
        <v>0</v>
      </c>
      <c r="BE275" s="761">
        <f t="shared" si="75"/>
        <v>0</v>
      </c>
      <c r="BF275" s="761">
        <f t="shared" si="76"/>
        <v>0</v>
      </c>
      <c r="BG275" s="761">
        <f t="shared" si="77"/>
        <v>0</v>
      </c>
      <c r="BH275" s="777">
        <v>0</v>
      </c>
      <c r="BI275" s="755"/>
      <c r="BJ275" s="778">
        <f>IF(X276=0,0,           IF(ISNUMBER(BI275),BI275,               IF(ISTEXT(BI275),INDEX(AZ275:BG275,MATCH(BI275,$AZ$12:$BG$12,0)),             IF(BH275="INT",_xll.qInterp(X276,AB275:AI275,AZ275:BG275),            INDEX(AZ275:BG275,MATCH(BH275,$AZ$12:$BG$12,0))))))</f>
        <v>0</v>
      </c>
      <c r="BK275" s="408">
        <f t="shared" si="82"/>
        <v>0</v>
      </c>
      <c r="BL275" s="414">
        <f t="shared" si="83"/>
        <v>0</v>
      </c>
      <c r="BM275" s="408">
        <f t="shared" si="84"/>
        <v>0</v>
      </c>
    </row>
    <row r="276" spans="16:65">
      <c r="P276" s="781">
        <v>0</v>
      </c>
      <c r="Q276" s="780">
        <f t="shared" si="68"/>
        <v>0</v>
      </c>
      <c r="R276" s="776">
        <f>IF(P277,_xll.qDateYears(P276,P277,DCCfixed),0)</f>
        <v>0</v>
      </c>
      <c r="S276" s="553">
        <v>0</v>
      </c>
      <c r="T276" s="785"/>
      <c r="U276" s="409">
        <f t="shared" si="78"/>
        <v>0</v>
      </c>
      <c r="X276" s="363">
        <v>0</v>
      </c>
      <c r="Y276" s="775">
        <f t="shared" si="69"/>
        <v>0</v>
      </c>
      <c r="Z276" s="776">
        <f>IF(X277,_xll.qDateYears(X276,X277,DCCfloat),0)</f>
        <v>0</v>
      </c>
      <c r="AA276" s="553">
        <v>0</v>
      </c>
      <c r="AB276" s="789">
        <f>IF($X276=0,0,      _xll.qDateNext($X276,AB$12,"M",FRM&lt;&gt;"Calypso",CCY))</f>
        <v>0</v>
      </c>
      <c r="AC276" s="789">
        <f>IF($X276=0,0,      _xll.qDateNext($X276,AC$12,"M",FRM&lt;&gt;"Calypso",CCY))</f>
        <v>0</v>
      </c>
      <c r="AD276" s="789">
        <f>IF($X276=0,0,      _xll.qDateNext($X276,AD$12,"M",FRM&lt;&gt;"Calypso",CCY))</f>
        <v>0</v>
      </c>
      <c r="AE276" s="789">
        <f>IF($X276=0,0,      _xll.qDateNext($X276,AE$12,"M",FRM&lt;&gt;"Calypso",CCY))</f>
        <v>0</v>
      </c>
      <c r="AF276" s="789">
        <f>IF($X276=0,0,      _xll.qDateNext($X276,AF$12,"M",FRM&lt;&gt;"Calypso",CCY))</f>
        <v>0</v>
      </c>
      <c r="AG276" s="789">
        <f>IF($X276=0,0,      _xll.qDateNext($X276,AG$12,"M",FRM&lt;&gt;"Calypso",CCY))</f>
        <v>0</v>
      </c>
      <c r="AH276" s="789">
        <f>IF($X276=0,0,      _xll.qDateNext($X276,AH$12,"M",FRM&lt;&gt;"Calypso",CCY))</f>
        <v>0</v>
      </c>
      <c r="AI276" s="789">
        <f>IF($X276=0,0,      _xll.qDateNext($X276,AI$12,"M",FRM&lt;&gt;"Calypso",CCY))</f>
        <v>0</v>
      </c>
      <c r="AJ276" s="529" t="str">
        <v/>
      </c>
      <c r="AK276" s="529" t="str">
        <v/>
      </c>
      <c r="AL276" s="529" t="str">
        <v/>
      </c>
      <c r="AM276" s="529" t="str">
        <v/>
      </c>
      <c r="AN276" s="529" t="str">
        <v/>
      </c>
      <c r="AO276" s="529" t="str">
        <v/>
      </c>
      <c r="AP276" s="529" t="str">
        <v/>
      </c>
      <c r="AQ276" s="529" t="str">
        <v/>
      </c>
      <c r="AR276" s="529">
        <v>0</v>
      </c>
      <c r="AS276" s="529">
        <v>0</v>
      </c>
      <c r="AT276" s="529">
        <f t="shared" si="79"/>
        <v>0</v>
      </c>
      <c r="AU276" s="529">
        <v>0</v>
      </c>
      <c r="AV276" s="529">
        <f t="shared" si="80"/>
        <v>0</v>
      </c>
      <c r="AW276" s="529">
        <f t="shared" si="81"/>
        <v>0</v>
      </c>
      <c r="AX276" s="529">
        <v>0</v>
      </c>
      <c r="AY276" s="529">
        <v>0</v>
      </c>
      <c r="AZ276" s="761">
        <f t="shared" si="70"/>
        <v>0</v>
      </c>
      <c r="BA276" s="761">
        <f t="shared" si="71"/>
        <v>0</v>
      </c>
      <c r="BB276" s="761">
        <f t="shared" si="72"/>
        <v>0</v>
      </c>
      <c r="BC276" s="761">
        <f t="shared" si="73"/>
        <v>0</v>
      </c>
      <c r="BD276" s="761">
        <f t="shared" si="74"/>
        <v>0</v>
      </c>
      <c r="BE276" s="761">
        <f t="shared" si="75"/>
        <v>0</v>
      </c>
      <c r="BF276" s="761">
        <f t="shared" si="76"/>
        <v>0</v>
      </c>
      <c r="BG276" s="761">
        <f t="shared" si="77"/>
        <v>0</v>
      </c>
      <c r="BH276" s="777">
        <v>0</v>
      </c>
      <c r="BI276" s="755"/>
      <c r="BJ276" s="778">
        <f>IF(X277=0,0,           IF(ISNUMBER(BI276),BI276,               IF(ISTEXT(BI276),INDEX(AZ276:BG276,MATCH(BI276,$AZ$12:$BG$12,0)),             IF(BH276="INT",_xll.qInterp(X277,AB276:AI276,AZ276:BG276),            INDEX(AZ276:BG276,MATCH(BH276,$AZ$12:$BG$12,0))))))</f>
        <v>0</v>
      </c>
      <c r="BK276" s="408">
        <f t="shared" si="82"/>
        <v>0</v>
      </c>
      <c r="BL276" s="414">
        <f t="shared" si="83"/>
        <v>0</v>
      </c>
      <c r="BM276" s="408">
        <f t="shared" si="84"/>
        <v>0</v>
      </c>
    </row>
    <row r="277" spans="16:65">
      <c r="P277" s="781">
        <v>0</v>
      </c>
      <c r="Q277" s="780">
        <f t="shared" si="68"/>
        <v>0</v>
      </c>
      <c r="R277" s="776">
        <f>IF(P278,_xll.qDateYears(P277,P278,DCCfixed),0)</f>
        <v>0</v>
      </c>
      <c r="S277" s="553">
        <v>0</v>
      </c>
      <c r="T277" s="785"/>
      <c r="U277" s="409">
        <f t="shared" si="78"/>
        <v>0</v>
      </c>
      <c r="X277" s="363">
        <v>0</v>
      </c>
      <c r="Y277" s="775">
        <f t="shared" si="69"/>
        <v>0</v>
      </c>
      <c r="Z277" s="776">
        <f>IF(X278,_xll.qDateYears(X277,X278,DCCfloat),0)</f>
        <v>0</v>
      </c>
      <c r="AA277" s="553">
        <v>0</v>
      </c>
      <c r="AB277" s="789">
        <f>IF($X277=0,0,      _xll.qDateNext($X277,AB$12,"M",FRM&lt;&gt;"Calypso",CCY))</f>
        <v>0</v>
      </c>
      <c r="AC277" s="789">
        <f>IF($X277=0,0,      _xll.qDateNext($X277,AC$12,"M",FRM&lt;&gt;"Calypso",CCY))</f>
        <v>0</v>
      </c>
      <c r="AD277" s="789">
        <f>IF($X277=0,0,      _xll.qDateNext($X277,AD$12,"M",FRM&lt;&gt;"Calypso",CCY))</f>
        <v>0</v>
      </c>
      <c r="AE277" s="789">
        <f>IF($X277=0,0,      _xll.qDateNext($X277,AE$12,"M",FRM&lt;&gt;"Calypso",CCY))</f>
        <v>0</v>
      </c>
      <c r="AF277" s="789">
        <f>IF($X277=0,0,      _xll.qDateNext($X277,AF$12,"M",FRM&lt;&gt;"Calypso",CCY))</f>
        <v>0</v>
      </c>
      <c r="AG277" s="789">
        <f>IF($X277=0,0,      _xll.qDateNext($X277,AG$12,"M",FRM&lt;&gt;"Calypso",CCY))</f>
        <v>0</v>
      </c>
      <c r="AH277" s="789">
        <f>IF($X277=0,0,      _xll.qDateNext($X277,AH$12,"M",FRM&lt;&gt;"Calypso",CCY))</f>
        <v>0</v>
      </c>
      <c r="AI277" s="789">
        <f>IF($X277=0,0,      _xll.qDateNext($X277,AI$12,"M",FRM&lt;&gt;"Calypso",CCY))</f>
        <v>0</v>
      </c>
      <c r="AJ277" s="529" t="str">
        <v/>
      </c>
      <c r="AK277" s="529" t="str">
        <v/>
      </c>
      <c r="AL277" s="529" t="str">
        <v/>
      </c>
      <c r="AM277" s="529" t="str">
        <v/>
      </c>
      <c r="AN277" s="529" t="str">
        <v/>
      </c>
      <c r="AO277" s="529" t="str">
        <v/>
      </c>
      <c r="AP277" s="529" t="str">
        <v/>
      </c>
      <c r="AQ277" s="529" t="str">
        <v/>
      </c>
      <c r="AR277" s="529">
        <v>0</v>
      </c>
      <c r="AS277" s="529">
        <v>0</v>
      </c>
      <c r="AT277" s="529">
        <f t="shared" si="79"/>
        <v>0</v>
      </c>
      <c r="AU277" s="529">
        <v>0</v>
      </c>
      <c r="AV277" s="529">
        <f t="shared" si="80"/>
        <v>0</v>
      </c>
      <c r="AW277" s="529">
        <f t="shared" si="81"/>
        <v>0</v>
      </c>
      <c r="AX277" s="529">
        <v>0</v>
      </c>
      <c r="AY277" s="529">
        <v>0</v>
      </c>
      <c r="AZ277" s="761">
        <f t="shared" si="70"/>
        <v>0</v>
      </c>
      <c r="BA277" s="761">
        <f t="shared" si="71"/>
        <v>0</v>
      </c>
      <c r="BB277" s="761">
        <f t="shared" si="72"/>
        <v>0</v>
      </c>
      <c r="BC277" s="761">
        <f t="shared" si="73"/>
        <v>0</v>
      </c>
      <c r="BD277" s="761">
        <f t="shared" si="74"/>
        <v>0</v>
      </c>
      <c r="BE277" s="761">
        <f t="shared" si="75"/>
        <v>0</v>
      </c>
      <c r="BF277" s="761">
        <f t="shared" si="76"/>
        <v>0</v>
      </c>
      <c r="BG277" s="761">
        <f t="shared" si="77"/>
        <v>0</v>
      </c>
      <c r="BH277" s="777">
        <v>0</v>
      </c>
      <c r="BI277" s="755"/>
      <c r="BJ277" s="778">
        <f>IF(X278=0,0,           IF(ISNUMBER(BI277),BI277,               IF(ISTEXT(BI277),INDEX(AZ277:BG277,MATCH(BI277,$AZ$12:$BG$12,0)),             IF(BH277="INT",_xll.qInterp(X278,AB277:AI277,AZ277:BG277),            INDEX(AZ277:BG277,MATCH(BH277,$AZ$12:$BG$12,0))))))</f>
        <v>0</v>
      </c>
      <c r="BK277" s="408">
        <f t="shared" si="82"/>
        <v>0</v>
      </c>
      <c r="BL277" s="414">
        <f t="shared" si="83"/>
        <v>0</v>
      </c>
      <c r="BM277" s="408">
        <f t="shared" si="84"/>
        <v>0</v>
      </c>
    </row>
    <row r="278" spans="16:65">
      <c r="P278" s="781">
        <v>0</v>
      </c>
      <c r="Q278" s="780">
        <f t="shared" si="68"/>
        <v>0</v>
      </c>
      <c r="R278" s="776">
        <f>IF(P279,_xll.qDateYears(P278,P279,DCCfixed),0)</f>
        <v>0</v>
      </c>
      <c r="S278" s="553">
        <v>0</v>
      </c>
      <c r="T278" s="785"/>
      <c r="U278" s="409">
        <f t="shared" si="78"/>
        <v>0</v>
      </c>
      <c r="X278" s="363">
        <v>0</v>
      </c>
      <c r="Y278" s="775">
        <f t="shared" si="69"/>
        <v>0</v>
      </c>
      <c r="Z278" s="776">
        <f>IF(X279,_xll.qDateYears(X278,X279,DCCfloat),0)</f>
        <v>0</v>
      </c>
      <c r="AA278" s="553">
        <v>0</v>
      </c>
      <c r="AB278" s="789">
        <f>IF($X278=0,0,      _xll.qDateNext($X278,AB$12,"M",FRM&lt;&gt;"Calypso",CCY))</f>
        <v>0</v>
      </c>
      <c r="AC278" s="789">
        <f>IF($X278=0,0,      _xll.qDateNext($X278,AC$12,"M",FRM&lt;&gt;"Calypso",CCY))</f>
        <v>0</v>
      </c>
      <c r="AD278" s="789">
        <f>IF($X278=0,0,      _xll.qDateNext($X278,AD$12,"M",FRM&lt;&gt;"Calypso",CCY))</f>
        <v>0</v>
      </c>
      <c r="AE278" s="789">
        <f>IF($X278=0,0,      _xll.qDateNext($X278,AE$12,"M",FRM&lt;&gt;"Calypso",CCY))</f>
        <v>0</v>
      </c>
      <c r="AF278" s="789">
        <f>IF($X278=0,0,      _xll.qDateNext($X278,AF$12,"M",FRM&lt;&gt;"Calypso",CCY))</f>
        <v>0</v>
      </c>
      <c r="AG278" s="789">
        <f>IF($X278=0,0,      _xll.qDateNext($X278,AG$12,"M",FRM&lt;&gt;"Calypso",CCY))</f>
        <v>0</v>
      </c>
      <c r="AH278" s="789">
        <f>IF($X278=0,0,      _xll.qDateNext($X278,AH$12,"M",FRM&lt;&gt;"Calypso",CCY))</f>
        <v>0</v>
      </c>
      <c r="AI278" s="789">
        <f>IF($X278=0,0,      _xll.qDateNext($X278,AI$12,"M",FRM&lt;&gt;"Calypso",CCY))</f>
        <v>0</v>
      </c>
      <c r="AJ278" s="529" t="str">
        <v/>
      </c>
      <c r="AK278" s="529" t="str">
        <v/>
      </c>
      <c r="AL278" s="529" t="str">
        <v/>
      </c>
      <c r="AM278" s="529" t="str">
        <v/>
      </c>
      <c r="AN278" s="529" t="str">
        <v/>
      </c>
      <c r="AO278" s="529" t="str">
        <v/>
      </c>
      <c r="AP278" s="529" t="str">
        <v/>
      </c>
      <c r="AQ278" s="529" t="str">
        <v/>
      </c>
      <c r="AR278" s="529">
        <v>0</v>
      </c>
      <c r="AS278" s="529">
        <v>0</v>
      </c>
      <c r="AT278" s="529">
        <f t="shared" si="79"/>
        <v>0</v>
      </c>
      <c r="AU278" s="529">
        <v>0</v>
      </c>
      <c r="AV278" s="529">
        <f t="shared" si="80"/>
        <v>0</v>
      </c>
      <c r="AW278" s="529">
        <f t="shared" si="81"/>
        <v>0</v>
      </c>
      <c r="AX278" s="529">
        <v>0</v>
      </c>
      <c r="AY278" s="529">
        <v>0</v>
      </c>
      <c r="AZ278" s="761">
        <f t="shared" si="70"/>
        <v>0</v>
      </c>
      <c r="BA278" s="761">
        <f t="shared" si="71"/>
        <v>0</v>
      </c>
      <c r="BB278" s="761">
        <f t="shared" si="72"/>
        <v>0</v>
      </c>
      <c r="BC278" s="761">
        <f t="shared" si="73"/>
        <v>0</v>
      </c>
      <c r="BD278" s="761">
        <f t="shared" si="74"/>
        <v>0</v>
      </c>
      <c r="BE278" s="761">
        <f t="shared" si="75"/>
        <v>0</v>
      </c>
      <c r="BF278" s="761">
        <f t="shared" si="76"/>
        <v>0</v>
      </c>
      <c r="BG278" s="761">
        <f t="shared" si="77"/>
        <v>0</v>
      </c>
      <c r="BH278" s="777">
        <v>0</v>
      </c>
      <c r="BI278" s="755"/>
      <c r="BJ278" s="778">
        <f>IF(X279=0,0,           IF(ISNUMBER(BI278),BI278,               IF(ISTEXT(BI278),INDEX(AZ278:BG278,MATCH(BI278,$AZ$12:$BG$12,0)),             IF(BH278="INT",_xll.qInterp(X279,AB278:AI278,AZ278:BG278),            INDEX(AZ278:BG278,MATCH(BH278,$AZ$12:$BG$12,0))))))</f>
        <v>0</v>
      </c>
      <c r="BK278" s="408">
        <f t="shared" si="82"/>
        <v>0</v>
      </c>
      <c r="BL278" s="414">
        <f t="shared" si="83"/>
        <v>0</v>
      </c>
      <c r="BM278" s="408">
        <f t="shared" si="84"/>
        <v>0</v>
      </c>
    </row>
    <row r="279" spans="16:65">
      <c r="P279" s="781">
        <v>0</v>
      </c>
      <c r="Q279" s="780">
        <f t="shared" si="68"/>
        <v>0</v>
      </c>
      <c r="R279" s="776">
        <f>IF(P280,_xll.qDateYears(P279,P280,DCCfixed),0)</f>
        <v>0</v>
      </c>
      <c r="S279" s="553">
        <v>0</v>
      </c>
      <c r="T279" s="785"/>
      <c r="U279" s="409">
        <f t="shared" si="78"/>
        <v>0</v>
      </c>
      <c r="X279" s="363">
        <v>0</v>
      </c>
      <c r="Y279" s="775">
        <f t="shared" si="69"/>
        <v>0</v>
      </c>
      <c r="Z279" s="776">
        <f>IF(X280,_xll.qDateYears(X279,X280,DCCfloat),0)</f>
        <v>0</v>
      </c>
      <c r="AA279" s="553">
        <v>0</v>
      </c>
      <c r="AB279" s="789">
        <f>IF($X279=0,0,      _xll.qDateNext($X279,AB$12,"M",FRM&lt;&gt;"Calypso",CCY))</f>
        <v>0</v>
      </c>
      <c r="AC279" s="789">
        <f>IF($X279=0,0,      _xll.qDateNext($X279,AC$12,"M",FRM&lt;&gt;"Calypso",CCY))</f>
        <v>0</v>
      </c>
      <c r="AD279" s="789">
        <f>IF($X279=0,0,      _xll.qDateNext($X279,AD$12,"M",FRM&lt;&gt;"Calypso",CCY))</f>
        <v>0</v>
      </c>
      <c r="AE279" s="789">
        <f>IF($X279=0,0,      _xll.qDateNext($X279,AE$12,"M",FRM&lt;&gt;"Calypso",CCY))</f>
        <v>0</v>
      </c>
      <c r="AF279" s="789">
        <f>IF($X279=0,0,      _xll.qDateNext($X279,AF$12,"M",FRM&lt;&gt;"Calypso",CCY))</f>
        <v>0</v>
      </c>
      <c r="AG279" s="789">
        <f>IF($X279=0,0,      _xll.qDateNext($X279,AG$12,"M",FRM&lt;&gt;"Calypso",CCY))</f>
        <v>0</v>
      </c>
      <c r="AH279" s="789">
        <f>IF($X279=0,0,      _xll.qDateNext($X279,AH$12,"M",FRM&lt;&gt;"Calypso",CCY))</f>
        <v>0</v>
      </c>
      <c r="AI279" s="789">
        <f>IF($X279=0,0,      _xll.qDateNext($X279,AI$12,"M",FRM&lt;&gt;"Calypso",CCY))</f>
        <v>0</v>
      </c>
      <c r="AJ279" s="529" t="str">
        <v/>
      </c>
      <c r="AK279" s="529" t="str">
        <v/>
      </c>
      <c r="AL279" s="529" t="str">
        <v/>
      </c>
      <c r="AM279" s="529" t="str">
        <v/>
      </c>
      <c r="AN279" s="529" t="str">
        <v/>
      </c>
      <c r="AO279" s="529" t="str">
        <v/>
      </c>
      <c r="AP279" s="529" t="str">
        <v/>
      </c>
      <c r="AQ279" s="529" t="str">
        <v/>
      </c>
      <c r="AR279" s="529">
        <v>0</v>
      </c>
      <c r="AS279" s="529">
        <v>0</v>
      </c>
      <c r="AT279" s="529">
        <f t="shared" si="79"/>
        <v>0</v>
      </c>
      <c r="AU279" s="529">
        <v>0</v>
      </c>
      <c r="AV279" s="529">
        <f t="shared" si="80"/>
        <v>0</v>
      </c>
      <c r="AW279" s="529">
        <f t="shared" si="81"/>
        <v>0</v>
      </c>
      <c r="AX279" s="529">
        <v>0</v>
      </c>
      <c r="AY279" s="529">
        <v>0</v>
      </c>
      <c r="AZ279" s="761">
        <f t="shared" si="70"/>
        <v>0</v>
      </c>
      <c r="BA279" s="761">
        <f t="shared" si="71"/>
        <v>0</v>
      </c>
      <c r="BB279" s="761">
        <f t="shared" si="72"/>
        <v>0</v>
      </c>
      <c r="BC279" s="761">
        <f t="shared" si="73"/>
        <v>0</v>
      </c>
      <c r="BD279" s="761">
        <f t="shared" si="74"/>
        <v>0</v>
      </c>
      <c r="BE279" s="761">
        <f t="shared" si="75"/>
        <v>0</v>
      </c>
      <c r="BF279" s="761">
        <f t="shared" si="76"/>
        <v>0</v>
      </c>
      <c r="BG279" s="761">
        <f t="shared" si="77"/>
        <v>0</v>
      </c>
      <c r="BH279" s="777">
        <v>0</v>
      </c>
      <c r="BI279" s="755"/>
      <c r="BJ279" s="778">
        <f>IF(X280=0,0,           IF(ISNUMBER(BI279),BI279,               IF(ISTEXT(BI279),INDEX(AZ279:BG279,MATCH(BI279,$AZ$12:$BG$12,0)),             IF(BH279="INT",_xll.qInterp(X280,AB279:AI279,AZ279:BG279),            INDEX(AZ279:BG279,MATCH(BH279,$AZ$12:$BG$12,0))))))</f>
        <v>0</v>
      </c>
      <c r="BK279" s="408">
        <f t="shared" si="82"/>
        <v>0</v>
      </c>
      <c r="BL279" s="414">
        <f t="shared" si="83"/>
        <v>0</v>
      </c>
      <c r="BM279" s="408">
        <f t="shared" si="84"/>
        <v>0</v>
      </c>
    </row>
    <row r="280" spans="16:65">
      <c r="P280" s="781">
        <v>0</v>
      </c>
      <c r="Q280" s="780">
        <f t="shared" si="68"/>
        <v>0</v>
      </c>
      <c r="R280" s="776">
        <f>IF(P281,_xll.qDateYears(P280,P281,DCCfixed),0)</f>
        <v>0</v>
      </c>
      <c r="S280" s="553">
        <v>0</v>
      </c>
      <c r="T280" s="785"/>
      <c r="U280" s="409">
        <f t="shared" si="78"/>
        <v>0</v>
      </c>
      <c r="X280" s="363">
        <v>0</v>
      </c>
      <c r="Y280" s="775">
        <f t="shared" si="69"/>
        <v>0</v>
      </c>
      <c r="Z280" s="776">
        <f>IF(X281,_xll.qDateYears(X280,X281,DCCfloat),0)</f>
        <v>0</v>
      </c>
      <c r="AA280" s="553">
        <v>0</v>
      </c>
      <c r="AB280" s="789">
        <f>IF($X280=0,0,      _xll.qDateNext($X280,AB$12,"M",FRM&lt;&gt;"Calypso",CCY))</f>
        <v>0</v>
      </c>
      <c r="AC280" s="789">
        <f>IF($X280=0,0,      _xll.qDateNext($X280,AC$12,"M",FRM&lt;&gt;"Calypso",CCY))</f>
        <v>0</v>
      </c>
      <c r="AD280" s="789">
        <f>IF($X280=0,0,      _xll.qDateNext($X280,AD$12,"M",FRM&lt;&gt;"Calypso",CCY))</f>
        <v>0</v>
      </c>
      <c r="AE280" s="789">
        <f>IF($X280=0,0,      _xll.qDateNext($X280,AE$12,"M",FRM&lt;&gt;"Calypso",CCY))</f>
        <v>0</v>
      </c>
      <c r="AF280" s="789">
        <f>IF($X280=0,0,      _xll.qDateNext($X280,AF$12,"M",FRM&lt;&gt;"Calypso",CCY))</f>
        <v>0</v>
      </c>
      <c r="AG280" s="789">
        <f>IF($X280=0,0,      _xll.qDateNext($X280,AG$12,"M",FRM&lt;&gt;"Calypso",CCY))</f>
        <v>0</v>
      </c>
      <c r="AH280" s="789">
        <f>IF($X280=0,0,      _xll.qDateNext($X280,AH$12,"M",FRM&lt;&gt;"Calypso",CCY))</f>
        <v>0</v>
      </c>
      <c r="AI280" s="789">
        <f>IF($X280=0,0,      _xll.qDateNext($X280,AI$12,"M",FRM&lt;&gt;"Calypso",CCY))</f>
        <v>0</v>
      </c>
      <c r="AJ280" s="529" t="str">
        <v/>
      </c>
      <c r="AK280" s="529" t="str">
        <v/>
      </c>
      <c r="AL280" s="529" t="str">
        <v/>
      </c>
      <c r="AM280" s="529" t="str">
        <v/>
      </c>
      <c r="AN280" s="529" t="str">
        <v/>
      </c>
      <c r="AO280" s="529" t="str">
        <v/>
      </c>
      <c r="AP280" s="529" t="str">
        <v/>
      </c>
      <c r="AQ280" s="529" t="str">
        <v/>
      </c>
      <c r="AR280" s="529">
        <v>0</v>
      </c>
      <c r="AS280" s="529">
        <v>0</v>
      </c>
      <c r="AT280" s="529">
        <f t="shared" si="79"/>
        <v>0</v>
      </c>
      <c r="AU280" s="529">
        <v>0</v>
      </c>
      <c r="AV280" s="529">
        <f t="shared" si="80"/>
        <v>0</v>
      </c>
      <c r="AW280" s="529">
        <f t="shared" si="81"/>
        <v>0</v>
      </c>
      <c r="AX280" s="529">
        <v>0</v>
      </c>
      <c r="AY280" s="529">
        <v>0</v>
      </c>
      <c r="AZ280" s="761">
        <f t="shared" si="70"/>
        <v>0</v>
      </c>
      <c r="BA280" s="761">
        <f t="shared" si="71"/>
        <v>0</v>
      </c>
      <c r="BB280" s="761">
        <f t="shared" si="72"/>
        <v>0</v>
      </c>
      <c r="BC280" s="761">
        <f t="shared" si="73"/>
        <v>0</v>
      </c>
      <c r="BD280" s="761">
        <f t="shared" si="74"/>
        <v>0</v>
      </c>
      <c r="BE280" s="761">
        <f t="shared" si="75"/>
        <v>0</v>
      </c>
      <c r="BF280" s="761">
        <f t="shared" si="76"/>
        <v>0</v>
      </c>
      <c r="BG280" s="761">
        <f t="shared" si="77"/>
        <v>0</v>
      </c>
      <c r="BH280" s="777">
        <v>0</v>
      </c>
      <c r="BI280" s="755"/>
      <c r="BJ280" s="778">
        <f>IF(X281=0,0,           IF(ISNUMBER(BI280),BI280,               IF(ISTEXT(BI280),INDEX(AZ280:BG280,MATCH(BI280,$AZ$12:$BG$12,0)),             IF(BH280="INT",_xll.qInterp(X281,AB280:AI280,AZ280:BG280),            INDEX(AZ280:BG280,MATCH(BH280,$AZ$12:$BG$12,0))))))</f>
        <v>0</v>
      </c>
      <c r="BK280" s="408">
        <f t="shared" si="82"/>
        <v>0</v>
      </c>
      <c r="BL280" s="414">
        <f t="shared" si="83"/>
        <v>0</v>
      </c>
      <c r="BM280" s="408">
        <f t="shared" si="84"/>
        <v>0</v>
      </c>
    </row>
    <row r="281" spans="16:65">
      <c r="P281" s="781">
        <v>0</v>
      </c>
      <c r="Q281" s="780">
        <f t="shared" si="68"/>
        <v>0</v>
      </c>
      <c r="R281" s="776">
        <f>IF(P282,_xll.qDateYears(P281,P282,DCCfixed),0)</f>
        <v>0</v>
      </c>
      <c r="S281" s="553">
        <v>0</v>
      </c>
      <c r="T281" s="785"/>
      <c r="U281" s="409">
        <f t="shared" si="78"/>
        <v>0</v>
      </c>
      <c r="X281" s="363">
        <v>0</v>
      </c>
      <c r="Y281" s="775">
        <f t="shared" si="69"/>
        <v>0</v>
      </c>
      <c r="Z281" s="776">
        <f>IF(X282,_xll.qDateYears(X281,X282,DCCfloat),0)</f>
        <v>0</v>
      </c>
      <c r="AA281" s="553">
        <v>0</v>
      </c>
      <c r="AB281" s="789">
        <f>IF($X281=0,0,      _xll.qDateNext($X281,AB$12,"M",FRM&lt;&gt;"Calypso",CCY))</f>
        <v>0</v>
      </c>
      <c r="AC281" s="789">
        <f>IF($X281=0,0,      _xll.qDateNext($X281,AC$12,"M",FRM&lt;&gt;"Calypso",CCY))</f>
        <v>0</v>
      </c>
      <c r="AD281" s="789">
        <f>IF($X281=0,0,      _xll.qDateNext($X281,AD$12,"M",FRM&lt;&gt;"Calypso",CCY))</f>
        <v>0</v>
      </c>
      <c r="AE281" s="789">
        <f>IF($X281=0,0,      _xll.qDateNext($X281,AE$12,"M",FRM&lt;&gt;"Calypso",CCY))</f>
        <v>0</v>
      </c>
      <c r="AF281" s="789">
        <f>IF($X281=0,0,      _xll.qDateNext($X281,AF$12,"M",FRM&lt;&gt;"Calypso",CCY))</f>
        <v>0</v>
      </c>
      <c r="AG281" s="789">
        <f>IF($X281=0,0,      _xll.qDateNext($X281,AG$12,"M",FRM&lt;&gt;"Calypso",CCY))</f>
        <v>0</v>
      </c>
      <c r="AH281" s="789">
        <f>IF($X281=0,0,      _xll.qDateNext($X281,AH$12,"M",FRM&lt;&gt;"Calypso",CCY))</f>
        <v>0</v>
      </c>
      <c r="AI281" s="789">
        <f>IF($X281=0,0,      _xll.qDateNext($X281,AI$12,"M",FRM&lt;&gt;"Calypso",CCY))</f>
        <v>0</v>
      </c>
      <c r="AJ281" s="529" t="str">
        <v/>
      </c>
      <c r="AK281" s="529" t="str">
        <v/>
      </c>
      <c r="AL281" s="529" t="str">
        <v/>
      </c>
      <c r="AM281" s="529" t="str">
        <v/>
      </c>
      <c r="AN281" s="529" t="str">
        <v/>
      </c>
      <c r="AO281" s="529" t="str">
        <v/>
      </c>
      <c r="AP281" s="529" t="str">
        <v/>
      </c>
      <c r="AQ281" s="529" t="str">
        <v/>
      </c>
      <c r="AR281" s="529">
        <v>0</v>
      </c>
      <c r="AS281" s="529">
        <v>0</v>
      </c>
      <c r="AT281" s="529">
        <f t="shared" si="79"/>
        <v>0</v>
      </c>
      <c r="AU281" s="529">
        <v>0</v>
      </c>
      <c r="AV281" s="529">
        <f t="shared" si="80"/>
        <v>0</v>
      </c>
      <c r="AW281" s="529">
        <f t="shared" si="81"/>
        <v>0</v>
      </c>
      <c r="AX281" s="529">
        <v>0</v>
      </c>
      <c r="AY281" s="529">
        <v>0</v>
      </c>
      <c r="AZ281" s="761">
        <f t="shared" si="70"/>
        <v>0</v>
      </c>
      <c r="BA281" s="761">
        <f t="shared" si="71"/>
        <v>0</v>
      </c>
      <c r="BB281" s="761">
        <f t="shared" si="72"/>
        <v>0</v>
      </c>
      <c r="BC281" s="761">
        <f t="shared" si="73"/>
        <v>0</v>
      </c>
      <c r="BD281" s="761">
        <f t="shared" si="74"/>
        <v>0</v>
      </c>
      <c r="BE281" s="761">
        <f t="shared" si="75"/>
        <v>0</v>
      </c>
      <c r="BF281" s="761">
        <f t="shared" si="76"/>
        <v>0</v>
      </c>
      <c r="BG281" s="761">
        <f t="shared" si="77"/>
        <v>0</v>
      </c>
      <c r="BH281" s="777">
        <v>0</v>
      </c>
      <c r="BI281" s="755"/>
      <c r="BJ281" s="778">
        <f>IF(X282=0,0,           IF(ISNUMBER(BI281),BI281,               IF(ISTEXT(BI281),INDEX(AZ281:BG281,MATCH(BI281,$AZ$12:$BG$12,0)),             IF(BH281="INT",_xll.qInterp(X282,AB281:AI281,AZ281:BG281),            INDEX(AZ281:BG281,MATCH(BH281,$AZ$12:$BG$12,0))))))</f>
        <v>0</v>
      </c>
      <c r="BK281" s="408">
        <f t="shared" si="82"/>
        <v>0</v>
      </c>
      <c r="BL281" s="414">
        <f t="shared" si="83"/>
        <v>0</v>
      </c>
      <c r="BM281" s="408">
        <f t="shared" si="84"/>
        <v>0</v>
      </c>
    </row>
    <row r="282" spans="16:65">
      <c r="P282" s="781">
        <v>0</v>
      </c>
      <c r="Q282" s="780">
        <f t="shared" si="68"/>
        <v>0</v>
      </c>
      <c r="R282" s="776">
        <f>IF(P283,_xll.qDateYears(P282,P283,DCCfixed),0)</f>
        <v>0</v>
      </c>
      <c r="S282" s="553">
        <v>0</v>
      </c>
      <c r="T282" s="785"/>
      <c r="U282" s="409">
        <f t="shared" si="78"/>
        <v>0</v>
      </c>
      <c r="X282" s="363">
        <v>0</v>
      </c>
      <c r="Y282" s="775">
        <f t="shared" si="69"/>
        <v>0</v>
      </c>
      <c r="Z282" s="776">
        <f>IF(X283,_xll.qDateYears(X282,X283,DCCfloat),0)</f>
        <v>0</v>
      </c>
      <c r="AA282" s="553">
        <v>0</v>
      </c>
      <c r="AB282" s="789">
        <f>IF($X282=0,0,      _xll.qDateNext($X282,AB$12,"M",FRM&lt;&gt;"Calypso",CCY))</f>
        <v>0</v>
      </c>
      <c r="AC282" s="789">
        <f>IF($X282=0,0,      _xll.qDateNext($X282,AC$12,"M",FRM&lt;&gt;"Calypso",CCY))</f>
        <v>0</v>
      </c>
      <c r="AD282" s="789">
        <f>IF($X282=0,0,      _xll.qDateNext($X282,AD$12,"M",FRM&lt;&gt;"Calypso",CCY))</f>
        <v>0</v>
      </c>
      <c r="AE282" s="789">
        <f>IF($X282=0,0,      _xll.qDateNext($X282,AE$12,"M",FRM&lt;&gt;"Calypso",CCY))</f>
        <v>0</v>
      </c>
      <c r="AF282" s="789">
        <f>IF($X282=0,0,      _xll.qDateNext($X282,AF$12,"M",FRM&lt;&gt;"Calypso",CCY))</f>
        <v>0</v>
      </c>
      <c r="AG282" s="789">
        <f>IF($X282=0,0,      _xll.qDateNext($X282,AG$12,"M",FRM&lt;&gt;"Calypso",CCY))</f>
        <v>0</v>
      </c>
      <c r="AH282" s="789">
        <f>IF($X282=0,0,      _xll.qDateNext($X282,AH$12,"M",FRM&lt;&gt;"Calypso",CCY))</f>
        <v>0</v>
      </c>
      <c r="AI282" s="789">
        <f>IF($X282=0,0,      _xll.qDateNext($X282,AI$12,"M",FRM&lt;&gt;"Calypso",CCY))</f>
        <v>0</v>
      </c>
      <c r="AJ282" s="529" t="str">
        <v/>
      </c>
      <c r="AK282" s="529" t="str">
        <v/>
      </c>
      <c r="AL282" s="529" t="str">
        <v/>
      </c>
      <c r="AM282" s="529" t="str">
        <v/>
      </c>
      <c r="AN282" s="529" t="str">
        <v/>
      </c>
      <c r="AO282" s="529" t="str">
        <v/>
      </c>
      <c r="AP282" s="529" t="str">
        <v/>
      </c>
      <c r="AQ282" s="529" t="str">
        <v/>
      </c>
      <c r="AR282" s="529">
        <v>0</v>
      </c>
      <c r="AS282" s="529">
        <v>0</v>
      </c>
      <c r="AT282" s="529">
        <f t="shared" si="79"/>
        <v>0</v>
      </c>
      <c r="AU282" s="529">
        <v>0</v>
      </c>
      <c r="AV282" s="529">
        <f t="shared" si="80"/>
        <v>0</v>
      </c>
      <c r="AW282" s="529">
        <f t="shared" si="81"/>
        <v>0</v>
      </c>
      <c r="AX282" s="529">
        <v>0</v>
      </c>
      <c r="AY282" s="529">
        <v>0</v>
      </c>
      <c r="AZ282" s="761">
        <f t="shared" si="70"/>
        <v>0</v>
      </c>
      <c r="BA282" s="761">
        <f t="shared" si="71"/>
        <v>0</v>
      </c>
      <c r="BB282" s="761">
        <f t="shared" si="72"/>
        <v>0</v>
      </c>
      <c r="BC282" s="761">
        <f t="shared" si="73"/>
        <v>0</v>
      </c>
      <c r="BD282" s="761">
        <f t="shared" si="74"/>
        <v>0</v>
      </c>
      <c r="BE282" s="761">
        <f t="shared" si="75"/>
        <v>0</v>
      </c>
      <c r="BF282" s="761">
        <f t="shared" si="76"/>
        <v>0</v>
      </c>
      <c r="BG282" s="761">
        <f t="shared" si="77"/>
        <v>0</v>
      </c>
      <c r="BH282" s="777">
        <v>0</v>
      </c>
      <c r="BI282" s="755"/>
      <c r="BJ282" s="778">
        <f>IF(X283=0,0,           IF(ISNUMBER(BI282),BI282,               IF(ISTEXT(BI282),INDEX(AZ282:BG282,MATCH(BI282,$AZ$12:$BG$12,0)),             IF(BH282="INT",_xll.qInterp(X283,AB282:AI282,AZ282:BG282),            INDEX(AZ282:BG282,MATCH(BH282,$AZ$12:$BG$12,0))))))</f>
        <v>0</v>
      </c>
      <c r="BK282" s="408">
        <f t="shared" si="82"/>
        <v>0</v>
      </c>
      <c r="BL282" s="414">
        <f t="shared" si="83"/>
        <v>0</v>
      </c>
      <c r="BM282" s="408">
        <f t="shared" si="84"/>
        <v>0</v>
      </c>
    </row>
    <row r="283" spans="16:65">
      <c r="P283" s="781">
        <v>0</v>
      </c>
      <c r="Q283" s="780">
        <f t="shared" si="68"/>
        <v>0</v>
      </c>
      <c r="R283" s="776">
        <f>IF(P284,_xll.qDateYears(P283,P284,DCCfixed),0)</f>
        <v>0</v>
      </c>
      <c r="S283" s="553">
        <v>0</v>
      </c>
      <c r="T283" s="785"/>
      <c r="U283" s="409">
        <f t="shared" si="78"/>
        <v>0</v>
      </c>
      <c r="X283" s="363">
        <v>0</v>
      </c>
      <c r="Y283" s="775">
        <f t="shared" si="69"/>
        <v>0</v>
      </c>
      <c r="Z283" s="776">
        <f>IF(X284,_xll.qDateYears(X283,X284,DCCfloat),0)</f>
        <v>0</v>
      </c>
      <c r="AA283" s="553">
        <v>0</v>
      </c>
      <c r="AB283" s="789">
        <f>IF($X283=0,0,      _xll.qDateNext($X283,AB$12,"M",FRM&lt;&gt;"Calypso",CCY))</f>
        <v>0</v>
      </c>
      <c r="AC283" s="789">
        <f>IF($X283=0,0,      _xll.qDateNext($X283,AC$12,"M",FRM&lt;&gt;"Calypso",CCY))</f>
        <v>0</v>
      </c>
      <c r="AD283" s="789">
        <f>IF($X283=0,0,      _xll.qDateNext($X283,AD$12,"M",FRM&lt;&gt;"Calypso",CCY))</f>
        <v>0</v>
      </c>
      <c r="AE283" s="789">
        <f>IF($X283=0,0,      _xll.qDateNext($X283,AE$12,"M",FRM&lt;&gt;"Calypso",CCY))</f>
        <v>0</v>
      </c>
      <c r="AF283" s="789">
        <f>IF($X283=0,0,      _xll.qDateNext($X283,AF$12,"M",FRM&lt;&gt;"Calypso",CCY))</f>
        <v>0</v>
      </c>
      <c r="AG283" s="789">
        <f>IF($X283=0,0,      _xll.qDateNext($X283,AG$12,"M",FRM&lt;&gt;"Calypso",CCY))</f>
        <v>0</v>
      </c>
      <c r="AH283" s="789">
        <f>IF($X283=0,0,      _xll.qDateNext($X283,AH$12,"M",FRM&lt;&gt;"Calypso",CCY))</f>
        <v>0</v>
      </c>
      <c r="AI283" s="789">
        <f>IF($X283=0,0,      _xll.qDateNext($X283,AI$12,"M",FRM&lt;&gt;"Calypso",CCY))</f>
        <v>0</v>
      </c>
      <c r="AJ283" s="529" t="str">
        <v/>
      </c>
      <c r="AK283" s="529" t="str">
        <v/>
      </c>
      <c r="AL283" s="529" t="str">
        <v/>
      </c>
      <c r="AM283" s="529" t="str">
        <v/>
      </c>
      <c r="AN283" s="529" t="str">
        <v/>
      </c>
      <c r="AO283" s="529" t="str">
        <v/>
      </c>
      <c r="AP283" s="529" t="str">
        <v/>
      </c>
      <c r="AQ283" s="529" t="str">
        <v/>
      </c>
      <c r="AR283" s="529">
        <v>0</v>
      </c>
      <c r="AS283" s="529">
        <v>0</v>
      </c>
      <c r="AT283" s="529">
        <f t="shared" si="79"/>
        <v>0</v>
      </c>
      <c r="AU283" s="529">
        <v>0</v>
      </c>
      <c r="AV283" s="529">
        <f t="shared" si="80"/>
        <v>0</v>
      </c>
      <c r="AW283" s="529">
        <f t="shared" si="81"/>
        <v>0</v>
      </c>
      <c r="AX283" s="529">
        <v>0</v>
      </c>
      <c r="AY283" s="529">
        <v>0</v>
      </c>
      <c r="AZ283" s="761">
        <f t="shared" si="70"/>
        <v>0</v>
      </c>
      <c r="BA283" s="761">
        <f t="shared" si="71"/>
        <v>0</v>
      </c>
      <c r="BB283" s="761">
        <f t="shared" si="72"/>
        <v>0</v>
      </c>
      <c r="BC283" s="761">
        <f t="shared" si="73"/>
        <v>0</v>
      </c>
      <c r="BD283" s="761">
        <f t="shared" si="74"/>
        <v>0</v>
      </c>
      <c r="BE283" s="761">
        <f t="shared" si="75"/>
        <v>0</v>
      </c>
      <c r="BF283" s="761">
        <f t="shared" si="76"/>
        <v>0</v>
      </c>
      <c r="BG283" s="761">
        <f t="shared" si="77"/>
        <v>0</v>
      </c>
      <c r="BH283" s="777">
        <v>0</v>
      </c>
      <c r="BI283" s="755"/>
      <c r="BJ283" s="778">
        <f>IF(X284=0,0,           IF(ISNUMBER(BI283),BI283,               IF(ISTEXT(BI283),INDEX(AZ283:BG283,MATCH(BI283,$AZ$12:$BG$12,0)),             IF(BH283="INT",_xll.qInterp(X284,AB283:AI283,AZ283:BG283),            INDEX(AZ283:BG283,MATCH(BH283,$AZ$12:$BG$12,0))))))</f>
        <v>0</v>
      </c>
      <c r="BK283" s="408">
        <f t="shared" si="82"/>
        <v>0</v>
      </c>
      <c r="BL283" s="414">
        <f t="shared" si="83"/>
        <v>0</v>
      </c>
      <c r="BM283" s="408">
        <f t="shared" si="84"/>
        <v>0</v>
      </c>
    </row>
    <row r="284" spans="16:65">
      <c r="P284" s="781">
        <v>0</v>
      </c>
      <c r="Q284" s="780">
        <f t="shared" si="68"/>
        <v>0</v>
      </c>
      <c r="R284" s="776">
        <f>IF(P285,_xll.qDateYears(P284,P285,DCCfixed),0)</f>
        <v>0</v>
      </c>
      <c r="S284" s="553">
        <v>0</v>
      </c>
      <c r="T284" s="785"/>
      <c r="U284" s="409">
        <f t="shared" si="78"/>
        <v>0</v>
      </c>
      <c r="X284" s="363">
        <v>0</v>
      </c>
      <c r="Y284" s="775">
        <f t="shared" si="69"/>
        <v>0</v>
      </c>
      <c r="Z284" s="776">
        <f>IF(X285,_xll.qDateYears(X284,X285,DCCfloat),0)</f>
        <v>0</v>
      </c>
      <c r="AA284" s="553">
        <v>0</v>
      </c>
      <c r="AB284" s="789">
        <f>IF($X284=0,0,      _xll.qDateNext($X284,AB$12,"M",FRM&lt;&gt;"Calypso",CCY))</f>
        <v>0</v>
      </c>
      <c r="AC284" s="789">
        <f>IF($X284=0,0,      _xll.qDateNext($X284,AC$12,"M",FRM&lt;&gt;"Calypso",CCY))</f>
        <v>0</v>
      </c>
      <c r="AD284" s="789">
        <f>IF($X284=0,0,      _xll.qDateNext($X284,AD$12,"M",FRM&lt;&gt;"Calypso",CCY))</f>
        <v>0</v>
      </c>
      <c r="AE284" s="789">
        <f>IF($X284=0,0,      _xll.qDateNext($X284,AE$12,"M",FRM&lt;&gt;"Calypso",CCY))</f>
        <v>0</v>
      </c>
      <c r="AF284" s="789">
        <f>IF($X284=0,0,      _xll.qDateNext($X284,AF$12,"M",FRM&lt;&gt;"Calypso",CCY))</f>
        <v>0</v>
      </c>
      <c r="AG284" s="789">
        <f>IF($X284=0,0,      _xll.qDateNext($X284,AG$12,"M",FRM&lt;&gt;"Calypso",CCY))</f>
        <v>0</v>
      </c>
      <c r="AH284" s="789">
        <f>IF($X284=0,0,      _xll.qDateNext($X284,AH$12,"M",FRM&lt;&gt;"Calypso",CCY))</f>
        <v>0</v>
      </c>
      <c r="AI284" s="789">
        <f>IF($X284=0,0,      _xll.qDateNext($X284,AI$12,"M",FRM&lt;&gt;"Calypso",CCY))</f>
        <v>0</v>
      </c>
      <c r="AJ284" s="529" t="str">
        <v/>
      </c>
      <c r="AK284" s="529" t="str">
        <v/>
      </c>
      <c r="AL284" s="529" t="str">
        <v/>
      </c>
      <c r="AM284" s="529" t="str">
        <v/>
      </c>
      <c r="AN284" s="529" t="str">
        <v/>
      </c>
      <c r="AO284" s="529" t="str">
        <v/>
      </c>
      <c r="AP284" s="529" t="str">
        <v/>
      </c>
      <c r="AQ284" s="529" t="str">
        <v/>
      </c>
      <c r="AR284" s="529">
        <v>0</v>
      </c>
      <c r="AS284" s="529">
        <v>0</v>
      </c>
      <c r="AT284" s="529">
        <f t="shared" si="79"/>
        <v>0</v>
      </c>
      <c r="AU284" s="529">
        <v>0</v>
      </c>
      <c r="AV284" s="529">
        <f t="shared" si="80"/>
        <v>0</v>
      </c>
      <c r="AW284" s="529">
        <f t="shared" si="81"/>
        <v>0</v>
      </c>
      <c r="AX284" s="529">
        <v>0</v>
      </c>
      <c r="AY284" s="529">
        <v>0</v>
      </c>
      <c r="AZ284" s="761">
        <f t="shared" si="70"/>
        <v>0</v>
      </c>
      <c r="BA284" s="761">
        <f t="shared" si="71"/>
        <v>0</v>
      </c>
      <c r="BB284" s="761">
        <f t="shared" si="72"/>
        <v>0</v>
      </c>
      <c r="BC284" s="761">
        <f t="shared" si="73"/>
        <v>0</v>
      </c>
      <c r="BD284" s="761">
        <f t="shared" si="74"/>
        <v>0</v>
      </c>
      <c r="BE284" s="761">
        <f t="shared" si="75"/>
        <v>0</v>
      </c>
      <c r="BF284" s="761">
        <f t="shared" si="76"/>
        <v>0</v>
      </c>
      <c r="BG284" s="761">
        <f t="shared" si="77"/>
        <v>0</v>
      </c>
      <c r="BH284" s="777">
        <v>0</v>
      </c>
      <c r="BI284" s="755"/>
      <c r="BJ284" s="778">
        <f>IF(X285=0,0,           IF(ISNUMBER(BI284),BI284,               IF(ISTEXT(BI284),INDEX(AZ284:BG284,MATCH(BI284,$AZ$12:$BG$12,0)),             IF(BH284="INT",_xll.qInterp(X285,AB284:AI284,AZ284:BG284),            INDEX(AZ284:BG284,MATCH(BH284,$AZ$12:$BG$12,0))))))</f>
        <v>0</v>
      </c>
      <c r="BK284" s="408">
        <f t="shared" si="82"/>
        <v>0</v>
      </c>
      <c r="BL284" s="414">
        <f t="shared" si="83"/>
        <v>0</v>
      </c>
      <c r="BM284" s="408">
        <f t="shared" si="84"/>
        <v>0</v>
      </c>
    </row>
    <row r="285" spans="16:65">
      <c r="P285" s="781">
        <v>0</v>
      </c>
      <c r="Q285" s="780">
        <f t="shared" si="68"/>
        <v>0</v>
      </c>
      <c r="R285" s="776">
        <f>IF(P286,_xll.qDateYears(P285,P286,DCCfixed),0)</f>
        <v>0</v>
      </c>
      <c r="S285" s="553">
        <v>0</v>
      </c>
      <c r="T285" s="785"/>
      <c r="U285" s="409">
        <f t="shared" si="78"/>
        <v>0</v>
      </c>
      <c r="X285" s="363">
        <v>0</v>
      </c>
      <c r="Y285" s="775">
        <f t="shared" si="69"/>
        <v>0</v>
      </c>
      <c r="Z285" s="776">
        <f>IF(X286,_xll.qDateYears(X285,X286,DCCfloat),0)</f>
        <v>0</v>
      </c>
      <c r="AA285" s="553">
        <v>0</v>
      </c>
      <c r="AB285" s="789">
        <f>IF($X285=0,0,      _xll.qDateNext($X285,AB$12,"M",FRM&lt;&gt;"Calypso",CCY))</f>
        <v>0</v>
      </c>
      <c r="AC285" s="789">
        <f>IF($X285=0,0,      _xll.qDateNext($X285,AC$12,"M",FRM&lt;&gt;"Calypso",CCY))</f>
        <v>0</v>
      </c>
      <c r="AD285" s="789">
        <f>IF($X285=0,0,      _xll.qDateNext($X285,AD$12,"M",FRM&lt;&gt;"Calypso",CCY))</f>
        <v>0</v>
      </c>
      <c r="AE285" s="789">
        <f>IF($X285=0,0,      _xll.qDateNext($X285,AE$12,"M",FRM&lt;&gt;"Calypso",CCY))</f>
        <v>0</v>
      </c>
      <c r="AF285" s="789">
        <f>IF($X285=0,0,      _xll.qDateNext($X285,AF$12,"M",FRM&lt;&gt;"Calypso",CCY))</f>
        <v>0</v>
      </c>
      <c r="AG285" s="789">
        <f>IF($X285=0,0,      _xll.qDateNext($X285,AG$12,"M",FRM&lt;&gt;"Calypso",CCY))</f>
        <v>0</v>
      </c>
      <c r="AH285" s="789">
        <f>IF($X285=0,0,      _xll.qDateNext($X285,AH$12,"M",FRM&lt;&gt;"Calypso",CCY))</f>
        <v>0</v>
      </c>
      <c r="AI285" s="789">
        <f>IF($X285=0,0,      _xll.qDateNext($X285,AI$12,"M",FRM&lt;&gt;"Calypso",CCY))</f>
        <v>0</v>
      </c>
      <c r="AJ285" s="529" t="str">
        <v/>
      </c>
      <c r="AK285" s="529" t="str">
        <v/>
      </c>
      <c r="AL285" s="529" t="str">
        <v/>
      </c>
      <c r="AM285" s="529" t="str">
        <v/>
      </c>
      <c r="AN285" s="529" t="str">
        <v/>
      </c>
      <c r="AO285" s="529" t="str">
        <v/>
      </c>
      <c r="AP285" s="529" t="str">
        <v/>
      </c>
      <c r="AQ285" s="529" t="str">
        <v/>
      </c>
      <c r="AR285" s="529">
        <v>0</v>
      </c>
      <c r="AS285" s="529">
        <v>0</v>
      </c>
      <c r="AT285" s="529">
        <f t="shared" si="79"/>
        <v>0</v>
      </c>
      <c r="AU285" s="529">
        <v>0</v>
      </c>
      <c r="AV285" s="529">
        <f t="shared" si="80"/>
        <v>0</v>
      </c>
      <c r="AW285" s="529">
        <f t="shared" si="81"/>
        <v>0</v>
      </c>
      <c r="AX285" s="529">
        <v>0</v>
      </c>
      <c r="AY285" s="529">
        <v>0</v>
      </c>
      <c r="AZ285" s="761">
        <f t="shared" si="70"/>
        <v>0</v>
      </c>
      <c r="BA285" s="761">
        <f t="shared" si="71"/>
        <v>0</v>
      </c>
      <c r="BB285" s="761">
        <f t="shared" si="72"/>
        <v>0</v>
      </c>
      <c r="BC285" s="761">
        <f t="shared" si="73"/>
        <v>0</v>
      </c>
      <c r="BD285" s="761">
        <f t="shared" si="74"/>
        <v>0</v>
      </c>
      <c r="BE285" s="761">
        <f t="shared" si="75"/>
        <v>0</v>
      </c>
      <c r="BF285" s="761">
        <f t="shared" si="76"/>
        <v>0</v>
      </c>
      <c r="BG285" s="761">
        <f t="shared" si="77"/>
        <v>0</v>
      </c>
      <c r="BH285" s="777">
        <v>0</v>
      </c>
      <c r="BI285" s="755"/>
      <c r="BJ285" s="778">
        <f>IF(X286=0,0,           IF(ISNUMBER(BI285),BI285,               IF(ISTEXT(BI285),INDEX(AZ285:BG285,MATCH(BI285,$AZ$12:$BG$12,0)),             IF(BH285="INT",_xll.qInterp(X286,AB285:AI285,AZ285:BG285),            INDEX(AZ285:BG285,MATCH(BH285,$AZ$12:$BG$12,0))))))</f>
        <v>0</v>
      </c>
      <c r="BK285" s="408">
        <f t="shared" si="82"/>
        <v>0</v>
      </c>
      <c r="BL285" s="414">
        <f t="shared" si="83"/>
        <v>0</v>
      </c>
      <c r="BM285" s="408">
        <f t="shared" si="84"/>
        <v>0</v>
      </c>
    </row>
    <row r="286" spans="16:65">
      <c r="P286" s="781">
        <v>0</v>
      </c>
      <c r="Q286" s="780">
        <f t="shared" si="68"/>
        <v>0</v>
      </c>
      <c r="R286" s="776">
        <f>IF(P287,_xll.qDateYears(P286,P287,DCCfixed),0)</f>
        <v>0</v>
      </c>
      <c r="S286" s="553">
        <v>0</v>
      </c>
      <c r="T286" s="785"/>
      <c r="U286" s="409">
        <f t="shared" si="78"/>
        <v>0</v>
      </c>
      <c r="X286" s="363">
        <v>0</v>
      </c>
      <c r="Y286" s="775">
        <f t="shared" si="69"/>
        <v>0</v>
      </c>
      <c r="Z286" s="776">
        <f>IF(X287,_xll.qDateYears(X286,X287,DCCfloat),0)</f>
        <v>0</v>
      </c>
      <c r="AA286" s="553">
        <v>0</v>
      </c>
      <c r="AB286" s="789">
        <f>IF($X286=0,0,      _xll.qDateNext($X286,AB$12,"M",FRM&lt;&gt;"Calypso",CCY))</f>
        <v>0</v>
      </c>
      <c r="AC286" s="789">
        <f>IF($X286=0,0,      _xll.qDateNext($X286,AC$12,"M",FRM&lt;&gt;"Calypso",CCY))</f>
        <v>0</v>
      </c>
      <c r="AD286" s="789">
        <f>IF($X286=0,0,      _xll.qDateNext($X286,AD$12,"M",FRM&lt;&gt;"Calypso",CCY))</f>
        <v>0</v>
      </c>
      <c r="AE286" s="789">
        <f>IF($X286=0,0,      _xll.qDateNext($X286,AE$12,"M",FRM&lt;&gt;"Calypso",CCY))</f>
        <v>0</v>
      </c>
      <c r="AF286" s="789">
        <f>IF($X286=0,0,      _xll.qDateNext($X286,AF$12,"M",FRM&lt;&gt;"Calypso",CCY))</f>
        <v>0</v>
      </c>
      <c r="AG286" s="789">
        <f>IF($X286=0,0,      _xll.qDateNext($X286,AG$12,"M",FRM&lt;&gt;"Calypso",CCY))</f>
        <v>0</v>
      </c>
      <c r="AH286" s="789">
        <f>IF($X286=0,0,      _xll.qDateNext($X286,AH$12,"M",FRM&lt;&gt;"Calypso",CCY))</f>
        <v>0</v>
      </c>
      <c r="AI286" s="789">
        <f>IF($X286=0,0,      _xll.qDateNext($X286,AI$12,"M",FRM&lt;&gt;"Calypso",CCY))</f>
        <v>0</v>
      </c>
      <c r="AJ286" s="529" t="str">
        <v/>
      </c>
      <c r="AK286" s="529" t="str">
        <v/>
      </c>
      <c r="AL286" s="529" t="str">
        <v/>
      </c>
      <c r="AM286" s="529" t="str">
        <v/>
      </c>
      <c r="AN286" s="529" t="str">
        <v/>
      </c>
      <c r="AO286" s="529" t="str">
        <v/>
      </c>
      <c r="AP286" s="529" t="str">
        <v/>
      </c>
      <c r="AQ286" s="529" t="str">
        <v/>
      </c>
      <c r="AR286" s="529">
        <v>0</v>
      </c>
      <c r="AS286" s="529">
        <v>0</v>
      </c>
      <c r="AT286" s="529">
        <f t="shared" si="79"/>
        <v>0</v>
      </c>
      <c r="AU286" s="529">
        <v>0</v>
      </c>
      <c r="AV286" s="529">
        <f t="shared" si="80"/>
        <v>0</v>
      </c>
      <c r="AW286" s="529">
        <f t="shared" si="81"/>
        <v>0</v>
      </c>
      <c r="AX286" s="529">
        <v>0</v>
      </c>
      <c r="AY286" s="529">
        <v>0</v>
      </c>
      <c r="AZ286" s="761">
        <f t="shared" si="70"/>
        <v>0</v>
      </c>
      <c r="BA286" s="761">
        <f t="shared" si="71"/>
        <v>0</v>
      </c>
      <c r="BB286" s="761">
        <f t="shared" si="72"/>
        <v>0</v>
      </c>
      <c r="BC286" s="761">
        <f t="shared" si="73"/>
        <v>0</v>
      </c>
      <c r="BD286" s="761">
        <f t="shared" si="74"/>
        <v>0</v>
      </c>
      <c r="BE286" s="761">
        <f t="shared" si="75"/>
        <v>0</v>
      </c>
      <c r="BF286" s="761">
        <f t="shared" si="76"/>
        <v>0</v>
      </c>
      <c r="BG286" s="761">
        <f t="shared" si="77"/>
        <v>0</v>
      </c>
      <c r="BH286" s="777">
        <v>0</v>
      </c>
      <c r="BI286" s="755"/>
      <c r="BJ286" s="778">
        <f>IF(X287=0,0,           IF(ISNUMBER(BI286),BI286,               IF(ISTEXT(BI286),INDEX(AZ286:BG286,MATCH(BI286,$AZ$12:$BG$12,0)),             IF(BH286="INT",_xll.qInterp(X287,AB286:AI286,AZ286:BG286),            INDEX(AZ286:BG286,MATCH(BH286,$AZ$12:$BG$12,0))))))</f>
        <v>0</v>
      </c>
      <c r="BK286" s="408">
        <f t="shared" si="82"/>
        <v>0</v>
      </c>
      <c r="BL286" s="414">
        <f t="shared" si="83"/>
        <v>0</v>
      </c>
      <c r="BM286" s="408">
        <f t="shared" si="84"/>
        <v>0</v>
      </c>
    </row>
    <row r="287" spans="16:65">
      <c r="P287" s="781">
        <v>0</v>
      </c>
      <c r="Q287" s="780">
        <f t="shared" si="68"/>
        <v>0</v>
      </c>
      <c r="R287" s="776">
        <f>IF(P288,_xll.qDateYears(P287,P288,DCCfixed),0)</f>
        <v>0</v>
      </c>
      <c r="S287" s="553">
        <v>0</v>
      </c>
      <c r="T287" s="785"/>
      <c r="U287" s="409">
        <f t="shared" si="78"/>
        <v>0</v>
      </c>
      <c r="X287" s="363">
        <v>0</v>
      </c>
      <c r="Y287" s="775">
        <f t="shared" si="69"/>
        <v>0</v>
      </c>
      <c r="Z287" s="776">
        <f>IF(X288,_xll.qDateYears(X287,X288,DCCfloat),0)</f>
        <v>0</v>
      </c>
      <c r="AA287" s="553">
        <v>0</v>
      </c>
      <c r="AB287" s="789">
        <f>IF($X287=0,0,      _xll.qDateNext($X287,AB$12,"M",FRM&lt;&gt;"Calypso",CCY))</f>
        <v>0</v>
      </c>
      <c r="AC287" s="789">
        <f>IF($X287=0,0,      _xll.qDateNext($X287,AC$12,"M",FRM&lt;&gt;"Calypso",CCY))</f>
        <v>0</v>
      </c>
      <c r="AD287" s="789">
        <f>IF($X287=0,0,      _xll.qDateNext($X287,AD$12,"M",FRM&lt;&gt;"Calypso",CCY))</f>
        <v>0</v>
      </c>
      <c r="AE287" s="789">
        <f>IF($X287=0,0,      _xll.qDateNext($X287,AE$12,"M",FRM&lt;&gt;"Calypso",CCY))</f>
        <v>0</v>
      </c>
      <c r="AF287" s="789">
        <f>IF($X287=0,0,      _xll.qDateNext($X287,AF$12,"M",FRM&lt;&gt;"Calypso",CCY))</f>
        <v>0</v>
      </c>
      <c r="AG287" s="789">
        <f>IF($X287=0,0,      _xll.qDateNext($X287,AG$12,"M",FRM&lt;&gt;"Calypso",CCY))</f>
        <v>0</v>
      </c>
      <c r="AH287" s="789">
        <f>IF($X287=0,0,      _xll.qDateNext($X287,AH$12,"M",FRM&lt;&gt;"Calypso",CCY))</f>
        <v>0</v>
      </c>
      <c r="AI287" s="789">
        <f>IF($X287=0,0,      _xll.qDateNext($X287,AI$12,"M",FRM&lt;&gt;"Calypso",CCY))</f>
        <v>0</v>
      </c>
      <c r="AJ287" s="529" t="str">
        <v/>
      </c>
      <c r="AK287" s="529" t="str">
        <v/>
      </c>
      <c r="AL287" s="529" t="str">
        <v/>
      </c>
      <c r="AM287" s="529" t="str">
        <v/>
      </c>
      <c r="AN287" s="529" t="str">
        <v/>
      </c>
      <c r="AO287" s="529" t="str">
        <v/>
      </c>
      <c r="AP287" s="529" t="str">
        <v/>
      </c>
      <c r="AQ287" s="529" t="str">
        <v/>
      </c>
      <c r="AR287" s="529">
        <v>0</v>
      </c>
      <c r="AS287" s="529">
        <v>0</v>
      </c>
      <c r="AT287" s="529">
        <f t="shared" si="79"/>
        <v>0</v>
      </c>
      <c r="AU287" s="529">
        <v>0</v>
      </c>
      <c r="AV287" s="529">
        <f t="shared" si="80"/>
        <v>0</v>
      </c>
      <c r="AW287" s="529">
        <f t="shared" si="81"/>
        <v>0</v>
      </c>
      <c r="AX287" s="529">
        <v>0</v>
      </c>
      <c r="AY287" s="529">
        <v>0</v>
      </c>
      <c r="AZ287" s="761">
        <f t="shared" si="70"/>
        <v>0</v>
      </c>
      <c r="BA287" s="761">
        <f t="shared" si="71"/>
        <v>0</v>
      </c>
      <c r="BB287" s="761">
        <f t="shared" si="72"/>
        <v>0</v>
      </c>
      <c r="BC287" s="761">
        <f t="shared" si="73"/>
        <v>0</v>
      </c>
      <c r="BD287" s="761">
        <f t="shared" si="74"/>
        <v>0</v>
      </c>
      <c r="BE287" s="761">
        <f t="shared" si="75"/>
        <v>0</v>
      </c>
      <c r="BF287" s="761">
        <f t="shared" si="76"/>
        <v>0</v>
      </c>
      <c r="BG287" s="761">
        <f t="shared" si="77"/>
        <v>0</v>
      </c>
      <c r="BH287" s="777">
        <v>0</v>
      </c>
      <c r="BI287" s="755"/>
      <c r="BJ287" s="778">
        <f>IF(X288=0,0,           IF(ISNUMBER(BI287),BI287,               IF(ISTEXT(BI287),INDEX(AZ287:BG287,MATCH(BI287,$AZ$12:$BG$12,0)),             IF(BH287="INT",_xll.qInterp(X288,AB287:AI287,AZ287:BG287),            INDEX(AZ287:BG287,MATCH(BH287,$AZ$12:$BG$12,0))))))</f>
        <v>0</v>
      </c>
      <c r="BK287" s="408">
        <f t="shared" si="82"/>
        <v>0</v>
      </c>
      <c r="BL287" s="414">
        <f t="shared" si="83"/>
        <v>0</v>
      </c>
      <c r="BM287" s="408">
        <f t="shared" si="84"/>
        <v>0</v>
      </c>
    </row>
    <row r="288" spans="16:65">
      <c r="P288" s="781">
        <v>0</v>
      </c>
      <c r="Q288" s="780">
        <f t="shared" si="68"/>
        <v>0</v>
      </c>
      <c r="R288" s="776">
        <f>IF(P289,_xll.qDateYears(P288,P289,DCCfixed),0)</f>
        <v>0</v>
      </c>
      <c r="S288" s="553">
        <v>0</v>
      </c>
      <c r="T288" s="785"/>
      <c r="U288" s="409">
        <f t="shared" si="78"/>
        <v>0</v>
      </c>
      <c r="X288" s="363">
        <v>0</v>
      </c>
      <c r="Y288" s="775">
        <f t="shared" si="69"/>
        <v>0</v>
      </c>
      <c r="Z288" s="776">
        <f>IF(X289,_xll.qDateYears(X288,X289,DCCfloat),0)</f>
        <v>0</v>
      </c>
      <c r="AA288" s="553">
        <v>0</v>
      </c>
      <c r="AB288" s="789">
        <f>IF($X288=0,0,      _xll.qDateNext($X288,AB$12,"M",FRM&lt;&gt;"Calypso",CCY))</f>
        <v>0</v>
      </c>
      <c r="AC288" s="789">
        <f>IF($X288=0,0,      _xll.qDateNext($X288,AC$12,"M",FRM&lt;&gt;"Calypso",CCY))</f>
        <v>0</v>
      </c>
      <c r="AD288" s="789">
        <f>IF($X288=0,0,      _xll.qDateNext($X288,AD$12,"M",FRM&lt;&gt;"Calypso",CCY))</f>
        <v>0</v>
      </c>
      <c r="AE288" s="789">
        <f>IF($X288=0,0,      _xll.qDateNext($X288,AE$12,"M",FRM&lt;&gt;"Calypso",CCY))</f>
        <v>0</v>
      </c>
      <c r="AF288" s="789">
        <f>IF($X288=0,0,      _xll.qDateNext($X288,AF$12,"M",FRM&lt;&gt;"Calypso",CCY))</f>
        <v>0</v>
      </c>
      <c r="AG288" s="789">
        <f>IF($X288=0,0,      _xll.qDateNext($X288,AG$12,"M",FRM&lt;&gt;"Calypso",CCY))</f>
        <v>0</v>
      </c>
      <c r="AH288" s="789">
        <f>IF($X288=0,0,      _xll.qDateNext($X288,AH$12,"M",FRM&lt;&gt;"Calypso",CCY))</f>
        <v>0</v>
      </c>
      <c r="AI288" s="789">
        <f>IF($X288=0,0,      _xll.qDateNext($X288,AI$12,"M",FRM&lt;&gt;"Calypso",CCY))</f>
        <v>0</v>
      </c>
      <c r="AJ288" s="529" t="str">
        <v/>
      </c>
      <c r="AK288" s="529" t="str">
        <v/>
      </c>
      <c r="AL288" s="529" t="str">
        <v/>
      </c>
      <c r="AM288" s="529" t="str">
        <v/>
      </c>
      <c r="AN288" s="529" t="str">
        <v/>
      </c>
      <c r="AO288" s="529" t="str">
        <v/>
      </c>
      <c r="AP288" s="529" t="str">
        <v/>
      </c>
      <c r="AQ288" s="529" t="str">
        <v/>
      </c>
      <c r="AR288" s="529">
        <v>0</v>
      </c>
      <c r="AS288" s="529">
        <v>0</v>
      </c>
      <c r="AT288" s="529">
        <f t="shared" si="79"/>
        <v>0</v>
      </c>
      <c r="AU288" s="529">
        <v>0</v>
      </c>
      <c r="AV288" s="529">
        <f t="shared" si="80"/>
        <v>0</v>
      </c>
      <c r="AW288" s="529">
        <f t="shared" si="81"/>
        <v>0</v>
      </c>
      <c r="AX288" s="529">
        <v>0</v>
      </c>
      <c r="AY288" s="529">
        <v>0</v>
      </c>
      <c r="AZ288" s="761">
        <f t="shared" si="70"/>
        <v>0</v>
      </c>
      <c r="BA288" s="761">
        <f t="shared" si="71"/>
        <v>0</v>
      </c>
      <c r="BB288" s="761">
        <f t="shared" si="72"/>
        <v>0</v>
      </c>
      <c r="BC288" s="761">
        <f t="shared" si="73"/>
        <v>0</v>
      </c>
      <c r="BD288" s="761">
        <f t="shared" si="74"/>
        <v>0</v>
      </c>
      <c r="BE288" s="761">
        <f t="shared" si="75"/>
        <v>0</v>
      </c>
      <c r="BF288" s="761">
        <f t="shared" si="76"/>
        <v>0</v>
      </c>
      <c r="BG288" s="761">
        <f t="shared" si="77"/>
        <v>0</v>
      </c>
      <c r="BH288" s="777">
        <v>0</v>
      </c>
      <c r="BI288" s="755"/>
      <c r="BJ288" s="778">
        <f>IF(X289=0,0,           IF(ISNUMBER(BI288),BI288,               IF(ISTEXT(BI288),INDEX(AZ288:BG288,MATCH(BI288,$AZ$12:$BG$12,0)),             IF(BH288="INT",_xll.qInterp(X289,AB288:AI288,AZ288:BG288),            INDEX(AZ288:BG288,MATCH(BH288,$AZ$12:$BG$12,0))))))</f>
        <v>0</v>
      </c>
      <c r="BK288" s="408">
        <f t="shared" si="82"/>
        <v>0</v>
      </c>
      <c r="BL288" s="414">
        <f t="shared" si="83"/>
        <v>0</v>
      </c>
      <c r="BM288" s="408">
        <f t="shared" si="84"/>
        <v>0</v>
      </c>
    </row>
    <row r="289" spans="16:65">
      <c r="P289" s="781">
        <v>0</v>
      </c>
      <c r="Q289" s="780">
        <f t="shared" si="68"/>
        <v>0</v>
      </c>
      <c r="R289" s="776">
        <f>IF(P290,_xll.qDateYears(P289,P290,DCCfixed),0)</f>
        <v>0</v>
      </c>
      <c r="S289" s="553">
        <v>0</v>
      </c>
      <c r="T289" s="785"/>
      <c r="U289" s="409">
        <f t="shared" si="78"/>
        <v>0</v>
      </c>
      <c r="X289" s="363">
        <v>0</v>
      </c>
      <c r="Y289" s="775">
        <f t="shared" si="69"/>
        <v>0</v>
      </c>
      <c r="Z289" s="776">
        <f>IF(X290,_xll.qDateYears(X289,X290,DCCfloat),0)</f>
        <v>0</v>
      </c>
      <c r="AA289" s="553">
        <v>0</v>
      </c>
      <c r="AB289" s="789">
        <f>IF($X289=0,0,      _xll.qDateNext($X289,AB$12,"M",FRM&lt;&gt;"Calypso",CCY))</f>
        <v>0</v>
      </c>
      <c r="AC289" s="789">
        <f>IF($X289=0,0,      _xll.qDateNext($X289,AC$12,"M",FRM&lt;&gt;"Calypso",CCY))</f>
        <v>0</v>
      </c>
      <c r="AD289" s="789">
        <f>IF($X289=0,0,      _xll.qDateNext($X289,AD$12,"M",FRM&lt;&gt;"Calypso",CCY))</f>
        <v>0</v>
      </c>
      <c r="AE289" s="789">
        <f>IF($X289=0,0,      _xll.qDateNext($X289,AE$12,"M",FRM&lt;&gt;"Calypso",CCY))</f>
        <v>0</v>
      </c>
      <c r="AF289" s="789">
        <f>IF($X289=0,0,      _xll.qDateNext($X289,AF$12,"M",FRM&lt;&gt;"Calypso",CCY))</f>
        <v>0</v>
      </c>
      <c r="AG289" s="789">
        <f>IF($X289=0,0,      _xll.qDateNext($X289,AG$12,"M",FRM&lt;&gt;"Calypso",CCY))</f>
        <v>0</v>
      </c>
      <c r="AH289" s="789">
        <f>IF($X289=0,0,      _xll.qDateNext($X289,AH$12,"M",FRM&lt;&gt;"Calypso",CCY))</f>
        <v>0</v>
      </c>
      <c r="AI289" s="789">
        <f>IF($X289=0,0,      _xll.qDateNext($X289,AI$12,"M",FRM&lt;&gt;"Calypso",CCY))</f>
        <v>0</v>
      </c>
      <c r="AJ289" s="529" t="str">
        <v/>
      </c>
      <c r="AK289" s="529" t="str">
        <v/>
      </c>
      <c r="AL289" s="529" t="str">
        <v/>
      </c>
      <c r="AM289" s="529" t="str">
        <v/>
      </c>
      <c r="AN289" s="529" t="str">
        <v/>
      </c>
      <c r="AO289" s="529" t="str">
        <v/>
      </c>
      <c r="AP289" s="529" t="str">
        <v/>
      </c>
      <c r="AQ289" s="529" t="str">
        <v/>
      </c>
      <c r="AR289" s="529">
        <v>0</v>
      </c>
      <c r="AS289" s="529">
        <v>0</v>
      </c>
      <c r="AT289" s="529">
        <f t="shared" si="79"/>
        <v>0</v>
      </c>
      <c r="AU289" s="529">
        <v>0</v>
      </c>
      <c r="AV289" s="529">
        <f t="shared" si="80"/>
        <v>0</v>
      </c>
      <c r="AW289" s="529">
        <f t="shared" si="81"/>
        <v>0</v>
      </c>
      <c r="AX289" s="529">
        <v>0</v>
      </c>
      <c r="AY289" s="529">
        <v>0</v>
      </c>
      <c r="AZ289" s="761">
        <f t="shared" si="70"/>
        <v>0</v>
      </c>
      <c r="BA289" s="761">
        <f t="shared" si="71"/>
        <v>0</v>
      </c>
      <c r="BB289" s="761">
        <f t="shared" si="72"/>
        <v>0</v>
      </c>
      <c r="BC289" s="761">
        <f t="shared" si="73"/>
        <v>0</v>
      </c>
      <c r="BD289" s="761">
        <f t="shared" si="74"/>
        <v>0</v>
      </c>
      <c r="BE289" s="761">
        <f t="shared" si="75"/>
        <v>0</v>
      </c>
      <c r="BF289" s="761">
        <f t="shared" si="76"/>
        <v>0</v>
      </c>
      <c r="BG289" s="761">
        <f t="shared" si="77"/>
        <v>0</v>
      </c>
      <c r="BH289" s="777">
        <v>0</v>
      </c>
      <c r="BI289" s="755"/>
      <c r="BJ289" s="778">
        <f>IF(X290=0,0,           IF(ISNUMBER(BI289),BI289,               IF(ISTEXT(BI289),INDEX(AZ289:BG289,MATCH(BI289,$AZ$12:$BG$12,0)),             IF(BH289="INT",_xll.qInterp(X290,AB289:AI289,AZ289:BG289),            INDEX(AZ289:BG289,MATCH(BH289,$AZ$12:$BG$12,0))))))</f>
        <v>0</v>
      </c>
      <c r="BK289" s="408">
        <f t="shared" si="82"/>
        <v>0</v>
      </c>
      <c r="BL289" s="414">
        <f t="shared" si="83"/>
        <v>0</v>
      </c>
      <c r="BM289" s="408">
        <f t="shared" si="84"/>
        <v>0</v>
      </c>
    </row>
    <row r="290" spans="16:65">
      <c r="P290" s="781">
        <v>0</v>
      </c>
      <c r="Q290" s="780">
        <f t="shared" si="68"/>
        <v>0</v>
      </c>
      <c r="R290" s="776">
        <f>IF(P291,_xll.qDateYears(P290,P291,DCCfixed),0)</f>
        <v>0</v>
      </c>
      <c r="S290" s="553">
        <v>0</v>
      </c>
      <c r="T290" s="785"/>
      <c r="U290" s="409">
        <f t="shared" si="78"/>
        <v>0</v>
      </c>
      <c r="X290" s="363">
        <v>0</v>
      </c>
      <c r="Y290" s="775">
        <f t="shared" si="69"/>
        <v>0</v>
      </c>
      <c r="Z290" s="776">
        <f>IF(X291,_xll.qDateYears(X290,X291,DCCfloat),0)</f>
        <v>0</v>
      </c>
      <c r="AA290" s="553">
        <v>0</v>
      </c>
      <c r="AB290" s="789">
        <f>IF($X290=0,0,      _xll.qDateNext($X290,AB$12,"M",FRM&lt;&gt;"Calypso",CCY))</f>
        <v>0</v>
      </c>
      <c r="AC290" s="789">
        <f>IF($X290=0,0,      _xll.qDateNext($X290,AC$12,"M",FRM&lt;&gt;"Calypso",CCY))</f>
        <v>0</v>
      </c>
      <c r="AD290" s="789">
        <f>IF($X290=0,0,      _xll.qDateNext($X290,AD$12,"M",FRM&lt;&gt;"Calypso",CCY))</f>
        <v>0</v>
      </c>
      <c r="AE290" s="789">
        <f>IF($X290=0,0,      _xll.qDateNext($X290,AE$12,"M",FRM&lt;&gt;"Calypso",CCY))</f>
        <v>0</v>
      </c>
      <c r="AF290" s="789">
        <f>IF($X290=0,0,      _xll.qDateNext($X290,AF$12,"M",FRM&lt;&gt;"Calypso",CCY))</f>
        <v>0</v>
      </c>
      <c r="AG290" s="789">
        <f>IF($X290=0,0,      _xll.qDateNext($X290,AG$12,"M",FRM&lt;&gt;"Calypso",CCY))</f>
        <v>0</v>
      </c>
      <c r="AH290" s="789">
        <f>IF($X290=0,0,      _xll.qDateNext($X290,AH$12,"M",FRM&lt;&gt;"Calypso",CCY))</f>
        <v>0</v>
      </c>
      <c r="AI290" s="789">
        <f>IF($X290=0,0,      _xll.qDateNext($X290,AI$12,"M",FRM&lt;&gt;"Calypso",CCY))</f>
        <v>0</v>
      </c>
      <c r="AJ290" s="529" t="str">
        <v/>
      </c>
      <c r="AK290" s="529" t="str">
        <v/>
      </c>
      <c r="AL290" s="529" t="str">
        <v/>
      </c>
      <c r="AM290" s="529" t="str">
        <v/>
      </c>
      <c r="AN290" s="529" t="str">
        <v/>
      </c>
      <c r="AO290" s="529" t="str">
        <v/>
      </c>
      <c r="AP290" s="529" t="str">
        <v/>
      </c>
      <c r="AQ290" s="529" t="str">
        <v/>
      </c>
      <c r="AR290" s="529">
        <v>0</v>
      </c>
      <c r="AS290" s="529">
        <v>0</v>
      </c>
      <c r="AT290" s="529">
        <f t="shared" si="79"/>
        <v>0</v>
      </c>
      <c r="AU290" s="529">
        <v>0</v>
      </c>
      <c r="AV290" s="529">
        <f t="shared" si="80"/>
        <v>0</v>
      </c>
      <c r="AW290" s="529">
        <f t="shared" si="81"/>
        <v>0</v>
      </c>
      <c r="AX290" s="529">
        <v>0</v>
      </c>
      <c r="AY290" s="529">
        <v>0</v>
      </c>
      <c r="AZ290" s="761">
        <f t="shared" si="70"/>
        <v>0</v>
      </c>
      <c r="BA290" s="761">
        <f t="shared" si="71"/>
        <v>0</v>
      </c>
      <c r="BB290" s="761">
        <f t="shared" si="72"/>
        <v>0</v>
      </c>
      <c r="BC290" s="761">
        <f t="shared" si="73"/>
        <v>0</v>
      </c>
      <c r="BD290" s="761">
        <f t="shared" si="74"/>
        <v>0</v>
      </c>
      <c r="BE290" s="761">
        <f t="shared" si="75"/>
        <v>0</v>
      </c>
      <c r="BF290" s="761">
        <f t="shared" si="76"/>
        <v>0</v>
      </c>
      <c r="BG290" s="761">
        <f t="shared" si="77"/>
        <v>0</v>
      </c>
      <c r="BH290" s="777">
        <v>0</v>
      </c>
      <c r="BI290" s="755"/>
      <c r="BJ290" s="778">
        <f>IF(X291=0,0,           IF(ISNUMBER(BI290),BI290,               IF(ISTEXT(BI290),INDEX(AZ290:BG290,MATCH(BI290,$AZ$12:$BG$12,0)),             IF(BH290="INT",_xll.qInterp(X291,AB290:AI290,AZ290:BG290),            INDEX(AZ290:BG290,MATCH(BH290,$AZ$12:$BG$12,0))))))</f>
        <v>0</v>
      </c>
      <c r="BK290" s="408">
        <f t="shared" si="82"/>
        <v>0</v>
      </c>
      <c r="BL290" s="414">
        <f t="shared" si="83"/>
        <v>0</v>
      </c>
      <c r="BM290" s="408">
        <f t="shared" si="84"/>
        <v>0</v>
      </c>
    </row>
    <row r="291" spans="16:65">
      <c r="P291" s="781">
        <v>0</v>
      </c>
      <c r="Q291" s="780">
        <f t="shared" si="68"/>
        <v>0</v>
      </c>
      <c r="R291" s="776">
        <f>IF(P292,_xll.qDateYears(P291,P292,DCCfixed),0)</f>
        <v>0</v>
      </c>
      <c r="S291" s="553">
        <v>0</v>
      </c>
      <c r="T291" s="785"/>
      <c r="U291" s="409">
        <f t="shared" si="78"/>
        <v>0</v>
      </c>
      <c r="X291" s="363">
        <v>0</v>
      </c>
      <c r="Y291" s="775">
        <f t="shared" si="69"/>
        <v>0</v>
      </c>
      <c r="Z291" s="776">
        <f>IF(X292,_xll.qDateYears(X291,X292,DCCfloat),0)</f>
        <v>0</v>
      </c>
      <c r="AA291" s="553">
        <v>0</v>
      </c>
      <c r="AB291" s="789">
        <f>IF($X291=0,0,      _xll.qDateNext($X291,AB$12,"M",FRM&lt;&gt;"Calypso",CCY))</f>
        <v>0</v>
      </c>
      <c r="AC291" s="789">
        <f>IF($X291=0,0,      _xll.qDateNext($X291,AC$12,"M",FRM&lt;&gt;"Calypso",CCY))</f>
        <v>0</v>
      </c>
      <c r="AD291" s="789">
        <f>IF($X291=0,0,      _xll.qDateNext($X291,AD$12,"M",FRM&lt;&gt;"Calypso",CCY))</f>
        <v>0</v>
      </c>
      <c r="AE291" s="789">
        <f>IF($X291=0,0,      _xll.qDateNext($X291,AE$12,"M",FRM&lt;&gt;"Calypso",CCY))</f>
        <v>0</v>
      </c>
      <c r="AF291" s="789">
        <f>IF($X291=0,0,      _xll.qDateNext($X291,AF$12,"M",FRM&lt;&gt;"Calypso",CCY))</f>
        <v>0</v>
      </c>
      <c r="AG291" s="789">
        <f>IF($X291=0,0,      _xll.qDateNext($X291,AG$12,"M",FRM&lt;&gt;"Calypso",CCY))</f>
        <v>0</v>
      </c>
      <c r="AH291" s="789">
        <f>IF($X291=0,0,      _xll.qDateNext($X291,AH$12,"M",FRM&lt;&gt;"Calypso",CCY))</f>
        <v>0</v>
      </c>
      <c r="AI291" s="789">
        <f>IF($X291=0,0,      _xll.qDateNext($X291,AI$12,"M",FRM&lt;&gt;"Calypso",CCY))</f>
        <v>0</v>
      </c>
      <c r="AJ291" s="529" t="str">
        <v/>
      </c>
      <c r="AK291" s="529" t="str">
        <v/>
      </c>
      <c r="AL291" s="529" t="str">
        <v/>
      </c>
      <c r="AM291" s="529" t="str">
        <v/>
      </c>
      <c r="AN291" s="529" t="str">
        <v/>
      </c>
      <c r="AO291" s="529" t="str">
        <v/>
      </c>
      <c r="AP291" s="529" t="str">
        <v/>
      </c>
      <c r="AQ291" s="529" t="str">
        <v/>
      </c>
      <c r="AR291" s="529">
        <v>0</v>
      </c>
      <c r="AS291" s="529">
        <v>0</v>
      </c>
      <c r="AT291" s="529">
        <f t="shared" si="79"/>
        <v>0</v>
      </c>
      <c r="AU291" s="529">
        <v>0</v>
      </c>
      <c r="AV291" s="529">
        <f t="shared" si="80"/>
        <v>0</v>
      </c>
      <c r="AW291" s="529">
        <f t="shared" si="81"/>
        <v>0</v>
      </c>
      <c r="AX291" s="529">
        <v>0</v>
      </c>
      <c r="AY291" s="529">
        <v>0</v>
      </c>
      <c r="AZ291" s="761">
        <f t="shared" si="70"/>
        <v>0</v>
      </c>
      <c r="BA291" s="761">
        <f t="shared" si="71"/>
        <v>0</v>
      </c>
      <c r="BB291" s="761">
        <f t="shared" si="72"/>
        <v>0</v>
      </c>
      <c r="BC291" s="761">
        <f t="shared" si="73"/>
        <v>0</v>
      </c>
      <c r="BD291" s="761">
        <f t="shared" si="74"/>
        <v>0</v>
      </c>
      <c r="BE291" s="761">
        <f t="shared" si="75"/>
        <v>0</v>
      </c>
      <c r="BF291" s="761">
        <f t="shared" si="76"/>
        <v>0</v>
      </c>
      <c r="BG291" s="761">
        <f t="shared" si="77"/>
        <v>0</v>
      </c>
      <c r="BH291" s="777">
        <v>0</v>
      </c>
      <c r="BI291" s="755"/>
      <c r="BJ291" s="778">
        <f>IF(X292=0,0,           IF(ISNUMBER(BI291),BI291,               IF(ISTEXT(BI291),INDEX(AZ291:BG291,MATCH(BI291,$AZ$12:$BG$12,0)),             IF(BH291="INT",_xll.qInterp(X292,AB291:AI291,AZ291:BG291),            INDEX(AZ291:BG291,MATCH(BH291,$AZ$12:$BG$12,0))))))</f>
        <v>0</v>
      </c>
      <c r="BK291" s="408">
        <f t="shared" si="82"/>
        <v>0</v>
      </c>
      <c r="BL291" s="414">
        <f t="shared" si="83"/>
        <v>0</v>
      </c>
      <c r="BM291" s="408">
        <f t="shared" si="84"/>
        <v>0</v>
      </c>
    </row>
    <row r="292" spans="16:65">
      <c r="P292" s="781">
        <v>0</v>
      </c>
      <c r="Q292" s="780">
        <f t="shared" si="68"/>
        <v>0</v>
      </c>
      <c r="R292" s="776">
        <f>IF(P293,_xll.qDateYears(P292,P293,DCCfixed),0)</f>
        <v>0</v>
      </c>
      <c r="S292" s="553">
        <v>0</v>
      </c>
      <c r="T292" s="785"/>
      <c r="U292" s="409">
        <f t="shared" si="78"/>
        <v>0</v>
      </c>
      <c r="X292" s="363">
        <v>0</v>
      </c>
      <c r="Y292" s="775">
        <f t="shared" si="69"/>
        <v>0</v>
      </c>
      <c r="Z292" s="776">
        <f>IF(X293,_xll.qDateYears(X292,X293,DCCfloat),0)</f>
        <v>0</v>
      </c>
      <c r="AA292" s="553">
        <v>0</v>
      </c>
      <c r="AB292" s="789">
        <f>IF($X292=0,0,      _xll.qDateNext($X292,AB$12,"M",FRM&lt;&gt;"Calypso",CCY))</f>
        <v>0</v>
      </c>
      <c r="AC292" s="789">
        <f>IF($X292=0,0,      _xll.qDateNext($X292,AC$12,"M",FRM&lt;&gt;"Calypso",CCY))</f>
        <v>0</v>
      </c>
      <c r="AD292" s="789">
        <f>IF($X292=0,0,      _xll.qDateNext($X292,AD$12,"M",FRM&lt;&gt;"Calypso",CCY))</f>
        <v>0</v>
      </c>
      <c r="AE292" s="789">
        <f>IF($X292=0,0,      _xll.qDateNext($X292,AE$12,"M",FRM&lt;&gt;"Calypso",CCY))</f>
        <v>0</v>
      </c>
      <c r="AF292" s="789">
        <f>IF($X292=0,0,      _xll.qDateNext($X292,AF$12,"M",FRM&lt;&gt;"Calypso",CCY))</f>
        <v>0</v>
      </c>
      <c r="AG292" s="789">
        <f>IF($X292=0,0,      _xll.qDateNext($X292,AG$12,"M",FRM&lt;&gt;"Calypso",CCY))</f>
        <v>0</v>
      </c>
      <c r="AH292" s="789">
        <f>IF($X292=0,0,      _xll.qDateNext($X292,AH$12,"M",FRM&lt;&gt;"Calypso",CCY))</f>
        <v>0</v>
      </c>
      <c r="AI292" s="789">
        <f>IF($X292=0,0,      _xll.qDateNext($X292,AI$12,"M",FRM&lt;&gt;"Calypso",CCY))</f>
        <v>0</v>
      </c>
      <c r="AJ292" s="529" t="str">
        <v/>
      </c>
      <c r="AK292" s="529" t="str">
        <v/>
      </c>
      <c r="AL292" s="529" t="str">
        <v/>
      </c>
      <c r="AM292" s="529" t="str">
        <v/>
      </c>
      <c r="AN292" s="529" t="str">
        <v/>
      </c>
      <c r="AO292" s="529" t="str">
        <v/>
      </c>
      <c r="AP292" s="529" t="str">
        <v/>
      </c>
      <c r="AQ292" s="529" t="str">
        <v/>
      </c>
      <c r="AR292" s="529">
        <v>0</v>
      </c>
      <c r="AS292" s="529">
        <v>0</v>
      </c>
      <c r="AT292" s="529">
        <f t="shared" si="79"/>
        <v>0</v>
      </c>
      <c r="AU292" s="529">
        <v>0</v>
      </c>
      <c r="AV292" s="529">
        <f t="shared" si="80"/>
        <v>0</v>
      </c>
      <c r="AW292" s="529">
        <f t="shared" si="81"/>
        <v>0</v>
      </c>
      <c r="AX292" s="529">
        <v>0</v>
      </c>
      <c r="AY292" s="529">
        <v>0</v>
      </c>
      <c r="AZ292" s="761">
        <f t="shared" si="70"/>
        <v>0</v>
      </c>
      <c r="BA292" s="761">
        <f t="shared" si="71"/>
        <v>0</v>
      </c>
      <c r="BB292" s="761">
        <f t="shared" si="72"/>
        <v>0</v>
      </c>
      <c r="BC292" s="761">
        <f t="shared" si="73"/>
        <v>0</v>
      </c>
      <c r="BD292" s="761">
        <f t="shared" si="74"/>
        <v>0</v>
      </c>
      <c r="BE292" s="761">
        <f t="shared" si="75"/>
        <v>0</v>
      </c>
      <c r="BF292" s="761">
        <f t="shared" si="76"/>
        <v>0</v>
      </c>
      <c r="BG292" s="761">
        <f t="shared" si="77"/>
        <v>0</v>
      </c>
      <c r="BH292" s="777">
        <v>0</v>
      </c>
      <c r="BI292" s="755"/>
      <c r="BJ292" s="778">
        <f>IF(X293=0,0,           IF(ISNUMBER(BI292),BI292,               IF(ISTEXT(BI292),INDEX(AZ292:BG292,MATCH(BI292,$AZ$12:$BG$12,0)),             IF(BH292="INT",_xll.qInterp(X293,AB292:AI292,AZ292:BG292),            INDEX(AZ292:BG292,MATCH(BH292,$AZ$12:$BG$12,0))))))</f>
        <v>0</v>
      </c>
      <c r="BK292" s="408">
        <f t="shared" si="82"/>
        <v>0</v>
      </c>
      <c r="BL292" s="414">
        <f t="shared" si="83"/>
        <v>0</v>
      </c>
      <c r="BM292" s="408">
        <f t="shared" si="84"/>
        <v>0</v>
      </c>
    </row>
    <row r="293" spans="16:65">
      <c r="P293" s="781">
        <v>0</v>
      </c>
      <c r="Q293" s="780">
        <f t="shared" si="68"/>
        <v>0</v>
      </c>
      <c r="R293" s="776">
        <f>IF(P294,_xll.qDateYears(P293,P294,DCCfixed),0)</f>
        <v>0</v>
      </c>
      <c r="S293" s="553">
        <v>0</v>
      </c>
      <c r="T293" s="785"/>
      <c r="U293" s="409">
        <f t="shared" si="78"/>
        <v>0</v>
      </c>
      <c r="X293" s="363">
        <v>0</v>
      </c>
      <c r="Y293" s="775">
        <f t="shared" si="69"/>
        <v>0</v>
      </c>
      <c r="Z293" s="776">
        <f>IF(X294,_xll.qDateYears(X293,X294,DCCfloat),0)</f>
        <v>0</v>
      </c>
      <c r="AA293" s="553">
        <v>0</v>
      </c>
      <c r="AB293" s="789">
        <f>IF($X293=0,0,      _xll.qDateNext($X293,AB$12,"M",FRM&lt;&gt;"Calypso",CCY))</f>
        <v>0</v>
      </c>
      <c r="AC293" s="789">
        <f>IF($X293=0,0,      _xll.qDateNext($X293,AC$12,"M",FRM&lt;&gt;"Calypso",CCY))</f>
        <v>0</v>
      </c>
      <c r="AD293" s="789">
        <f>IF($X293=0,0,      _xll.qDateNext($X293,AD$12,"M",FRM&lt;&gt;"Calypso",CCY))</f>
        <v>0</v>
      </c>
      <c r="AE293" s="789">
        <f>IF($X293=0,0,      _xll.qDateNext($X293,AE$12,"M",FRM&lt;&gt;"Calypso",CCY))</f>
        <v>0</v>
      </c>
      <c r="AF293" s="789">
        <f>IF($X293=0,0,      _xll.qDateNext($X293,AF$12,"M",FRM&lt;&gt;"Calypso",CCY))</f>
        <v>0</v>
      </c>
      <c r="AG293" s="789">
        <f>IF($X293=0,0,      _xll.qDateNext($X293,AG$12,"M",FRM&lt;&gt;"Calypso",CCY))</f>
        <v>0</v>
      </c>
      <c r="AH293" s="789">
        <f>IF($X293=0,0,      _xll.qDateNext($X293,AH$12,"M",FRM&lt;&gt;"Calypso",CCY))</f>
        <v>0</v>
      </c>
      <c r="AI293" s="789">
        <f>IF($X293=0,0,      _xll.qDateNext($X293,AI$12,"M",FRM&lt;&gt;"Calypso",CCY))</f>
        <v>0</v>
      </c>
      <c r="AJ293" s="529" t="str">
        <v/>
      </c>
      <c r="AK293" s="529" t="str">
        <v/>
      </c>
      <c r="AL293" s="529" t="str">
        <v/>
      </c>
      <c r="AM293" s="529" t="str">
        <v/>
      </c>
      <c r="AN293" s="529" t="str">
        <v/>
      </c>
      <c r="AO293" s="529" t="str">
        <v/>
      </c>
      <c r="AP293" s="529" t="str">
        <v/>
      </c>
      <c r="AQ293" s="529" t="str">
        <v/>
      </c>
      <c r="AR293" s="529">
        <v>0</v>
      </c>
      <c r="AS293" s="529">
        <v>0</v>
      </c>
      <c r="AT293" s="529">
        <f t="shared" si="79"/>
        <v>0</v>
      </c>
      <c r="AU293" s="529">
        <v>0</v>
      </c>
      <c r="AV293" s="529">
        <f t="shared" si="80"/>
        <v>0</v>
      </c>
      <c r="AW293" s="529">
        <f t="shared" si="81"/>
        <v>0</v>
      </c>
      <c r="AX293" s="529">
        <v>0</v>
      </c>
      <c r="AY293" s="529">
        <v>0</v>
      </c>
      <c r="AZ293" s="761">
        <f t="shared" si="70"/>
        <v>0</v>
      </c>
      <c r="BA293" s="761">
        <f t="shared" si="71"/>
        <v>0</v>
      </c>
      <c r="BB293" s="761">
        <f t="shared" si="72"/>
        <v>0</v>
      </c>
      <c r="BC293" s="761">
        <f t="shared" si="73"/>
        <v>0</v>
      </c>
      <c r="BD293" s="761">
        <f t="shared" si="74"/>
        <v>0</v>
      </c>
      <c r="BE293" s="761">
        <f t="shared" si="75"/>
        <v>0</v>
      </c>
      <c r="BF293" s="761">
        <f t="shared" si="76"/>
        <v>0</v>
      </c>
      <c r="BG293" s="761">
        <f t="shared" si="77"/>
        <v>0</v>
      </c>
      <c r="BH293" s="777">
        <v>0</v>
      </c>
      <c r="BI293" s="755"/>
      <c r="BJ293" s="778">
        <f>IF(X294=0,0,           IF(ISNUMBER(BI293),BI293,               IF(ISTEXT(BI293),INDEX(AZ293:BG293,MATCH(BI293,$AZ$12:$BG$12,0)),             IF(BH293="INT",_xll.qInterp(X294,AB293:AI293,AZ293:BG293),            INDEX(AZ293:BG293,MATCH(BH293,$AZ$12:$BG$12,0))))))</f>
        <v>0</v>
      </c>
      <c r="BK293" s="408">
        <f t="shared" si="82"/>
        <v>0</v>
      </c>
      <c r="BL293" s="414">
        <f t="shared" si="83"/>
        <v>0</v>
      </c>
      <c r="BM293" s="408">
        <f t="shared" si="84"/>
        <v>0</v>
      </c>
    </row>
    <row r="294" spans="16:65">
      <c r="P294" s="781">
        <v>0</v>
      </c>
      <c r="Q294" s="780">
        <f t="shared" si="68"/>
        <v>0</v>
      </c>
      <c r="R294" s="776">
        <f>IF(P295,_xll.qDateYears(P294,P295,DCCfixed),0)</f>
        <v>0</v>
      </c>
      <c r="S294" s="553">
        <v>0</v>
      </c>
      <c r="T294" s="785"/>
      <c r="U294" s="409">
        <f t="shared" si="78"/>
        <v>0</v>
      </c>
      <c r="X294" s="363">
        <v>0</v>
      </c>
      <c r="Y294" s="775">
        <f t="shared" si="69"/>
        <v>0</v>
      </c>
      <c r="Z294" s="776">
        <f>IF(X295,_xll.qDateYears(X294,X295,DCCfloat),0)</f>
        <v>0</v>
      </c>
      <c r="AA294" s="553">
        <v>0</v>
      </c>
      <c r="AB294" s="789">
        <f>IF($X294=0,0,      _xll.qDateNext($X294,AB$12,"M",FRM&lt;&gt;"Calypso",CCY))</f>
        <v>0</v>
      </c>
      <c r="AC294" s="789">
        <f>IF($X294=0,0,      _xll.qDateNext($X294,AC$12,"M",FRM&lt;&gt;"Calypso",CCY))</f>
        <v>0</v>
      </c>
      <c r="AD294" s="789">
        <f>IF($X294=0,0,      _xll.qDateNext($X294,AD$12,"M",FRM&lt;&gt;"Calypso",CCY))</f>
        <v>0</v>
      </c>
      <c r="AE294" s="789">
        <f>IF($X294=0,0,      _xll.qDateNext($X294,AE$12,"M",FRM&lt;&gt;"Calypso",CCY))</f>
        <v>0</v>
      </c>
      <c r="AF294" s="789">
        <f>IF($X294=0,0,      _xll.qDateNext($X294,AF$12,"M",FRM&lt;&gt;"Calypso",CCY))</f>
        <v>0</v>
      </c>
      <c r="AG294" s="789">
        <f>IF($X294=0,0,      _xll.qDateNext($X294,AG$12,"M",FRM&lt;&gt;"Calypso",CCY))</f>
        <v>0</v>
      </c>
      <c r="AH294" s="789">
        <f>IF($X294=0,0,      _xll.qDateNext($X294,AH$12,"M",FRM&lt;&gt;"Calypso",CCY))</f>
        <v>0</v>
      </c>
      <c r="AI294" s="789">
        <f>IF($X294=0,0,      _xll.qDateNext($X294,AI$12,"M",FRM&lt;&gt;"Calypso",CCY))</f>
        <v>0</v>
      </c>
      <c r="AJ294" s="529" t="str">
        <v/>
      </c>
      <c r="AK294" s="529" t="str">
        <v/>
      </c>
      <c r="AL294" s="529" t="str">
        <v/>
      </c>
      <c r="AM294" s="529" t="str">
        <v/>
      </c>
      <c r="AN294" s="529" t="str">
        <v/>
      </c>
      <c r="AO294" s="529" t="str">
        <v/>
      </c>
      <c r="AP294" s="529" t="str">
        <v/>
      </c>
      <c r="AQ294" s="529" t="str">
        <v/>
      </c>
      <c r="AR294" s="529">
        <v>0</v>
      </c>
      <c r="AS294" s="529">
        <v>0</v>
      </c>
      <c r="AT294" s="529">
        <f t="shared" si="79"/>
        <v>0</v>
      </c>
      <c r="AU294" s="529">
        <v>0</v>
      </c>
      <c r="AV294" s="529">
        <f t="shared" si="80"/>
        <v>0</v>
      </c>
      <c r="AW294" s="529">
        <f t="shared" si="81"/>
        <v>0</v>
      </c>
      <c r="AX294" s="529">
        <v>0</v>
      </c>
      <c r="AY294" s="529">
        <v>0</v>
      </c>
      <c r="AZ294" s="761">
        <f t="shared" si="70"/>
        <v>0</v>
      </c>
      <c r="BA294" s="761">
        <f t="shared" si="71"/>
        <v>0</v>
      </c>
      <c r="BB294" s="761">
        <f t="shared" si="72"/>
        <v>0</v>
      </c>
      <c r="BC294" s="761">
        <f t="shared" si="73"/>
        <v>0</v>
      </c>
      <c r="BD294" s="761">
        <f t="shared" si="74"/>
        <v>0</v>
      </c>
      <c r="BE294" s="761">
        <f t="shared" si="75"/>
        <v>0</v>
      </c>
      <c r="BF294" s="761">
        <f t="shared" si="76"/>
        <v>0</v>
      </c>
      <c r="BG294" s="761">
        <f t="shared" si="77"/>
        <v>0</v>
      </c>
      <c r="BH294" s="777">
        <v>0</v>
      </c>
      <c r="BI294" s="755"/>
      <c r="BJ294" s="778">
        <f>IF(X295=0,0,           IF(ISNUMBER(BI294),BI294,               IF(ISTEXT(BI294),INDEX(AZ294:BG294,MATCH(BI294,$AZ$12:$BG$12,0)),             IF(BH294="INT",_xll.qInterp(X295,AB294:AI294,AZ294:BG294),            INDEX(AZ294:BG294,MATCH(BH294,$AZ$12:$BG$12,0))))))</f>
        <v>0</v>
      </c>
      <c r="BK294" s="408">
        <f t="shared" si="82"/>
        <v>0</v>
      </c>
      <c r="BL294" s="414">
        <f t="shared" si="83"/>
        <v>0</v>
      </c>
      <c r="BM294" s="408">
        <f t="shared" si="84"/>
        <v>0</v>
      </c>
    </row>
    <row r="295" spans="16:65">
      <c r="P295" s="781">
        <v>0</v>
      </c>
      <c r="Q295" s="780">
        <f t="shared" si="68"/>
        <v>0</v>
      </c>
      <c r="R295" s="776">
        <f>IF(P296,_xll.qDateYears(P295,P296,DCCfixed),0)</f>
        <v>0</v>
      </c>
      <c r="S295" s="553">
        <v>0</v>
      </c>
      <c r="T295" s="785"/>
      <c r="U295" s="409">
        <f t="shared" si="78"/>
        <v>0</v>
      </c>
      <c r="X295" s="363">
        <v>0</v>
      </c>
      <c r="Y295" s="775">
        <f t="shared" si="69"/>
        <v>0</v>
      </c>
      <c r="Z295" s="776">
        <f>IF(X296,_xll.qDateYears(X295,X296,DCCfloat),0)</f>
        <v>0</v>
      </c>
      <c r="AA295" s="553">
        <v>0</v>
      </c>
      <c r="AB295" s="789">
        <f>IF($X295=0,0,      _xll.qDateNext($X295,AB$12,"M",FRM&lt;&gt;"Calypso",CCY))</f>
        <v>0</v>
      </c>
      <c r="AC295" s="789">
        <f>IF($X295=0,0,      _xll.qDateNext($X295,AC$12,"M",FRM&lt;&gt;"Calypso",CCY))</f>
        <v>0</v>
      </c>
      <c r="AD295" s="789">
        <f>IF($X295=0,0,      _xll.qDateNext($X295,AD$12,"M",FRM&lt;&gt;"Calypso",CCY))</f>
        <v>0</v>
      </c>
      <c r="AE295" s="789">
        <f>IF($X295=0,0,      _xll.qDateNext($X295,AE$12,"M",FRM&lt;&gt;"Calypso",CCY))</f>
        <v>0</v>
      </c>
      <c r="AF295" s="789">
        <f>IF($X295=0,0,      _xll.qDateNext($X295,AF$12,"M",FRM&lt;&gt;"Calypso",CCY))</f>
        <v>0</v>
      </c>
      <c r="AG295" s="789">
        <f>IF($X295=0,0,      _xll.qDateNext($X295,AG$12,"M",FRM&lt;&gt;"Calypso",CCY))</f>
        <v>0</v>
      </c>
      <c r="AH295" s="789">
        <f>IF($X295=0,0,      _xll.qDateNext($X295,AH$12,"M",FRM&lt;&gt;"Calypso",CCY))</f>
        <v>0</v>
      </c>
      <c r="AI295" s="789">
        <f>IF($X295=0,0,      _xll.qDateNext($X295,AI$12,"M",FRM&lt;&gt;"Calypso",CCY))</f>
        <v>0</v>
      </c>
      <c r="AJ295" s="529" t="str">
        <v/>
      </c>
      <c r="AK295" s="529" t="str">
        <v/>
      </c>
      <c r="AL295" s="529" t="str">
        <v/>
      </c>
      <c r="AM295" s="529" t="str">
        <v/>
      </c>
      <c r="AN295" s="529" t="str">
        <v/>
      </c>
      <c r="AO295" s="529" t="str">
        <v/>
      </c>
      <c r="AP295" s="529" t="str">
        <v/>
      </c>
      <c r="AQ295" s="529" t="str">
        <v/>
      </c>
      <c r="AR295" s="529">
        <v>0</v>
      </c>
      <c r="AS295" s="529">
        <v>0</v>
      </c>
      <c r="AT295" s="529">
        <f t="shared" si="79"/>
        <v>0</v>
      </c>
      <c r="AU295" s="529">
        <v>0</v>
      </c>
      <c r="AV295" s="529">
        <f t="shared" si="80"/>
        <v>0</v>
      </c>
      <c r="AW295" s="529">
        <f t="shared" si="81"/>
        <v>0</v>
      </c>
      <c r="AX295" s="529">
        <v>0</v>
      </c>
      <c r="AY295" s="529">
        <v>0</v>
      </c>
      <c r="AZ295" s="761">
        <f t="shared" si="70"/>
        <v>0</v>
      </c>
      <c r="BA295" s="761">
        <f t="shared" si="71"/>
        <v>0</v>
      </c>
      <c r="BB295" s="761">
        <f t="shared" si="72"/>
        <v>0</v>
      </c>
      <c r="BC295" s="761">
        <f t="shared" si="73"/>
        <v>0</v>
      </c>
      <c r="BD295" s="761">
        <f t="shared" si="74"/>
        <v>0</v>
      </c>
      <c r="BE295" s="761">
        <f t="shared" si="75"/>
        <v>0</v>
      </c>
      <c r="BF295" s="761">
        <f t="shared" si="76"/>
        <v>0</v>
      </c>
      <c r="BG295" s="761">
        <f t="shared" si="77"/>
        <v>0</v>
      </c>
      <c r="BH295" s="777">
        <v>0</v>
      </c>
      <c r="BI295" s="755"/>
      <c r="BJ295" s="778">
        <f>IF(X296=0,0,           IF(ISNUMBER(BI295),BI295,               IF(ISTEXT(BI295),INDEX(AZ295:BG295,MATCH(BI295,$AZ$12:$BG$12,0)),             IF(BH295="INT",_xll.qInterp(X296,AB295:AI295,AZ295:BG295),            INDEX(AZ295:BG295,MATCH(BH295,$AZ$12:$BG$12,0))))))</f>
        <v>0</v>
      </c>
      <c r="BK295" s="408">
        <f t="shared" si="82"/>
        <v>0</v>
      </c>
      <c r="BL295" s="414">
        <f t="shared" si="83"/>
        <v>0</v>
      </c>
      <c r="BM295" s="408">
        <f t="shared" si="84"/>
        <v>0</v>
      </c>
    </row>
    <row r="296" spans="16:65">
      <c r="P296" s="781">
        <v>0</v>
      </c>
      <c r="Q296" s="780">
        <f t="shared" si="68"/>
        <v>0</v>
      </c>
      <c r="R296" s="776">
        <f>IF(P297,_xll.qDateYears(P296,P297,DCCfixed),0)</f>
        <v>0</v>
      </c>
      <c r="S296" s="553">
        <v>0</v>
      </c>
      <c r="T296" s="785"/>
      <c r="U296" s="409">
        <f t="shared" si="78"/>
        <v>0</v>
      </c>
      <c r="X296" s="363">
        <v>0</v>
      </c>
      <c r="Y296" s="775">
        <f t="shared" si="69"/>
        <v>0</v>
      </c>
      <c r="Z296" s="776">
        <f>IF(X297,_xll.qDateYears(X296,X297,DCCfloat),0)</f>
        <v>0</v>
      </c>
      <c r="AA296" s="553">
        <v>0</v>
      </c>
      <c r="AB296" s="789">
        <f>IF($X296=0,0,      _xll.qDateNext($X296,AB$12,"M",FRM&lt;&gt;"Calypso",CCY))</f>
        <v>0</v>
      </c>
      <c r="AC296" s="789">
        <f>IF($X296=0,0,      _xll.qDateNext($X296,AC$12,"M",FRM&lt;&gt;"Calypso",CCY))</f>
        <v>0</v>
      </c>
      <c r="AD296" s="789">
        <f>IF($X296=0,0,      _xll.qDateNext($X296,AD$12,"M",FRM&lt;&gt;"Calypso",CCY))</f>
        <v>0</v>
      </c>
      <c r="AE296" s="789">
        <f>IF($X296=0,0,      _xll.qDateNext($X296,AE$12,"M",FRM&lt;&gt;"Calypso",CCY))</f>
        <v>0</v>
      </c>
      <c r="AF296" s="789">
        <f>IF($X296=0,0,      _xll.qDateNext($X296,AF$12,"M",FRM&lt;&gt;"Calypso",CCY))</f>
        <v>0</v>
      </c>
      <c r="AG296" s="789">
        <f>IF($X296=0,0,      _xll.qDateNext($X296,AG$12,"M",FRM&lt;&gt;"Calypso",CCY))</f>
        <v>0</v>
      </c>
      <c r="AH296" s="789">
        <f>IF($X296=0,0,      _xll.qDateNext($X296,AH$12,"M",FRM&lt;&gt;"Calypso",CCY))</f>
        <v>0</v>
      </c>
      <c r="AI296" s="789">
        <f>IF($X296=0,0,      _xll.qDateNext($X296,AI$12,"M",FRM&lt;&gt;"Calypso",CCY))</f>
        <v>0</v>
      </c>
      <c r="AJ296" s="529" t="str">
        <v/>
      </c>
      <c r="AK296" s="529" t="str">
        <v/>
      </c>
      <c r="AL296" s="529" t="str">
        <v/>
      </c>
      <c r="AM296" s="529" t="str">
        <v/>
      </c>
      <c r="AN296" s="529" t="str">
        <v/>
      </c>
      <c r="AO296" s="529" t="str">
        <v/>
      </c>
      <c r="AP296" s="529" t="str">
        <v/>
      </c>
      <c r="AQ296" s="529" t="str">
        <v/>
      </c>
      <c r="AR296" s="529">
        <v>0</v>
      </c>
      <c r="AS296" s="529">
        <v>0</v>
      </c>
      <c r="AT296" s="529">
        <f t="shared" si="79"/>
        <v>0</v>
      </c>
      <c r="AU296" s="529">
        <v>0</v>
      </c>
      <c r="AV296" s="529">
        <f t="shared" si="80"/>
        <v>0</v>
      </c>
      <c r="AW296" s="529">
        <f t="shared" si="81"/>
        <v>0</v>
      </c>
      <c r="AX296" s="529">
        <v>0</v>
      </c>
      <c r="AY296" s="529">
        <v>0</v>
      </c>
      <c r="AZ296" s="761">
        <f t="shared" si="70"/>
        <v>0</v>
      </c>
      <c r="BA296" s="761">
        <f t="shared" si="71"/>
        <v>0</v>
      </c>
      <c r="BB296" s="761">
        <f t="shared" si="72"/>
        <v>0</v>
      </c>
      <c r="BC296" s="761">
        <f t="shared" si="73"/>
        <v>0</v>
      </c>
      <c r="BD296" s="761">
        <f t="shared" si="74"/>
        <v>0</v>
      </c>
      <c r="BE296" s="761">
        <f t="shared" si="75"/>
        <v>0</v>
      </c>
      <c r="BF296" s="761">
        <f t="shared" si="76"/>
        <v>0</v>
      </c>
      <c r="BG296" s="761">
        <f t="shared" si="77"/>
        <v>0</v>
      </c>
      <c r="BH296" s="777">
        <v>0</v>
      </c>
      <c r="BI296" s="755"/>
      <c r="BJ296" s="778">
        <f>IF(X297=0,0,           IF(ISNUMBER(BI296),BI296,               IF(ISTEXT(BI296),INDEX(AZ296:BG296,MATCH(BI296,$AZ$12:$BG$12,0)),             IF(BH296="INT",_xll.qInterp(X297,AB296:AI296,AZ296:BG296),            INDEX(AZ296:BG296,MATCH(BH296,$AZ$12:$BG$12,0))))))</f>
        <v>0</v>
      </c>
      <c r="BK296" s="408">
        <f t="shared" si="82"/>
        <v>0</v>
      </c>
      <c r="BL296" s="414">
        <f t="shared" si="83"/>
        <v>0</v>
      </c>
      <c r="BM296" s="408">
        <f t="shared" si="84"/>
        <v>0</v>
      </c>
    </row>
    <row r="297" spans="16:65">
      <c r="P297" s="781">
        <v>0</v>
      </c>
      <c r="Q297" s="780">
        <f t="shared" si="68"/>
        <v>0</v>
      </c>
      <c r="R297" s="776">
        <f>IF(P298,_xll.qDateYears(P297,P298,DCCfixed),0)</f>
        <v>0</v>
      </c>
      <c r="S297" s="553">
        <v>0</v>
      </c>
      <c r="T297" s="785"/>
      <c r="U297" s="409">
        <f t="shared" si="78"/>
        <v>0</v>
      </c>
      <c r="X297" s="363">
        <v>0</v>
      </c>
      <c r="Y297" s="775">
        <f t="shared" si="69"/>
        <v>0</v>
      </c>
      <c r="Z297" s="776">
        <f>IF(X298,_xll.qDateYears(X297,X298,DCCfloat),0)</f>
        <v>0</v>
      </c>
      <c r="AA297" s="553">
        <v>0</v>
      </c>
      <c r="AB297" s="789">
        <f>IF($X297=0,0,      _xll.qDateNext($X297,AB$12,"M",FRM&lt;&gt;"Calypso",CCY))</f>
        <v>0</v>
      </c>
      <c r="AC297" s="789">
        <f>IF($X297=0,0,      _xll.qDateNext($X297,AC$12,"M",FRM&lt;&gt;"Calypso",CCY))</f>
        <v>0</v>
      </c>
      <c r="AD297" s="789">
        <f>IF($X297=0,0,      _xll.qDateNext($X297,AD$12,"M",FRM&lt;&gt;"Calypso",CCY))</f>
        <v>0</v>
      </c>
      <c r="AE297" s="789">
        <f>IF($X297=0,0,      _xll.qDateNext($X297,AE$12,"M",FRM&lt;&gt;"Calypso",CCY))</f>
        <v>0</v>
      </c>
      <c r="AF297" s="789">
        <f>IF($X297=0,0,      _xll.qDateNext($X297,AF$12,"M",FRM&lt;&gt;"Calypso",CCY))</f>
        <v>0</v>
      </c>
      <c r="AG297" s="789">
        <f>IF($X297=0,0,      _xll.qDateNext($X297,AG$12,"M",FRM&lt;&gt;"Calypso",CCY))</f>
        <v>0</v>
      </c>
      <c r="AH297" s="789">
        <f>IF($X297=0,0,      _xll.qDateNext($X297,AH$12,"M",FRM&lt;&gt;"Calypso",CCY))</f>
        <v>0</v>
      </c>
      <c r="AI297" s="789">
        <f>IF($X297=0,0,      _xll.qDateNext($X297,AI$12,"M",FRM&lt;&gt;"Calypso",CCY))</f>
        <v>0</v>
      </c>
      <c r="AJ297" s="529" t="str">
        <v/>
      </c>
      <c r="AK297" s="529" t="str">
        <v/>
      </c>
      <c r="AL297" s="529" t="str">
        <v/>
      </c>
      <c r="AM297" s="529" t="str">
        <v/>
      </c>
      <c r="AN297" s="529" t="str">
        <v/>
      </c>
      <c r="AO297" s="529" t="str">
        <v/>
      </c>
      <c r="AP297" s="529" t="str">
        <v/>
      </c>
      <c r="AQ297" s="529" t="str">
        <v/>
      </c>
      <c r="AR297" s="529">
        <v>0</v>
      </c>
      <c r="AS297" s="529">
        <v>0</v>
      </c>
      <c r="AT297" s="529">
        <f t="shared" si="79"/>
        <v>0</v>
      </c>
      <c r="AU297" s="529">
        <v>0</v>
      </c>
      <c r="AV297" s="529">
        <f t="shared" si="80"/>
        <v>0</v>
      </c>
      <c r="AW297" s="529">
        <f t="shared" si="81"/>
        <v>0</v>
      </c>
      <c r="AX297" s="529">
        <v>0</v>
      </c>
      <c r="AY297" s="529">
        <v>0</v>
      </c>
      <c r="AZ297" s="761">
        <f t="shared" si="70"/>
        <v>0</v>
      </c>
      <c r="BA297" s="761">
        <f t="shared" si="71"/>
        <v>0</v>
      </c>
      <c r="BB297" s="761">
        <f t="shared" si="72"/>
        <v>0</v>
      </c>
      <c r="BC297" s="761">
        <f t="shared" si="73"/>
        <v>0</v>
      </c>
      <c r="BD297" s="761">
        <f t="shared" si="74"/>
        <v>0</v>
      </c>
      <c r="BE297" s="761">
        <f t="shared" si="75"/>
        <v>0</v>
      </c>
      <c r="BF297" s="761">
        <f t="shared" si="76"/>
        <v>0</v>
      </c>
      <c r="BG297" s="761">
        <f t="shared" si="77"/>
        <v>0</v>
      </c>
      <c r="BH297" s="777">
        <v>0</v>
      </c>
      <c r="BI297" s="755"/>
      <c r="BJ297" s="778">
        <f>IF(X298=0,0,           IF(ISNUMBER(BI297),BI297,               IF(ISTEXT(BI297),INDEX(AZ297:BG297,MATCH(BI297,$AZ$12:$BG$12,0)),             IF(BH297="INT",_xll.qInterp(X298,AB297:AI297,AZ297:BG297),            INDEX(AZ297:BG297,MATCH(BH297,$AZ$12:$BG$12,0))))))</f>
        <v>0</v>
      </c>
      <c r="BK297" s="408">
        <f t="shared" si="82"/>
        <v>0</v>
      </c>
      <c r="BL297" s="414">
        <f t="shared" si="83"/>
        <v>0</v>
      </c>
      <c r="BM297" s="408">
        <f t="shared" si="84"/>
        <v>0</v>
      </c>
    </row>
    <row r="298" spans="16:65">
      <c r="P298" s="781">
        <v>0</v>
      </c>
      <c r="Q298" s="780">
        <f t="shared" si="68"/>
        <v>0</v>
      </c>
      <c r="R298" s="776">
        <f>IF(P299,_xll.qDateYears(P298,P299,DCCfixed),0)</f>
        <v>0</v>
      </c>
      <c r="S298" s="553">
        <v>0</v>
      </c>
      <c r="T298" s="785"/>
      <c r="U298" s="409">
        <f t="shared" si="78"/>
        <v>0</v>
      </c>
      <c r="X298" s="363">
        <v>0</v>
      </c>
      <c r="Y298" s="775">
        <f t="shared" si="69"/>
        <v>0</v>
      </c>
      <c r="Z298" s="776">
        <f>IF(X299,_xll.qDateYears(X298,X299,DCCfloat),0)</f>
        <v>0</v>
      </c>
      <c r="AA298" s="553">
        <v>0</v>
      </c>
      <c r="AB298" s="789">
        <f>IF($X298=0,0,      _xll.qDateNext($X298,AB$12,"M",FRM&lt;&gt;"Calypso",CCY))</f>
        <v>0</v>
      </c>
      <c r="AC298" s="789">
        <f>IF($X298=0,0,      _xll.qDateNext($X298,AC$12,"M",FRM&lt;&gt;"Calypso",CCY))</f>
        <v>0</v>
      </c>
      <c r="AD298" s="789">
        <f>IF($X298=0,0,      _xll.qDateNext($X298,AD$12,"M",FRM&lt;&gt;"Calypso",CCY))</f>
        <v>0</v>
      </c>
      <c r="AE298" s="789">
        <f>IF($X298=0,0,      _xll.qDateNext($X298,AE$12,"M",FRM&lt;&gt;"Calypso",CCY))</f>
        <v>0</v>
      </c>
      <c r="AF298" s="789">
        <f>IF($X298=0,0,      _xll.qDateNext($X298,AF$12,"M",FRM&lt;&gt;"Calypso",CCY))</f>
        <v>0</v>
      </c>
      <c r="AG298" s="789">
        <f>IF($X298=0,0,      _xll.qDateNext($X298,AG$12,"M",FRM&lt;&gt;"Calypso",CCY))</f>
        <v>0</v>
      </c>
      <c r="AH298" s="789">
        <f>IF($X298=0,0,      _xll.qDateNext($X298,AH$12,"M",FRM&lt;&gt;"Calypso",CCY))</f>
        <v>0</v>
      </c>
      <c r="AI298" s="789">
        <f>IF($X298=0,0,      _xll.qDateNext($X298,AI$12,"M",FRM&lt;&gt;"Calypso",CCY))</f>
        <v>0</v>
      </c>
      <c r="AJ298" s="529" t="str">
        <v/>
      </c>
      <c r="AK298" s="529" t="str">
        <v/>
      </c>
      <c r="AL298" s="529" t="str">
        <v/>
      </c>
      <c r="AM298" s="529" t="str">
        <v/>
      </c>
      <c r="AN298" s="529" t="str">
        <v/>
      </c>
      <c r="AO298" s="529" t="str">
        <v/>
      </c>
      <c r="AP298" s="529" t="str">
        <v/>
      </c>
      <c r="AQ298" s="529" t="str">
        <v/>
      </c>
      <c r="AR298" s="529">
        <v>0</v>
      </c>
      <c r="AS298" s="529">
        <v>0</v>
      </c>
      <c r="AT298" s="529">
        <f t="shared" si="79"/>
        <v>0</v>
      </c>
      <c r="AU298" s="529">
        <v>0</v>
      </c>
      <c r="AV298" s="529">
        <f t="shared" si="80"/>
        <v>0</v>
      </c>
      <c r="AW298" s="529">
        <f t="shared" si="81"/>
        <v>0</v>
      </c>
      <c r="AX298" s="529">
        <v>0</v>
      </c>
      <c r="AY298" s="529">
        <v>0</v>
      </c>
      <c r="AZ298" s="761">
        <f t="shared" si="70"/>
        <v>0</v>
      </c>
      <c r="BA298" s="761">
        <f t="shared" si="71"/>
        <v>0</v>
      </c>
      <c r="BB298" s="761">
        <f t="shared" si="72"/>
        <v>0</v>
      </c>
      <c r="BC298" s="761">
        <f t="shared" si="73"/>
        <v>0</v>
      </c>
      <c r="BD298" s="761">
        <f t="shared" si="74"/>
        <v>0</v>
      </c>
      <c r="BE298" s="761">
        <f t="shared" si="75"/>
        <v>0</v>
      </c>
      <c r="BF298" s="761">
        <f t="shared" si="76"/>
        <v>0</v>
      </c>
      <c r="BG298" s="761">
        <f t="shared" si="77"/>
        <v>0</v>
      </c>
      <c r="BH298" s="777">
        <v>0</v>
      </c>
      <c r="BI298" s="755"/>
      <c r="BJ298" s="778">
        <f>IF(X299=0,0,           IF(ISNUMBER(BI298),BI298,               IF(ISTEXT(BI298),INDEX(AZ298:BG298,MATCH(BI298,$AZ$12:$BG$12,0)),             IF(BH298="INT",_xll.qInterp(X299,AB298:AI298,AZ298:BG298),            INDEX(AZ298:BG298,MATCH(BH298,$AZ$12:$BG$12,0))))))</f>
        <v>0</v>
      </c>
      <c r="BK298" s="408">
        <f t="shared" si="82"/>
        <v>0</v>
      </c>
      <c r="BL298" s="414">
        <f t="shared" si="83"/>
        <v>0</v>
      </c>
      <c r="BM298" s="408">
        <f t="shared" si="84"/>
        <v>0</v>
      </c>
    </row>
    <row r="299" spans="16:65">
      <c r="P299" s="781">
        <v>0</v>
      </c>
      <c r="Q299" s="780">
        <f t="shared" si="68"/>
        <v>0</v>
      </c>
      <c r="R299" s="776">
        <f>IF(P300,_xll.qDateYears(P299,P300,DCCfixed),0)</f>
        <v>0</v>
      </c>
      <c r="S299" s="553">
        <v>0</v>
      </c>
      <c r="T299" s="785"/>
      <c r="U299" s="409">
        <f t="shared" si="78"/>
        <v>0</v>
      </c>
      <c r="X299" s="363">
        <v>0</v>
      </c>
      <c r="Y299" s="775">
        <f t="shared" si="69"/>
        <v>0</v>
      </c>
      <c r="Z299" s="776">
        <f>IF(X300,_xll.qDateYears(X299,X300,DCCfloat),0)</f>
        <v>0</v>
      </c>
      <c r="AA299" s="553">
        <v>0</v>
      </c>
      <c r="AB299" s="789">
        <f>IF($X299=0,0,      _xll.qDateNext($X299,AB$12,"M",FRM&lt;&gt;"Calypso",CCY))</f>
        <v>0</v>
      </c>
      <c r="AC299" s="789">
        <f>IF($X299=0,0,      _xll.qDateNext($X299,AC$12,"M",FRM&lt;&gt;"Calypso",CCY))</f>
        <v>0</v>
      </c>
      <c r="AD299" s="789">
        <f>IF($X299=0,0,      _xll.qDateNext($X299,AD$12,"M",FRM&lt;&gt;"Calypso",CCY))</f>
        <v>0</v>
      </c>
      <c r="AE299" s="789">
        <f>IF($X299=0,0,      _xll.qDateNext($X299,AE$12,"M",FRM&lt;&gt;"Calypso",CCY))</f>
        <v>0</v>
      </c>
      <c r="AF299" s="789">
        <f>IF($X299=0,0,      _xll.qDateNext($X299,AF$12,"M",FRM&lt;&gt;"Calypso",CCY))</f>
        <v>0</v>
      </c>
      <c r="AG299" s="789">
        <f>IF($X299=0,0,      _xll.qDateNext($X299,AG$12,"M",FRM&lt;&gt;"Calypso",CCY))</f>
        <v>0</v>
      </c>
      <c r="AH299" s="789">
        <f>IF($X299=0,0,      _xll.qDateNext($X299,AH$12,"M",FRM&lt;&gt;"Calypso",CCY))</f>
        <v>0</v>
      </c>
      <c r="AI299" s="789">
        <f>IF($X299=0,0,      _xll.qDateNext($X299,AI$12,"M",FRM&lt;&gt;"Calypso",CCY))</f>
        <v>0</v>
      </c>
      <c r="AJ299" s="529" t="str">
        <v/>
      </c>
      <c r="AK299" s="529" t="str">
        <v/>
      </c>
      <c r="AL299" s="529" t="str">
        <v/>
      </c>
      <c r="AM299" s="529" t="str">
        <v/>
      </c>
      <c r="AN299" s="529" t="str">
        <v/>
      </c>
      <c r="AO299" s="529" t="str">
        <v/>
      </c>
      <c r="AP299" s="529" t="str">
        <v/>
      </c>
      <c r="AQ299" s="529" t="str">
        <v/>
      </c>
      <c r="AR299" s="529">
        <v>0</v>
      </c>
      <c r="AS299" s="529">
        <v>0</v>
      </c>
      <c r="AT299" s="529">
        <f t="shared" si="79"/>
        <v>0</v>
      </c>
      <c r="AU299" s="529">
        <v>0</v>
      </c>
      <c r="AV299" s="529">
        <f t="shared" si="80"/>
        <v>0</v>
      </c>
      <c r="AW299" s="529">
        <f t="shared" si="81"/>
        <v>0</v>
      </c>
      <c r="AX299" s="529">
        <v>0</v>
      </c>
      <c r="AY299" s="529">
        <v>0</v>
      </c>
      <c r="AZ299" s="761">
        <f t="shared" si="70"/>
        <v>0</v>
      </c>
      <c r="BA299" s="761">
        <f t="shared" si="71"/>
        <v>0</v>
      </c>
      <c r="BB299" s="761">
        <f t="shared" si="72"/>
        <v>0</v>
      </c>
      <c r="BC299" s="761">
        <f t="shared" si="73"/>
        <v>0</v>
      </c>
      <c r="BD299" s="761">
        <f t="shared" si="74"/>
        <v>0</v>
      </c>
      <c r="BE299" s="761">
        <f t="shared" si="75"/>
        <v>0</v>
      </c>
      <c r="BF299" s="761">
        <f t="shared" si="76"/>
        <v>0</v>
      </c>
      <c r="BG299" s="761">
        <f t="shared" si="77"/>
        <v>0</v>
      </c>
      <c r="BH299" s="777">
        <v>0</v>
      </c>
      <c r="BI299" s="755"/>
      <c r="BJ299" s="778">
        <f>IF(X300=0,0,           IF(ISNUMBER(BI299),BI299,               IF(ISTEXT(BI299),INDEX(AZ299:BG299,MATCH(BI299,$AZ$12:$BG$12,0)),             IF(BH299="INT",_xll.qInterp(X300,AB299:AI299,AZ299:BG299),            INDEX(AZ299:BG299,MATCH(BH299,$AZ$12:$BG$12,0))))))</f>
        <v>0</v>
      </c>
      <c r="BK299" s="408">
        <f t="shared" si="82"/>
        <v>0</v>
      </c>
      <c r="BL299" s="414">
        <f t="shared" si="83"/>
        <v>0</v>
      </c>
      <c r="BM299" s="408">
        <f t="shared" si="84"/>
        <v>0</v>
      </c>
    </row>
    <row r="300" spans="16:65">
      <c r="P300" s="781">
        <v>0</v>
      </c>
      <c r="Q300" s="780">
        <f t="shared" si="68"/>
        <v>0</v>
      </c>
      <c r="R300" s="776">
        <f>IF(P301,_xll.qDateYears(P300,P301,DCCfixed),0)</f>
        <v>0</v>
      </c>
      <c r="S300" s="553">
        <v>0</v>
      </c>
      <c r="T300" s="785"/>
      <c r="U300" s="409">
        <f t="shared" si="78"/>
        <v>0</v>
      </c>
      <c r="X300" s="363">
        <v>0</v>
      </c>
      <c r="Y300" s="775">
        <f t="shared" si="69"/>
        <v>0</v>
      </c>
      <c r="Z300" s="776">
        <f>IF(X301,_xll.qDateYears(X300,X301,DCCfloat),0)</f>
        <v>0</v>
      </c>
      <c r="AA300" s="553">
        <v>0</v>
      </c>
      <c r="AB300" s="789">
        <f>IF($X300=0,0,      _xll.qDateNext($X300,AB$12,"M",FRM&lt;&gt;"Calypso",CCY))</f>
        <v>0</v>
      </c>
      <c r="AC300" s="789">
        <f>IF($X300=0,0,      _xll.qDateNext($X300,AC$12,"M",FRM&lt;&gt;"Calypso",CCY))</f>
        <v>0</v>
      </c>
      <c r="AD300" s="789">
        <f>IF($X300=0,0,      _xll.qDateNext($X300,AD$12,"M",FRM&lt;&gt;"Calypso",CCY))</f>
        <v>0</v>
      </c>
      <c r="AE300" s="789">
        <f>IF($X300=0,0,      _xll.qDateNext($X300,AE$12,"M",FRM&lt;&gt;"Calypso",CCY))</f>
        <v>0</v>
      </c>
      <c r="AF300" s="789">
        <f>IF($X300=0,0,      _xll.qDateNext($X300,AF$12,"M",FRM&lt;&gt;"Calypso",CCY))</f>
        <v>0</v>
      </c>
      <c r="AG300" s="789">
        <f>IF($X300=0,0,      _xll.qDateNext($X300,AG$12,"M",FRM&lt;&gt;"Calypso",CCY))</f>
        <v>0</v>
      </c>
      <c r="AH300" s="789">
        <f>IF($X300=0,0,      _xll.qDateNext($X300,AH$12,"M",FRM&lt;&gt;"Calypso",CCY))</f>
        <v>0</v>
      </c>
      <c r="AI300" s="789">
        <f>IF($X300=0,0,      _xll.qDateNext($X300,AI$12,"M",FRM&lt;&gt;"Calypso",CCY))</f>
        <v>0</v>
      </c>
      <c r="AJ300" s="529" t="str">
        <v/>
      </c>
      <c r="AK300" s="529" t="str">
        <v/>
      </c>
      <c r="AL300" s="529" t="str">
        <v/>
      </c>
      <c r="AM300" s="529" t="str">
        <v/>
      </c>
      <c r="AN300" s="529" t="str">
        <v/>
      </c>
      <c r="AO300" s="529" t="str">
        <v/>
      </c>
      <c r="AP300" s="529" t="str">
        <v/>
      </c>
      <c r="AQ300" s="529" t="str">
        <v/>
      </c>
      <c r="AR300" s="529">
        <v>0</v>
      </c>
      <c r="AS300" s="529">
        <v>0</v>
      </c>
      <c r="AT300" s="529">
        <f t="shared" si="79"/>
        <v>0</v>
      </c>
      <c r="AU300" s="529">
        <v>0</v>
      </c>
      <c r="AV300" s="529">
        <f t="shared" si="80"/>
        <v>0</v>
      </c>
      <c r="AW300" s="529">
        <f t="shared" si="81"/>
        <v>0</v>
      </c>
      <c r="AX300" s="529">
        <v>0</v>
      </c>
      <c r="AY300" s="529">
        <v>0</v>
      </c>
      <c r="AZ300" s="761">
        <f t="shared" si="70"/>
        <v>0</v>
      </c>
      <c r="BA300" s="761">
        <f t="shared" si="71"/>
        <v>0</v>
      </c>
      <c r="BB300" s="761">
        <f t="shared" si="72"/>
        <v>0</v>
      </c>
      <c r="BC300" s="761">
        <f t="shared" si="73"/>
        <v>0</v>
      </c>
      <c r="BD300" s="761">
        <f t="shared" si="74"/>
        <v>0</v>
      </c>
      <c r="BE300" s="761">
        <f t="shared" si="75"/>
        <v>0</v>
      </c>
      <c r="BF300" s="761">
        <f t="shared" si="76"/>
        <v>0</v>
      </c>
      <c r="BG300" s="761">
        <f t="shared" si="77"/>
        <v>0</v>
      </c>
      <c r="BH300" s="777">
        <v>0</v>
      </c>
      <c r="BI300" s="755"/>
      <c r="BJ300" s="778">
        <f>IF(X301=0,0,           IF(ISNUMBER(BI300),BI300,               IF(ISTEXT(BI300),INDEX(AZ300:BG300,MATCH(BI300,$AZ$12:$BG$12,0)),             IF(BH300="INT",_xll.qInterp(X301,AB300:AI300,AZ300:BG300),            INDEX(AZ300:BG300,MATCH(BH300,$AZ$12:$BG$12,0))))))</f>
        <v>0</v>
      </c>
      <c r="BK300" s="408">
        <f t="shared" si="82"/>
        <v>0</v>
      </c>
      <c r="BL300" s="414">
        <f t="shared" si="83"/>
        <v>0</v>
      </c>
      <c r="BM300" s="408">
        <f t="shared" si="84"/>
        <v>0</v>
      </c>
    </row>
    <row r="301" spans="16:65">
      <c r="P301" s="781">
        <v>0</v>
      </c>
      <c r="Q301" s="780">
        <f t="shared" si="68"/>
        <v>0</v>
      </c>
      <c r="R301" s="776">
        <f>IF(P302,_xll.qDateYears(P301,P302,DCCfixed),0)</f>
        <v>0</v>
      </c>
      <c r="S301" s="553">
        <v>0</v>
      </c>
      <c r="T301" s="785"/>
      <c r="U301" s="409">
        <f t="shared" si="78"/>
        <v>0</v>
      </c>
      <c r="X301" s="363">
        <v>0</v>
      </c>
      <c r="Y301" s="775">
        <f t="shared" si="69"/>
        <v>0</v>
      </c>
      <c r="Z301" s="776">
        <f>IF(X302,_xll.qDateYears(X301,X302,DCCfloat),0)</f>
        <v>0</v>
      </c>
      <c r="AA301" s="553">
        <v>0</v>
      </c>
      <c r="AB301" s="789">
        <f>IF($X301=0,0,      _xll.qDateNext($X301,AB$12,"M",FRM&lt;&gt;"Calypso",CCY))</f>
        <v>0</v>
      </c>
      <c r="AC301" s="789">
        <f>IF($X301=0,0,      _xll.qDateNext($X301,AC$12,"M",FRM&lt;&gt;"Calypso",CCY))</f>
        <v>0</v>
      </c>
      <c r="AD301" s="789">
        <f>IF($X301=0,0,      _xll.qDateNext($X301,AD$12,"M",FRM&lt;&gt;"Calypso",CCY))</f>
        <v>0</v>
      </c>
      <c r="AE301" s="789">
        <f>IF($X301=0,0,      _xll.qDateNext($X301,AE$12,"M",FRM&lt;&gt;"Calypso",CCY))</f>
        <v>0</v>
      </c>
      <c r="AF301" s="789">
        <f>IF($X301=0,0,      _xll.qDateNext($X301,AF$12,"M",FRM&lt;&gt;"Calypso",CCY))</f>
        <v>0</v>
      </c>
      <c r="AG301" s="789">
        <f>IF($X301=0,0,      _xll.qDateNext($X301,AG$12,"M",FRM&lt;&gt;"Calypso",CCY))</f>
        <v>0</v>
      </c>
      <c r="AH301" s="789">
        <f>IF($X301=0,0,      _xll.qDateNext($X301,AH$12,"M",FRM&lt;&gt;"Calypso",CCY))</f>
        <v>0</v>
      </c>
      <c r="AI301" s="789">
        <f>IF($X301=0,0,      _xll.qDateNext($X301,AI$12,"M",FRM&lt;&gt;"Calypso",CCY))</f>
        <v>0</v>
      </c>
      <c r="AJ301" s="529" t="str">
        <v/>
      </c>
      <c r="AK301" s="529" t="str">
        <v/>
      </c>
      <c r="AL301" s="529" t="str">
        <v/>
      </c>
      <c r="AM301" s="529" t="str">
        <v/>
      </c>
      <c r="AN301" s="529" t="str">
        <v/>
      </c>
      <c r="AO301" s="529" t="str">
        <v/>
      </c>
      <c r="AP301" s="529" t="str">
        <v/>
      </c>
      <c r="AQ301" s="529" t="str">
        <v/>
      </c>
      <c r="AR301" s="529">
        <v>0</v>
      </c>
      <c r="AS301" s="529">
        <v>0</v>
      </c>
      <c r="AT301" s="529">
        <f t="shared" si="79"/>
        <v>0</v>
      </c>
      <c r="AU301" s="529">
        <v>0</v>
      </c>
      <c r="AV301" s="529">
        <f t="shared" si="80"/>
        <v>0</v>
      </c>
      <c r="AW301" s="529">
        <f t="shared" si="81"/>
        <v>0</v>
      </c>
      <c r="AX301" s="529">
        <v>0</v>
      </c>
      <c r="AY301" s="529">
        <v>0</v>
      </c>
      <c r="AZ301" s="761">
        <f t="shared" si="70"/>
        <v>0</v>
      </c>
      <c r="BA301" s="761">
        <f t="shared" si="71"/>
        <v>0</v>
      </c>
      <c r="BB301" s="761">
        <f t="shared" si="72"/>
        <v>0</v>
      </c>
      <c r="BC301" s="761">
        <f t="shared" si="73"/>
        <v>0</v>
      </c>
      <c r="BD301" s="761">
        <f t="shared" si="74"/>
        <v>0</v>
      </c>
      <c r="BE301" s="761">
        <f t="shared" si="75"/>
        <v>0</v>
      </c>
      <c r="BF301" s="761">
        <f t="shared" si="76"/>
        <v>0</v>
      </c>
      <c r="BG301" s="761">
        <f t="shared" si="77"/>
        <v>0</v>
      </c>
      <c r="BH301" s="777">
        <v>0</v>
      </c>
      <c r="BI301" s="755"/>
      <c r="BJ301" s="778">
        <f>IF(X302=0,0,           IF(ISNUMBER(BI301),BI301,               IF(ISTEXT(BI301),INDEX(AZ301:BG301,MATCH(BI301,$AZ$12:$BG$12,0)),             IF(BH301="INT",_xll.qInterp(X302,AB301:AI301,AZ301:BG301),            INDEX(AZ301:BG301,MATCH(BH301,$AZ$12:$BG$12,0))))))</f>
        <v>0</v>
      </c>
      <c r="BK301" s="408">
        <f t="shared" si="82"/>
        <v>0</v>
      </c>
      <c r="BL301" s="414">
        <f t="shared" si="83"/>
        <v>0</v>
      </c>
      <c r="BM301" s="408">
        <f t="shared" si="84"/>
        <v>0</v>
      </c>
    </row>
    <row r="302" spans="16:65">
      <c r="P302" s="781">
        <v>0</v>
      </c>
      <c r="Q302" s="780">
        <f t="shared" si="68"/>
        <v>0</v>
      </c>
      <c r="R302" s="776">
        <f>IF(P303,_xll.qDateYears(P302,P303,DCCfixed),0)</f>
        <v>0</v>
      </c>
      <c r="S302" s="553">
        <v>0</v>
      </c>
      <c r="T302" s="785"/>
      <c r="U302" s="409">
        <f t="shared" si="78"/>
        <v>0</v>
      </c>
      <c r="X302" s="363">
        <v>0</v>
      </c>
      <c r="Y302" s="775">
        <f t="shared" si="69"/>
        <v>0</v>
      </c>
      <c r="Z302" s="776">
        <f>IF(X303,_xll.qDateYears(X302,X303,DCCfloat),0)</f>
        <v>0</v>
      </c>
      <c r="AA302" s="553">
        <v>0</v>
      </c>
      <c r="AB302" s="789">
        <f>IF($X302=0,0,      _xll.qDateNext($X302,AB$12,"M",FRM&lt;&gt;"Calypso",CCY))</f>
        <v>0</v>
      </c>
      <c r="AC302" s="789">
        <f>IF($X302=0,0,      _xll.qDateNext($X302,AC$12,"M",FRM&lt;&gt;"Calypso",CCY))</f>
        <v>0</v>
      </c>
      <c r="AD302" s="789">
        <f>IF($X302=0,0,      _xll.qDateNext($X302,AD$12,"M",FRM&lt;&gt;"Calypso",CCY))</f>
        <v>0</v>
      </c>
      <c r="AE302" s="789">
        <f>IF($X302=0,0,      _xll.qDateNext($X302,AE$12,"M",FRM&lt;&gt;"Calypso",CCY))</f>
        <v>0</v>
      </c>
      <c r="AF302" s="789">
        <f>IF($X302=0,0,      _xll.qDateNext($X302,AF$12,"M",FRM&lt;&gt;"Calypso",CCY))</f>
        <v>0</v>
      </c>
      <c r="AG302" s="789">
        <f>IF($X302=0,0,      _xll.qDateNext($X302,AG$12,"M",FRM&lt;&gt;"Calypso",CCY))</f>
        <v>0</v>
      </c>
      <c r="AH302" s="789">
        <f>IF($X302=0,0,      _xll.qDateNext($X302,AH$12,"M",FRM&lt;&gt;"Calypso",CCY))</f>
        <v>0</v>
      </c>
      <c r="AI302" s="789">
        <f>IF($X302=0,0,      _xll.qDateNext($X302,AI$12,"M",FRM&lt;&gt;"Calypso",CCY))</f>
        <v>0</v>
      </c>
      <c r="AJ302" s="529" t="str">
        <v/>
      </c>
      <c r="AK302" s="529" t="str">
        <v/>
      </c>
      <c r="AL302" s="529" t="str">
        <v/>
      </c>
      <c r="AM302" s="529" t="str">
        <v/>
      </c>
      <c r="AN302" s="529" t="str">
        <v/>
      </c>
      <c r="AO302" s="529" t="str">
        <v/>
      </c>
      <c r="AP302" s="529" t="str">
        <v/>
      </c>
      <c r="AQ302" s="529" t="str">
        <v/>
      </c>
      <c r="AR302" s="529">
        <v>0</v>
      </c>
      <c r="AS302" s="529">
        <v>0</v>
      </c>
      <c r="AT302" s="529">
        <f t="shared" si="79"/>
        <v>0</v>
      </c>
      <c r="AU302" s="529">
        <v>0</v>
      </c>
      <c r="AV302" s="529">
        <f t="shared" si="80"/>
        <v>0</v>
      </c>
      <c r="AW302" s="529">
        <f t="shared" si="81"/>
        <v>0</v>
      </c>
      <c r="AX302" s="529">
        <v>0</v>
      </c>
      <c r="AY302" s="529">
        <v>0</v>
      </c>
      <c r="AZ302" s="761">
        <f t="shared" si="70"/>
        <v>0</v>
      </c>
      <c r="BA302" s="761">
        <f t="shared" si="71"/>
        <v>0</v>
      </c>
      <c r="BB302" s="761">
        <f t="shared" si="72"/>
        <v>0</v>
      </c>
      <c r="BC302" s="761">
        <f t="shared" si="73"/>
        <v>0</v>
      </c>
      <c r="BD302" s="761">
        <f t="shared" si="74"/>
        <v>0</v>
      </c>
      <c r="BE302" s="761">
        <f t="shared" si="75"/>
        <v>0</v>
      </c>
      <c r="BF302" s="761">
        <f t="shared" si="76"/>
        <v>0</v>
      </c>
      <c r="BG302" s="761">
        <f t="shared" si="77"/>
        <v>0</v>
      </c>
      <c r="BH302" s="777">
        <v>0</v>
      </c>
      <c r="BI302" s="755"/>
      <c r="BJ302" s="778">
        <f>IF(X303=0,0,           IF(ISNUMBER(BI302),BI302,               IF(ISTEXT(BI302),INDEX(AZ302:BG302,MATCH(BI302,$AZ$12:$BG$12,0)),             IF(BH302="INT",_xll.qInterp(X303,AB302:AI302,AZ302:BG302),            INDEX(AZ302:BG302,MATCH(BH302,$AZ$12:$BG$12,0))))))</f>
        <v>0</v>
      </c>
      <c r="BK302" s="408">
        <f t="shared" si="82"/>
        <v>0</v>
      </c>
      <c r="BL302" s="414">
        <f t="shared" si="83"/>
        <v>0</v>
      </c>
      <c r="BM302" s="408">
        <f t="shared" si="84"/>
        <v>0</v>
      </c>
    </row>
    <row r="303" spans="16:65">
      <c r="P303" s="781">
        <v>0</v>
      </c>
      <c r="Q303" s="780">
        <f t="shared" si="68"/>
        <v>0</v>
      </c>
      <c r="R303" s="776">
        <f>IF(P304,_xll.qDateYears(P303,P304,DCCfixed),0)</f>
        <v>0</v>
      </c>
      <c r="S303" s="553">
        <v>0</v>
      </c>
      <c r="T303" s="785"/>
      <c r="U303" s="409">
        <f t="shared" si="78"/>
        <v>0</v>
      </c>
      <c r="X303" s="363">
        <v>0</v>
      </c>
      <c r="Y303" s="775">
        <f t="shared" si="69"/>
        <v>0</v>
      </c>
      <c r="Z303" s="776">
        <f>IF(X304,_xll.qDateYears(X303,X304,DCCfloat),0)</f>
        <v>0</v>
      </c>
      <c r="AA303" s="553">
        <v>0</v>
      </c>
      <c r="AB303" s="789">
        <f>IF($X303=0,0,      _xll.qDateNext($X303,AB$12,"M",FRM&lt;&gt;"Calypso",CCY))</f>
        <v>0</v>
      </c>
      <c r="AC303" s="789">
        <f>IF($X303=0,0,      _xll.qDateNext($X303,AC$12,"M",FRM&lt;&gt;"Calypso",CCY))</f>
        <v>0</v>
      </c>
      <c r="AD303" s="789">
        <f>IF($X303=0,0,      _xll.qDateNext($X303,AD$12,"M",FRM&lt;&gt;"Calypso",CCY))</f>
        <v>0</v>
      </c>
      <c r="AE303" s="789">
        <f>IF($X303=0,0,      _xll.qDateNext($X303,AE$12,"M",FRM&lt;&gt;"Calypso",CCY))</f>
        <v>0</v>
      </c>
      <c r="AF303" s="789">
        <f>IF($X303=0,0,      _xll.qDateNext($X303,AF$12,"M",FRM&lt;&gt;"Calypso",CCY))</f>
        <v>0</v>
      </c>
      <c r="AG303" s="789">
        <f>IF($X303=0,0,      _xll.qDateNext($X303,AG$12,"M",FRM&lt;&gt;"Calypso",CCY))</f>
        <v>0</v>
      </c>
      <c r="AH303" s="789">
        <f>IF($X303=0,0,      _xll.qDateNext($X303,AH$12,"M",FRM&lt;&gt;"Calypso",CCY))</f>
        <v>0</v>
      </c>
      <c r="AI303" s="789">
        <f>IF($X303=0,0,      _xll.qDateNext($X303,AI$12,"M",FRM&lt;&gt;"Calypso",CCY))</f>
        <v>0</v>
      </c>
      <c r="AJ303" s="529" t="str">
        <v/>
      </c>
      <c r="AK303" s="529" t="str">
        <v/>
      </c>
      <c r="AL303" s="529" t="str">
        <v/>
      </c>
      <c r="AM303" s="529" t="str">
        <v/>
      </c>
      <c r="AN303" s="529" t="str">
        <v/>
      </c>
      <c r="AO303" s="529" t="str">
        <v/>
      </c>
      <c r="AP303" s="529" t="str">
        <v/>
      </c>
      <c r="AQ303" s="529" t="str">
        <v/>
      </c>
      <c r="AR303" s="529">
        <v>0</v>
      </c>
      <c r="AS303" s="529">
        <v>0</v>
      </c>
      <c r="AT303" s="529">
        <f t="shared" si="79"/>
        <v>0</v>
      </c>
      <c r="AU303" s="529">
        <v>0</v>
      </c>
      <c r="AV303" s="529">
        <f t="shared" si="80"/>
        <v>0</v>
      </c>
      <c r="AW303" s="529">
        <f t="shared" si="81"/>
        <v>0</v>
      </c>
      <c r="AX303" s="529">
        <v>0</v>
      </c>
      <c r="AY303" s="529">
        <v>0</v>
      </c>
      <c r="AZ303" s="761">
        <f t="shared" si="70"/>
        <v>0</v>
      </c>
      <c r="BA303" s="761">
        <f t="shared" si="71"/>
        <v>0</v>
      </c>
      <c r="BB303" s="761">
        <f t="shared" si="72"/>
        <v>0</v>
      </c>
      <c r="BC303" s="761">
        <f t="shared" si="73"/>
        <v>0</v>
      </c>
      <c r="BD303" s="761">
        <f t="shared" si="74"/>
        <v>0</v>
      </c>
      <c r="BE303" s="761">
        <f t="shared" si="75"/>
        <v>0</v>
      </c>
      <c r="BF303" s="761">
        <f t="shared" si="76"/>
        <v>0</v>
      </c>
      <c r="BG303" s="761">
        <f t="shared" si="77"/>
        <v>0</v>
      </c>
      <c r="BH303" s="777">
        <v>0</v>
      </c>
      <c r="BI303" s="755"/>
      <c r="BJ303" s="778">
        <f>IF(X304=0,0,           IF(ISNUMBER(BI303),BI303,               IF(ISTEXT(BI303),INDEX(AZ303:BG303,MATCH(BI303,$AZ$12:$BG$12,0)),             IF(BH303="INT",_xll.qInterp(X304,AB303:AI303,AZ303:BG303),            INDEX(AZ303:BG303,MATCH(BH303,$AZ$12:$BG$12,0))))))</f>
        <v>0</v>
      </c>
      <c r="BK303" s="408">
        <f t="shared" si="82"/>
        <v>0</v>
      </c>
      <c r="BL303" s="414">
        <f t="shared" si="83"/>
        <v>0</v>
      </c>
      <c r="BM303" s="408">
        <f t="shared" si="84"/>
        <v>0</v>
      </c>
    </row>
    <row r="304" spans="16:65">
      <c r="P304" s="781">
        <v>0</v>
      </c>
      <c r="Q304" s="780">
        <f t="shared" si="68"/>
        <v>0</v>
      </c>
      <c r="R304" s="776">
        <f>IF(P305,_xll.qDateYears(P304,P305,DCCfixed),0)</f>
        <v>0</v>
      </c>
      <c r="S304" s="553">
        <v>0</v>
      </c>
      <c r="T304" s="785"/>
      <c r="U304" s="409">
        <f t="shared" si="78"/>
        <v>0</v>
      </c>
      <c r="X304" s="363">
        <v>0</v>
      </c>
      <c r="Y304" s="775">
        <f t="shared" si="69"/>
        <v>0</v>
      </c>
      <c r="Z304" s="776">
        <f>IF(X305,_xll.qDateYears(X304,X305,DCCfloat),0)</f>
        <v>0</v>
      </c>
      <c r="AA304" s="553">
        <v>0</v>
      </c>
      <c r="AB304" s="789">
        <f>IF($X304=0,0,      _xll.qDateNext($X304,AB$12,"M",FRM&lt;&gt;"Calypso",CCY))</f>
        <v>0</v>
      </c>
      <c r="AC304" s="789">
        <f>IF($X304=0,0,      _xll.qDateNext($X304,AC$12,"M",FRM&lt;&gt;"Calypso",CCY))</f>
        <v>0</v>
      </c>
      <c r="AD304" s="789">
        <f>IF($X304=0,0,      _xll.qDateNext($X304,AD$12,"M",FRM&lt;&gt;"Calypso",CCY))</f>
        <v>0</v>
      </c>
      <c r="AE304" s="789">
        <f>IF($X304=0,0,      _xll.qDateNext($X304,AE$12,"M",FRM&lt;&gt;"Calypso",CCY))</f>
        <v>0</v>
      </c>
      <c r="AF304" s="789">
        <f>IF($X304=0,0,      _xll.qDateNext($X304,AF$12,"M",FRM&lt;&gt;"Calypso",CCY))</f>
        <v>0</v>
      </c>
      <c r="AG304" s="789">
        <f>IF($X304=0,0,      _xll.qDateNext($X304,AG$12,"M",FRM&lt;&gt;"Calypso",CCY))</f>
        <v>0</v>
      </c>
      <c r="AH304" s="789">
        <f>IF($X304=0,0,      _xll.qDateNext($X304,AH$12,"M",FRM&lt;&gt;"Calypso",CCY))</f>
        <v>0</v>
      </c>
      <c r="AI304" s="789">
        <f>IF($X304=0,0,      _xll.qDateNext($X304,AI$12,"M",FRM&lt;&gt;"Calypso",CCY))</f>
        <v>0</v>
      </c>
      <c r="AJ304" s="529" t="str">
        <v/>
      </c>
      <c r="AK304" s="529" t="str">
        <v/>
      </c>
      <c r="AL304" s="529" t="str">
        <v/>
      </c>
      <c r="AM304" s="529" t="str">
        <v/>
      </c>
      <c r="AN304" s="529" t="str">
        <v/>
      </c>
      <c r="AO304" s="529" t="str">
        <v/>
      </c>
      <c r="AP304" s="529" t="str">
        <v/>
      </c>
      <c r="AQ304" s="529" t="str">
        <v/>
      </c>
      <c r="AR304" s="529">
        <v>0</v>
      </c>
      <c r="AS304" s="529">
        <v>0</v>
      </c>
      <c r="AT304" s="529">
        <f t="shared" si="79"/>
        <v>0</v>
      </c>
      <c r="AU304" s="529">
        <v>0</v>
      </c>
      <c r="AV304" s="529">
        <f t="shared" si="80"/>
        <v>0</v>
      </c>
      <c r="AW304" s="529">
        <f t="shared" si="81"/>
        <v>0</v>
      </c>
      <c r="AX304" s="529">
        <v>0</v>
      </c>
      <c r="AY304" s="529">
        <v>0</v>
      </c>
      <c r="AZ304" s="761">
        <f t="shared" si="70"/>
        <v>0</v>
      </c>
      <c r="BA304" s="761">
        <f t="shared" si="71"/>
        <v>0</v>
      </c>
      <c r="BB304" s="761">
        <f t="shared" si="72"/>
        <v>0</v>
      </c>
      <c r="BC304" s="761">
        <f t="shared" si="73"/>
        <v>0</v>
      </c>
      <c r="BD304" s="761">
        <f t="shared" si="74"/>
        <v>0</v>
      </c>
      <c r="BE304" s="761">
        <f t="shared" si="75"/>
        <v>0</v>
      </c>
      <c r="BF304" s="761">
        <f t="shared" si="76"/>
        <v>0</v>
      </c>
      <c r="BG304" s="761">
        <f t="shared" si="77"/>
        <v>0</v>
      </c>
      <c r="BH304" s="777">
        <v>0</v>
      </c>
      <c r="BI304" s="755"/>
      <c r="BJ304" s="778">
        <f>IF(X305=0,0,           IF(ISNUMBER(BI304),BI304,               IF(ISTEXT(BI304),INDEX(AZ304:BG304,MATCH(BI304,$AZ$12:$BG$12,0)),             IF(BH304="INT",_xll.qInterp(X305,AB304:AI304,AZ304:BG304),            INDEX(AZ304:BG304,MATCH(BH304,$AZ$12:$BG$12,0))))))</f>
        <v>0</v>
      </c>
      <c r="BK304" s="408">
        <f t="shared" si="82"/>
        <v>0</v>
      </c>
      <c r="BL304" s="414">
        <f t="shared" si="83"/>
        <v>0</v>
      </c>
      <c r="BM304" s="408">
        <f t="shared" si="84"/>
        <v>0</v>
      </c>
    </row>
    <row r="305" spans="16:65">
      <c r="P305" s="781">
        <v>0</v>
      </c>
      <c r="Q305" s="780">
        <f t="shared" si="68"/>
        <v>0</v>
      </c>
      <c r="R305" s="776">
        <f>IF(P306,_xll.qDateYears(P305,P306,DCCfixed),0)</f>
        <v>0</v>
      </c>
      <c r="S305" s="553">
        <v>0</v>
      </c>
      <c r="T305" s="785"/>
      <c r="U305" s="409">
        <f t="shared" si="78"/>
        <v>0</v>
      </c>
      <c r="X305" s="363">
        <v>0</v>
      </c>
      <c r="Y305" s="775">
        <f t="shared" si="69"/>
        <v>0</v>
      </c>
      <c r="Z305" s="776">
        <f>IF(X306,_xll.qDateYears(X305,X306,DCCfloat),0)</f>
        <v>0</v>
      </c>
      <c r="AA305" s="553">
        <v>0</v>
      </c>
      <c r="AB305" s="789">
        <f>IF($X305=0,0,      _xll.qDateNext($X305,AB$12,"M",FRM&lt;&gt;"Calypso",CCY))</f>
        <v>0</v>
      </c>
      <c r="AC305" s="789">
        <f>IF($X305=0,0,      _xll.qDateNext($X305,AC$12,"M",FRM&lt;&gt;"Calypso",CCY))</f>
        <v>0</v>
      </c>
      <c r="AD305" s="789">
        <f>IF($X305=0,0,      _xll.qDateNext($X305,AD$12,"M",FRM&lt;&gt;"Calypso",CCY))</f>
        <v>0</v>
      </c>
      <c r="AE305" s="789">
        <f>IF($X305=0,0,      _xll.qDateNext($X305,AE$12,"M",FRM&lt;&gt;"Calypso",CCY))</f>
        <v>0</v>
      </c>
      <c r="AF305" s="789">
        <f>IF($X305=0,0,      _xll.qDateNext($X305,AF$12,"M",FRM&lt;&gt;"Calypso",CCY))</f>
        <v>0</v>
      </c>
      <c r="AG305" s="789">
        <f>IF($X305=0,0,      _xll.qDateNext($X305,AG$12,"M",FRM&lt;&gt;"Calypso",CCY))</f>
        <v>0</v>
      </c>
      <c r="AH305" s="789">
        <f>IF($X305=0,0,      _xll.qDateNext($X305,AH$12,"M",FRM&lt;&gt;"Calypso",CCY))</f>
        <v>0</v>
      </c>
      <c r="AI305" s="789">
        <f>IF($X305=0,0,      _xll.qDateNext($X305,AI$12,"M",FRM&lt;&gt;"Calypso",CCY))</f>
        <v>0</v>
      </c>
      <c r="AJ305" s="529" t="str">
        <v/>
      </c>
      <c r="AK305" s="529" t="str">
        <v/>
      </c>
      <c r="AL305" s="529" t="str">
        <v/>
      </c>
      <c r="AM305" s="529" t="str">
        <v/>
      </c>
      <c r="AN305" s="529" t="str">
        <v/>
      </c>
      <c r="AO305" s="529" t="str">
        <v/>
      </c>
      <c r="AP305" s="529" t="str">
        <v/>
      </c>
      <c r="AQ305" s="529" t="str">
        <v/>
      </c>
      <c r="AR305" s="529">
        <v>0</v>
      </c>
      <c r="AS305" s="529">
        <v>0</v>
      </c>
      <c r="AT305" s="529">
        <f t="shared" si="79"/>
        <v>0</v>
      </c>
      <c r="AU305" s="529">
        <v>0</v>
      </c>
      <c r="AV305" s="529">
        <f t="shared" si="80"/>
        <v>0</v>
      </c>
      <c r="AW305" s="529">
        <f t="shared" si="81"/>
        <v>0</v>
      </c>
      <c r="AX305" s="529">
        <v>0</v>
      </c>
      <c r="AY305" s="529">
        <v>0</v>
      </c>
      <c r="AZ305" s="761">
        <f t="shared" si="70"/>
        <v>0</v>
      </c>
      <c r="BA305" s="761">
        <f t="shared" si="71"/>
        <v>0</v>
      </c>
      <c r="BB305" s="761">
        <f t="shared" si="72"/>
        <v>0</v>
      </c>
      <c r="BC305" s="761">
        <f t="shared" si="73"/>
        <v>0</v>
      </c>
      <c r="BD305" s="761">
        <f t="shared" si="74"/>
        <v>0</v>
      </c>
      <c r="BE305" s="761">
        <f t="shared" si="75"/>
        <v>0</v>
      </c>
      <c r="BF305" s="761">
        <f t="shared" si="76"/>
        <v>0</v>
      </c>
      <c r="BG305" s="761">
        <f t="shared" si="77"/>
        <v>0</v>
      </c>
      <c r="BH305" s="777">
        <v>0</v>
      </c>
      <c r="BI305" s="755"/>
      <c r="BJ305" s="778">
        <f>IF(X306=0,0,           IF(ISNUMBER(BI305),BI305,               IF(ISTEXT(BI305),INDEX(AZ305:BG305,MATCH(BI305,$AZ$12:$BG$12,0)),             IF(BH305="INT",_xll.qInterp(X306,AB305:AI305,AZ305:BG305),            INDEX(AZ305:BG305,MATCH(BH305,$AZ$12:$BG$12,0))))))</f>
        <v>0</v>
      </c>
      <c r="BK305" s="408">
        <f t="shared" si="82"/>
        <v>0</v>
      </c>
      <c r="BL305" s="414">
        <f t="shared" si="83"/>
        <v>0</v>
      </c>
      <c r="BM305" s="408">
        <f t="shared" si="84"/>
        <v>0</v>
      </c>
    </row>
    <row r="306" spans="16:65">
      <c r="P306" s="781">
        <v>0</v>
      </c>
      <c r="Q306" s="780">
        <f t="shared" si="68"/>
        <v>0</v>
      </c>
      <c r="R306" s="776">
        <f>IF(P307,_xll.qDateYears(P306,P307,DCCfixed),0)</f>
        <v>0</v>
      </c>
      <c r="S306" s="553">
        <v>0</v>
      </c>
      <c r="T306" s="785"/>
      <c r="U306" s="409">
        <f t="shared" si="78"/>
        <v>0</v>
      </c>
      <c r="X306" s="363">
        <v>0</v>
      </c>
      <c r="Y306" s="775">
        <f t="shared" si="69"/>
        <v>0</v>
      </c>
      <c r="Z306" s="776">
        <f>IF(X307,_xll.qDateYears(X306,X307,DCCfloat),0)</f>
        <v>0</v>
      </c>
      <c r="AA306" s="553">
        <v>0</v>
      </c>
      <c r="AB306" s="789">
        <f>IF($X306=0,0,      _xll.qDateNext($X306,AB$12,"M",FRM&lt;&gt;"Calypso",CCY))</f>
        <v>0</v>
      </c>
      <c r="AC306" s="789">
        <f>IF($X306=0,0,      _xll.qDateNext($X306,AC$12,"M",FRM&lt;&gt;"Calypso",CCY))</f>
        <v>0</v>
      </c>
      <c r="AD306" s="789">
        <f>IF($X306=0,0,      _xll.qDateNext($X306,AD$12,"M",FRM&lt;&gt;"Calypso",CCY))</f>
        <v>0</v>
      </c>
      <c r="AE306" s="789">
        <f>IF($X306=0,0,      _xll.qDateNext($X306,AE$12,"M",FRM&lt;&gt;"Calypso",CCY))</f>
        <v>0</v>
      </c>
      <c r="AF306" s="789">
        <f>IF($X306=0,0,      _xll.qDateNext($X306,AF$12,"M",FRM&lt;&gt;"Calypso",CCY))</f>
        <v>0</v>
      </c>
      <c r="AG306" s="789">
        <f>IF($X306=0,0,      _xll.qDateNext($X306,AG$12,"M",FRM&lt;&gt;"Calypso",CCY))</f>
        <v>0</v>
      </c>
      <c r="AH306" s="789">
        <f>IF($X306=0,0,      _xll.qDateNext($X306,AH$12,"M",FRM&lt;&gt;"Calypso",CCY))</f>
        <v>0</v>
      </c>
      <c r="AI306" s="789">
        <f>IF($X306=0,0,      _xll.qDateNext($X306,AI$12,"M",FRM&lt;&gt;"Calypso",CCY))</f>
        <v>0</v>
      </c>
      <c r="AJ306" s="529" t="str">
        <v/>
      </c>
      <c r="AK306" s="529" t="str">
        <v/>
      </c>
      <c r="AL306" s="529" t="str">
        <v/>
      </c>
      <c r="AM306" s="529" t="str">
        <v/>
      </c>
      <c r="AN306" s="529" t="str">
        <v/>
      </c>
      <c r="AO306" s="529" t="str">
        <v/>
      </c>
      <c r="AP306" s="529" t="str">
        <v/>
      </c>
      <c r="AQ306" s="529" t="str">
        <v/>
      </c>
      <c r="AR306" s="529">
        <v>0</v>
      </c>
      <c r="AS306" s="529">
        <v>0</v>
      </c>
      <c r="AT306" s="529">
        <f t="shared" si="79"/>
        <v>0</v>
      </c>
      <c r="AU306" s="529">
        <v>0</v>
      </c>
      <c r="AV306" s="529">
        <f t="shared" si="80"/>
        <v>0</v>
      </c>
      <c r="AW306" s="529">
        <f t="shared" si="81"/>
        <v>0</v>
      </c>
      <c r="AX306" s="529">
        <v>0</v>
      </c>
      <c r="AY306" s="529">
        <v>0</v>
      </c>
      <c r="AZ306" s="761">
        <f t="shared" si="70"/>
        <v>0</v>
      </c>
      <c r="BA306" s="761">
        <f t="shared" si="71"/>
        <v>0</v>
      </c>
      <c r="BB306" s="761">
        <f t="shared" si="72"/>
        <v>0</v>
      </c>
      <c r="BC306" s="761">
        <f t="shared" si="73"/>
        <v>0</v>
      </c>
      <c r="BD306" s="761">
        <f t="shared" si="74"/>
        <v>0</v>
      </c>
      <c r="BE306" s="761">
        <f t="shared" si="75"/>
        <v>0</v>
      </c>
      <c r="BF306" s="761">
        <f t="shared" si="76"/>
        <v>0</v>
      </c>
      <c r="BG306" s="761">
        <f t="shared" si="77"/>
        <v>0</v>
      </c>
      <c r="BH306" s="777">
        <v>0</v>
      </c>
      <c r="BI306" s="755"/>
      <c r="BJ306" s="778">
        <f>IF(X307=0,0,           IF(ISNUMBER(BI306),BI306,               IF(ISTEXT(BI306),INDEX(AZ306:BG306,MATCH(BI306,$AZ$12:$BG$12,0)),             IF(BH306="INT",_xll.qInterp(X307,AB306:AI306,AZ306:BG306),            INDEX(AZ306:BG306,MATCH(BH306,$AZ$12:$BG$12,0))))))</f>
        <v>0</v>
      </c>
      <c r="BK306" s="408">
        <f t="shared" si="82"/>
        <v>0</v>
      </c>
      <c r="BL306" s="414">
        <f t="shared" si="83"/>
        <v>0</v>
      </c>
      <c r="BM306" s="408">
        <f t="shared" si="84"/>
        <v>0</v>
      </c>
    </row>
    <row r="307" spans="16:65">
      <c r="P307" s="781">
        <v>0</v>
      </c>
      <c r="Q307" s="780">
        <f t="shared" si="68"/>
        <v>0</v>
      </c>
      <c r="R307" s="776">
        <f>IF(P308,_xll.qDateYears(P307,P308,DCCfixed),0)</f>
        <v>0</v>
      </c>
      <c r="S307" s="553">
        <v>0</v>
      </c>
      <c r="T307" s="785"/>
      <c r="U307" s="409">
        <f t="shared" si="78"/>
        <v>0</v>
      </c>
      <c r="X307" s="363">
        <v>0</v>
      </c>
      <c r="Y307" s="775">
        <f t="shared" si="69"/>
        <v>0</v>
      </c>
      <c r="Z307" s="776">
        <f>IF(X308,_xll.qDateYears(X307,X308,DCCfloat),0)</f>
        <v>0</v>
      </c>
      <c r="AA307" s="553">
        <v>0</v>
      </c>
      <c r="AB307" s="789">
        <f>IF($X307=0,0,      _xll.qDateNext($X307,AB$12,"M",FRM&lt;&gt;"Calypso",CCY))</f>
        <v>0</v>
      </c>
      <c r="AC307" s="789">
        <f>IF($X307=0,0,      _xll.qDateNext($X307,AC$12,"M",FRM&lt;&gt;"Calypso",CCY))</f>
        <v>0</v>
      </c>
      <c r="AD307" s="789">
        <f>IF($X307=0,0,      _xll.qDateNext($X307,AD$12,"M",FRM&lt;&gt;"Calypso",CCY))</f>
        <v>0</v>
      </c>
      <c r="AE307" s="789">
        <f>IF($X307=0,0,      _xll.qDateNext($X307,AE$12,"M",FRM&lt;&gt;"Calypso",CCY))</f>
        <v>0</v>
      </c>
      <c r="AF307" s="789">
        <f>IF($X307=0,0,      _xll.qDateNext($X307,AF$12,"M",FRM&lt;&gt;"Calypso",CCY))</f>
        <v>0</v>
      </c>
      <c r="AG307" s="789">
        <f>IF($X307=0,0,      _xll.qDateNext($X307,AG$12,"M",FRM&lt;&gt;"Calypso",CCY))</f>
        <v>0</v>
      </c>
      <c r="AH307" s="789">
        <f>IF($X307=0,0,      _xll.qDateNext($X307,AH$12,"M",FRM&lt;&gt;"Calypso",CCY))</f>
        <v>0</v>
      </c>
      <c r="AI307" s="789">
        <f>IF($X307=0,0,      _xll.qDateNext($X307,AI$12,"M",FRM&lt;&gt;"Calypso",CCY))</f>
        <v>0</v>
      </c>
      <c r="AJ307" s="529" t="str">
        <v/>
      </c>
      <c r="AK307" s="529" t="str">
        <v/>
      </c>
      <c r="AL307" s="529" t="str">
        <v/>
      </c>
      <c r="AM307" s="529" t="str">
        <v/>
      </c>
      <c r="AN307" s="529" t="str">
        <v/>
      </c>
      <c r="AO307" s="529" t="str">
        <v/>
      </c>
      <c r="AP307" s="529" t="str">
        <v/>
      </c>
      <c r="AQ307" s="529" t="str">
        <v/>
      </c>
      <c r="AR307" s="529">
        <v>0</v>
      </c>
      <c r="AS307" s="529">
        <v>0</v>
      </c>
      <c r="AT307" s="529">
        <f t="shared" si="79"/>
        <v>0</v>
      </c>
      <c r="AU307" s="529">
        <v>0</v>
      </c>
      <c r="AV307" s="529">
        <f t="shared" si="80"/>
        <v>0</v>
      </c>
      <c r="AW307" s="529">
        <f t="shared" si="81"/>
        <v>0</v>
      </c>
      <c r="AX307" s="529">
        <v>0</v>
      </c>
      <c r="AY307" s="529">
        <v>0</v>
      </c>
      <c r="AZ307" s="761">
        <f t="shared" si="70"/>
        <v>0</v>
      </c>
      <c r="BA307" s="761">
        <f t="shared" si="71"/>
        <v>0</v>
      </c>
      <c r="BB307" s="761">
        <f t="shared" si="72"/>
        <v>0</v>
      </c>
      <c r="BC307" s="761">
        <f t="shared" si="73"/>
        <v>0</v>
      </c>
      <c r="BD307" s="761">
        <f t="shared" si="74"/>
        <v>0</v>
      </c>
      <c r="BE307" s="761">
        <f t="shared" si="75"/>
        <v>0</v>
      </c>
      <c r="BF307" s="761">
        <f t="shared" si="76"/>
        <v>0</v>
      </c>
      <c r="BG307" s="761">
        <f t="shared" si="77"/>
        <v>0</v>
      </c>
      <c r="BH307" s="777">
        <v>0</v>
      </c>
      <c r="BI307" s="755"/>
      <c r="BJ307" s="778">
        <f>IF(X308=0,0,           IF(ISNUMBER(BI307),BI307,               IF(ISTEXT(BI307),INDEX(AZ307:BG307,MATCH(BI307,$AZ$12:$BG$12,0)),             IF(BH307="INT",_xll.qInterp(X308,AB307:AI307,AZ307:BG307),            INDEX(AZ307:BG307,MATCH(BH307,$AZ$12:$BG$12,0))))))</f>
        <v>0</v>
      </c>
      <c r="BK307" s="408">
        <f t="shared" si="82"/>
        <v>0</v>
      </c>
      <c r="BL307" s="414">
        <f t="shared" si="83"/>
        <v>0</v>
      </c>
      <c r="BM307" s="408">
        <f t="shared" si="84"/>
        <v>0</v>
      </c>
    </row>
    <row r="308" spans="16:65">
      <c r="P308" s="781">
        <v>0</v>
      </c>
      <c r="Q308" s="780">
        <f t="shared" si="68"/>
        <v>0</v>
      </c>
      <c r="R308" s="776">
        <f>IF(P309,_xll.qDateYears(P308,P309,DCCfixed),0)</f>
        <v>0</v>
      </c>
      <c r="S308" s="553">
        <v>0</v>
      </c>
      <c r="T308" s="785"/>
      <c r="U308" s="409">
        <f t="shared" si="78"/>
        <v>0</v>
      </c>
      <c r="X308" s="363">
        <v>0</v>
      </c>
      <c r="Y308" s="775">
        <f t="shared" si="69"/>
        <v>0</v>
      </c>
      <c r="Z308" s="776">
        <f>IF(X309,_xll.qDateYears(X308,X309,DCCfloat),0)</f>
        <v>0</v>
      </c>
      <c r="AA308" s="553">
        <v>0</v>
      </c>
      <c r="AB308" s="789">
        <f>IF($X308=0,0,      _xll.qDateNext($X308,AB$12,"M",FRM&lt;&gt;"Calypso",CCY))</f>
        <v>0</v>
      </c>
      <c r="AC308" s="789">
        <f>IF($X308=0,0,      _xll.qDateNext($X308,AC$12,"M",FRM&lt;&gt;"Calypso",CCY))</f>
        <v>0</v>
      </c>
      <c r="AD308" s="789">
        <f>IF($X308=0,0,      _xll.qDateNext($X308,AD$12,"M",FRM&lt;&gt;"Calypso",CCY))</f>
        <v>0</v>
      </c>
      <c r="AE308" s="789">
        <f>IF($X308=0,0,      _xll.qDateNext($X308,AE$12,"M",FRM&lt;&gt;"Calypso",CCY))</f>
        <v>0</v>
      </c>
      <c r="AF308" s="789">
        <f>IF($X308=0,0,      _xll.qDateNext($X308,AF$12,"M",FRM&lt;&gt;"Calypso",CCY))</f>
        <v>0</v>
      </c>
      <c r="AG308" s="789">
        <f>IF($X308=0,0,      _xll.qDateNext($X308,AG$12,"M",FRM&lt;&gt;"Calypso",CCY))</f>
        <v>0</v>
      </c>
      <c r="AH308" s="789">
        <f>IF($X308=0,0,      _xll.qDateNext($X308,AH$12,"M",FRM&lt;&gt;"Calypso",CCY))</f>
        <v>0</v>
      </c>
      <c r="AI308" s="789">
        <f>IF($X308=0,0,      _xll.qDateNext($X308,AI$12,"M",FRM&lt;&gt;"Calypso",CCY))</f>
        <v>0</v>
      </c>
      <c r="AJ308" s="529" t="str">
        <v/>
      </c>
      <c r="AK308" s="529" t="str">
        <v/>
      </c>
      <c r="AL308" s="529" t="str">
        <v/>
      </c>
      <c r="AM308" s="529" t="str">
        <v/>
      </c>
      <c r="AN308" s="529" t="str">
        <v/>
      </c>
      <c r="AO308" s="529" t="str">
        <v/>
      </c>
      <c r="AP308" s="529" t="str">
        <v/>
      </c>
      <c r="AQ308" s="529" t="str">
        <v/>
      </c>
      <c r="AR308" s="529">
        <v>0</v>
      </c>
      <c r="AS308" s="529">
        <v>0</v>
      </c>
      <c r="AT308" s="529">
        <f t="shared" si="79"/>
        <v>0</v>
      </c>
      <c r="AU308" s="529">
        <v>0</v>
      </c>
      <c r="AV308" s="529">
        <f t="shared" si="80"/>
        <v>0</v>
      </c>
      <c r="AW308" s="529">
        <f t="shared" si="81"/>
        <v>0</v>
      </c>
      <c r="AX308" s="529">
        <v>0</v>
      </c>
      <c r="AY308" s="529">
        <v>0</v>
      </c>
      <c r="AZ308" s="761">
        <f t="shared" si="70"/>
        <v>0</v>
      </c>
      <c r="BA308" s="761">
        <f t="shared" si="71"/>
        <v>0</v>
      </c>
      <c r="BB308" s="761">
        <f t="shared" si="72"/>
        <v>0</v>
      </c>
      <c r="BC308" s="761">
        <f t="shared" si="73"/>
        <v>0</v>
      </c>
      <c r="BD308" s="761">
        <f t="shared" si="74"/>
        <v>0</v>
      </c>
      <c r="BE308" s="761">
        <f t="shared" si="75"/>
        <v>0</v>
      </c>
      <c r="BF308" s="761">
        <f t="shared" si="76"/>
        <v>0</v>
      </c>
      <c r="BG308" s="761">
        <f t="shared" si="77"/>
        <v>0</v>
      </c>
      <c r="BH308" s="777">
        <v>0</v>
      </c>
      <c r="BI308" s="755"/>
      <c r="BJ308" s="778">
        <f>IF(X309=0,0,           IF(ISNUMBER(BI308),BI308,               IF(ISTEXT(BI308),INDEX(AZ308:BG308,MATCH(BI308,$AZ$12:$BG$12,0)),             IF(BH308="INT",_xll.qInterp(X309,AB308:AI308,AZ308:BG308),            INDEX(AZ308:BG308,MATCH(BH308,$AZ$12:$BG$12,0))))))</f>
        <v>0</v>
      </c>
      <c r="BK308" s="408">
        <f t="shared" si="82"/>
        <v>0</v>
      </c>
      <c r="BL308" s="414">
        <f t="shared" si="83"/>
        <v>0</v>
      </c>
      <c r="BM308" s="408">
        <f t="shared" si="84"/>
        <v>0</v>
      </c>
    </row>
    <row r="309" spans="16:65">
      <c r="P309" s="781">
        <v>0</v>
      </c>
      <c r="Q309" s="780">
        <f t="shared" si="68"/>
        <v>0</v>
      </c>
      <c r="R309" s="776">
        <f>IF(P310,_xll.qDateYears(P309,P310,DCCfixed),0)</f>
        <v>0</v>
      </c>
      <c r="S309" s="553">
        <v>0</v>
      </c>
      <c r="T309" s="785"/>
      <c r="U309" s="409">
        <f t="shared" si="78"/>
        <v>0</v>
      </c>
      <c r="X309" s="363">
        <v>0</v>
      </c>
      <c r="Y309" s="775">
        <f t="shared" si="69"/>
        <v>0</v>
      </c>
      <c r="Z309" s="776">
        <f>IF(X310,_xll.qDateYears(X309,X310,DCCfloat),0)</f>
        <v>0</v>
      </c>
      <c r="AA309" s="553">
        <v>0</v>
      </c>
      <c r="AB309" s="789">
        <f>IF($X309=0,0,      _xll.qDateNext($X309,AB$12,"M",FRM&lt;&gt;"Calypso",CCY))</f>
        <v>0</v>
      </c>
      <c r="AC309" s="789">
        <f>IF($X309=0,0,      _xll.qDateNext($X309,AC$12,"M",FRM&lt;&gt;"Calypso",CCY))</f>
        <v>0</v>
      </c>
      <c r="AD309" s="789">
        <f>IF($X309=0,0,      _xll.qDateNext($X309,AD$12,"M",FRM&lt;&gt;"Calypso",CCY))</f>
        <v>0</v>
      </c>
      <c r="AE309" s="789">
        <f>IF($X309=0,0,      _xll.qDateNext($X309,AE$12,"M",FRM&lt;&gt;"Calypso",CCY))</f>
        <v>0</v>
      </c>
      <c r="AF309" s="789">
        <f>IF($X309=0,0,      _xll.qDateNext($X309,AF$12,"M",FRM&lt;&gt;"Calypso",CCY))</f>
        <v>0</v>
      </c>
      <c r="AG309" s="789">
        <f>IF($X309=0,0,      _xll.qDateNext($X309,AG$12,"M",FRM&lt;&gt;"Calypso",CCY))</f>
        <v>0</v>
      </c>
      <c r="AH309" s="789">
        <f>IF($X309=0,0,      _xll.qDateNext($X309,AH$12,"M",FRM&lt;&gt;"Calypso",CCY))</f>
        <v>0</v>
      </c>
      <c r="AI309" s="789">
        <f>IF($X309=0,0,      _xll.qDateNext($X309,AI$12,"M",FRM&lt;&gt;"Calypso",CCY))</f>
        <v>0</v>
      </c>
      <c r="AJ309" s="529" t="str">
        <v/>
      </c>
      <c r="AK309" s="529" t="str">
        <v/>
      </c>
      <c r="AL309" s="529" t="str">
        <v/>
      </c>
      <c r="AM309" s="529" t="str">
        <v/>
      </c>
      <c r="AN309" s="529" t="str">
        <v/>
      </c>
      <c r="AO309" s="529" t="str">
        <v/>
      </c>
      <c r="AP309" s="529" t="str">
        <v/>
      </c>
      <c r="AQ309" s="529" t="str">
        <v/>
      </c>
      <c r="AR309" s="529">
        <v>0</v>
      </c>
      <c r="AS309" s="529">
        <v>0</v>
      </c>
      <c r="AT309" s="529">
        <f t="shared" si="79"/>
        <v>0</v>
      </c>
      <c r="AU309" s="529">
        <v>0</v>
      </c>
      <c r="AV309" s="529">
        <f t="shared" si="80"/>
        <v>0</v>
      </c>
      <c r="AW309" s="529">
        <f t="shared" si="81"/>
        <v>0</v>
      </c>
      <c r="AX309" s="529">
        <v>0</v>
      </c>
      <c r="AY309" s="529">
        <v>0</v>
      </c>
      <c r="AZ309" s="761">
        <f t="shared" si="70"/>
        <v>0</v>
      </c>
      <c r="BA309" s="761">
        <f t="shared" si="71"/>
        <v>0</v>
      </c>
      <c r="BB309" s="761">
        <f t="shared" si="72"/>
        <v>0</v>
      </c>
      <c r="BC309" s="761">
        <f t="shared" si="73"/>
        <v>0</v>
      </c>
      <c r="BD309" s="761">
        <f t="shared" si="74"/>
        <v>0</v>
      </c>
      <c r="BE309" s="761">
        <f t="shared" si="75"/>
        <v>0</v>
      </c>
      <c r="BF309" s="761">
        <f t="shared" si="76"/>
        <v>0</v>
      </c>
      <c r="BG309" s="761">
        <f t="shared" si="77"/>
        <v>0</v>
      </c>
      <c r="BH309" s="777">
        <v>0</v>
      </c>
      <c r="BI309" s="755"/>
      <c r="BJ309" s="778">
        <f>IF(X310=0,0,           IF(ISNUMBER(BI309),BI309,               IF(ISTEXT(BI309),INDEX(AZ309:BG309,MATCH(BI309,$AZ$12:$BG$12,0)),             IF(BH309="INT",_xll.qInterp(X310,AB309:AI309,AZ309:BG309),            INDEX(AZ309:BG309,MATCH(BH309,$AZ$12:$BG$12,0))))))</f>
        <v>0</v>
      </c>
      <c r="BK309" s="408">
        <f t="shared" si="82"/>
        <v>0</v>
      </c>
      <c r="BL309" s="414">
        <f t="shared" si="83"/>
        <v>0</v>
      </c>
      <c r="BM309" s="408">
        <f t="shared" si="84"/>
        <v>0</v>
      </c>
    </row>
    <row r="310" spans="16:65">
      <c r="P310" s="781">
        <v>0</v>
      </c>
      <c r="Q310" s="780">
        <f t="shared" si="68"/>
        <v>0</v>
      </c>
      <c r="R310" s="776">
        <f>IF(P311,_xll.qDateYears(P310,P311,DCCfixed),0)</f>
        <v>0</v>
      </c>
      <c r="S310" s="553">
        <v>0</v>
      </c>
      <c r="T310" s="785"/>
      <c r="U310" s="409">
        <f t="shared" si="78"/>
        <v>0</v>
      </c>
      <c r="X310" s="363">
        <v>0</v>
      </c>
      <c r="Y310" s="775">
        <f t="shared" si="69"/>
        <v>0</v>
      </c>
      <c r="Z310" s="776">
        <f>IF(X311,_xll.qDateYears(X310,X311,DCCfloat),0)</f>
        <v>0</v>
      </c>
      <c r="AA310" s="553">
        <v>0</v>
      </c>
      <c r="AB310" s="789">
        <f>IF($X310=0,0,      _xll.qDateNext($X310,AB$12,"M",FRM&lt;&gt;"Calypso",CCY))</f>
        <v>0</v>
      </c>
      <c r="AC310" s="789">
        <f>IF($X310=0,0,      _xll.qDateNext($X310,AC$12,"M",FRM&lt;&gt;"Calypso",CCY))</f>
        <v>0</v>
      </c>
      <c r="AD310" s="789">
        <f>IF($X310=0,0,      _xll.qDateNext($X310,AD$12,"M",FRM&lt;&gt;"Calypso",CCY))</f>
        <v>0</v>
      </c>
      <c r="AE310" s="789">
        <f>IF($X310=0,0,      _xll.qDateNext($X310,AE$12,"M",FRM&lt;&gt;"Calypso",CCY))</f>
        <v>0</v>
      </c>
      <c r="AF310" s="789">
        <f>IF($X310=0,0,      _xll.qDateNext($X310,AF$12,"M",FRM&lt;&gt;"Calypso",CCY))</f>
        <v>0</v>
      </c>
      <c r="AG310" s="789">
        <f>IF($X310=0,0,      _xll.qDateNext($X310,AG$12,"M",FRM&lt;&gt;"Calypso",CCY))</f>
        <v>0</v>
      </c>
      <c r="AH310" s="789">
        <f>IF($X310=0,0,      _xll.qDateNext($X310,AH$12,"M",FRM&lt;&gt;"Calypso",CCY))</f>
        <v>0</v>
      </c>
      <c r="AI310" s="789">
        <f>IF($X310=0,0,      _xll.qDateNext($X310,AI$12,"M",FRM&lt;&gt;"Calypso",CCY))</f>
        <v>0</v>
      </c>
      <c r="AJ310" s="529" t="str">
        <v/>
      </c>
      <c r="AK310" s="529" t="str">
        <v/>
      </c>
      <c r="AL310" s="529" t="str">
        <v/>
      </c>
      <c r="AM310" s="529" t="str">
        <v/>
      </c>
      <c r="AN310" s="529" t="str">
        <v/>
      </c>
      <c r="AO310" s="529" t="str">
        <v/>
      </c>
      <c r="AP310" s="529" t="str">
        <v/>
      </c>
      <c r="AQ310" s="529" t="str">
        <v/>
      </c>
      <c r="AR310" s="529">
        <v>0</v>
      </c>
      <c r="AS310" s="529">
        <v>0</v>
      </c>
      <c r="AT310" s="529">
        <f t="shared" si="79"/>
        <v>0</v>
      </c>
      <c r="AU310" s="529">
        <v>0</v>
      </c>
      <c r="AV310" s="529">
        <f t="shared" si="80"/>
        <v>0</v>
      </c>
      <c r="AW310" s="529">
        <f t="shared" si="81"/>
        <v>0</v>
      </c>
      <c r="AX310" s="529">
        <v>0</v>
      </c>
      <c r="AY310" s="529">
        <v>0</v>
      </c>
      <c r="AZ310" s="761">
        <f t="shared" si="70"/>
        <v>0</v>
      </c>
      <c r="BA310" s="761">
        <f t="shared" si="71"/>
        <v>0</v>
      </c>
      <c r="BB310" s="761">
        <f t="shared" si="72"/>
        <v>0</v>
      </c>
      <c r="BC310" s="761">
        <f t="shared" si="73"/>
        <v>0</v>
      </c>
      <c r="BD310" s="761">
        <f t="shared" si="74"/>
        <v>0</v>
      </c>
      <c r="BE310" s="761">
        <f t="shared" si="75"/>
        <v>0</v>
      </c>
      <c r="BF310" s="761">
        <f t="shared" si="76"/>
        <v>0</v>
      </c>
      <c r="BG310" s="761">
        <f t="shared" si="77"/>
        <v>0</v>
      </c>
      <c r="BH310" s="777">
        <v>0</v>
      </c>
      <c r="BI310" s="755"/>
      <c r="BJ310" s="778">
        <f>IF(X311=0,0,           IF(ISNUMBER(BI310),BI310,               IF(ISTEXT(BI310),INDEX(AZ310:BG310,MATCH(BI310,$AZ$12:$BG$12,0)),             IF(BH310="INT",_xll.qInterp(X311,AB310:AI310,AZ310:BG310),            INDEX(AZ310:BG310,MATCH(BH310,$AZ$12:$BG$12,0))))))</f>
        <v>0</v>
      </c>
      <c r="BK310" s="408">
        <f t="shared" si="82"/>
        <v>0</v>
      </c>
      <c r="BL310" s="414">
        <f t="shared" si="83"/>
        <v>0</v>
      </c>
      <c r="BM310" s="408">
        <f t="shared" si="84"/>
        <v>0</v>
      </c>
    </row>
    <row r="311" spans="16:65">
      <c r="P311" s="781">
        <v>0</v>
      </c>
      <c r="Q311" s="780">
        <f t="shared" si="68"/>
        <v>0</v>
      </c>
      <c r="R311" s="776">
        <f>IF(P312,_xll.qDateYears(P311,P312,DCCfixed),0)</f>
        <v>0</v>
      </c>
      <c r="S311" s="553">
        <v>0</v>
      </c>
      <c r="T311" s="785"/>
      <c r="U311" s="409">
        <f t="shared" si="78"/>
        <v>0</v>
      </c>
      <c r="X311" s="363">
        <v>0</v>
      </c>
      <c r="Y311" s="775">
        <f t="shared" si="69"/>
        <v>0</v>
      </c>
      <c r="Z311" s="776">
        <f>IF(X312,_xll.qDateYears(X311,X312,DCCfloat),0)</f>
        <v>0</v>
      </c>
      <c r="AA311" s="553">
        <v>0</v>
      </c>
      <c r="AB311" s="789">
        <f>IF($X311=0,0,      _xll.qDateNext($X311,AB$12,"M",FRM&lt;&gt;"Calypso",CCY))</f>
        <v>0</v>
      </c>
      <c r="AC311" s="789">
        <f>IF($X311=0,0,      _xll.qDateNext($X311,AC$12,"M",FRM&lt;&gt;"Calypso",CCY))</f>
        <v>0</v>
      </c>
      <c r="AD311" s="789">
        <f>IF($X311=0,0,      _xll.qDateNext($X311,AD$12,"M",FRM&lt;&gt;"Calypso",CCY))</f>
        <v>0</v>
      </c>
      <c r="AE311" s="789">
        <f>IF($X311=0,0,      _xll.qDateNext($X311,AE$12,"M",FRM&lt;&gt;"Calypso",CCY))</f>
        <v>0</v>
      </c>
      <c r="AF311" s="789">
        <f>IF($X311=0,0,      _xll.qDateNext($X311,AF$12,"M",FRM&lt;&gt;"Calypso",CCY))</f>
        <v>0</v>
      </c>
      <c r="AG311" s="789">
        <f>IF($X311=0,0,      _xll.qDateNext($X311,AG$12,"M",FRM&lt;&gt;"Calypso",CCY))</f>
        <v>0</v>
      </c>
      <c r="AH311" s="789">
        <f>IF($X311=0,0,      _xll.qDateNext($X311,AH$12,"M",FRM&lt;&gt;"Calypso",CCY))</f>
        <v>0</v>
      </c>
      <c r="AI311" s="789">
        <f>IF($X311=0,0,      _xll.qDateNext($X311,AI$12,"M",FRM&lt;&gt;"Calypso",CCY))</f>
        <v>0</v>
      </c>
      <c r="AJ311" s="529" t="str">
        <v/>
      </c>
      <c r="AK311" s="529" t="str">
        <v/>
      </c>
      <c r="AL311" s="529" t="str">
        <v/>
      </c>
      <c r="AM311" s="529" t="str">
        <v/>
      </c>
      <c r="AN311" s="529" t="str">
        <v/>
      </c>
      <c r="AO311" s="529" t="str">
        <v/>
      </c>
      <c r="AP311" s="529" t="str">
        <v/>
      </c>
      <c r="AQ311" s="529" t="str">
        <v/>
      </c>
      <c r="AR311" s="529">
        <v>0</v>
      </c>
      <c r="AS311" s="529">
        <v>0</v>
      </c>
      <c r="AT311" s="529">
        <f t="shared" si="79"/>
        <v>0</v>
      </c>
      <c r="AU311" s="529">
        <v>0</v>
      </c>
      <c r="AV311" s="529">
        <f t="shared" si="80"/>
        <v>0</v>
      </c>
      <c r="AW311" s="529">
        <f t="shared" si="81"/>
        <v>0</v>
      </c>
      <c r="AX311" s="529">
        <v>0</v>
      </c>
      <c r="AY311" s="529">
        <v>0</v>
      </c>
      <c r="AZ311" s="761">
        <f t="shared" si="70"/>
        <v>0</v>
      </c>
      <c r="BA311" s="761">
        <f t="shared" si="71"/>
        <v>0</v>
      </c>
      <c r="BB311" s="761">
        <f t="shared" si="72"/>
        <v>0</v>
      </c>
      <c r="BC311" s="761">
        <f t="shared" si="73"/>
        <v>0</v>
      </c>
      <c r="BD311" s="761">
        <f t="shared" si="74"/>
        <v>0</v>
      </c>
      <c r="BE311" s="761">
        <f t="shared" si="75"/>
        <v>0</v>
      </c>
      <c r="BF311" s="761">
        <f t="shared" si="76"/>
        <v>0</v>
      </c>
      <c r="BG311" s="761">
        <f t="shared" si="77"/>
        <v>0</v>
      </c>
      <c r="BH311" s="777">
        <v>0</v>
      </c>
      <c r="BI311" s="755"/>
      <c r="BJ311" s="778">
        <f>IF(X312=0,0,           IF(ISNUMBER(BI311),BI311,               IF(ISTEXT(BI311),INDEX(AZ311:BG311,MATCH(BI311,$AZ$12:$BG$12,0)),             IF(BH311="INT",_xll.qInterp(X312,AB311:AI311,AZ311:BG311),            INDEX(AZ311:BG311,MATCH(BH311,$AZ$12:$BG$12,0))))))</f>
        <v>0</v>
      </c>
      <c r="BK311" s="408">
        <f t="shared" si="82"/>
        <v>0</v>
      </c>
      <c r="BL311" s="414">
        <f t="shared" si="83"/>
        <v>0</v>
      </c>
      <c r="BM311" s="408">
        <f t="shared" si="84"/>
        <v>0</v>
      </c>
    </row>
    <row r="312" spans="16:65">
      <c r="P312" s="781">
        <v>0</v>
      </c>
      <c r="Q312" s="780">
        <f t="shared" si="68"/>
        <v>0</v>
      </c>
      <c r="R312" s="776">
        <f>IF(P313,_xll.qDateYears(P312,P313,DCCfixed),0)</f>
        <v>0</v>
      </c>
      <c r="S312" s="553">
        <v>0</v>
      </c>
      <c r="T312" s="785"/>
      <c r="U312" s="409">
        <f t="shared" si="78"/>
        <v>0</v>
      </c>
      <c r="X312" s="363">
        <v>0</v>
      </c>
      <c r="Y312" s="775">
        <f t="shared" si="69"/>
        <v>0</v>
      </c>
      <c r="Z312" s="776">
        <f>IF(X313,_xll.qDateYears(X312,X313,DCCfloat),0)</f>
        <v>0</v>
      </c>
      <c r="AA312" s="553">
        <v>0</v>
      </c>
      <c r="AB312" s="789">
        <f>IF($X312=0,0,      _xll.qDateNext($X312,AB$12,"M",FRM&lt;&gt;"Calypso",CCY))</f>
        <v>0</v>
      </c>
      <c r="AC312" s="789">
        <f>IF($X312=0,0,      _xll.qDateNext($X312,AC$12,"M",FRM&lt;&gt;"Calypso",CCY))</f>
        <v>0</v>
      </c>
      <c r="AD312" s="789">
        <f>IF($X312=0,0,      _xll.qDateNext($X312,AD$12,"M",FRM&lt;&gt;"Calypso",CCY))</f>
        <v>0</v>
      </c>
      <c r="AE312" s="789">
        <f>IF($X312=0,0,      _xll.qDateNext($X312,AE$12,"M",FRM&lt;&gt;"Calypso",CCY))</f>
        <v>0</v>
      </c>
      <c r="AF312" s="789">
        <f>IF($X312=0,0,      _xll.qDateNext($X312,AF$12,"M",FRM&lt;&gt;"Calypso",CCY))</f>
        <v>0</v>
      </c>
      <c r="AG312" s="789">
        <f>IF($X312=0,0,      _xll.qDateNext($X312,AG$12,"M",FRM&lt;&gt;"Calypso",CCY))</f>
        <v>0</v>
      </c>
      <c r="AH312" s="789">
        <f>IF($X312=0,0,      _xll.qDateNext($X312,AH$12,"M",FRM&lt;&gt;"Calypso",CCY))</f>
        <v>0</v>
      </c>
      <c r="AI312" s="789">
        <f>IF($X312=0,0,      _xll.qDateNext($X312,AI$12,"M",FRM&lt;&gt;"Calypso",CCY))</f>
        <v>0</v>
      </c>
      <c r="AJ312" s="529" t="str">
        <v/>
      </c>
      <c r="AK312" s="529" t="str">
        <v/>
      </c>
      <c r="AL312" s="529" t="str">
        <v/>
      </c>
      <c r="AM312" s="529" t="str">
        <v/>
      </c>
      <c r="AN312" s="529" t="str">
        <v/>
      </c>
      <c r="AO312" s="529" t="str">
        <v/>
      </c>
      <c r="AP312" s="529" t="str">
        <v/>
      </c>
      <c r="AQ312" s="529" t="str">
        <v/>
      </c>
      <c r="AR312" s="529">
        <v>0</v>
      </c>
      <c r="AS312" s="529">
        <v>0</v>
      </c>
      <c r="AT312" s="529">
        <f t="shared" si="79"/>
        <v>0</v>
      </c>
      <c r="AU312" s="529">
        <v>0</v>
      </c>
      <c r="AV312" s="529">
        <f t="shared" si="80"/>
        <v>0</v>
      </c>
      <c r="AW312" s="529">
        <f t="shared" si="81"/>
        <v>0</v>
      </c>
      <c r="AX312" s="529">
        <v>0</v>
      </c>
      <c r="AY312" s="529">
        <v>0</v>
      </c>
      <c r="AZ312" s="761">
        <f t="shared" si="70"/>
        <v>0</v>
      </c>
      <c r="BA312" s="761">
        <f t="shared" si="71"/>
        <v>0</v>
      </c>
      <c r="BB312" s="761">
        <f t="shared" si="72"/>
        <v>0</v>
      </c>
      <c r="BC312" s="761">
        <f t="shared" si="73"/>
        <v>0</v>
      </c>
      <c r="BD312" s="761">
        <f t="shared" si="74"/>
        <v>0</v>
      </c>
      <c r="BE312" s="761">
        <f t="shared" si="75"/>
        <v>0</v>
      </c>
      <c r="BF312" s="761">
        <f t="shared" si="76"/>
        <v>0</v>
      </c>
      <c r="BG312" s="761">
        <f t="shared" si="77"/>
        <v>0</v>
      </c>
      <c r="BH312" s="777">
        <v>0</v>
      </c>
      <c r="BI312" s="755"/>
      <c r="BJ312" s="778">
        <f>IF(X313=0,0,           IF(ISNUMBER(BI312),BI312,               IF(ISTEXT(BI312),INDEX(AZ312:BG312,MATCH(BI312,$AZ$12:$BG$12,0)),             IF(BH312="INT",_xll.qInterp(X313,AB312:AI312,AZ312:BG312),            INDEX(AZ312:BG312,MATCH(BH312,$AZ$12:$BG$12,0))))))</f>
        <v>0</v>
      </c>
      <c r="BK312" s="408">
        <f t="shared" si="82"/>
        <v>0</v>
      </c>
      <c r="BL312" s="414">
        <f t="shared" si="83"/>
        <v>0</v>
      </c>
      <c r="BM312" s="408">
        <f t="shared" si="84"/>
        <v>0</v>
      </c>
    </row>
    <row r="313" spans="16:65">
      <c r="P313" s="781">
        <v>0</v>
      </c>
      <c r="Q313" s="780">
        <f t="shared" si="68"/>
        <v>0</v>
      </c>
      <c r="R313" s="776">
        <f>IF(P314,_xll.qDateYears(P313,P314,DCCfixed),0)</f>
        <v>0</v>
      </c>
      <c r="S313" s="553">
        <v>0</v>
      </c>
      <c r="T313" s="785"/>
      <c r="U313" s="409">
        <f t="shared" si="78"/>
        <v>0</v>
      </c>
      <c r="X313" s="363">
        <v>0</v>
      </c>
      <c r="Y313" s="775">
        <f t="shared" si="69"/>
        <v>0</v>
      </c>
      <c r="Z313" s="776">
        <f>IF(X314,_xll.qDateYears(X313,X314,DCCfloat),0)</f>
        <v>0</v>
      </c>
      <c r="AA313" s="553">
        <v>0</v>
      </c>
      <c r="AB313" s="789">
        <f>IF($X313=0,0,      _xll.qDateNext($X313,AB$12,"M",FRM&lt;&gt;"Calypso",CCY))</f>
        <v>0</v>
      </c>
      <c r="AC313" s="789">
        <f>IF($X313=0,0,      _xll.qDateNext($X313,AC$12,"M",FRM&lt;&gt;"Calypso",CCY))</f>
        <v>0</v>
      </c>
      <c r="AD313" s="789">
        <f>IF($X313=0,0,      _xll.qDateNext($X313,AD$12,"M",FRM&lt;&gt;"Calypso",CCY))</f>
        <v>0</v>
      </c>
      <c r="AE313" s="789">
        <f>IF($X313=0,0,      _xll.qDateNext($X313,AE$12,"M",FRM&lt;&gt;"Calypso",CCY))</f>
        <v>0</v>
      </c>
      <c r="AF313" s="789">
        <f>IF($X313=0,0,      _xll.qDateNext($X313,AF$12,"M",FRM&lt;&gt;"Calypso",CCY))</f>
        <v>0</v>
      </c>
      <c r="AG313" s="789">
        <f>IF($X313=0,0,      _xll.qDateNext($X313,AG$12,"M",FRM&lt;&gt;"Calypso",CCY))</f>
        <v>0</v>
      </c>
      <c r="AH313" s="789">
        <f>IF($X313=0,0,      _xll.qDateNext($X313,AH$12,"M",FRM&lt;&gt;"Calypso",CCY))</f>
        <v>0</v>
      </c>
      <c r="AI313" s="789">
        <f>IF($X313=0,0,      _xll.qDateNext($X313,AI$12,"M",FRM&lt;&gt;"Calypso",CCY))</f>
        <v>0</v>
      </c>
      <c r="AJ313" s="529" t="str">
        <v/>
      </c>
      <c r="AK313" s="529" t="str">
        <v/>
      </c>
      <c r="AL313" s="529" t="str">
        <v/>
      </c>
      <c r="AM313" s="529" t="str">
        <v/>
      </c>
      <c r="AN313" s="529" t="str">
        <v/>
      </c>
      <c r="AO313" s="529" t="str">
        <v/>
      </c>
      <c r="AP313" s="529" t="str">
        <v/>
      </c>
      <c r="AQ313" s="529" t="str">
        <v/>
      </c>
      <c r="AR313" s="529">
        <v>0</v>
      </c>
      <c r="AS313" s="529">
        <v>0</v>
      </c>
      <c r="AT313" s="529">
        <f t="shared" si="79"/>
        <v>0</v>
      </c>
      <c r="AU313" s="529">
        <v>0</v>
      </c>
      <c r="AV313" s="529">
        <f t="shared" si="80"/>
        <v>0</v>
      </c>
      <c r="AW313" s="529">
        <f t="shared" si="81"/>
        <v>0</v>
      </c>
      <c r="AX313" s="529">
        <v>0</v>
      </c>
      <c r="AY313" s="529">
        <v>0</v>
      </c>
      <c r="AZ313" s="761">
        <f t="shared" si="70"/>
        <v>0</v>
      </c>
      <c r="BA313" s="761">
        <f t="shared" si="71"/>
        <v>0</v>
      </c>
      <c r="BB313" s="761">
        <f t="shared" si="72"/>
        <v>0</v>
      </c>
      <c r="BC313" s="761">
        <f t="shared" si="73"/>
        <v>0</v>
      </c>
      <c r="BD313" s="761">
        <f t="shared" si="74"/>
        <v>0</v>
      </c>
      <c r="BE313" s="761">
        <f t="shared" si="75"/>
        <v>0</v>
      </c>
      <c r="BF313" s="761">
        <f t="shared" si="76"/>
        <v>0</v>
      </c>
      <c r="BG313" s="761">
        <f t="shared" si="77"/>
        <v>0</v>
      </c>
      <c r="BH313" s="777">
        <v>0</v>
      </c>
      <c r="BI313" s="755"/>
      <c r="BJ313" s="778">
        <f>IF(X314=0,0,           IF(ISNUMBER(BI313),BI313,               IF(ISTEXT(BI313),INDEX(AZ313:BG313,MATCH(BI313,$AZ$12:$BG$12,0)),             IF(BH313="INT",_xll.qInterp(X314,AB313:AI313,AZ313:BG313),            INDEX(AZ313:BG313,MATCH(BH313,$AZ$12:$BG$12,0))))))</f>
        <v>0</v>
      </c>
      <c r="BK313" s="408">
        <f t="shared" si="82"/>
        <v>0</v>
      </c>
      <c r="BL313" s="414">
        <f t="shared" si="83"/>
        <v>0</v>
      </c>
      <c r="BM313" s="408">
        <f t="shared" si="84"/>
        <v>0</v>
      </c>
    </row>
    <row r="314" spans="16:65">
      <c r="P314" s="781">
        <v>0</v>
      </c>
      <c r="Q314" s="780">
        <f t="shared" si="68"/>
        <v>0</v>
      </c>
      <c r="R314" s="776">
        <f>IF(P315,_xll.qDateYears(P314,P315,DCCfixed),0)</f>
        <v>0</v>
      </c>
      <c r="S314" s="553">
        <v>0</v>
      </c>
      <c r="T314" s="785"/>
      <c r="U314" s="409">
        <f t="shared" si="78"/>
        <v>0</v>
      </c>
      <c r="X314" s="363">
        <v>0</v>
      </c>
      <c r="Y314" s="775">
        <f t="shared" si="69"/>
        <v>0</v>
      </c>
      <c r="Z314" s="776">
        <f>IF(X315,_xll.qDateYears(X314,X315,DCCfloat),0)</f>
        <v>0</v>
      </c>
      <c r="AA314" s="553">
        <v>0</v>
      </c>
      <c r="AB314" s="789">
        <f>IF($X314=0,0,      _xll.qDateNext($X314,AB$12,"M",FRM&lt;&gt;"Calypso",CCY))</f>
        <v>0</v>
      </c>
      <c r="AC314" s="789">
        <f>IF($X314=0,0,      _xll.qDateNext($X314,AC$12,"M",FRM&lt;&gt;"Calypso",CCY))</f>
        <v>0</v>
      </c>
      <c r="AD314" s="789">
        <f>IF($X314=0,0,      _xll.qDateNext($X314,AD$12,"M",FRM&lt;&gt;"Calypso",CCY))</f>
        <v>0</v>
      </c>
      <c r="AE314" s="789">
        <f>IF($X314=0,0,      _xll.qDateNext($X314,AE$12,"M",FRM&lt;&gt;"Calypso",CCY))</f>
        <v>0</v>
      </c>
      <c r="AF314" s="789">
        <f>IF($X314=0,0,      _xll.qDateNext($X314,AF$12,"M",FRM&lt;&gt;"Calypso",CCY))</f>
        <v>0</v>
      </c>
      <c r="AG314" s="789">
        <f>IF($X314=0,0,      _xll.qDateNext($X314,AG$12,"M",FRM&lt;&gt;"Calypso",CCY))</f>
        <v>0</v>
      </c>
      <c r="AH314" s="789">
        <f>IF($X314=0,0,      _xll.qDateNext($X314,AH$12,"M",FRM&lt;&gt;"Calypso",CCY))</f>
        <v>0</v>
      </c>
      <c r="AI314" s="789">
        <f>IF($X314=0,0,      _xll.qDateNext($X314,AI$12,"M",FRM&lt;&gt;"Calypso",CCY))</f>
        <v>0</v>
      </c>
      <c r="AJ314" s="529" t="str">
        <v/>
      </c>
      <c r="AK314" s="529" t="str">
        <v/>
      </c>
      <c r="AL314" s="529" t="str">
        <v/>
      </c>
      <c r="AM314" s="529" t="str">
        <v/>
      </c>
      <c r="AN314" s="529" t="str">
        <v/>
      </c>
      <c r="AO314" s="529" t="str">
        <v/>
      </c>
      <c r="AP314" s="529" t="str">
        <v/>
      </c>
      <c r="AQ314" s="529" t="str">
        <v/>
      </c>
      <c r="AR314" s="529">
        <v>0</v>
      </c>
      <c r="AS314" s="529">
        <v>0</v>
      </c>
      <c r="AT314" s="529">
        <f t="shared" si="79"/>
        <v>0</v>
      </c>
      <c r="AU314" s="529">
        <v>0</v>
      </c>
      <c r="AV314" s="529">
        <f t="shared" si="80"/>
        <v>0</v>
      </c>
      <c r="AW314" s="529">
        <f t="shared" si="81"/>
        <v>0</v>
      </c>
      <c r="AX314" s="529">
        <v>0</v>
      </c>
      <c r="AY314" s="529">
        <v>0</v>
      </c>
      <c r="AZ314" s="761">
        <f t="shared" si="70"/>
        <v>0</v>
      </c>
      <c r="BA314" s="761">
        <f t="shared" si="71"/>
        <v>0</v>
      </c>
      <c r="BB314" s="761">
        <f t="shared" si="72"/>
        <v>0</v>
      </c>
      <c r="BC314" s="761">
        <f t="shared" si="73"/>
        <v>0</v>
      </c>
      <c r="BD314" s="761">
        <f t="shared" si="74"/>
        <v>0</v>
      </c>
      <c r="BE314" s="761">
        <f t="shared" si="75"/>
        <v>0</v>
      </c>
      <c r="BF314" s="761">
        <f t="shared" si="76"/>
        <v>0</v>
      </c>
      <c r="BG314" s="761">
        <f t="shared" si="77"/>
        <v>0</v>
      </c>
      <c r="BH314" s="777">
        <v>0</v>
      </c>
      <c r="BI314" s="755"/>
      <c r="BJ314" s="778">
        <f>IF(X315=0,0,           IF(ISNUMBER(BI314),BI314,               IF(ISTEXT(BI314),INDEX(AZ314:BG314,MATCH(BI314,$AZ$12:$BG$12,0)),             IF(BH314="INT",_xll.qInterp(X315,AB314:AI314,AZ314:BG314),            INDEX(AZ314:BG314,MATCH(BH314,$AZ$12:$BG$12,0))))))</f>
        <v>0</v>
      </c>
      <c r="BK314" s="408">
        <f t="shared" si="82"/>
        <v>0</v>
      </c>
      <c r="BL314" s="414">
        <f t="shared" si="83"/>
        <v>0</v>
      </c>
      <c r="BM314" s="408">
        <f t="shared" si="84"/>
        <v>0</v>
      </c>
    </row>
    <row r="315" spans="16:65">
      <c r="P315" s="781">
        <v>0</v>
      </c>
      <c r="Q315" s="780">
        <f t="shared" si="68"/>
        <v>0</v>
      </c>
      <c r="R315" s="776">
        <f>IF(P316,_xll.qDateYears(P315,P316,DCCfixed),0)</f>
        <v>0</v>
      </c>
      <c r="S315" s="553">
        <v>0</v>
      </c>
      <c r="T315" s="785"/>
      <c r="U315" s="409">
        <f t="shared" si="78"/>
        <v>0</v>
      </c>
      <c r="X315" s="363">
        <v>0</v>
      </c>
      <c r="Y315" s="775">
        <f t="shared" si="69"/>
        <v>0</v>
      </c>
      <c r="Z315" s="776">
        <f>IF(X316,_xll.qDateYears(X315,X316,DCCfloat),0)</f>
        <v>0</v>
      </c>
      <c r="AA315" s="553">
        <v>0</v>
      </c>
      <c r="AB315" s="789">
        <f>IF($X315=0,0,      _xll.qDateNext($X315,AB$12,"M",FRM&lt;&gt;"Calypso",CCY))</f>
        <v>0</v>
      </c>
      <c r="AC315" s="789">
        <f>IF($X315=0,0,      _xll.qDateNext($X315,AC$12,"M",FRM&lt;&gt;"Calypso",CCY))</f>
        <v>0</v>
      </c>
      <c r="AD315" s="789">
        <f>IF($X315=0,0,      _xll.qDateNext($X315,AD$12,"M",FRM&lt;&gt;"Calypso",CCY))</f>
        <v>0</v>
      </c>
      <c r="AE315" s="789">
        <f>IF($X315=0,0,      _xll.qDateNext($X315,AE$12,"M",FRM&lt;&gt;"Calypso",CCY))</f>
        <v>0</v>
      </c>
      <c r="AF315" s="789">
        <f>IF($X315=0,0,      _xll.qDateNext($X315,AF$12,"M",FRM&lt;&gt;"Calypso",CCY))</f>
        <v>0</v>
      </c>
      <c r="AG315" s="789">
        <f>IF($X315=0,0,      _xll.qDateNext($X315,AG$12,"M",FRM&lt;&gt;"Calypso",CCY))</f>
        <v>0</v>
      </c>
      <c r="AH315" s="789">
        <f>IF($X315=0,0,      _xll.qDateNext($X315,AH$12,"M",FRM&lt;&gt;"Calypso",CCY))</f>
        <v>0</v>
      </c>
      <c r="AI315" s="789">
        <f>IF($X315=0,0,      _xll.qDateNext($X315,AI$12,"M",FRM&lt;&gt;"Calypso",CCY))</f>
        <v>0</v>
      </c>
      <c r="AJ315" s="529" t="str">
        <v/>
      </c>
      <c r="AK315" s="529" t="str">
        <v/>
      </c>
      <c r="AL315" s="529" t="str">
        <v/>
      </c>
      <c r="AM315" s="529" t="str">
        <v/>
      </c>
      <c r="AN315" s="529" t="str">
        <v/>
      </c>
      <c r="AO315" s="529" t="str">
        <v/>
      </c>
      <c r="AP315" s="529" t="str">
        <v/>
      </c>
      <c r="AQ315" s="529" t="str">
        <v/>
      </c>
      <c r="AR315" s="529">
        <v>0</v>
      </c>
      <c r="AS315" s="529">
        <v>0</v>
      </c>
      <c r="AT315" s="529">
        <f t="shared" si="79"/>
        <v>0</v>
      </c>
      <c r="AU315" s="529">
        <v>0</v>
      </c>
      <c r="AV315" s="529">
        <f t="shared" si="80"/>
        <v>0</v>
      </c>
      <c r="AW315" s="529">
        <f t="shared" si="81"/>
        <v>0</v>
      </c>
      <c r="AX315" s="529">
        <v>0</v>
      </c>
      <c r="AY315" s="529">
        <v>0</v>
      </c>
      <c r="AZ315" s="761">
        <f t="shared" si="70"/>
        <v>0</v>
      </c>
      <c r="BA315" s="761">
        <f t="shared" si="71"/>
        <v>0</v>
      </c>
      <c r="BB315" s="761">
        <f t="shared" si="72"/>
        <v>0</v>
      </c>
      <c r="BC315" s="761">
        <f t="shared" si="73"/>
        <v>0</v>
      </c>
      <c r="BD315" s="761">
        <f t="shared" si="74"/>
        <v>0</v>
      </c>
      <c r="BE315" s="761">
        <f t="shared" si="75"/>
        <v>0</v>
      </c>
      <c r="BF315" s="761">
        <f t="shared" si="76"/>
        <v>0</v>
      </c>
      <c r="BG315" s="761">
        <f t="shared" si="77"/>
        <v>0</v>
      </c>
      <c r="BH315" s="777">
        <v>0</v>
      </c>
      <c r="BI315" s="755"/>
      <c r="BJ315" s="778">
        <f>IF(X316=0,0,           IF(ISNUMBER(BI315),BI315,               IF(ISTEXT(BI315),INDEX(AZ315:BG315,MATCH(BI315,$AZ$12:$BG$12,0)),             IF(BH315="INT",_xll.qInterp(X316,AB315:AI315,AZ315:BG315),            INDEX(AZ315:BG315,MATCH(BH315,$AZ$12:$BG$12,0))))))</f>
        <v>0</v>
      </c>
      <c r="BK315" s="408">
        <f t="shared" si="82"/>
        <v>0</v>
      </c>
      <c r="BL315" s="414">
        <f t="shared" si="83"/>
        <v>0</v>
      </c>
      <c r="BM315" s="408">
        <f t="shared" si="84"/>
        <v>0</v>
      </c>
    </row>
    <row r="316" spans="16:65">
      <c r="P316" s="781">
        <v>0</v>
      </c>
      <c r="Q316" s="780">
        <f t="shared" si="68"/>
        <v>0</v>
      </c>
      <c r="R316" s="776">
        <f>IF(P317,_xll.qDateYears(P316,P317,DCCfixed),0)</f>
        <v>0</v>
      </c>
      <c r="S316" s="553">
        <v>0</v>
      </c>
      <c r="T316" s="785"/>
      <c r="U316" s="409">
        <f t="shared" si="78"/>
        <v>0</v>
      </c>
      <c r="X316" s="363">
        <v>0</v>
      </c>
      <c r="Y316" s="775">
        <f t="shared" si="69"/>
        <v>0</v>
      </c>
      <c r="Z316" s="776">
        <f>IF(X317,_xll.qDateYears(X316,X317,DCCfloat),0)</f>
        <v>0</v>
      </c>
      <c r="AA316" s="553">
        <v>0</v>
      </c>
      <c r="AB316" s="789">
        <f>IF($X316=0,0,      _xll.qDateNext($X316,AB$12,"M",FRM&lt;&gt;"Calypso",CCY))</f>
        <v>0</v>
      </c>
      <c r="AC316" s="789">
        <f>IF($X316=0,0,      _xll.qDateNext($X316,AC$12,"M",FRM&lt;&gt;"Calypso",CCY))</f>
        <v>0</v>
      </c>
      <c r="AD316" s="789">
        <f>IF($X316=0,0,      _xll.qDateNext($X316,AD$12,"M",FRM&lt;&gt;"Calypso",CCY))</f>
        <v>0</v>
      </c>
      <c r="AE316" s="789">
        <f>IF($X316=0,0,      _xll.qDateNext($X316,AE$12,"M",FRM&lt;&gt;"Calypso",CCY))</f>
        <v>0</v>
      </c>
      <c r="AF316" s="789">
        <f>IF($X316=0,0,      _xll.qDateNext($X316,AF$12,"M",FRM&lt;&gt;"Calypso",CCY))</f>
        <v>0</v>
      </c>
      <c r="AG316" s="789">
        <f>IF($X316=0,0,      _xll.qDateNext($X316,AG$12,"M",FRM&lt;&gt;"Calypso",CCY))</f>
        <v>0</v>
      </c>
      <c r="AH316" s="789">
        <f>IF($X316=0,0,      _xll.qDateNext($X316,AH$12,"M",FRM&lt;&gt;"Calypso",CCY))</f>
        <v>0</v>
      </c>
      <c r="AI316" s="789">
        <f>IF($X316=0,0,      _xll.qDateNext($X316,AI$12,"M",FRM&lt;&gt;"Calypso",CCY))</f>
        <v>0</v>
      </c>
      <c r="AJ316" s="529" t="str">
        <v/>
      </c>
      <c r="AK316" s="529" t="str">
        <v/>
      </c>
      <c r="AL316" s="529" t="str">
        <v/>
      </c>
      <c r="AM316" s="529" t="str">
        <v/>
      </c>
      <c r="AN316" s="529" t="str">
        <v/>
      </c>
      <c r="AO316" s="529" t="str">
        <v/>
      </c>
      <c r="AP316" s="529" t="str">
        <v/>
      </c>
      <c r="AQ316" s="529" t="str">
        <v/>
      </c>
      <c r="AR316" s="529">
        <v>0</v>
      </c>
      <c r="AS316" s="529">
        <v>0</v>
      </c>
      <c r="AT316" s="529">
        <f t="shared" si="79"/>
        <v>0</v>
      </c>
      <c r="AU316" s="529">
        <v>0</v>
      </c>
      <c r="AV316" s="529">
        <f t="shared" si="80"/>
        <v>0</v>
      </c>
      <c r="AW316" s="529">
        <f t="shared" si="81"/>
        <v>0</v>
      </c>
      <c r="AX316" s="529">
        <v>0</v>
      </c>
      <c r="AY316" s="529">
        <v>0</v>
      </c>
      <c r="AZ316" s="761">
        <f t="shared" si="70"/>
        <v>0</v>
      </c>
      <c r="BA316" s="761">
        <f t="shared" si="71"/>
        <v>0</v>
      </c>
      <c r="BB316" s="761">
        <f t="shared" si="72"/>
        <v>0</v>
      </c>
      <c r="BC316" s="761">
        <f t="shared" si="73"/>
        <v>0</v>
      </c>
      <c r="BD316" s="761">
        <f t="shared" si="74"/>
        <v>0</v>
      </c>
      <c r="BE316" s="761">
        <f t="shared" si="75"/>
        <v>0</v>
      </c>
      <c r="BF316" s="761">
        <f t="shared" si="76"/>
        <v>0</v>
      </c>
      <c r="BG316" s="761">
        <f t="shared" si="77"/>
        <v>0</v>
      </c>
      <c r="BH316" s="777">
        <v>0</v>
      </c>
      <c r="BI316" s="755"/>
      <c r="BJ316" s="778">
        <f>IF(X317=0,0,           IF(ISNUMBER(BI316),BI316,               IF(ISTEXT(BI316),INDEX(AZ316:BG316,MATCH(BI316,$AZ$12:$BG$12,0)),             IF(BH316="INT",_xll.qInterp(X317,AB316:AI316,AZ316:BG316),            INDEX(AZ316:BG316,MATCH(BH316,$AZ$12:$BG$12,0))))))</f>
        <v>0</v>
      </c>
      <c r="BK316" s="408">
        <f t="shared" si="82"/>
        <v>0</v>
      </c>
      <c r="BL316" s="414">
        <f t="shared" si="83"/>
        <v>0</v>
      </c>
      <c r="BM316" s="408">
        <f t="shared" si="84"/>
        <v>0</v>
      </c>
    </row>
    <row r="317" spans="16:65">
      <c r="P317" s="781">
        <v>0</v>
      </c>
      <c r="Q317" s="780">
        <f t="shared" si="68"/>
        <v>0</v>
      </c>
      <c r="R317" s="776">
        <f>IF(P318,_xll.qDateYears(P317,P318,DCCfixed),0)</f>
        <v>0</v>
      </c>
      <c r="S317" s="553">
        <v>0</v>
      </c>
      <c r="T317" s="785"/>
      <c r="U317" s="409">
        <f t="shared" si="78"/>
        <v>0</v>
      </c>
      <c r="X317" s="363">
        <v>0</v>
      </c>
      <c r="Y317" s="775">
        <f t="shared" si="69"/>
        <v>0</v>
      </c>
      <c r="Z317" s="776">
        <f>IF(X318,_xll.qDateYears(X317,X318,DCCfloat),0)</f>
        <v>0</v>
      </c>
      <c r="AA317" s="553">
        <v>0</v>
      </c>
      <c r="AB317" s="789">
        <f>IF($X317=0,0,      _xll.qDateNext($X317,AB$12,"M",FRM&lt;&gt;"Calypso",CCY))</f>
        <v>0</v>
      </c>
      <c r="AC317" s="789">
        <f>IF($X317=0,0,      _xll.qDateNext($X317,AC$12,"M",FRM&lt;&gt;"Calypso",CCY))</f>
        <v>0</v>
      </c>
      <c r="AD317" s="789">
        <f>IF($X317=0,0,      _xll.qDateNext($X317,AD$12,"M",FRM&lt;&gt;"Calypso",CCY))</f>
        <v>0</v>
      </c>
      <c r="AE317" s="789">
        <f>IF($X317=0,0,      _xll.qDateNext($X317,AE$12,"M",FRM&lt;&gt;"Calypso",CCY))</f>
        <v>0</v>
      </c>
      <c r="AF317" s="789">
        <f>IF($X317=0,0,      _xll.qDateNext($X317,AF$12,"M",FRM&lt;&gt;"Calypso",CCY))</f>
        <v>0</v>
      </c>
      <c r="AG317" s="789">
        <f>IF($X317=0,0,      _xll.qDateNext($X317,AG$12,"M",FRM&lt;&gt;"Calypso",CCY))</f>
        <v>0</v>
      </c>
      <c r="AH317" s="789">
        <f>IF($X317=0,0,      _xll.qDateNext($X317,AH$12,"M",FRM&lt;&gt;"Calypso",CCY))</f>
        <v>0</v>
      </c>
      <c r="AI317" s="789">
        <f>IF($X317=0,0,      _xll.qDateNext($X317,AI$12,"M",FRM&lt;&gt;"Calypso",CCY))</f>
        <v>0</v>
      </c>
      <c r="AJ317" s="529" t="str">
        <v/>
      </c>
      <c r="AK317" s="529" t="str">
        <v/>
      </c>
      <c r="AL317" s="529" t="str">
        <v/>
      </c>
      <c r="AM317" s="529" t="str">
        <v/>
      </c>
      <c r="AN317" s="529" t="str">
        <v/>
      </c>
      <c r="AO317" s="529" t="str">
        <v/>
      </c>
      <c r="AP317" s="529" t="str">
        <v/>
      </c>
      <c r="AQ317" s="529" t="str">
        <v/>
      </c>
      <c r="AR317" s="529">
        <v>0</v>
      </c>
      <c r="AS317" s="529">
        <v>0</v>
      </c>
      <c r="AT317" s="529">
        <f t="shared" si="79"/>
        <v>0</v>
      </c>
      <c r="AU317" s="529">
        <v>0</v>
      </c>
      <c r="AV317" s="529">
        <f t="shared" si="80"/>
        <v>0</v>
      </c>
      <c r="AW317" s="529">
        <f t="shared" si="81"/>
        <v>0</v>
      </c>
      <c r="AX317" s="529">
        <v>0</v>
      </c>
      <c r="AY317" s="529">
        <v>0</v>
      </c>
      <c r="AZ317" s="761">
        <f t="shared" si="70"/>
        <v>0</v>
      </c>
      <c r="BA317" s="761">
        <f t="shared" si="71"/>
        <v>0</v>
      </c>
      <c r="BB317" s="761">
        <f t="shared" si="72"/>
        <v>0</v>
      </c>
      <c r="BC317" s="761">
        <f t="shared" si="73"/>
        <v>0</v>
      </c>
      <c r="BD317" s="761">
        <f t="shared" si="74"/>
        <v>0</v>
      </c>
      <c r="BE317" s="761">
        <f t="shared" si="75"/>
        <v>0</v>
      </c>
      <c r="BF317" s="761">
        <f t="shared" si="76"/>
        <v>0</v>
      </c>
      <c r="BG317" s="761">
        <f t="shared" si="77"/>
        <v>0</v>
      </c>
      <c r="BH317" s="777">
        <v>0</v>
      </c>
      <c r="BI317" s="755"/>
      <c r="BJ317" s="778">
        <f>IF(X318=0,0,           IF(ISNUMBER(BI317),BI317,               IF(ISTEXT(BI317),INDEX(AZ317:BG317,MATCH(BI317,$AZ$12:$BG$12,0)),             IF(BH317="INT",_xll.qInterp(X318,AB317:AI317,AZ317:BG317),            INDEX(AZ317:BG317,MATCH(BH317,$AZ$12:$BG$12,0))))))</f>
        <v>0</v>
      </c>
      <c r="BK317" s="408">
        <f t="shared" si="82"/>
        <v>0</v>
      </c>
      <c r="BL317" s="414">
        <f t="shared" si="83"/>
        <v>0</v>
      </c>
      <c r="BM317" s="408">
        <f t="shared" si="84"/>
        <v>0</v>
      </c>
    </row>
    <row r="318" spans="16:65">
      <c r="P318" s="781">
        <v>0</v>
      </c>
      <c r="Q318" s="780">
        <f t="shared" si="68"/>
        <v>0</v>
      </c>
      <c r="R318" s="776">
        <f>IF(P319,_xll.qDateYears(P318,P319,DCCfixed),0)</f>
        <v>0</v>
      </c>
      <c r="S318" s="553">
        <v>0</v>
      </c>
      <c r="T318" s="785"/>
      <c r="U318" s="409">
        <f t="shared" si="78"/>
        <v>0</v>
      </c>
      <c r="X318" s="363">
        <v>0</v>
      </c>
      <c r="Y318" s="775">
        <f t="shared" si="69"/>
        <v>0</v>
      </c>
      <c r="Z318" s="776">
        <f>IF(X319,_xll.qDateYears(X318,X319,DCCfloat),0)</f>
        <v>0</v>
      </c>
      <c r="AA318" s="553">
        <v>0</v>
      </c>
      <c r="AB318" s="789">
        <f>IF($X318=0,0,      _xll.qDateNext($X318,AB$12,"M",FRM&lt;&gt;"Calypso",CCY))</f>
        <v>0</v>
      </c>
      <c r="AC318" s="789">
        <f>IF($X318=0,0,      _xll.qDateNext($X318,AC$12,"M",FRM&lt;&gt;"Calypso",CCY))</f>
        <v>0</v>
      </c>
      <c r="AD318" s="789">
        <f>IF($X318=0,0,      _xll.qDateNext($X318,AD$12,"M",FRM&lt;&gt;"Calypso",CCY))</f>
        <v>0</v>
      </c>
      <c r="AE318" s="789">
        <f>IF($X318=0,0,      _xll.qDateNext($X318,AE$12,"M",FRM&lt;&gt;"Calypso",CCY))</f>
        <v>0</v>
      </c>
      <c r="AF318" s="789">
        <f>IF($X318=0,0,      _xll.qDateNext($X318,AF$12,"M",FRM&lt;&gt;"Calypso",CCY))</f>
        <v>0</v>
      </c>
      <c r="AG318" s="789">
        <f>IF($X318=0,0,      _xll.qDateNext($X318,AG$12,"M",FRM&lt;&gt;"Calypso",CCY))</f>
        <v>0</v>
      </c>
      <c r="AH318" s="789">
        <f>IF($X318=0,0,      _xll.qDateNext($X318,AH$12,"M",FRM&lt;&gt;"Calypso",CCY))</f>
        <v>0</v>
      </c>
      <c r="AI318" s="789">
        <f>IF($X318=0,0,      _xll.qDateNext($X318,AI$12,"M",FRM&lt;&gt;"Calypso",CCY))</f>
        <v>0</v>
      </c>
      <c r="AJ318" s="529" t="str">
        <v/>
      </c>
      <c r="AK318" s="529" t="str">
        <v/>
      </c>
      <c r="AL318" s="529" t="str">
        <v/>
      </c>
      <c r="AM318" s="529" t="str">
        <v/>
      </c>
      <c r="AN318" s="529" t="str">
        <v/>
      </c>
      <c r="AO318" s="529" t="str">
        <v/>
      </c>
      <c r="AP318" s="529" t="str">
        <v/>
      </c>
      <c r="AQ318" s="529" t="str">
        <v/>
      </c>
      <c r="AR318" s="529">
        <v>0</v>
      </c>
      <c r="AS318" s="529">
        <v>0</v>
      </c>
      <c r="AT318" s="529">
        <f t="shared" si="79"/>
        <v>0</v>
      </c>
      <c r="AU318" s="529">
        <v>0</v>
      </c>
      <c r="AV318" s="529">
        <f t="shared" si="80"/>
        <v>0</v>
      </c>
      <c r="AW318" s="529">
        <f t="shared" si="81"/>
        <v>0</v>
      </c>
      <c r="AX318" s="529">
        <v>0</v>
      </c>
      <c r="AY318" s="529">
        <v>0</v>
      </c>
      <c r="AZ318" s="761">
        <f t="shared" si="70"/>
        <v>0</v>
      </c>
      <c r="BA318" s="761">
        <f t="shared" si="71"/>
        <v>0</v>
      </c>
      <c r="BB318" s="761">
        <f t="shared" si="72"/>
        <v>0</v>
      </c>
      <c r="BC318" s="761">
        <f t="shared" si="73"/>
        <v>0</v>
      </c>
      <c r="BD318" s="761">
        <f t="shared" si="74"/>
        <v>0</v>
      </c>
      <c r="BE318" s="761">
        <f t="shared" si="75"/>
        <v>0</v>
      </c>
      <c r="BF318" s="761">
        <f t="shared" si="76"/>
        <v>0</v>
      </c>
      <c r="BG318" s="761">
        <f t="shared" si="77"/>
        <v>0</v>
      </c>
      <c r="BH318" s="777">
        <v>0</v>
      </c>
      <c r="BI318" s="755"/>
      <c r="BJ318" s="778">
        <f>IF(X319=0,0,           IF(ISNUMBER(BI318),BI318,               IF(ISTEXT(BI318),INDEX(AZ318:BG318,MATCH(BI318,$AZ$12:$BG$12,0)),             IF(BH318="INT",_xll.qInterp(X319,AB318:AI318,AZ318:BG318),            INDEX(AZ318:BG318,MATCH(BH318,$AZ$12:$BG$12,0))))))</f>
        <v>0</v>
      </c>
      <c r="BK318" s="408">
        <f t="shared" si="82"/>
        <v>0</v>
      </c>
      <c r="BL318" s="414">
        <f t="shared" si="83"/>
        <v>0</v>
      </c>
      <c r="BM318" s="408">
        <f t="shared" si="84"/>
        <v>0</v>
      </c>
    </row>
    <row r="319" spans="16:65">
      <c r="P319" s="781">
        <v>0</v>
      </c>
      <c r="Q319" s="780">
        <f t="shared" si="68"/>
        <v>0</v>
      </c>
      <c r="R319" s="776">
        <f>IF(P320,_xll.qDateYears(P319,P320,DCCfixed),0)</f>
        <v>0</v>
      </c>
      <c r="S319" s="553">
        <v>0</v>
      </c>
      <c r="T319" s="785"/>
      <c r="U319" s="409">
        <f t="shared" si="78"/>
        <v>0</v>
      </c>
      <c r="X319" s="363">
        <v>0</v>
      </c>
      <c r="Y319" s="775">
        <f t="shared" si="69"/>
        <v>0</v>
      </c>
      <c r="Z319" s="776">
        <f>IF(X320,_xll.qDateYears(X319,X320,DCCfloat),0)</f>
        <v>0</v>
      </c>
      <c r="AA319" s="553">
        <v>0</v>
      </c>
      <c r="AB319" s="789">
        <f>IF($X319=0,0,      _xll.qDateNext($X319,AB$12,"M",FRM&lt;&gt;"Calypso",CCY))</f>
        <v>0</v>
      </c>
      <c r="AC319" s="789">
        <f>IF($X319=0,0,      _xll.qDateNext($X319,AC$12,"M",FRM&lt;&gt;"Calypso",CCY))</f>
        <v>0</v>
      </c>
      <c r="AD319" s="789">
        <f>IF($X319=0,0,      _xll.qDateNext($X319,AD$12,"M",FRM&lt;&gt;"Calypso",CCY))</f>
        <v>0</v>
      </c>
      <c r="AE319" s="789">
        <f>IF($X319=0,0,      _xll.qDateNext($X319,AE$12,"M",FRM&lt;&gt;"Calypso",CCY))</f>
        <v>0</v>
      </c>
      <c r="AF319" s="789">
        <f>IF($X319=0,0,      _xll.qDateNext($X319,AF$12,"M",FRM&lt;&gt;"Calypso",CCY))</f>
        <v>0</v>
      </c>
      <c r="AG319" s="789">
        <f>IF($X319=0,0,      _xll.qDateNext($X319,AG$12,"M",FRM&lt;&gt;"Calypso",CCY))</f>
        <v>0</v>
      </c>
      <c r="AH319" s="789">
        <f>IF($X319=0,0,      _xll.qDateNext($X319,AH$12,"M",FRM&lt;&gt;"Calypso",CCY))</f>
        <v>0</v>
      </c>
      <c r="AI319" s="789">
        <f>IF($X319=0,0,      _xll.qDateNext($X319,AI$12,"M",FRM&lt;&gt;"Calypso",CCY))</f>
        <v>0</v>
      </c>
      <c r="AJ319" s="529" t="str">
        <v/>
      </c>
      <c r="AK319" s="529" t="str">
        <v/>
      </c>
      <c r="AL319" s="529" t="str">
        <v/>
      </c>
      <c r="AM319" s="529" t="str">
        <v/>
      </c>
      <c r="AN319" s="529" t="str">
        <v/>
      </c>
      <c r="AO319" s="529" t="str">
        <v/>
      </c>
      <c r="AP319" s="529" t="str">
        <v/>
      </c>
      <c r="AQ319" s="529" t="str">
        <v/>
      </c>
      <c r="AR319" s="529">
        <v>0</v>
      </c>
      <c r="AS319" s="529">
        <v>0</v>
      </c>
      <c r="AT319" s="529">
        <f t="shared" si="79"/>
        <v>0</v>
      </c>
      <c r="AU319" s="529">
        <v>0</v>
      </c>
      <c r="AV319" s="529">
        <f t="shared" si="80"/>
        <v>0</v>
      </c>
      <c r="AW319" s="529">
        <f t="shared" si="81"/>
        <v>0</v>
      </c>
      <c r="AX319" s="529">
        <v>0</v>
      </c>
      <c r="AY319" s="529">
        <v>0</v>
      </c>
      <c r="AZ319" s="761">
        <f t="shared" si="70"/>
        <v>0</v>
      </c>
      <c r="BA319" s="761">
        <f t="shared" si="71"/>
        <v>0</v>
      </c>
      <c r="BB319" s="761">
        <f t="shared" si="72"/>
        <v>0</v>
      </c>
      <c r="BC319" s="761">
        <f t="shared" si="73"/>
        <v>0</v>
      </c>
      <c r="BD319" s="761">
        <f t="shared" si="74"/>
        <v>0</v>
      </c>
      <c r="BE319" s="761">
        <f t="shared" si="75"/>
        <v>0</v>
      </c>
      <c r="BF319" s="761">
        <f t="shared" si="76"/>
        <v>0</v>
      </c>
      <c r="BG319" s="761">
        <f t="shared" si="77"/>
        <v>0</v>
      </c>
      <c r="BH319" s="777">
        <v>0</v>
      </c>
      <c r="BI319" s="755"/>
      <c r="BJ319" s="778">
        <f>IF(X320=0,0,           IF(ISNUMBER(BI319),BI319,               IF(ISTEXT(BI319),INDEX(AZ319:BG319,MATCH(BI319,$AZ$12:$BG$12,0)),             IF(BH319="INT",_xll.qInterp(X320,AB319:AI319,AZ319:BG319),            INDEX(AZ319:BG319,MATCH(BH319,$AZ$12:$BG$12,0))))))</f>
        <v>0</v>
      </c>
      <c r="BK319" s="408">
        <f t="shared" si="82"/>
        <v>0</v>
      </c>
      <c r="BL319" s="414">
        <f t="shared" si="83"/>
        <v>0</v>
      </c>
      <c r="BM319" s="408">
        <f t="shared" si="84"/>
        <v>0</v>
      </c>
    </row>
    <row r="320" spans="16:65">
      <c r="P320" s="781">
        <v>0</v>
      </c>
      <c r="Q320" s="780">
        <f t="shared" si="68"/>
        <v>0</v>
      </c>
      <c r="R320" s="776">
        <f>IF(P321,_xll.qDateYears(P320,P321,DCCfixed),0)</f>
        <v>0</v>
      </c>
      <c r="S320" s="553">
        <v>0</v>
      </c>
      <c r="T320" s="785"/>
      <c r="U320" s="409">
        <f t="shared" si="78"/>
        <v>0</v>
      </c>
      <c r="X320" s="363">
        <v>0</v>
      </c>
      <c r="Y320" s="775">
        <f t="shared" si="69"/>
        <v>0</v>
      </c>
      <c r="Z320" s="776">
        <f>IF(X321,_xll.qDateYears(X320,X321,DCCfloat),0)</f>
        <v>0</v>
      </c>
      <c r="AA320" s="553">
        <v>0</v>
      </c>
      <c r="AB320" s="789">
        <f>IF($X320=0,0,      _xll.qDateNext($X320,AB$12,"M",FRM&lt;&gt;"Calypso",CCY))</f>
        <v>0</v>
      </c>
      <c r="AC320" s="789">
        <f>IF($X320=0,0,      _xll.qDateNext($X320,AC$12,"M",FRM&lt;&gt;"Calypso",CCY))</f>
        <v>0</v>
      </c>
      <c r="AD320" s="789">
        <f>IF($X320=0,0,      _xll.qDateNext($X320,AD$12,"M",FRM&lt;&gt;"Calypso",CCY))</f>
        <v>0</v>
      </c>
      <c r="AE320" s="789">
        <f>IF($X320=0,0,      _xll.qDateNext($X320,AE$12,"M",FRM&lt;&gt;"Calypso",CCY))</f>
        <v>0</v>
      </c>
      <c r="AF320" s="789">
        <f>IF($X320=0,0,      _xll.qDateNext($X320,AF$12,"M",FRM&lt;&gt;"Calypso",CCY))</f>
        <v>0</v>
      </c>
      <c r="AG320" s="789">
        <f>IF($X320=0,0,      _xll.qDateNext($X320,AG$12,"M",FRM&lt;&gt;"Calypso",CCY))</f>
        <v>0</v>
      </c>
      <c r="AH320" s="789">
        <f>IF($X320=0,0,      _xll.qDateNext($X320,AH$12,"M",FRM&lt;&gt;"Calypso",CCY))</f>
        <v>0</v>
      </c>
      <c r="AI320" s="789">
        <f>IF($X320=0,0,      _xll.qDateNext($X320,AI$12,"M",FRM&lt;&gt;"Calypso",CCY))</f>
        <v>0</v>
      </c>
      <c r="AJ320" s="529" t="str">
        <v/>
      </c>
      <c r="AK320" s="529" t="str">
        <v/>
      </c>
      <c r="AL320" s="529" t="str">
        <v/>
      </c>
      <c r="AM320" s="529" t="str">
        <v/>
      </c>
      <c r="AN320" s="529" t="str">
        <v/>
      </c>
      <c r="AO320" s="529" t="str">
        <v/>
      </c>
      <c r="AP320" s="529" t="str">
        <v/>
      </c>
      <c r="AQ320" s="529" t="str">
        <v/>
      </c>
      <c r="AR320" s="529">
        <v>0</v>
      </c>
      <c r="AS320" s="529">
        <v>0</v>
      </c>
      <c r="AT320" s="529">
        <f t="shared" si="79"/>
        <v>0</v>
      </c>
      <c r="AU320" s="529">
        <v>0</v>
      </c>
      <c r="AV320" s="529">
        <f t="shared" si="80"/>
        <v>0</v>
      </c>
      <c r="AW320" s="529">
        <f t="shared" si="81"/>
        <v>0</v>
      </c>
      <c r="AX320" s="529">
        <v>0</v>
      </c>
      <c r="AY320" s="529">
        <v>0</v>
      </c>
      <c r="AZ320" s="761">
        <f t="shared" si="70"/>
        <v>0</v>
      </c>
      <c r="BA320" s="761">
        <f t="shared" si="71"/>
        <v>0</v>
      </c>
      <c r="BB320" s="761">
        <f t="shared" si="72"/>
        <v>0</v>
      </c>
      <c r="BC320" s="761">
        <f t="shared" si="73"/>
        <v>0</v>
      </c>
      <c r="BD320" s="761">
        <f t="shared" si="74"/>
        <v>0</v>
      </c>
      <c r="BE320" s="761">
        <f t="shared" si="75"/>
        <v>0</v>
      </c>
      <c r="BF320" s="761">
        <f t="shared" si="76"/>
        <v>0</v>
      </c>
      <c r="BG320" s="761">
        <f t="shared" si="77"/>
        <v>0</v>
      </c>
      <c r="BH320" s="777">
        <v>0</v>
      </c>
      <c r="BI320" s="755"/>
      <c r="BJ320" s="778">
        <f>IF(X321=0,0,           IF(ISNUMBER(BI320),BI320,               IF(ISTEXT(BI320),INDEX(AZ320:BG320,MATCH(BI320,$AZ$12:$BG$12,0)),             IF(BH320="INT",_xll.qInterp(X321,AB320:AI320,AZ320:BG320),            INDEX(AZ320:BG320,MATCH(BH320,$AZ$12:$BG$12,0))))))</f>
        <v>0</v>
      </c>
      <c r="BK320" s="408">
        <f t="shared" si="82"/>
        <v>0</v>
      </c>
      <c r="BL320" s="414">
        <f t="shared" si="83"/>
        <v>0</v>
      </c>
      <c r="BM320" s="408">
        <f t="shared" si="84"/>
        <v>0</v>
      </c>
    </row>
    <row r="321" spans="16:65">
      <c r="P321" s="781">
        <v>0</v>
      </c>
      <c r="Q321" s="780">
        <f t="shared" si="68"/>
        <v>0</v>
      </c>
      <c r="R321" s="776">
        <f>IF(P322,_xll.qDateYears(P321,P322,DCCfixed),0)</f>
        <v>0</v>
      </c>
      <c r="S321" s="553">
        <v>0</v>
      </c>
      <c r="T321" s="785"/>
      <c r="U321" s="409">
        <f t="shared" si="78"/>
        <v>0</v>
      </c>
      <c r="X321" s="363">
        <v>0</v>
      </c>
      <c r="Y321" s="775">
        <f t="shared" si="69"/>
        <v>0</v>
      </c>
      <c r="Z321" s="776">
        <f>IF(X322,_xll.qDateYears(X321,X322,DCCfloat),0)</f>
        <v>0</v>
      </c>
      <c r="AA321" s="553">
        <v>0</v>
      </c>
      <c r="AB321" s="789">
        <f>IF($X321=0,0,      _xll.qDateNext($X321,AB$12,"M",FRM&lt;&gt;"Calypso",CCY))</f>
        <v>0</v>
      </c>
      <c r="AC321" s="789">
        <f>IF($X321=0,0,      _xll.qDateNext($X321,AC$12,"M",FRM&lt;&gt;"Calypso",CCY))</f>
        <v>0</v>
      </c>
      <c r="AD321" s="789">
        <f>IF($X321=0,0,      _xll.qDateNext($X321,AD$12,"M",FRM&lt;&gt;"Calypso",CCY))</f>
        <v>0</v>
      </c>
      <c r="AE321" s="789">
        <f>IF($X321=0,0,      _xll.qDateNext($X321,AE$12,"M",FRM&lt;&gt;"Calypso",CCY))</f>
        <v>0</v>
      </c>
      <c r="AF321" s="789">
        <f>IF($X321=0,0,      _xll.qDateNext($X321,AF$12,"M",FRM&lt;&gt;"Calypso",CCY))</f>
        <v>0</v>
      </c>
      <c r="AG321" s="789">
        <f>IF($X321=0,0,      _xll.qDateNext($X321,AG$12,"M",FRM&lt;&gt;"Calypso",CCY))</f>
        <v>0</v>
      </c>
      <c r="AH321" s="789">
        <f>IF($X321=0,0,      _xll.qDateNext($X321,AH$12,"M",FRM&lt;&gt;"Calypso",CCY))</f>
        <v>0</v>
      </c>
      <c r="AI321" s="789">
        <f>IF($X321=0,0,      _xll.qDateNext($X321,AI$12,"M",FRM&lt;&gt;"Calypso",CCY))</f>
        <v>0</v>
      </c>
      <c r="AJ321" s="529" t="str">
        <v/>
      </c>
      <c r="AK321" s="529" t="str">
        <v/>
      </c>
      <c r="AL321" s="529" t="str">
        <v/>
      </c>
      <c r="AM321" s="529" t="str">
        <v/>
      </c>
      <c r="AN321" s="529" t="str">
        <v/>
      </c>
      <c r="AO321" s="529" t="str">
        <v/>
      </c>
      <c r="AP321" s="529" t="str">
        <v/>
      </c>
      <c r="AQ321" s="529" t="str">
        <v/>
      </c>
      <c r="AR321" s="529">
        <v>0</v>
      </c>
      <c r="AS321" s="529">
        <v>0</v>
      </c>
      <c r="AT321" s="529">
        <f t="shared" si="79"/>
        <v>0</v>
      </c>
      <c r="AU321" s="529">
        <v>0</v>
      </c>
      <c r="AV321" s="529">
        <f t="shared" si="80"/>
        <v>0</v>
      </c>
      <c r="AW321" s="529">
        <f t="shared" si="81"/>
        <v>0</v>
      </c>
      <c r="AX321" s="529">
        <v>0</v>
      </c>
      <c r="AY321" s="529">
        <v>0</v>
      </c>
      <c r="AZ321" s="761">
        <f t="shared" si="70"/>
        <v>0</v>
      </c>
      <c r="BA321" s="761">
        <f t="shared" si="71"/>
        <v>0</v>
      </c>
      <c r="BB321" s="761">
        <f t="shared" si="72"/>
        <v>0</v>
      </c>
      <c r="BC321" s="761">
        <f t="shared" si="73"/>
        <v>0</v>
      </c>
      <c r="BD321" s="761">
        <f t="shared" si="74"/>
        <v>0</v>
      </c>
      <c r="BE321" s="761">
        <f t="shared" si="75"/>
        <v>0</v>
      </c>
      <c r="BF321" s="761">
        <f t="shared" si="76"/>
        <v>0</v>
      </c>
      <c r="BG321" s="761">
        <f t="shared" si="77"/>
        <v>0</v>
      </c>
      <c r="BH321" s="777">
        <v>0</v>
      </c>
      <c r="BI321" s="755"/>
      <c r="BJ321" s="778">
        <f>IF(X322=0,0,           IF(ISNUMBER(BI321),BI321,               IF(ISTEXT(BI321),INDEX(AZ321:BG321,MATCH(BI321,$AZ$12:$BG$12,0)),             IF(BH321="INT",_xll.qInterp(X322,AB321:AI321,AZ321:BG321),            INDEX(AZ321:BG321,MATCH(BH321,$AZ$12:$BG$12,0))))))</f>
        <v>0</v>
      </c>
      <c r="BK321" s="408">
        <f t="shared" si="82"/>
        <v>0</v>
      </c>
      <c r="BL321" s="414">
        <f t="shared" si="83"/>
        <v>0</v>
      </c>
      <c r="BM321" s="408">
        <f t="shared" si="84"/>
        <v>0</v>
      </c>
    </row>
    <row r="322" spans="16:65">
      <c r="P322" s="781">
        <v>0</v>
      </c>
      <c r="Q322" s="780">
        <f t="shared" si="68"/>
        <v>0</v>
      </c>
      <c r="R322" s="776">
        <f>IF(P323,_xll.qDateYears(P322,P323,DCCfixed),0)</f>
        <v>0</v>
      </c>
      <c r="S322" s="553">
        <v>0</v>
      </c>
      <c r="T322" s="785"/>
      <c r="U322" s="409">
        <f t="shared" si="78"/>
        <v>0</v>
      </c>
      <c r="X322" s="363">
        <v>0</v>
      </c>
      <c r="Y322" s="775">
        <f t="shared" si="69"/>
        <v>0</v>
      </c>
      <c r="Z322" s="776">
        <f>IF(X323,_xll.qDateYears(X322,X323,DCCfloat),0)</f>
        <v>0</v>
      </c>
      <c r="AA322" s="553">
        <v>0</v>
      </c>
      <c r="AB322" s="789">
        <f>IF($X322=0,0,      _xll.qDateNext($X322,AB$12,"M",FRM&lt;&gt;"Calypso",CCY))</f>
        <v>0</v>
      </c>
      <c r="AC322" s="789">
        <f>IF($X322=0,0,      _xll.qDateNext($X322,AC$12,"M",FRM&lt;&gt;"Calypso",CCY))</f>
        <v>0</v>
      </c>
      <c r="AD322" s="789">
        <f>IF($X322=0,0,      _xll.qDateNext($X322,AD$12,"M",FRM&lt;&gt;"Calypso",CCY))</f>
        <v>0</v>
      </c>
      <c r="AE322" s="789">
        <f>IF($X322=0,0,      _xll.qDateNext($X322,AE$12,"M",FRM&lt;&gt;"Calypso",CCY))</f>
        <v>0</v>
      </c>
      <c r="AF322" s="789">
        <f>IF($X322=0,0,      _xll.qDateNext($X322,AF$12,"M",FRM&lt;&gt;"Calypso",CCY))</f>
        <v>0</v>
      </c>
      <c r="AG322" s="789">
        <f>IF($X322=0,0,      _xll.qDateNext($X322,AG$12,"M",FRM&lt;&gt;"Calypso",CCY))</f>
        <v>0</v>
      </c>
      <c r="AH322" s="789">
        <f>IF($X322=0,0,      _xll.qDateNext($X322,AH$12,"M",FRM&lt;&gt;"Calypso",CCY))</f>
        <v>0</v>
      </c>
      <c r="AI322" s="789">
        <f>IF($X322=0,0,      _xll.qDateNext($X322,AI$12,"M",FRM&lt;&gt;"Calypso",CCY))</f>
        <v>0</v>
      </c>
      <c r="AJ322" s="529" t="str">
        <v/>
      </c>
      <c r="AK322" s="529" t="str">
        <v/>
      </c>
      <c r="AL322" s="529" t="str">
        <v/>
      </c>
      <c r="AM322" s="529" t="str">
        <v/>
      </c>
      <c r="AN322" s="529" t="str">
        <v/>
      </c>
      <c r="AO322" s="529" t="str">
        <v/>
      </c>
      <c r="AP322" s="529" t="str">
        <v/>
      </c>
      <c r="AQ322" s="529" t="str">
        <v/>
      </c>
      <c r="AR322" s="529">
        <v>0</v>
      </c>
      <c r="AS322" s="529">
        <v>0</v>
      </c>
      <c r="AT322" s="529">
        <f t="shared" si="79"/>
        <v>0</v>
      </c>
      <c r="AU322" s="529">
        <v>0</v>
      </c>
      <c r="AV322" s="529">
        <f t="shared" si="80"/>
        <v>0</v>
      </c>
      <c r="AW322" s="529">
        <f t="shared" si="81"/>
        <v>0</v>
      </c>
      <c r="AX322" s="529">
        <v>0</v>
      </c>
      <c r="AY322" s="529">
        <v>0</v>
      </c>
      <c r="AZ322" s="761">
        <f t="shared" si="70"/>
        <v>0</v>
      </c>
      <c r="BA322" s="761">
        <f t="shared" si="71"/>
        <v>0</v>
      </c>
      <c r="BB322" s="761">
        <f t="shared" si="72"/>
        <v>0</v>
      </c>
      <c r="BC322" s="761">
        <f t="shared" si="73"/>
        <v>0</v>
      </c>
      <c r="BD322" s="761">
        <f t="shared" si="74"/>
        <v>0</v>
      </c>
      <c r="BE322" s="761">
        <f t="shared" si="75"/>
        <v>0</v>
      </c>
      <c r="BF322" s="761">
        <f t="shared" si="76"/>
        <v>0</v>
      </c>
      <c r="BG322" s="761">
        <f t="shared" si="77"/>
        <v>0</v>
      </c>
      <c r="BH322" s="777">
        <v>0</v>
      </c>
      <c r="BI322" s="755"/>
      <c r="BJ322" s="778">
        <f>IF(X323=0,0,           IF(ISNUMBER(BI322),BI322,               IF(ISTEXT(BI322),INDEX(AZ322:BG322,MATCH(BI322,$AZ$12:$BG$12,0)),             IF(BH322="INT",_xll.qInterp(X323,AB322:AI322,AZ322:BG322),            INDEX(AZ322:BG322,MATCH(BH322,$AZ$12:$BG$12,0))))))</f>
        <v>0</v>
      </c>
      <c r="BK322" s="408">
        <f t="shared" si="82"/>
        <v>0</v>
      </c>
      <c r="BL322" s="414">
        <f t="shared" si="83"/>
        <v>0</v>
      </c>
      <c r="BM322" s="408">
        <f t="shared" si="84"/>
        <v>0</v>
      </c>
    </row>
    <row r="323" spans="16:65">
      <c r="P323" s="781">
        <v>0</v>
      </c>
      <c r="Q323" s="780">
        <f t="shared" si="68"/>
        <v>0</v>
      </c>
      <c r="R323" s="776">
        <f>IF(P324,_xll.qDateYears(P323,P324,DCCfixed),0)</f>
        <v>0</v>
      </c>
      <c r="S323" s="553">
        <v>0</v>
      </c>
      <c r="T323" s="785"/>
      <c r="U323" s="409">
        <f t="shared" si="78"/>
        <v>0</v>
      </c>
      <c r="X323" s="363">
        <v>0</v>
      </c>
      <c r="Y323" s="775">
        <f t="shared" si="69"/>
        <v>0</v>
      </c>
      <c r="Z323" s="776">
        <f>IF(X324,_xll.qDateYears(X323,X324,DCCfloat),0)</f>
        <v>0</v>
      </c>
      <c r="AA323" s="553">
        <v>0</v>
      </c>
      <c r="AB323" s="789">
        <f>IF($X323=0,0,      _xll.qDateNext($X323,AB$12,"M",FRM&lt;&gt;"Calypso",CCY))</f>
        <v>0</v>
      </c>
      <c r="AC323" s="789">
        <f>IF($X323=0,0,      _xll.qDateNext($X323,AC$12,"M",FRM&lt;&gt;"Calypso",CCY))</f>
        <v>0</v>
      </c>
      <c r="AD323" s="789">
        <f>IF($X323=0,0,      _xll.qDateNext($X323,AD$12,"M",FRM&lt;&gt;"Calypso",CCY))</f>
        <v>0</v>
      </c>
      <c r="AE323" s="789">
        <f>IF($X323=0,0,      _xll.qDateNext($X323,AE$12,"M",FRM&lt;&gt;"Calypso",CCY))</f>
        <v>0</v>
      </c>
      <c r="AF323" s="789">
        <f>IF($X323=0,0,      _xll.qDateNext($X323,AF$12,"M",FRM&lt;&gt;"Calypso",CCY))</f>
        <v>0</v>
      </c>
      <c r="AG323" s="789">
        <f>IF($X323=0,0,      _xll.qDateNext($X323,AG$12,"M",FRM&lt;&gt;"Calypso",CCY))</f>
        <v>0</v>
      </c>
      <c r="AH323" s="789">
        <f>IF($X323=0,0,      _xll.qDateNext($X323,AH$12,"M",FRM&lt;&gt;"Calypso",CCY))</f>
        <v>0</v>
      </c>
      <c r="AI323" s="789">
        <f>IF($X323=0,0,      _xll.qDateNext($X323,AI$12,"M",FRM&lt;&gt;"Calypso",CCY))</f>
        <v>0</v>
      </c>
      <c r="AJ323" s="529" t="str">
        <v/>
      </c>
      <c r="AK323" s="529" t="str">
        <v/>
      </c>
      <c r="AL323" s="529" t="str">
        <v/>
      </c>
      <c r="AM323" s="529" t="str">
        <v/>
      </c>
      <c r="AN323" s="529" t="str">
        <v/>
      </c>
      <c r="AO323" s="529" t="str">
        <v/>
      </c>
      <c r="AP323" s="529" t="str">
        <v/>
      </c>
      <c r="AQ323" s="529" t="str">
        <v/>
      </c>
      <c r="AR323" s="529">
        <v>0</v>
      </c>
      <c r="AS323" s="529">
        <v>0</v>
      </c>
      <c r="AT323" s="529">
        <f t="shared" si="79"/>
        <v>0</v>
      </c>
      <c r="AU323" s="529">
        <v>0</v>
      </c>
      <c r="AV323" s="529">
        <f t="shared" si="80"/>
        <v>0</v>
      </c>
      <c r="AW323" s="529">
        <f t="shared" si="81"/>
        <v>0</v>
      </c>
      <c r="AX323" s="529">
        <v>0</v>
      </c>
      <c r="AY323" s="529">
        <v>0</v>
      </c>
      <c r="AZ323" s="761">
        <f t="shared" si="70"/>
        <v>0</v>
      </c>
      <c r="BA323" s="761">
        <f t="shared" si="71"/>
        <v>0</v>
      </c>
      <c r="BB323" s="761">
        <f t="shared" si="72"/>
        <v>0</v>
      </c>
      <c r="BC323" s="761">
        <f t="shared" si="73"/>
        <v>0</v>
      </c>
      <c r="BD323" s="761">
        <f t="shared" si="74"/>
        <v>0</v>
      </c>
      <c r="BE323" s="761">
        <f t="shared" si="75"/>
        <v>0</v>
      </c>
      <c r="BF323" s="761">
        <f t="shared" si="76"/>
        <v>0</v>
      </c>
      <c r="BG323" s="761">
        <f t="shared" si="77"/>
        <v>0</v>
      </c>
      <c r="BH323" s="777">
        <v>0</v>
      </c>
      <c r="BI323" s="755"/>
      <c r="BJ323" s="778">
        <f>IF(X324=0,0,           IF(ISNUMBER(BI323),BI323,               IF(ISTEXT(BI323),INDEX(AZ323:BG323,MATCH(BI323,$AZ$12:$BG$12,0)),             IF(BH323="INT",_xll.qInterp(X324,AB323:AI323,AZ323:BG323),            INDEX(AZ323:BG323,MATCH(BH323,$AZ$12:$BG$12,0))))))</f>
        <v>0</v>
      </c>
      <c r="BK323" s="408">
        <f t="shared" si="82"/>
        <v>0</v>
      </c>
      <c r="BL323" s="414">
        <f t="shared" si="83"/>
        <v>0</v>
      </c>
      <c r="BM323" s="408">
        <f t="shared" si="84"/>
        <v>0</v>
      </c>
    </row>
    <row r="324" spans="16:65">
      <c r="P324" s="781">
        <v>0</v>
      </c>
      <c r="Q324" s="780">
        <f t="shared" si="68"/>
        <v>0</v>
      </c>
      <c r="R324" s="776">
        <f>IF(P325,_xll.qDateYears(P324,P325,DCCfixed),0)</f>
        <v>0</v>
      </c>
      <c r="S324" s="553">
        <v>0</v>
      </c>
      <c r="T324" s="785"/>
      <c r="U324" s="409">
        <f t="shared" si="78"/>
        <v>0</v>
      </c>
      <c r="X324" s="363">
        <v>0</v>
      </c>
      <c r="Y324" s="775">
        <f t="shared" si="69"/>
        <v>0</v>
      </c>
      <c r="Z324" s="776">
        <f>IF(X325,_xll.qDateYears(X324,X325,DCCfloat),0)</f>
        <v>0</v>
      </c>
      <c r="AA324" s="553">
        <v>0</v>
      </c>
      <c r="AB324" s="789">
        <f>IF($X324=0,0,      _xll.qDateNext($X324,AB$12,"M",FRM&lt;&gt;"Calypso",CCY))</f>
        <v>0</v>
      </c>
      <c r="AC324" s="789">
        <f>IF($X324=0,0,      _xll.qDateNext($X324,AC$12,"M",FRM&lt;&gt;"Calypso",CCY))</f>
        <v>0</v>
      </c>
      <c r="AD324" s="789">
        <f>IF($X324=0,0,      _xll.qDateNext($X324,AD$12,"M",FRM&lt;&gt;"Calypso",CCY))</f>
        <v>0</v>
      </c>
      <c r="AE324" s="789">
        <f>IF($X324=0,0,      _xll.qDateNext($X324,AE$12,"M",FRM&lt;&gt;"Calypso",CCY))</f>
        <v>0</v>
      </c>
      <c r="AF324" s="789">
        <f>IF($X324=0,0,      _xll.qDateNext($X324,AF$12,"M",FRM&lt;&gt;"Calypso",CCY))</f>
        <v>0</v>
      </c>
      <c r="AG324" s="789">
        <f>IF($X324=0,0,      _xll.qDateNext($X324,AG$12,"M",FRM&lt;&gt;"Calypso",CCY))</f>
        <v>0</v>
      </c>
      <c r="AH324" s="789">
        <f>IF($X324=0,0,      _xll.qDateNext($X324,AH$12,"M",FRM&lt;&gt;"Calypso",CCY))</f>
        <v>0</v>
      </c>
      <c r="AI324" s="789">
        <f>IF($X324=0,0,      _xll.qDateNext($X324,AI$12,"M",FRM&lt;&gt;"Calypso",CCY))</f>
        <v>0</v>
      </c>
      <c r="AJ324" s="529" t="str">
        <v/>
      </c>
      <c r="AK324" s="529" t="str">
        <v/>
      </c>
      <c r="AL324" s="529" t="str">
        <v/>
      </c>
      <c r="AM324" s="529" t="str">
        <v/>
      </c>
      <c r="AN324" s="529" t="str">
        <v/>
      </c>
      <c r="AO324" s="529" t="str">
        <v/>
      </c>
      <c r="AP324" s="529" t="str">
        <v/>
      </c>
      <c r="AQ324" s="529" t="str">
        <v/>
      </c>
      <c r="AR324" s="529">
        <v>0</v>
      </c>
      <c r="AS324" s="529">
        <v>0</v>
      </c>
      <c r="AT324" s="529">
        <f t="shared" si="79"/>
        <v>0</v>
      </c>
      <c r="AU324" s="529">
        <v>0</v>
      </c>
      <c r="AV324" s="529">
        <f t="shared" si="80"/>
        <v>0</v>
      </c>
      <c r="AW324" s="529">
        <f t="shared" si="81"/>
        <v>0</v>
      </c>
      <c r="AX324" s="529">
        <v>0</v>
      </c>
      <c r="AY324" s="529">
        <v>0</v>
      </c>
      <c r="AZ324" s="761">
        <f t="shared" si="70"/>
        <v>0</v>
      </c>
      <c r="BA324" s="761">
        <f t="shared" si="71"/>
        <v>0</v>
      </c>
      <c r="BB324" s="761">
        <f t="shared" si="72"/>
        <v>0</v>
      </c>
      <c r="BC324" s="761">
        <f t="shared" si="73"/>
        <v>0</v>
      </c>
      <c r="BD324" s="761">
        <f t="shared" si="74"/>
        <v>0</v>
      </c>
      <c r="BE324" s="761">
        <f t="shared" si="75"/>
        <v>0</v>
      </c>
      <c r="BF324" s="761">
        <f t="shared" si="76"/>
        <v>0</v>
      </c>
      <c r="BG324" s="761">
        <f t="shared" si="77"/>
        <v>0</v>
      </c>
      <c r="BH324" s="777">
        <v>0</v>
      </c>
      <c r="BI324" s="755"/>
      <c r="BJ324" s="778">
        <f>IF(X325=0,0,           IF(ISNUMBER(BI324),BI324,               IF(ISTEXT(BI324),INDEX(AZ324:BG324,MATCH(BI324,$AZ$12:$BG$12,0)),             IF(BH324="INT",_xll.qInterp(X325,AB324:AI324,AZ324:BG324),            INDEX(AZ324:BG324,MATCH(BH324,$AZ$12:$BG$12,0))))))</f>
        <v>0</v>
      </c>
      <c r="BK324" s="408">
        <f t="shared" si="82"/>
        <v>0</v>
      </c>
      <c r="BL324" s="414">
        <f t="shared" si="83"/>
        <v>0</v>
      </c>
      <c r="BM324" s="408">
        <f t="shared" si="84"/>
        <v>0</v>
      </c>
    </row>
    <row r="325" spans="16:65">
      <c r="P325" s="781">
        <v>0</v>
      </c>
      <c r="Q325" s="780">
        <f t="shared" si="68"/>
        <v>0</v>
      </c>
      <c r="R325" s="776">
        <f>IF(P326,_xll.qDateYears(P325,P326,DCCfixed),0)</f>
        <v>0</v>
      </c>
      <c r="S325" s="553">
        <v>0</v>
      </c>
      <c r="T325" s="785"/>
      <c r="U325" s="409">
        <f t="shared" si="78"/>
        <v>0</v>
      </c>
      <c r="X325" s="363">
        <v>0</v>
      </c>
      <c r="Y325" s="775">
        <f t="shared" si="69"/>
        <v>0</v>
      </c>
      <c r="Z325" s="776">
        <f>IF(X326,_xll.qDateYears(X325,X326,DCCfloat),0)</f>
        <v>0</v>
      </c>
      <c r="AA325" s="553">
        <v>0</v>
      </c>
      <c r="AB325" s="789">
        <f>IF($X325=0,0,      _xll.qDateNext($X325,AB$12,"M",FRM&lt;&gt;"Calypso",CCY))</f>
        <v>0</v>
      </c>
      <c r="AC325" s="789">
        <f>IF($X325=0,0,      _xll.qDateNext($X325,AC$12,"M",FRM&lt;&gt;"Calypso",CCY))</f>
        <v>0</v>
      </c>
      <c r="AD325" s="789">
        <f>IF($X325=0,0,      _xll.qDateNext($X325,AD$12,"M",FRM&lt;&gt;"Calypso",CCY))</f>
        <v>0</v>
      </c>
      <c r="AE325" s="789">
        <f>IF($X325=0,0,      _xll.qDateNext($X325,AE$12,"M",FRM&lt;&gt;"Calypso",CCY))</f>
        <v>0</v>
      </c>
      <c r="AF325" s="789">
        <f>IF($X325=0,0,      _xll.qDateNext($X325,AF$12,"M",FRM&lt;&gt;"Calypso",CCY))</f>
        <v>0</v>
      </c>
      <c r="AG325" s="789">
        <f>IF($X325=0,0,      _xll.qDateNext($X325,AG$12,"M",FRM&lt;&gt;"Calypso",CCY))</f>
        <v>0</v>
      </c>
      <c r="AH325" s="789">
        <f>IF($X325=0,0,      _xll.qDateNext($X325,AH$12,"M",FRM&lt;&gt;"Calypso",CCY))</f>
        <v>0</v>
      </c>
      <c r="AI325" s="789">
        <f>IF($X325=0,0,      _xll.qDateNext($X325,AI$12,"M",FRM&lt;&gt;"Calypso",CCY))</f>
        <v>0</v>
      </c>
      <c r="AJ325" s="529" t="str">
        <v/>
      </c>
      <c r="AK325" s="529" t="str">
        <v/>
      </c>
      <c r="AL325" s="529" t="str">
        <v/>
      </c>
      <c r="AM325" s="529" t="str">
        <v/>
      </c>
      <c r="AN325" s="529" t="str">
        <v/>
      </c>
      <c r="AO325" s="529" t="str">
        <v/>
      </c>
      <c r="AP325" s="529" t="str">
        <v/>
      </c>
      <c r="AQ325" s="529" t="str">
        <v/>
      </c>
      <c r="AR325" s="529">
        <v>0</v>
      </c>
      <c r="AS325" s="529">
        <v>0</v>
      </c>
      <c r="AT325" s="529">
        <f t="shared" si="79"/>
        <v>0</v>
      </c>
      <c r="AU325" s="529">
        <v>0</v>
      </c>
      <c r="AV325" s="529">
        <f t="shared" si="80"/>
        <v>0</v>
      </c>
      <c r="AW325" s="529">
        <f t="shared" si="81"/>
        <v>0</v>
      </c>
      <c r="AX325" s="529">
        <v>0</v>
      </c>
      <c r="AY325" s="529">
        <v>0</v>
      </c>
      <c r="AZ325" s="761">
        <f t="shared" si="70"/>
        <v>0</v>
      </c>
      <c r="BA325" s="761">
        <f t="shared" si="71"/>
        <v>0</v>
      </c>
      <c r="BB325" s="761">
        <f t="shared" si="72"/>
        <v>0</v>
      </c>
      <c r="BC325" s="761">
        <f t="shared" si="73"/>
        <v>0</v>
      </c>
      <c r="BD325" s="761">
        <f t="shared" si="74"/>
        <v>0</v>
      </c>
      <c r="BE325" s="761">
        <f t="shared" si="75"/>
        <v>0</v>
      </c>
      <c r="BF325" s="761">
        <f t="shared" si="76"/>
        <v>0</v>
      </c>
      <c r="BG325" s="761">
        <f t="shared" si="77"/>
        <v>0</v>
      </c>
      <c r="BH325" s="777">
        <v>0</v>
      </c>
      <c r="BI325" s="755"/>
      <c r="BJ325" s="778">
        <f>IF(X326=0,0,           IF(ISNUMBER(BI325),BI325,               IF(ISTEXT(BI325),INDEX(AZ325:BG325,MATCH(BI325,$AZ$12:$BG$12,0)),             IF(BH325="INT",_xll.qInterp(X326,AB325:AI325,AZ325:BG325),            INDEX(AZ325:BG325,MATCH(BH325,$AZ$12:$BG$12,0))))))</f>
        <v>0</v>
      </c>
      <c r="BK325" s="408">
        <f t="shared" si="82"/>
        <v>0</v>
      </c>
      <c r="BL325" s="414">
        <f t="shared" si="83"/>
        <v>0</v>
      </c>
      <c r="BM325" s="408">
        <f t="shared" si="84"/>
        <v>0</v>
      </c>
    </row>
    <row r="326" spans="16:65">
      <c r="P326" s="781">
        <v>0</v>
      </c>
      <c r="Q326" s="780">
        <f t="shared" si="68"/>
        <v>0</v>
      </c>
      <c r="R326" s="776">
        <f>IF(P327,_xll.qDateYears(P326,P327,DCCfixed),0)</f>
        <v>0</v>
      </c>
      <c r="S326" s="553">
        <v>0</v>
      </c>
      <c r="T326" s="785"/>
      <c r="U326" s="409">
        <f t="shared" si="78"/>
        <v>0</v>
      </c>
      <c r="X326" s="363">
        <v>0</v>
      </c>
      <c r="Y326" s="775">
        <f t="shared" si="69"/>
        <v>0</v>
      </c>
      <c r="Z326" s="776">
        <f>IF(X327,_xll.qDateYears(X326,X327,DCCfloat),0)</f>
        <v>0</v>
      </c>
      <c r="AA326" s="553">
        <v>0</v>
      </c>
      <c r="AB326" s="789">
        <f>IF($X326=0,0,      _xll.qDateNext($X326,AB$12,"M",FRM&lt;&gt;"Calypso",CCY))</f>
        <v>0</v>
      </c>
      <c r="AC326" s="789">
        <f>IF($X326=0,0,      _xll.qDateNext($X326,AC$12,"M",FRM&lt;&gt;"Calypso",CCY))</f>
        <v>0</v>
      </c>
      <c r="AD326" s="789">
        <f>IF($X326=0,0,      _xll.qDateNext($X326,AD$12,"M",FRM&lt;&gt;"Calypso",CCY))</f>
        <v>0</v>
      </c>
      <c r="AE326" s="789">
        <f>IF($X326=0,0,      _xll.qDateNext($X326,AE$12,"M",FRM&lt;&gt;"Calypso",CCY))</f>
        <v>0</v>
      </c>
      <c r="AF326" s="789">
        <f>IF($X326=0,0,      _xll.qDateNext($X326,AF$12,"M",FRM&lt;&gt;"Calypso",CCY))</f>
        <v>0</v>
      </c>
      <c r="AG326" s="789">
        <f>IF($X326=0,0,      _xll.qDateNext($X326,AG$12,"M",FRM&lt;&gt;"Calypso",CCY))</f>
        <v>0</v>
      </c>
      <c r="AH326" s="789">
        <f>IF($X326=0,0,      _xll.qDateNext($X326,AH$12,"M",FRM&lt;&gt;"Calypso",CCY))</f>
        <v>0</v>
      </c>
      <c r="AI326" s="789">
        <f>IF($X326=0,0,      _xll.qDateNext($X326,AI$12,"M",FRM&lt;&gt;"Calypso",CCY))</f>
        <v>0</v>
      </c>
      <c r="AJ326" s="529" t="str">
        <v/>
      </c>
      <c r="AK326" s="529" t="str">
        <v/>
      </c>
      <c r="AL326" s="529" t="str">
        <v/>
      </c>
      <c r="AM326" s="529" t="str">
        <v/>
      </c>
      <c r="AN326" s="529" t="str">
        <v/>
      </c>
      <c r="AO326" s="529" t="str">
        <v/>
      </c>
      <c r="AP326" s="529" t="str">
        <v/>
      </c>
      <c r="AQ326" s="529" t="str">
        <v/>
      </c>
      <c r="AR326" s="529">
        <v>0</v>
      </c>
      <c r="AS326" s="529">
        <v>0</v>
      </c>
      <c r="AT326" s="529">
        <f t="shared" si="79"/>
        <v>0</v>
      </c>
      <c r="AU326" s="529">
        <v>0</v>
      </c>
      <c r="AV326" s="529">
        <f t="shared" si="80"/>
        <v>0</v>
      </c>
      <c r="AW326" s="529">
        <f t="shared" si="81"/>
        <v>0</v>
      </c>
      <c r="AX326" s="529">
        <v>0</v>
      </c>
      <c r="AY326" s="529">
        <v>0</v>
      </c>
      <c r="AZ326" s="761">
        <f t="shared" si="70"/>
        <v>0</v>
      </c>
      <c r="BA326" s="761">
        <f t="shared" si="71"/>
        <v>0</v>
      </c>
      <c r="BB326" s="761">
        <f t="shared" si="72"/>
        <v>0</v>
      </c>
      <c r="BC326" s="761">
        <f t="shared" si="73"/>
        <v>0</v>
      </c>
      <c r="BD326" s="761">
        <f t="shared" si="74"/>
        <v>0</v>
      </c>
      <c r="BE326" s="761">
        <f t="shared" si="75"/>
        <v>0</v>
      </c>
      <c r="BF326" s="761">
        <f t="shared" si="76"/>
        <v>0</v>
      </c>
      <c r="BG326" s="761">
        <f t="shared" si="77"/>
        <v>0</v>
      </c>
      <c r="BH326" s="777">
        <v>0</v>
      </c>
      <c r="BI326" s="755"/>
      <c r="BJ326" s="778">
        <f>IF(X327=0,0,           IF(ISNUMBER(BI326),BI326,               IF(ISTEXT(BI326),INDEX(AZ326:BG326,MATCH(BI326,$AZ$12:$BG$12,0)),             IF(BH326="INT",_xll.qInterp(X327,AB326:AI326,AZ326:BG326),            INDEX(AZ326:BG326,MATCH(BH326,$AZ$12:$BG$12,0))))))</f>
        <v>0</v>
      </c>
      <c r="BK326" s="408">
        <f t="shared" si="82"/>
        <v>0</v>
      </c>
      <c r="BL326" s="414">
        <f t="shared" si="83"/>
        <v>0</v>
      </c>
      <c r="BM326" s="408">
        <f t="shared" si="84"/>
        <v>0</v>
      </c>
    </row>
    <row r="327" spans="16:65">
      <c r="P327" s="781">
        <v>0</v>
      </c>
      <c r="Q327" s="780">
        <f t="shared" si="68"/>
        <v>0</v>
      </c>
      <c r="R327" s="776">
        <f>IF(P328,_xll.qDateYears(P327,P328,DCCfixed),0)</f>
        <v>0</v>
      </c>
      <c r="S327" s="553">
        <v>0</v>
      </c>
      <c r="T327" s="785"/>
      <c r="U327" s="409">
        <f t="shared" si="78"/>
        <v>0</v>
      </c>
      <c r="X327" s="363">
        <v>0</v>
      </c>
      <c r="Y327" s="775">
        <f t="shared" si="69"/>
        <v>0</v>
      </c>
      <c r="Z327" s="776">
        <f>IF(X328,_xll.qDateYears(X327,X328,DCCfloat),0)</f>
        <v>0</v>
      </c>
      <c r="AA327" s="553">
        <v>0</v>
      </c>
      <c r="AB327" s="789">
        <f>IF($X327=0,0,      _xll.qDateNext($X327,AB$12,"M",FRM&lt;&gt;"Calypso",CCY))</f>
        <v>0</v>
      </c>
      <c r="AC327" s="789">
        <f>IF($X327=0,0,      _xll.qDateNext($X327,AC$12,"M",FRM&lt;&gt;"Calypso",CCY))</f>
        <v>0</v>
      </c>
      <c r="AD327" s="789">
        <f>IF($X327=0,0,      _xll.qDateNext($X327,AD$12,"M",FRM&lt;&gt;"Calypso",CCY))</f>
        <v>0</v>
      </c>
      <c r="AE327" s="789">
        <f>IF($X327=0,0,      _xll.qDateNext($X327,AE$12,"M",FRM&lt;&gt;"Calypso",CCY))</f>
        <v>0</v>
      </c>
      <c r="AF327" s="789">
        <f>IF($X327=0,0,      _xll.qDateNext($X327,AF$12,"M",FRM&lt;&gt;"Calypso",CCY))</f>
        <v>0</v>
      </c>
      <c r="AG327" s="789">
        <f>IF($X327=0,0,      _xll.qDateNext($X327,AG$12,"M",FRM&lt;&gt;"Calypso",CCY))</f>
        <v>0</v>
      </c>
      <c r="AH327" s="789">
        <f>IF($X327=0,0,      _xll.qDateNext($X327,AH$12,"M",FRM&lt;&gt;"Calypso",CCY))</f>
        <v>0</v>
      </c>
      <c r="AI327" s="789">
        <f>IF($X327=0,0,      _xll.qDateNext($X327,AI$12,"M",FRM&lt;&gt;"Calypso",CCY))</f>
        <v>0</v>
      </c>
      <c r="AJ327" s="529" t="str">
        <v/>
      </c>
      <c r="AK327" s="529" t="str">
        <v/>
      </c>
      <c r="AL327" s="529" t="str">
        <v/>
      </c>
      <c r="AM327" s="529" t="str">
        <v/>
      </c>
      <c r="AN327" s="529" t="str">
        <v/>
      </c>
      <c r="AO327" s="529" t="str">
        <v/>
      </c>
      <c r="AP327" s="529" t="str">
        <v/>
      </c>
      <c r="AQ327" s="529" t="str">
        <v/>
      </c>
      <c r="AR327" s="529">
        <v>0</v>
      </c>
      <c r="AS327" s="529">
        <v>0</v>
      </c>
      <c r="AT327" s="529">
        <f t="shared" si="79"/>
        <v>0</v>
      </c>
      <c r="AU327" s="529">
        <v>0</v>
      </c>
      <c r="AV327" s="529">
        <f t="shared" si="80"/>
        <v>0</v>
      </c>
      <c r="AW327" s="529">
        <f t="shared" si="81"/>
        <v>0</v>
      </c>
      <c r="AX327" s="529">
        <v>0</v>
      </c>
      <c r="AY327" s="529">
        <v>0</v>
      </c>
      <c r="AZ327" s="761">
        <f t="shared" si="70"/>
        <v>0</v>
      </c>
      <c r="BA327" s="761">
        <f t="shared" si="71"/>
        <v>0</v>
      </c>
      <c r="BB327" s="761">
        <f t="shared" si="72"/>
        <v>0</v>
      </c>
      <c r="BC327" s="761">
        <f t="shared" si="73"/>
        <v>0</v>
      </c>
      <c r="BD327" s="761">
        <f t="shared" si="74"/>
        <v>0</v>
      </c>
      <c r="BE327" s="761">
        <f t="shared" si="75"/>
        <v>0</v>
      </c>
      <c r="BF327" s="761">
        <f t="shared" si="76"/>
        <v>0</v>
      </c>
      <c r="BG327" s="761">
        <f t="shared" si="77"/>
        <v>0</v>
      </c>
      <c r="BH327" s="777">
        <v>0</v>
      </c>
      <c r="BI327" s="755"/>
      <c r="BJ327" s="778">
        <f>IF(X328=0,0,           IF(ISNUMBER(BI327),BI327,               IF(ISTEXT(BI327),INDEX(AZ327:BG327,MATCH(BI327,$AZ$12:$BG$12,0)),             IF(BH327="INT",_xll.qInterp(X328,AB327:AI327,AZ327:BG327),            INDEX(AZ327:BG327,MATCH(BH327,$AZ$12:$BG$12,0))))))</f>
        <v>0</v>
      </c>
      <c r="BK327" s="408">
        <f t="shared" si="82"/>
        <v>0</v>
      </c>
      <c r="BL327" s="414">
        <f t="shared" si="83"/>
        <v>0</v>
      </c>
      <c r="BM327" s="408">
        <f t="shared" si="84"/>
        <v>0</v>
      </c>
    </row>
    <row r="328" spans="16:65">
      <c r="P328" s="781">
        <v>0</v>
      </c>
      <c r="Q328" s="780">
        <f t="shared" si="68"/>
        <v>0</v>
      </c>
      <c r="R328" s="776">
        <f>IF(P329,_xll.qDateYears(P328,P329,DCCfixed),0)</f>
        <v>0</v>
      </c>
      <c r="S328" s="553">
        <v>0</v>
      </c>
      <c r="T328" s="785"/>
      <c r="U328" s="409">
        <f t="shared" si="78"/>
        <v>0</v>
      </c>
      <c r="X328" s="363">
        <v>0</v>
      </c>
      <c r="Y328" s="775">
        <f t="shared" si="69"/>
        <v>0</v>
      </c>
      <c r="Z328" s="776">
        <f>IF(X329,_xll.qDateYears(X328,X329,DCCfloat),0)</f>
        <v>0</v>
      </c>
      <c r="AA328" s="553">
        <v>0</v>
      </c>
      <c r="AB328" s="789">
        <f>IF($X328=0,0,      _xll.qDateNext($X328,AB$12,"M",FRM&lt;&gt;"Calypso",CCY))</f>
        <v>0</v>
      </c>
      <c r="AC328" s="789">
        <f>IF($X328=0,0,      _xll.qDateNext($X328,AC$12,"M",FRM&lt;&gt;"Calypso",CCY))</f>
        <v>0</v>
      </c>
      <c r="AD328" s="789">
        <f>IF($X328=0,0,      _xll.qDateNext($X328,AD$12,"M",FRM&lt;&gt;"Calypso",CCY))</f>
        <v>0</v>
      </c>
      <c r="AE328" s="789">
        <f>IF($X328=0,0,      _xll.qDateNext($X328,AE$12,"M",FRM&lt;&gt;"Calypso",CCY))</f>
        <v>0</v>
      </c>
      <c r="AF328" s="789">
        <f>IF($X328=0,0,      _xll.qDateNext($X328,AF$12,"M",FRM&lt;&gt;"Calypso",CCY))</f>
        <v>0</v>
      </c>
      <c r="AG328" s="789">
        <f>IF($X328=0,0,      _xll.qDateNext($X328,AG$12,"M",FRM&lt;&gt;"Calypso",CCY))</f>
        <v>0</v>
      </c>
      <c r="AH328" s="789">
        <f>IF($X328=0,0,      _xll.qDateNext($X328,AH$12,"M",FRM&lt;&gt;"Calypso",CCY))</f>
        <v>0</v>
      </c>
      <c r="AI328" s="789">
        <f>IF($X328=0,0,      _xll.qDateNext($X328,AI$12,"M",FRM&lt;&gt;"Calypso",CCY))</f>
        <v>0</v>
      </c>
      <c r="AJ328" s="529" t="str">
        <v/>
      </c>
      <c r="AK328" s="529" t="str">
        <v/>
      </c>
      <c r="AL328" s="529" t="str">
        <v/>
      </c>
      <c r="AM328" s="529" t="str">
        <v/>
      </c>
      <c r="AN328" s="529" t="str">
        <v/>
      </c>
      <c r="AO328" s="529" t="str">
        <v/>
      </c>
      <c r="AP328" s="529" t="str">
        <v/>
      </c>
      <c r="AQ328" s="529" t="str">
        <v/>
      </c>
      <c r="AR328" s="529">
        <v>0</v>
      </c>
      <c r="AS328" s="529">
        <v>0</v>
      </c>
      <c r="AT328" s="529">
        <f t="shared" si="79"/>
        <v>0</v>
      </c>
      <c r="AU328" s="529">
        <v>0</v>
      </c>
      <c r="AV328" s="529">
        <f t="shared" si="80"/>
        <v>0</v>
      </c>
      <c r="AW328" s="529">
        <f t="shared" si="81"/>
        <v>0</v>
      </c>
      <c r="AX328" s="529">
        <v>0</v>
      </c>
      <c r="AY328" s="529">
        <v>0</v>
      </c>
      <c r="AZ328" s="761">
        <f t="shared" si="70"/>
        <v>0</v>
      </c>
      <c r="BA328" s="761">
        <f t="shared" si="71"/>
        <v>0</v>
      </c>
      <c r="BB328" s="761">
        <f t="shared" si="72"/>
        <v>0</v>
      </c>
      <c r="BC328" s="761">
        <f t="shared" si="73"/>
        <v>0</v>
      </c>
      <c r="BD328" s="761">
        <f t="shared" si="74"/>
        <v>0</v>
      </c>
      <c r="BE328" s="761">
        <f t="shared" si="75"/>
        <v>0</v>
      </c>
      <c r="BF328" s="761">
        <f t="shared" si="76"/>
        <v>0</v>
      </c>
      <c r="BG328" s="761">
        <f t="shared" si="77"/>
        <v>0</v>
      </c>
      <c r="BH328" s="777">
        <v>0</v>
      </c>
      <c r="BI328" s="755"/>
      <c r="BJ328" s="778">
        <f>IF(X329=0,0,           IF(ISNUMBER(BI328),BI328,               IF(ISTEXT(BI328),INDEX(AZ328:BG328,MATCH(BI328,$AZ$12:$BG$12,0)),             IF(BH328="INT",_xll.qInterp(X329,AB328:AI328,AZ328:BG328),            INDEX(AZ328:BG328,MATCH(BH328,$AZ$12:$BG$12,0))))))</f>
        <v>0</v>
      </c>
      <c r="BK328" s="408">
        <f t="shared" si="82"/>
        <v>0</v>
      </c>
      <c r="BL328" s="414">
        <f t="shared" si="83"/>
        <v>0</v>
      </c>
      <c r="BM328" s="408">
        <f t="shared" si="84"/>
        <v>0</v>
      </c>
    </row>
    <row r="329" spans="16:65">
      <c r="P329" s="781">
        <v>0</v>
      </c>
      <c r="Q329" s="780">
        <f t="shared" si="68"/>
        <v>0</v>
      </c>
      <c r="R329" s="776">
        <f>IF(P330,_xll.qDateYears(P329,P330,DCCfixed),0)</f>
        <v>0</v>
      </c>
      <c r="S329" s="553">
        <v>0</v>
      </c>
      <c r="T329" s="785"/>
      <c r="U329" s="409">
        <f t="shared" si="78"/>
        <v>0</v>
      </c>
      <c r="X329" s="363">
        <v>0</v>
      </c>
      <c r="Y329" s="775">
        <f t="shared" si="69"/>
        <v>0</v>
      </c>
      <c r="Z329" s="776">
        <f>IF(X330,_xll.qDateYears(X329,X330,DCCfloat),0)</f>
        <v>0</v>
      </c>
      <c r="AA329" s="553">
        <v>0</v>
      </c>
      <c r="AB329" s="789">
        <f>IF($X329=0,0,      _xll.qDateNext($X329,AB$12,"M",FRM&lt;&gt;"Calypso",CCY))</f>
        <v>0</v>
      </c>
      <c r="AC329" s="789">
        <f>IF($X329=0,0,      _xll.qDateNext($X329,AC$12,"M",FRM&lt;&gt;"Calypso",CCY))</f>
        <v>0</v>
      </c>
      <c r="AD329" s="789">
        <f>IF($X329=0,0,      _xll.qDateNext($X329,AD$12,"M",FRM&lt;&gt;"Calypso",CCY))</f>
        <v>0</v>
      </c>
      <c r="AE329" s="789">
        <f>IF($X329=0,0,      _xll.qDateNext($X329,AE$12,"M",FRM&lt;&gt;"Calypso",CCY))</f>
        <v>0</v>
      </c>
      <c r="AF329" s="789">
        <f>IF($X329=0,0,      _xll.qDateNext($X329,AF$12,"M",FRM&lt;&gt;"Calypso",CCY))</f>
        <v>0</v>
      </c>
      <c r="AG329" s="789">
        <f>IF($X329=0,0,      _xll.qDateNext($X329,AG$12,"M",FRM&lt;&gt;"Calypso",CCY))</f>
        <v>0</v>
      </c>
      <c r="AH329" s="789">
        <f>IF($X329=0,0,      _xll.qDateNext($X329,AH$12,"M",FRM&lt;&gt;"Calypso",CCY))</f>
        <v>0</v>
      </c>
      <c r="AI329" s="789">
        <f>IF($X329=0,0,      _xll.qDateNext($X329,AI$12,"M",FRM&lt;&gt;"Calypso",CCY))</f>
        <v>0</v>
      </c>
      <c r="AJ329" s="529" t="str">
        <v/>
      </c>
      <c r="AK329" s="529" t="str">
        <v/>
      </c>
      <c r="AL329" s="529" t="str">
        <v/>
      </c>
      <c r="AM329" s="529" t="str">
        <v/>
      </c>
      <c r="AN329" s="529" t="str">
        <v/>
      </c>
      <c r="AO329" s="529" t="str">
        <v/>
      </c>
      <c r="AP329" s="529" t="str">
        <v/>
      </c>
      <c r="AQ329" s="529" t="str">
        <v/>
      </c>
      <c r="AR329" s="529">
        <v>0</v>
      </c>
      <c r="AS329" s="529">
        <v>0</v>
      </c>
      <c r="AT329" s="529">
        <f t="shared" si="79"/>
        <v>0</v>
      </c>
      <c r="AU329" s="529">
        <v>0</v>
      </c>
      <c r="AV329" s="529">
        <f t="shared" si="80"/>
        <v>0</v>
      </c>
      <c r="AW329" s="529">
        <f t="shared" si="81"/>
        <v>0</v>
      </c>
      <c r="AX329" s="529">
        <v>0</v>
      </c>
      <c r="AY329" s="529">
        <v>0</v>
      </c>
      <c r="AZ329" s="761">
        <f t="shared" si="70"/>
        <v>0</v>
      </c>
      <c r="BA329" s="761">
        <f t="shared" si="71"/>
        <v>0</v>
      </c>
      <c r="BB329" s="761">
        <f t="shared" si="72"/>
        <v>0</v>
      </c>
      <c r="BC329" s="761">
        <f t="shared" si="73"/>
        <v>0</v>
      </c>
      <c r="BD329" s="761">
        <f t="shared" si="74"/>
        <v>0</v>
      </c>
      <c r="BE329" s="761">
        <f t="shared" si="75"/>
        <v>0</v>
      </c>
      <c r="BF329" s="761">
        <f t="shared" si="76"/>
        <v>0</v>
      </c>
      <c r="BG329" s="761">
        <f t="shared" si="77"/>
        <v>0</v>
      </c>
      <c r="BH329" s="777">
        <v>0</v>
      </c>
      <c r="BI329" s="755"/>
      <c r="BJ329" s="778">
        <f>IF(X330=0,0,           IF(ISNUMBER(BI329),BI329,               IF(ISTEXT(BI329),INDEX(AZ329:BG329,MATCH(BI329,$AZ$12:$BG$12,0)),             IF(BH329="INT",_xll.qInterp(X330,AB329:AI329,AZ329:BG329),            INDEX(AZ329:BG329,MATCH(BH329,$AZ$12:$BG$12,0))))))</f>
        <v>0</v>
      </c>
      <c r="BK329" s="408">
        <f t="shared" si="82"/>
        <v>0</v>
      </c>
      <c r="BL329" s="414">
        <f t="shared" si="83"/>
        <v>0</v>
      </c>
      <c r="BM329" s="408">
        <f t="shared" si="84"/>
        <v>0</v>
      </c>
    </row>
    <row r="330" spans="16:65">
      <c r="P330" s="781">
        <v>0</v>
      </c>
      <c r="Q330" s="780">
        <f t="shared" si="68"/>
        <v>0</v>
      </c>
      <c r="R330" s="776">
        <f>IF(P331,_xll.qDateYears(P330,P331,DCCfixed),0)</f>
        <v>0</v>
      </c>
      <c r="S330" s="553">
        <v>0</v>
      </c>
      <c r="T330" s="785"/>
      <c r="U330" s="409">
        <f t="shared" si="78"/>
        <v>0</v>
      </c>
      <c r="X330" s="363">
        <v>0</v>
      </c>
      <c r="Y330" s="775">
        <f t="shared" si="69"/>
        <v>0</v>
      </c>
      <c r="Z330" s="776">
        <f>IF(X331,_xll.qDateYears(X330,X331,DCCfloat),0)</f>
        <v>0</v>
      </c>
      <c r="AA330" s="553">
        <v>0</v>
      </c>
      <c r="AB330" s="789">
        <f>IF($X330=0,0,      _xll.qDateNext($X330,AB$12,"M",FRM&lt;&gt;"Calypso",CCY))</f>
        <v>0</v>
      </c>
      <c r="AC330" s="789">
        <f>IF($X330=0,0,      _xll.qDateNext($X330,AC$12,"M",FRM&lt;&gt;"Calypso",CCY))</f>
        <v>0</v>
      </c>
      <c r="AD330" s="789">
        <f>IF($X330=0,0,      _xll.qDateNext($X330,AD$12,"M",FRM&lt;&gt;"Calypso",CCY))</f>
        <v>0</v>
      </c>
      <c r="AE330" s="789">
        <f>IF($X330=0,0,      _xll.qDateNext($X330,AE$12,"M",FRM&lt;&gt;"Calypso",CCY))</f>
        <v>0</v>
      </c>
      <c r="AF330" s="789">
        <f>IF($X330=0,0,      _xll.qDateNext($X330,AF$12,"M",FRM&lt;&gt;"Calypso",CCY))</f>
        <v>0</v>
      </c>
      <c r="AG330" s="789">
        <f>IF($X330=0,0,      _xll.qDateNext($X330,AG$12,"M",FRM&lt;&gt;"Calypso",CCY))</f>
        <v>0</v>
      </c>
      <c r="AH330" s="789">
        <f>IF($X330=0,0,      _xll.qDateNext($X330,AH$12,"M",FRM&lt;&gt;"Calypso",CCY))</f>
        <v>0</v>
      </c>
      <c r="AI330" s="789">
        <f>IF($X330=0,0,      _xll.qDateNext($X330,AI$12,"M",FRM&lt;&gt;"Calypso",CCY))</f>
        <v>0</v>
      </c>
      <c r="AJ330" s="529" t="str">
        <v/>
      </c>
      <c r="AK330" s="529" t="str">
        <v/>
      </c>
      <c r="AL330" s="529" t="str">
        <v/>
      </c>
      <c r="AM330" s="529" t="str">
        <v/>
      </c>
      <c r="AN330" s="529" t="str">
        <v/>
      </c>
      <c r="AO330" s="529" t="str">
        <v/>
      </c>
      <c r="AP330" s="529" t="str">
        <v/>
      </c>
      <c r="AQ330" s="529" t="str">
        <v/>
      </c>
      <c r="AR330" s="529">
        <v>0</v>
      </c>
      <c r="AS330" s="529">
        <v>0</v>
      </c>
      <c r="AT330" s="529">
        <f t="shared" si="79"/>
        <v>0</v>
      </c>
      <c r="AU330" s="529">
        <v>0</v>
      </c>
      <c r="AV330" s="529">
        <f t="shared" si="80"/>
        <v>0</v>
      </c>
      <c r="AW330" s="529">
        <f t="shared" si="81"/>
        <v>0</v>
      </c>
      <c r="AX330" s="529">
        <v>0</v>
      </c>
      <c r="AY330" s="529">
        <v>0</v>
      </c>
      <c r="AZ330" s="761">
        <f t="shared" si="70"/>
        <v>0</v>
      </c>
      <c r="BA330" s="761">
        <f t="shared" si="71"/>
        <v>0</v>
      </c>
      <c r="BB330" s="761">
        <f t="shared" si="72"/>
        <v>0</v>
      </c>
      <c r="BC330" s="761">
        <f t="shared" si="73"/>
        <v>0</v>
      </c>
      <c r="BD330" s="761">
        <f t="shared" si="74"/>
        <v>0</v>
      </c>
      <c r="BE330" s="761">
        <f t="shared" si="75"/>
        <v>0</v>
      </c>
      <c r="BF330" s="761">
        <f t="shared" si="76"/>
        <v>0</v>
      </c>
      <c r="BG330" s="761">
        <f t="shared" si="77"/>
        <v>0</v>
      </c>
      <c r="BH330" s="777">
        <v>0</v>
      </c>
      <c r="BI330" s="755"/>
      <c r="BJ330" s="778">
        <f>IF(X331=0,0,           IF(ISNUMBER(BI330),BI330,               IF(ISTEXT(BI330),INDEX(AZ330:BG330,MATCH(BI330,$AZ$12:$BG$12,0)),             IF(BH330="INT",_xll.qInterp(X331,AB330:AI330,AZ330:BG330),            INDEX(AZ330:BG330,MATCH(BH330,$AZ$12:$BG$12,0))))))</f>
        <v>0</v>
      </c>
      <c r="BK330" s="408">
        <f t="shared" si="82"/>
        <v>0</v>
      </c>
      <c r="BL330" s="414">
        <f t="shared" si="83"/>
        <v>0</v>
      </c>
      <c r="BM330" s="408">
        <f t="shared" si="84"/>
        <v>0</v>
      </c>
    </row>
    <row r="331" spans="16:65">
      <c r="P331" s="781">
        <v>0</v>
      </c>
      <c r="Q331" s="780">
        <f t="shared" si="68"/>
        <v>0</v>
      </c>
      <c r="R331" s="776">
        <f>IF(P332,_xll.qDateYears(P331,P332,DCCfixed),0)</f>
        <v>0</v>
      </c>
      <c r="S331" s="553">
        <v>0</v>
      </c>
      <c r="T331" s="785"/>
      <c r="U331" s="409">
        <f t="shared" si="78"/>
        <v>0</v>
      </c>
      <c r="X331" s="363">
        <v>0</v>
      </c>
      <c r="Y331" s="775">
        <f t="shared" si="69"/>
        <v>0</v>
      </c>
      <c r="Z331" s="776">
        <f>IF(X332,_xll.qDateYears(X331,X332,DCCfloat),0)</f>
        <v>0</v>
      </c>
      <c r="AA331" s="553">
        <v>0</v>
      </c>
      <c r="AB331" s="789">
        <f>IF($X331=0,0,      _xll.qDateNext($X331,AB$12,"M",FRM&lt;&gt;"Calypso",CCY))</f>
        <v>0</v>
      </c>
      <c r="AC331" s="789">
        <f>IF($X331=0,0,      _xll.qDateNext($X331,AC$12,"M",FRM&lt;&gt;"Calypso",CCY))</f>
        <v>0</v>
      </c>
      <c r="AD331" s="789">
        <f>IF($X331=0,0,      _xll.qDateNext($X331,AD$12,"M",FRM&lt;&gt;"Calypso",CCY))</f>
        <v>0</v>
      </c>
      <c r="AE331" s="789">
        <f>IF($X331=0,0,      _xll.qDateNext($X331,AE$12,"M",FRM&lt;&gt;"Calypso",CCY))</f>
        <v>0</v>
      </c>
      <c r="AF331" s="789">
        <f>IF($X331=0,0,      _xll.qDateNext($X331,AF$12,"M",FRM&lt;&gt;"Calypso",CCY))</f>
        <v>0</v>
      </c>
      <c r="AG331" s="789">
        <f>IF($X331=0,0,      _xll.qDateNext($X331,AG$12,"M",FRM&lt;&gt;"Calypso",CCY))</f>
        <v>0</v>
      </c>
      <c r="AH331" s="789">
        <f>IF($X331=0,0,      _xll.qDateNext($X331,AH$12,"M",FRM&lt;&gt;"Calypso",CCY))</f>
        <v>0</v>
      </c>
      <c r="AI331" s="789">
        <f>IF($X331=0,0,      _xll.qDateNext($X331,AI$12,"M",FRM&lt;&gt;"Calypso",CCY))</f>
        <v>0</v>
      </c>
      <c r="AJ331" s="529" t="str">
        <v/>
      </c>
      <c r="AK331" s="529" t="str">
        <v/>
      </c>
      <c r="AL331" s="529" t="str">
        <v/>
      </c>
      <c r="AM331" s="529" t="str">
        <v/>
      </c>
      <c r="AN331" s="529" t="str">
        <v/>
      </c>
      <c r="AO331" s="529" t="str">
        <v/>
      </c>
      <c r="AP331" s="529" t="str">
        <v/>
      </c>
      <c r="AQ331" s="529" t="str">
        <v/>
      </c>
      <c r="AR331" s="529">
        <v>0</v>
      </c>
      <c r="AS331" s="529">
        <v>0</v>
      </c>
      <c r="AT331" s="529">
        <f t="shared" si="79"/>
        <v>0</v>
      </c>
      <c r="AU331" s="529">
        <v>0</v>
      </c>
      <c r="AV331" s="529">
        <f t="shared" si="80"/>
        <v>0</v>
      </c>
      <c r="AW331" s="529">
        <f t="shared" si="81"/>
        <v>0</v>
      </c>
      <c r="AX331" s="529">
        <v>0</v>
      </c>
      <c r="AY331" s="529">
        <v>0</v>
      </c>
      <c r="AZ331" s="761">
        <f t="shared" si="70"/>
        <v>0</v>
      </c>
      <c r="BA331" s="761">
        <f t="shared" si="71"/>
        <v>0</v>
      </c>
      <c r="BB331" s="761">
        <f t="shared" si="72"/>
        <v>0</v>
      </c>
      <c r="BC331" s="761">
        <f t="shared" si="73"/>
        <v>0</v>
      </c>
      <c r="BD331" s="761">
        <f t="shared" si="74"/>
        <v>0</v>
      </c>
      <c r="BE331" s="761">
        <f t="shared" si="75"/>
        <v>0</v>
      </c>
      <c r="BF331" s="761">
        <f t="shared" si="76"/>
        <v>0</v>
      </c>
      <c r="BG331" s="761">
        <f t="shared" si="77"/>
        <v>0</v>
      </c>
      <c r="BH331" s="777">
        <v>0</v>
      </c>
      <c r="BI331" s="755"/>
      <c r="BJ331" s="778">
        <f>IF(X332=0,0,           IF(ISNUMBER(BI331),BI331,               IF(ISTEXT(BI331),INDEX(AZ331:BG331,MATCH(BI331,$AZ$12:$BG$12,0)),             IF(BH331="INT",_xll.qInterp(X332,AB331:AI331,AZ331:BG331),            INDEX(AZ331:BG331,MATCH(BH331,$AZ$12:$BG$12,0))))))</f>
        <v>0</v>
      </c>
      <c r="BK331" s="408">
        <f t="shared" si="82"/>
        <v>0</v>
      </c>
      <c r="BL331" s="414">
        <f t="shared" si="83"/>
        <v>0</v>
      </c>
      <c r="BM331" s="408">
        <f t="shared" si="84"/>
        <v>0</v>
      </c>
    </row>
    <row r="332" spans="16:65">
      <c r="P332" s="781">
        <v>0</v>
      </c>
      <c r="Q332" s="780">
        <f t="shared" si="68"/>
        <v>0</v>
      </c>
      <c r="R332" s="776">
        <f>IF(P333,_xll.qDateYears(P332,P333,DCCfixed),0)</f>
        <v>0</v>
      </c>
      <c r="S332" s="553">
        <v>0</v>
      </c>
      <c r="T332" s="785"/>
      <c r="U332" s="409">
        <f t="shared" si="78"/>
        <v>0</v>
      </c>
      <c r="X332" s="363">
        <v>0</v>
      </c>
      <c r="Y332" s="775">
        <f t="shared" si="69"/>
        <v>0</v>
      </c>
      <c r="Z332" s="776">
        <f>IF(X333,_xll.qDateYears(X332,X333,DCCfloat),0)</f>
        <v>0</v>
      </c>
      <c r="AA332" s="553">
        <v>0</v>
      </c>
      <c r="AB332" s="789">
        <f>IF($X332=0,0,      _xll.qDateNext($X332,AB$12,"M",FRM&lt;&gt;"Calypso",CCY))</f>
        <v>0</v>
      </c>
      <c r="AC332" s="789">
        <f>IF($X332=0,0,      _xll.qDateNext($X332,AC$12,"M",FRM&lt;&gt;"Calypso",CCY))</f>
        <v>0</v>
      </c>
      <c r="AD332" s="789">
        <f>IF($X332=0,0,      _xll.qDateNext($X332,AD$12,"M",FRM&lt;&gt;"Calypso",CCY))</f>
        <v>0</v>
      </c>
      <c r="AE332" s="789">
        <f>IF($X332=0,0,      _xll.qDateNext($X332,AE$12,"M",FRM&lt;&gt;"Calypso",CCY))</f>
        <v>0</v>
      </c>
      <c r="AF332" s="789">
        <f>IF($X332=0,0,      _xll.qDateNext($X332,AF$12,"M",FRM&lt;&gt;"Calypso",CCY))</f>
        <v>0</v>
      </c>
      <c r="AG332" s="789">
        <f>IF($X332=0,0,      _xll.qDateNext($X332,AG$12,"M",FRM&lt;&gt;"Calypso",CCY))</f>
        <v>0</v>
      </c>
      <c r="AH332" s="789">
        <f>IF($X332=0,0,      _xll.qDateNext($X332,AH$12,"M",FRM&lt;&gt;"Calypso",CCY))</f>
        <v>0</v>
      </c>
      <c r="AI332" s="789">
        <f>IF($X332=0,0,      _xll.qDateNext($X332,AI$12,"M",FRM&lt;&gt;"Calypso",CCY))</f>
        <v>0</v>
      </c>
      <c r="AJ332" s="529" t="str">
        <v/>
      </c>
      <c r="AK332" s="529" t="str">
        <v/>
      </c>
      <c r="AL332" s="529" t="str">
        <v/>
      </c>
      <c r="AM332" s="529" t="str">
        <v/>
      </c>
      <c r="AN332" s="529" t="str">
        <v/>
      </c>
      <c r="AO332" s="529" t="str">
        <v/>
      </c>
      <c r="AP332" s="529" t="str">
        <v/>
      </c>
      <c r="AQ332" s="529" t="str">
        <v/>
      </c>
      <c r="AR332" s="529">
        <v>0</v>
      </c>
      <c r="AS332" s="529">
        <v>0</v>
      </c>
      <c r="AT332" s="529">
        <f t="shared" si="79"/>
        <v>0</v>
      </c>
      <c r="AU332" s="529">
        <v>0</v>
      </c>
      <c r="AV332" s="529">
        <f t="shared" si="80"/>
        <v>0</v>
      </c>
      <c r="AW332" s="529">
        <f t="shared" si="81"/>
        <v>0</v>
      </c>
      <c r="AX332" s="529">
        <v>0</v>
      </c>
      <c r="AY332" s="529">
        <v>0</v>
      </c>
      <c r="AZ332" s="761">
        <f t="shared" si="70"/>
        <v>0</v>
      </c>
      <c r="BA332" s="761">
        <f t="shared" si="71"/>
        <v>0</v>
      </c>
      <c r="BB332" s="761">
        <f t="shared" si="72"/>
        <v>0</v>
      </c>
      <c r="BC332" s="761">
        <f t="shared" si="73"/>
        <v>0</v>
      </c>
      <c r="BD332" s="761">
        <f t="shared" si="74"/>
        <v>0</v>
      </c>
      <c r="BE332" s="761">
        <f t="shared" si="75"/>
        <v>0</v>
      </c>
      <c r="BF332" s="761">
        <f t="shared" si="76"/>
        <v>0</v>
      </c>
      <c r="BG332" s="761">
        <f t="shared" si="77"/>
        <v>0</v>
      </c>
      <c r="BH332" s="777">
        <v>0</v>
      </c>
      <c r="BI332" s="755"/>
      <c r="BJ332" s="778">
        <f>IF(X333=0,0,           IF(ISNUMBER(BI332),BI332,               IF(ISTEXT(BI332),INDEX(AZ332:BG332,MATCH(BI332,$AZ$12:$BG$12,0)),             IF(BH332="INT",_xll.qInterp(X333,AB332:AI332,AZ332:BG332),            INDEX(AZ332:BG332,MATCH(BH332,$AZ$12:$BG$12,0))))))</f>
        <v>0</v>
      </c>
      <c r="BK332" s="408">
        <f t="shared" si="82"/>
        <v>0</v>
      </c>
      <c r="BL332" s="414">
        <f t="shared" si="83"/>
        <v>0</v>
      </c>
      <c r="BM332" s="408">
        <f t="shared" si="84"/>
        <v>0</v>
      </c>
    </row>
    <row r="333" spans="16:65">
      <c r="P333" s="781">
        <v>0</v>
      </c>
      <c r="Q333" s="780">
        <f t="shared" ref="Q333:Q396" si="85">IF(P334,IF(LEFT(DCCfixed,3)="Act",P334-P333,DAYS360(P333,P334)),0)</f>
        <v>0</v>
      </c>
      <c r="R333" s="776">
        <f>IF(P334,_xll.qDateYears(P333,P334,DCCfixed),0)</f>
        <v>0</v>
      </c>
      <c r="S333" s="553">
        <v>0</v>
      </c>
      <c r="T333" s="785"/>
      <c r="U333" s="409">
        <f t="shared" si="78"/>
        <v>0</v>
      </c>
      <c r="X333" s="363">
        <v>0</v>
      </c>
      <c r="Y333" s="775">
        <f t="shared" ref="Y333:Y396" si="86">IF(X334,IF(LEFT(DCCfloat,3)="Act",X334-X333,DAYS360(X333,X334)),0)</f>
        <v>0</v>
      </c>
      <c r="Z333" s="776">
        <f>IF(X334,_xll.qDateYears(X333,X334,DCCfloat),0)</f>
        <v>0</v>
      </c>
      <c r="AA333" s="553">
        <v>0</v>
      </c>
      <c r="AB333" s="789">
        <f>IF($X333=0,0,      _xll.qDateNext($X333,AB$12,"M",FRM&lt;&gt;"Calypso",CCY))</f>
        <v>0</v>
      </c>
      <c r="AC333" s="789">
        <f>IF($X333=0,0,      _xll.qDateNext($X333,AC$12,"M",FRM&lt;&gt;"Calypso",CCY))</f>
        <v>0</v>
      </c>
      <c r="AD333" s="789">
        <f>IF($X333=0,0,      _xll.qDateNext($X333,AD$12,"M",FRM&lt;&gt;"Calypso",CCY))</f>
        <v>0</v>
      </c>
      <c r="AE333" s="789">
        <f>IF($X333=0,0,      _xll.qDateNext($X333,AE$12,"M",FRM&lt;&gt;"Calypso",CCY))</f>
        <v>0</v>
      </c>
      <c r="AF333" s="789">
        <f>IF($X333=0,0,      _xll.qDateNext($X333,AF$12,"M",FRM&lt;&gt;"Calypso",CCY))</f>
        <v>0</v>
      </c>
      <c r="AG333" s="789">
        <f>IF($X333=0,0,      _xll.qDateNext($X333,AG$12,"M",FRM&lt;&gt;"Calypso",CCY))</f>
        <v>0</v>
      </c>
      <c r="AH333" s="789">
        <f>IF($X333=0,0,      _xll.qDateNext($X333,AH$12,"M",FRM&lt;&gt;"Calypso",CCY))</f>
        <v>0</v>
      </c>
      <c r="AI333" s="789">
        <f>IF($X333=0,0,      _xll.qDateNext($X333,AI$12,"M",FRM&lt;&gt;"Calypso",CCY))</f>
        <v>0</v>
      </c>
      <c r="AJ333" s="529" t="str">
        <v/>
      </c>
      <c r="AK333" s="529" t="str">
        <v/>
      </c>
      <c r="AL333" s="529" t="str">
        <v/>
      </c>
      <c r="AM333" s="529" t="str">
        <v/>
      </c>
      <c r="AN333" s="529" t="str">
        <v/>
      </c>
      <c r="AO333" s="529" t="str">
        <v/>
      </c>
      <c r="AP333" s="529" t="str">
        <v/>
      </c>
      <c r="AQ333" s="529" t="str">
        <v/>
      </c>
      <c r="AR333" s="529">
        <v>0</v>
      </c>
      <c r="AS333" s="529">
        <v>0</v>
      </c>
      <c r="AT333" s="529">
        <f t="shared" si="79"/>
        <v>0</v>
      </c>
      <c r="AU333" s="529">
        <v>0</v>
      </c>
      <c r="AV333" s="529">
        <f t="shared" si="80"/>
        <v>0</v>
      </c>
      <c r="AW333" s="529">
        <f t="shared" si="81"/>
        <v>0</v>
      </c>
      <c r="AX333" s="529">
        <v>0</v>
      </c>
      <c r="AY333" s="529">
        <v>0</v>
      </c>
      <c r="AZ333" s="761">
        <f t="shared" ref="AZ333:AZ396" si="87">IF($X333=0,0,   IF(ISNUMBER(AJ333),AJ333,AR333))</f>
        <v>0</v>
      </c>
      <c r="BA333" s="761">
        <f t="shared" ref="BA333:BA396" si="88">IF($X333=0,0,   IF(ISNUMBER(AK333),AK333,AS333))</f>
        <v>0</v>
      </c>
      <c r="BB333" s="761">
        <f t="shared" ref="BB333:BB396" si="89">IF($X333=0,0,   IF(ISNUMBER(AL333),AL333,AT333))</f>
        <v>0</v>
      </c>
      <c r="BC333" s="761">
        <f t="shared" ref="BC333:BC396" si="90">IF($X333=0,0,   IF(ISNUMBER(AM333),AM333,AU333))</f>
        <v>0</v>
      </c>
      <c r="BD333" s="761">
        <f t="shared" ref="BD333:BD396" si="91">IF($X333=0,0,   IF(ISNUMBER(AN333),AN333,AV333))</f>
        <v>0</v>
      </c>
      <c r="BE333" s="761">
        <f t="shared" ref="BE333:BE396" si="92">IF($X333=0,0,   IF(ISNUMBER(AO333),AO333,AW333))</f>
        <v>0</v>
      </c>
      <c r="BF333" s="761">
        <f t="shared" ref="BF333:BF396" si="93">IF($X333=0,0,   IF(ISNUMBER(AP333),AP333,AX333))</f>
        <v>0</v>
      </c>
      <c r="BG333" s="761">
        <f t="shared" ref="BG333:BG396" si="94">IF($X333=0,0,   IF(ISNUMBER(AQ333),AQ333,AY333))</f>
        <v>0</v>
      </c>
      <c r="BH333" s="777">
        <v>0</v>
      </c>
      <c r="BI333" s="755"/>
      <c r="BJ333" s="778">
        <f>IF(X334=0,0,           IF(ISNUMBER(BI333),BI333,               IF(ISTEXT(BI333),INDEX(AZ333:BG333,MATCH(BI333,$AZ$12:$BG$12,0)),             IF(BH333="INT",_xll.qInterp(X334,AB333:AI333,AZ333:BG333),            INDEX(AZ333:BG333,MATCH(BH333,$AZ$12:$BG$12,0))))))</f>
        <v>0</v>
      </c>
      <c r="BK333" s="408">
        <f t="shared" si="82"/>
        <v>0</v>
      </c>
      <c r="BL333" s="414">
        <f t="shared" si="83"/>
        <v>0</v>
      </c>
      <c r="BM333" s="408">
        <f t="shared" si="84"/>
        <v>0</v>
      </c>
    </row>
    <row r="334" spans="16:65">
      <c r="P334" s="781">
        <v>0</v>
      </c>
      <c r="Q334" s="780">
        <f t="shared" si="85"/>
        <v>0</v>
      </c>
      <c r="R334" s="776">
        <f>IF(P335,_xll.qDateYears(P334,P335,DCCfixed),0)</f>
        <v>0</v>
      </c>
      <c r="S334" s="553">
        <v>0</v>
      </c>
      <c r="T334" s="785"/>
      <c r="U334" s="409">
        <f t="shared" ref="U334:U397" si="95">IF(P334,$U$5%*R333*Face,0) + IF(AND(IncludePrincipals,P334&gt;0,P335=0),Face,0) + IF(P334,T334,0)</f>
        <v>0</v>
      </c>
      <c r="X334" s="363">
        <v>0</v>
      </c>
      <c r="Y334" s="775">
        <f t="shared" si="86"/>
        <v>0</v>
      </c>
      <c r="Z334" s="776">
        <f>IF(X335,_xll.qDateYears(X334,X335,DCCfloat),0)</f>
        <v>0</v>
      </c>
      <c r="AA334" s="553">
        <v>0</v>
      </c>
      <c r="AB334" s="789">
        <f>IF($X334=0,0,      _xll.qDateNext($X334,AB$12,"M",FRM&lt;&gt;"Calypso",CCY))</f>
        <v>0</v>
      </c>
      <c r="AC334" s="789">
        <f>IF($X334=0,0,      _xll.qDateNext($X334,AC$12,"M",FRM&lt;&gt;"Calypso",CCY))</f>
        <v>0</v>
      </c>
      <c r="AD334" s="789">
        <f>IF($X334=0,0,      _xll.qDateNext($X334,AD$12,"M",FRM&lt;&gt;"Calypso",CCY))</f>
        <v>0</v>
      </c>
      <c r="AE334" s="789">
        <f>IF($X334=0,0,      _xll.qDateNext($X334,AE$12,"M",FRM&lt;&gt;"Calypso",CCY))</f>
        <v>0</v>
      </c>
      <c r="AF334" s="789">
        <f>IF($X334=0,0,      _xll.qDateNext($X334,AF$12,"M",FRM&lt;&gt;"Calypso",CCY))</f>
        <v>0</v>
      </c>
      <c r="AG334" s="789">
        <f>IF($X334=0,0,      _xll.qDateNext($X334,AG$12,"M",FRM&lt;&gt;"Calypso",CCY))</f>
        <v>0</v>
      </c>
      <c r="AH334" s="789">
        <f>IF($X334=0,0,      _xll.qDateNext($X334,AH$12,"M",FRM&lt;&gt;"Calypso",CCY))</f>
        <v>0</v>
      </c>
      <c r="AI334" s="789">
        <f>IF($X334=0,0,      _xll.qDateNext($X334,AI$12,"M",FRM&lt;&gt;"Calypso",CCY))</f>
        <v>0</v>
      </c>
      <c r="AJ334" s="529" t="str">
        <v/>
      </c>
      <c r="AK334" s="529" t="str">
        <v/>
      </c>
      <c r="AL334" s="529" t="str">
        <v/>
      </c>
      <c r="AM334" s="529" t="str">
        <v/>
      </c>
      <c r="AN334" s="529" t="str">
        <v/>
      </c>
      <c r="AO334" s="529" t="str">
        <v/>
      </c>
      <c r="AP334" s="529" t="str">
        <v/>
      </c>
      <c r="AQ334" s="529" t="str">
        <v/>
      </c>
      <c r="AR334" s="529">
        <v>0</v>
      </c>
      <c r="AS334" s="529">
        <v>0</v>
      </c>
      <c r="AT334" s="529">
        <f t="shared" ref="AT334:AT397" si="96">IF($X334,AVERAGE(AS334,AU334),0)</f>
        <v>0</v>
      </c>
      <c r="AU334" s="529">
        <v>0</v>
      </c>
      <c r="AV334" s="529">
        <f t="shared" ref="AV334:AV397" si="97">IF($X334,AU334+(AX334-AU334)/3,0)</f>
        <v>0</v>
      </c>
      <c r="AW334" s="529">
        <f t="shared" ref="AW334:AW397" si="98">IF($X334,AVERAGE(AV334,AX334),0)</f>
        <v>0</v>
      </c>
      <c r="AX334" s="529">
        <v>0</v>
      </c>
      <c r="AY334" s="529">
        <v>0</v>
      </c>
      <c r="AZ334" s="761">
        <f t="shared" si="87"/>
        <v>0</v>
      </c>
      <c r="BA334" s="761">
        <f t="shared" si="88"/>
        <v>0</v>
      </c>
      <c r="BB334" s="761">
        <f t="shared" si="89"/>
        <v>0</v>
      </c>
      <c r="BC334" s="761">
        <f t="shared" si="90"/>
        <v>0</v>
      </c>
      <c r="BD334" s="761">
        <f t="shared" si="91"/>
        <v>0</v>
      </c>
      <c r="BE334" s="761">
        <f t="shared" si="92"/>
        <v>0</v>
      </c>
      <c r="BF334" s="761">
        <f t="shared" si="93"/>
        <v>0</v>
      </c>
      <c r="BG334" s="761">
        <f t="shared" si="94"/>
        <v>0</v>
      </c>
      <c r="BH334" s="777">
        <v>0</v>
      </c>
      <c r="BI334" s="755"/>
      <c r="BJ334" s="778">
        <f>IF(X335=0,0,           IF(ISNUMBER(BI334),BI334,               IF(ISTEXT(BI334),INDEX(AZ334:BG334,MATCH(BI334,$AZ$12:$BG$12,0)),             IF(BH334="INT",_xll.qInterp(X335,AB334:AI334,AZ334:BG334),            INDEX(AZ334:BG334,MATCH(BH334,$AZ$12:$BG$12,0))))))</f>
        <v>0</v>
      </c>
      <c r="BK334" s="408">
        <f t="shared" ref="BK334:BK397" si="99">IF(X334,-BJ333%*Face*Z333,0)</f>
        <v>0</v>
      </c>
      <c r="BL334" s="414">
        <f t="shared" ref="BL334:BL397" si="100">IF(X334,-Margin%%*Z333*Face,0)</f>
        <v>0</v>
      </c>
      <c r="BM334" s="408">
        <f t="shared" ref="BM334:BM397" si="101">SUM(BK334:BL334)+IF(AND(IncludePrincipals,X334&lt;&gt;0,X335=0),-Face,0)</f>
        <v>0</v>
      </c>
    </row>
    <row r="335" spans="16:65">
      <c r="P335" s="781">
        <v>0</v>
      </c>
      <c r="Q335" s="780">
        <f t="shared" si="85"/>
        <v>0</v>
      </c>
      <c r="R335" s="776">
        <f>IF(P336,_xll.qDateYears(P335,P336,DCCfixed),0)</f>
        <v>0</v>
      </c>
      <c r="S335" s="553">
        <v>0</v>
      </c>
      <c r="T335" s="785"/>
      <c r="U335" s="409">
        <f t="shared" si="95"/>
        <v>0</v>
      </c>
      <c r="X335" s="363">
        <v>0</v>
      </c>
      <c r="Y335" s="775">
        <f t="shared" si="86"/>
        <v>0</v>
      </c>
      <c r="Z335" s="776">
        <f>IF(X336,_xll.qDateYears(X335,X336,DCCfloat),0)</f>
        <v>0</v>
      </c>
      <c r="AA335" s="553">
        <v>0</v>
      </c>
      <c r="AB335" s="789">
        <f>IF($X335=0,0,      _xll.qDateNext($X335,AB$12,"M",FRM&lt;&gt;"Calypso",CCY))</f>
        <v>0</v>
      </c>
      <c r="AC335" s="789">
        <f>IF($X335=0,0,      _xll.qDateNext($X335,AC$12,"M",FRM&lt;&gt;"Calypso",CCY))</f>
        <v>0</v>
      </c>
      <c r="AD335" s="789">
        <f>IF($X335=0,0,      _xll.qDateNext($X335,AD$12,"M",FRM&lt;&gt;"Calypso",CCY))</f>
        <v>0</v>
      </c>
      <c r="AE335" s="789">
        <f>IF($X335=0,0,      _xll.qDateNext($X335,AE$12,"M",FRM&lt;&gt;"Calypso",CCY))</f>
        <v>0</v>
      </c>
      <c r="AF335" s="789">
        <f>IF($X335=0,0,      _xll.qDateNext($X335,AF$12,"M",FRM&lt;&gt;"Calypso",CCY))</f>
        <v>0</v>
      </c>
      <c r="AG335" s="789">
        <f>IF($X335=0,0,      _xll.qDateNext($X335,AG$12,"M",FRM&lt;&gt;"Calypso",CCY))</f>
        <v>0</v>
      </c>
      <c r="AH335" s="789">
        <f>IF($X335=0,0,      _xll.qDateNext($X335,AH$12,"M",FRM&lt;&gt;"Calypso",CCY))</f>
        <v>0</v>
      </c>
      <c r="AI335" s="789">
        <f>IF($X335=0,0,      _xll.qDateNext($X335,AI$12,"M",FRM&lt;&gt;"Calypso",CCY))</f>
        <v>0</v>
      </c>
      <c r="AJ335" s="529" t="str">
        <v/>
      </c>
      <c r="AK335" s="529" t="str">
        <v/>
      </c>
      <c r="AL335" s="529" t="str">
        <v/>
      </c>
      <c r="AM335" s="529" t="str">
        <v/>
      </c>
      <c r="AN335" s="529" t="str">
        <v/>
      </c>
      <c r="AO335" s="529" t="str">
        <v/>
      </c>
      <c r="AP335" s="529" t="str">
        <v/>
      </c>
      <c r="AQ335" s="529" t="str">
        <v/>
      </c>
      <c r="AR335" s="529">
        <v>0</v>
      </c>
      <c r="AS335" s="529">
        <v>0</v>
      </c>
      <c r="AT335" s="529">
        <f t="shared" si="96"/>
        <v>0</v>
      </c>
      <c r="AU335" s="529">
        <v>0</v>
      </c>
      <c r="AV335" s="529">
        <f t="shared" si="97"/>
        <v>0</v>
      </c>
      <c r="AW335" s="529">
        <f t="shared" si="98"/>
        <v>0</v>
      </c>
      <c r="AX335" s="529">
        <v>0</v>
      </c>
      <c r="AY335" s="529">
        <v>0</v>
      </c>
      <c r="AZ335" s="761">
        <f t="shared" si="87"/>
        <v>0</v>
      </c>
      <c r="BA335" s="761">
        <f t="shared" si="88"/>
        <v>0</v>
      </c>
      <c r="BB335" s="761">
        <f t="shared" si="89"/>
        <v>0</v>
      </c>
      <c r="BC335" s="761">
        <f t="shared" si="90"/>
        <v>0</v>
      </c>
      <c r="BD335" s="761">
        <f t="shared" si="91"/>
        <v>0</v>
      </c>
      <c r="BE335" s="761">
        <f t="shared" si="92"/>
        <v>0</v>
      </c>
      <c r="BF335" s="761">
        <f t="shared" si="93"/>
        <v>0</v>
      </c>
      <c r="BG335" s="761">
        <f t="shared" si="94"/>
        <v>0</v>
      </c>
      <c r="BH335" s="777">
        <v>0</v>
      </c>
      <c r="BI335" s="755"/>
      <c r="BJ335" s="778">
        <f>IF(X336=0,0,           IF(ISNUMBER(BI335),BI335,               IF(ISTEXT(BI335),INDEX(AZ335:BG335,MATCH(BI335,$AZ$12:$BG$12,0)),             IF(BH335="INT",_xll.qInterp(X336,AB335:AI335,AZ335:BG335),            INDEX(AZ335:BG335,MATCH(BH335,$AZ$12:$BG$12,0))))))</f>
        <v>0</v>
      </c>
      <c r="BK335" s="408">
        <f t="shared" si="99"/>
        <v>0</v>
      </c>
      <c r="BL335" s="414">
        <f t="shared" si="100"/>
        <v>0</v>
      </c>
      <c r="BM335" s="408">
        <f t="shared" si="101"/>
        <v>0</v>
      </c>
    </row>
    <row r="336" spans="16:65">
      <c r="P336" s="781">
        <v>0</v>
      </c>
      <c r="Q336" s="780">
        <f t="shared" si="85"/>
        <v>0</v>
      </c>
      <c r="R336" s="776">
        <f>IF(P337,_xll.qDateYears(P336,P337,DCCfixed),0)</f>
        <v>0</v>
      </c>
      <c r="S336" s="553">
        <v>0</v>
      </c>
      <c r="T336" s="785"/>
      <c r="U336" s="409">
        <f t="shared" si="95"/>
        <v>0</v>
      </c>
      <c r="X336" s="363">
        <v>0</v>
      </c>
      <c r="Y336" s="775">
        <f t="shared" si="86"/>
        <v>0</v>
      </c>
      <c r="Z336" s="776">
        <f>IF(X337,_xll.qDateYears(X336,X337,DCCfloat),0)</f>
        <v>0</v>
      </c>
      <c r="AA336" s="553">
        <v>0</v>
      </c>
      <c r="AB336" s="789">
        <f>IF($X336=0,0,      _xll.qDateNext($X336,AB$12,"M",FRM&lt;&gt;"Calypso",CCY))</f>
        <v>0</v>
      </c>
      <c r="AC336" s="789">
        <f>IF($X336=0,0,      _xll.qDateNext($X336,AC$12,"M",FRM&lt;&gt;"Calypso",CCY))</f>
        <v>0</v>
      </c>
      <c r="AD336" s="789">
        <f>IF($X336=0,0,      _xll.qDateNext($X336,AD$12,"M",FRM&lt;&gt;"Calypso",CCY))</f>
        <v>0</v>
      </c>
      <c r="AE336" s="789">
        <f>IF($X336=0,0,      _xll.qDateNext($X336,AE$12,"M",FRM&lt;&gt;"Calypso",CCY))</f>
        <v>0</v>
      </c>
      <c r="AF336" s="789">
        <f>IF($X336=0,0,      _xll.qDateNext($X336,AF$12,"M",FRM&lt;&gt;"Calypso",CCY))</f>
        <v>0</v>
      </c>
      <c r="AG336" s="789">
        <f>IF($X336=0,0,      _xll.qDateNext($X336,AG$12,"M",FRM&lt;&gt;"Calypso",CCY))</f>
        <v>0</v>
      </c>
      <c r="AH336" s="789">
        <f>IF($X336=0,0,      _xll.qDateNext($X336,AH$12,"M",FRM&lt;&gt;"Calypso",CCY))</f>
        <v>0</v>
      </c>
      <c r="AI336" s="789">
        <f>IF($X336=0,0,      _xll.qDateNext($X336,AI$12,"M",FRM&lt;&gt;"Calypso",CCY))</f>
        <v>0</v>
      </c>
      <c r="AJ336" s="529" t="str">
        <v/>
      </c>
      <c r="AK336" s="529" t="str">
        <v/>
      </c>
      <c r="AL336" s="529" t="str">
        <v/>
      </c>
      <c r="AM336" s="529" t="str">
        <v/>
      </c>
      <c r="AN336" s="529" t="str">
        <v/>
      </c>
      <c r="AO336" s="529" t="str">
        <v/>
      </c>
      <c r="AP336" s="529" t="str">
        <v/>
      </c>
      <c r="AQ336" s="529" t="str">
        <v/>
      </c>
      <c r="AR336" s="529">
        <v>0</v>
      </c>
      <c r="AS336" s="529">
        <v>0</v>
      </c>
      <c r="AT336" s="529">
        <f t="shared" si="96"/>
        <v>0</v>
      </c>
      <c r="AU336" s="529">
        <v>0</v>
      </c>
      <c r="AV336" s="529">
        <f t="shared" si="97"/>
        <v>0</v>
      </c>
      <c r="AW336" s="529">
        <f t="shared" si="98"/>
        <v>0</v>
      </c>
      <c r="AX336" s="529">
        <v>0</v>
      </c>
      <c r="AY336" s="529">
        <v>0</v>
      </c>
      <c r="AZ336" s="761">
        <f t="shared" si="87"/>
        <v>0</v>
      </c>
      <c r="BA336" s="761">
        <f t="shared" si="88"/>
        <v>0</v>
      </c>
      <c r="BB336" s="761">
        <f t="shared" si="89"/>
        <v>0</v>
      </c>
      <c r="BC336" s="761">
        <f t="shared" si="90"/>
        <v>0</v>
      </c>
      <c r="BD336" s="761">
        <f t="shared" si="91"/>
        <v>0</v>
      </c>
      <c r="BE336" s="761">
        <f t="shared" si="92"/>
        <v>0</v>
      </c>
      <c r="BF336" s="761">
        <f t="shared" si="93"/>
        <v>0</v>
      </c>
      <c r="BG336" s="761">
        <f t="shared" si="94"/>
        <v>0</v>
      </c>
      <c r="BH336" s="777">
        <v>0</v>
      </c>
      <c r="BI336" s="755"/>
      <c r="BJ336" s="778">
        <f>IF(X337=0,0,           IF(ISNUMBER(BI336),BI336,               IF(ISTEXT(BI336),INDEX(AZ336:BG336,MATCH(BI336,$AZ$12:$BG$12,0)),             IF(BH336="INT",_xll.qInterp(X337,AB336:AI336,AZ336:BG336),            INDEX(AZ336:BG336,MATCH(BH336,$AZ$12:$BG$12,0))))))</f>
        <v>0</v>
      </c>
      <c r="BK336" s="408">
        <f t="shared" si="99"/>
        <v>0</v>
      </c>
      <c r="BL336" s="414">
        <f t="shared" si="100"/>
        <v>0</v>
      </c>
      <c r="BM336" s="408">
        <f t="shared" si="101"/>
        <v>0</v>
      </c>
    </row>
    <row r="337" spans="16:65">
      <c r="P337" s="781">
        <v>0</v>
      </c>
      <c r="Q337" s="780">
        <f t="shared" si="85"/>
        <v>0</v>
      </c>
      <c r="R337" s="776">
        <f>IF(P338,_xll.qDateYears(P337,P338,DCCfixed),0)</f>
        <v>0</v>
      </c>
      <c r="S337" s="553">
        <v>0</v>
      </c>
      <c r="T337" s="785"/>
      <c r="U337" s="409">
        <f t="shared" si="95"/>
        <v>0</v>
      </c>
      <c r="X337" s="363">
        <v>0</v>
      </c>
      <c r="Y337" s="775">
        <f t="shared" si="86"/>
        <v>0</v>
      </c>
      <c r="Z337" s="776">
        <f>IF(X338,_xll.qDateYears(X337,X338,DCCfloat),0)</f>
        <v>0</v>
      </c>
      <c r="AA337" s="553">
        <v>0</v>
      </c>
      <c r="AB337" s="789">
        <f>IF($X337=0,0,      _xll.qDateNext($X337,AB$12,"M",FRM&lt;&gt;"Calypso",CCY))</f>
        <v>0</v>
      </c>
      <c r="AC337" s="789">
        <f>IF($X337=0,0,      _xll.qDateNext($X337,AC$12,"M",FRM&lt;&gt;"Calypso",CCY))</f>
        <v>0</v>
      </c>
      <c r="AD337" s="789">
        <f>IF($X337=0,0,      _xll.qDateNext($X337,AD$12,"M",FRM&lt;&gt;"Calypso",CCY))</f>
        <v>0</v>
      </c>
      <c r="AE337" s="789">
        <f>IF($X337=0,0,      _xll.qDateNext($X337,AE$12,"M",FRM&lt;&gt;"Calypso",CCY))</f>
        <v>0</v>
      </c>
      <c r="AF337" s="789">
        <f>IF($X337=0,0,      _xll.qDateNext($X337,AF$12,"M",FRM&lt;&gt;"Calypso",CCY))</f>
        <v>0</v>
      </c>
      <c r="AG337" s="789">
        <f>IF($X337=0,0,      _xll.qDateNext($X337,AG$12,"M",FRM&lt;&gt;"Calypso",CCY))</f>
        <v>0</v>
      </c>
      <c r="AH337" s="789">
        <f>IF($X337=0,0,      _xll.qDateNext($X337,AH$12,"M",FRM&lt;&gt;"Calypso",CCY))</f>
        <v>0</v>
      </c>
      <c r="AI337" s="789">
        <f>IF($X337=0,0,      _xll.qDateNext($X337,AI$12,"M",FRM&lt;&gt;"Calypso",CCY))</f>
        <v>0</v>
      </c>
      <c r="AJ337" s="529" t="str">
        <v/>
      </c>
      <c r="AK337" s="529" t="str">
        <v/>
      </c>
      <c r="AL337" s="529" t="str">
        <v/>
      </c>
      <c r="AM337" s="529" t="str">
        <v/>
      </c>
      <c r="AN337" s="529" t="str">
        <v/>
      </c>
      <c r="AO337" s="529" t="str">
        <v/>
      </c>
      <c r="AP337" s="529" t="str">
        <v/>
      </c>
      <c r="AQ337" s="529" t="str">
        <v/>
      </c>
      <c r="AR337" s="529">
        <v>0</v>
      </c>
      <c r="AS337" s="529">
        <v>0</v>
      </c>
      <c r="AT337" s="529">
        <f t="shared" si="96"/>
        <v>0</v>
      </c>
      <c r="AU337" s="529">
        <v>0</v>
      </c>
      <c r="AV337" s="529">
        <f t="shared" si="97"/>
        <v>0</v>
      </c>
      <c r="AW337" s="529">
        <f t="shared" si="98"/>
        <v>0</v>
      </c>
      <c r="AX337" s="529">
        <v>0</v>
      </c>
      <c r="AY337" s="529">
        <v>0</v>
      </c>
      <c r="AZ337" s="761">
        <f t="shared" si="87"/>
        <v>0</v>
      </c>
      <c r="BA337" s="761">
        <f t="shared" si="88"/>
        <v>0</v>
      </c>
      <c r="BB337" s="761">
        <f t="shared" si="89"/>
        <v>0</v>
      </c>
      <c r="BC337" s="761">
        <f t="shared" si="90"/>
        <v>0</v>
      </c>
      <c r="BD337" s="761">
        <f t="shared" si="91"/>
        <v>0</v>
      </c>
      <c r="BE337" s="761">
        <f t="shared" si="92"/>
        <v>0</v>
      </c>
      <c r="BF337" s="761">
        <f t="shared" si="93"/>
        <v>0</v>
      </c>
      <c r="BG337" s="761">
        <f t="shared" si="94"/>
        <v>0</v>
      </c>
      <c r="BH337" s="777">
        <v>0</v>
      </c>
      <c r="BI337" s="755"/>
      <c r="BJ337" s="778">
        <f>IF(X338=0,0,           IF(ISNUMBER(BI337),BI337,               IF(ISTEXT(BI337),INDEX(AZ337:BG337,MATCH(BI337,$AZ$12:$BG$12,0)),             IF(BH337="INT",_xll.qInterp(X338,AB337:AI337,AZ337:BG337),            INDEX(AZ337:BG337,MATCH(BH337,$AZ$12:$BG$12,0))))))</f>
        <v>0</v>
      </c>
      <c r="BK337" s="408">
        <f t="shared" si="99"/>
        <v>0</v>
      </c>
      <c r="BL337" s="414">
        <f t="shared" si="100"/>
        <v>0</v>
      </c>
      <c r="BM337" s="408">
        <f t="shared" si="101"/>
        <v>0</v>
      </c>
    </row>
    <row r="338" spans="16:65">
      <c r="P338" s="781">
        <v>0</v>
      </c>
      <c r="Q338" s="780">
        <f t="shared" si="85"/>
        <v>0</v>
      </c>
      <c r="R338" s="776">
        <f>IF(P339,_xll.qDateYears(P338,P339,DCCfixed),0)</f>
        <v>0</v>
      </c>
      <c r="S338" s="553">
        <v>0</v>
      </c>
      <c r="T338" s="785"/>
      <c r="U338" s="409">
        <f t="shared" si="95"/>
        <v>0</v>
      </c>
      <c r="X338" s="363">
        <v>0</v>
      </c>
      <c r="Y338" s="775">
        <f t="shared" si="86"/>
        <v>0</v>
      </c>
      <c r="Z338" s="776">
        <f>IF(X339,_xll.qDateYears(X338,X339,DCCfloat),0)</f>
        <v>0</v>
      </c>
      <c r="AA338" s="553">
        <v>0</v>
      </c>
      <c r="AB338" s="789">
        <f>IF($X338=0,0,      _xll.qDateNext($X338,AB$12,"M",FRM&lt;&gt;"Calypso",CCY))</f>
        <v>0</v>
      </c>
      <c r="AC338" s="789">
        <f>IF($X338=0,0,      _xll.qDateNext($X338,AC$12,"M",FRM&lt;&gt;"Calypso",CCY))</f>
        <v>0</v>
      </c>
      <c r="AD338" s="789">
        <f>IF($X338=0,0,      _xll.qDateNext($X338,AD$12,"M",FRM&lt;&gt;"Calypso",CCY))</f>
        <v>0</v>
      </c>
      <c r="AE338" s="789">
        <f>IF($X338=0,0,      _xll.qDateNext($X338,AE$12,"M",FRM&lt;&gt;"Calypso",CCY))</f>
        <v>0</v>
      </c>
      <c r="AF338" s="789">
        <f>IF($X338=0,0,      _xll.qDateNext($X338,AF$12,"M",FRM&lt;&gt;"Calypso",CCY))</f>
        <v>0</v>
      </c>
      <c r="AG338" s="789">
        <f>IF($X338=0,0,      _xll.qDateNext($X338,AG$12,"M",FRM&lt;&gt;"Calypso",CCY))</f>
        <v>0</v>
      </c>
      <c r="AH338" s="789">
        <f>IF($X338=0,0,      _xll.qDateNext($X338,AH$12,"M",FRM&lt;&gt;"Calypso",CCY))</f>
        <v>0</v>
      </c>
      <c r="AI338" s="789">
        <f>IF($X338=0,0,      _xll.qDateNext($X338,AI$12,"M",FRM&lt;&gt;"Calypso",CCY))</f>
        <v>0</v>
      </c>
      <c r="AJ338" s="529" t="str">
        <v/>
      </c>
      <c r="AK338" s="529" t="str">
        <v/>
      </c>
      <c r="AL338" s="529" t="str">
        <v/>
      </c>
      <c r="AM338" s="529" t="str">
        <v/>
      </c>
      <c r="AN338" s="529" t="str">
        <v/>
      </c>
      <c r="AO338" s="529" t="str">
        <v/>
      </c>
      <c r="AP338" s="529" t="str">
        <v/>
      </c>
      <c r="AQ338" s="529" t="str">
        <v/>
      </c>
      <c r="AR338" s="529">
        <v>0</v>
      </c>
      <c r="AS338" s="529">
        <v>0</v>
      </c>
      <c r="AT338" s="529">
        <f t="shared" si="96"/>
        <v>0</v>
      </c>
      <c r="AU338" s="529">
        <v>0</v>
      </c>
      <c r="AV338" s="529">
        <f t="shared" si="97"/>
        <v>0</v>
      </c>
      <c r="AW338" s="529">
        <f t="shared" si="98"/>
        <v>0</v>
      </c>
      <c r="AX338" s="529">
        <v>0</v>
      </c>
      <c r="AY338" s="529">
        <v>0</v>
      </c>
      <c r="AZ338" s="761">
        <f t="shared" si="87"/>
        <v>0</v>
      </c>
      <c r="BA338" s="761">
        <f t="shared" si="88"/>
        <v>0</v>
      </c>
      <c r="BB338" s="761">
        <f t="shared" si="89"/>
        <v>0</v>
      </c>
      <c r="BC338" s="761">
        <f t="shared" si="90"/>
        <v>0</v>
      </c>
      <c r="BD338" s="761">
        <f t="shared" si="91"/>
        <v>0</v>
      </c>
      <c r="BE338" s="761">
        <f t="shared" si="92"/>
        <v>0</v>
      </c>
      <c r="BF338" s="761">
        <f t="shared" si="93"/>
        <v>0</v>
      </c>
      <c r="BG338" s="761">
        <f t="shared" si="94"/>
        <v>0</v>
      </c>
      <c r="BH338" s="777">
        <v>0</v>
      </c>
      <c r="BI338" s="755"/>
      <c r="BJ338" s="778">
        <f>IF(X339=0,0,           IF(ISNUMBER(BI338),BI338,               IF(ISTEXT(BI338),INDEX(AZ338:BG338,MATCH(BI338,$AZ$12:$BG$12,0)),             IF(BH338="INT",_xll.qInterp(X339,AB338:AI338,AZ338:BG338),            INDEX(AZ338:BG338,MATCH(BH338,$AZ$12:$BG$12,0))))))</f>
        <v>0</v>
      </c>
      <c r="BK338" s="408">
        <f t="shared" si="99"/>
        <v>0</v>
      </c>
      <c r="BL338" s="414">
        <f t="shared" si="100"/>
        <v>0</v>
      </c>
      <c r="BM338" s="408">
        <f t="shared" si="101"/>
        <v>0</v>
      </c>
    </row>
    <row r="339" spans="16:65">
      <c r="P339" s="781">
        <v>0</v>
      </c>
      <c r="Q339" s="780">
        <f t="shared" si="85"/>
        <v>0</v>
      </c>
      <c r="R339" s="776">
        <f>IF(P340,_xll.qDateYears(P339,P340,DCCfixed),0)</f>
        <v>0</v>
      </c>
      <c r="S339" s="553">
        <v>0</v>
      </c>
      <c r="T339" s="785"/>
      <c r="U339" s="409">
        <f t="shared" si="95"/>
        <v>0</v>
      </c>
      <c r="X339" s="363">
        <v>0</v>
      </c>
      <c r="Y339" s="775">
        <f t="shared" si="86"/>
        <v>0</v>
      </c>
      <c r="Z339" s="776">
        <f>IF(X340,_xll.qDateYears(X339,X340,DCCfloat),0)</f>
        <v>0</v>
      </c>
      <c r="AA339" s="553">
        <v>0</v>
      </c>
      <c r="AB339" s="789">
        <f>IF($X339=0,0,      _xll.qDateNext($X339,AB$12,"M",FRM&lt;&gt;"Calypso",CCY))</f>
        <v>0</v>
      </c>
      <c r="AC339" s="789">
        <f>IF($X339=0,0,      _xll.qDateNext($X339,AC$12,"M",FRM&lt;&gt;"Calypso",CCY))</f>
        <v>0</v>
      </c>
      <c r="AD339" s="789">
        <f>IF($X339=0,0,      _xll.qDateNext($X339,AD$12,"M",FRM&lt;&gt;"Calypso",CCY))</f>
        <v>0</v>
      </c>
      <c r="AE339" s="789">
        <f>IF($X339=0,0,      _xll.qDateNext($X339,AE$12,"M",FRM&lt;&gt;"Calypso",CCY))</f>
        <v>0</v>
      </c>
      <c r="AF339" s="789">
        <f>IF($X339=0,0,      _xll.qDateNext($X339,AF$12,"M",FRM&lt;&gt;"Calypso",CCY))</f>
        <v>0</v>
      </c>
      <c r="AG339" s="789">
        <f>IF($X339=0,0,      _xll.qDateNext($X339,AG$12,"M",FRM&lt;&gt;"Calypso",CCY))</f>
        <v>0</v>
      </c>
      <c r="AH339" s="789">
        <f>IF($X339=0,0,      _xll.qDateNext($X339,AH$12,"M",FRM&lt;&gt;"Calypso",CCY))</f>
        <v>0</v>
      </c>
      <c r="AI339" s="789">
        <f>IF($X339=0,0,      _xll.qDateNext($X339,AI$12,"M",FRM&lt;&gt;"Calypso",CCY))</f>
        <v>0</v>
      </c>
      <c r="AJ339" s="529" t="str">
        <v/>
      </c>
      <c r="AK339" s="529" t="str">
        <v/>
      </c>
      <c r="AL339" s="529" t="str">
        <v/>
      </c>
      <c r="AM339" s="529" t="str">
        <v/>
      </c>
      <c r="AN339" s="529" t="str">
        <v/>
      </c>
      <c r="AO339" s="529" t="str">
        <v/>
      </c>
      <c r="AP339" s="529" t="str">
        <v/>
      </c>
      <c r="AQ339" s="529" t="str">
        <v/>
      </c>
      <c r="AR339" s="529">
        <v>0</v>
      </c>
      <c r="AS339" s="529">
        <v>0</v>
      </c>
      <c r="AT339" s="529">
        <f t="shared" si="96"/>
        <v>0</v>
      </c>
      <c r="AU339" s="529">
        <v>0</v>
      </c>
      <c r="AV339" s="529">
        <f t="shared" si="97"/>
        <v>0</v>
      </c>
      <c r="AW339" s="529">
        <f t="shared" si="98"/>
        <v>0</v>
      </c>
      <c r="AX339" s="529">
        <v>0</v>
      </c>
      <c r="AY339" s="529">
        <v>0</v>
      </c>
      <c r="AZ339" s="761">
        <f t="shared" si="87"/>
        <v>0</v>
      </c>
      <c r="BA339" s="761">
        <f t="shared" si="88"/>
        <v>0</v>
      </c>
      <c r="BB339" s="761">
        <f t="shared" si="89"/>
        <v>0</v>
      </c>
      <c r="BC339" s="761">
        <f t="shared" si="90"/>
        <v>0</v>
      </c>
      <c r="BD339" s="761">
        <f t="shared" si="91"/>
        <v>0</v>
      </c>
      <c r="BE339" s="761">
        <f t="shared" si="92"/>
        <v>0</v>
      </c>
      <c r="BF339" s="761">
        <f t="shared" si="93"/>
        <v>0</v>
      </c>
      <c r="BG339" s="761">
        <f t="shared" si="94"/>
        <v>0</v>
      </c>
      <c r="BH339" s="777">
        <v>0</v>
      </c>
      <c r="BI339" s="755"/>
      <c r="BJ339" s="778">
        <f>IF(X340=0,0,           IF(ISNUMBER(BI339),BI339,               IF(ISTEXT(BI339),INDEX(AZ339:BG339,MATCH(BI339,$AZ$12:$BG$12,0)),             IF(BH339="INT",_xll.qInterp(X340,AB339:AI339,AZ339:BG339),            INDEX(AZ339:BG339,MATCH(BH339,$AZ$12:$BG$12,0))))))</f>
        <v>0</v>
      </c>
      <c r="BK339" s="408">
        <f t="shared" si="99"/>
        <v>0</v>
      </c>
      <c r="BL339" s="414">
        <f t="shared" si="100"/>
        <v>0</v>
      </c>
      <c r="BM339" s="408">
        <f t="shared" si="101"/>
        <v>0</v>
      </c>
    </row>
    <row r="340" spans="16:65">
      <c r="P340" s="781">
        <v>0</v>
      </c>
      <c r="Q340" s="780">
        <f t="shared" si="85"/>
        <v>0</v>
      </c>
      <c r="R340" s="776">
        <f>IF(P341,_xll.qDateYears(P340,P341,DCCfixed),0)</f>
        <v>0</v>
      </c>
      <c r="S340" s="553">
        <v>0</v>
      </c>
      <c r="T340" s="785"/>
      <c r="U340" s="409">
        <f t="shared" si="95"/>
        <v>0</v>
      </c>
      <c r="X340" s="363">
        <v>0</v>
      </c>
      <c r="Y340" s="775">
        <f t="shared" si="86"/>
        <v>0</v>
      </c>
      <c r="Z340" s="776">
        <f>IF(X341,_xll.qDateYears(X340,X341,DCCfloat),0)</f>
        <v>0</v>
      </c>
      <c r="AA340" s="553">
        <v>0</v>
      </c>
      <c r="AB340" s="789">
        <f>IF($X340=0,0,      _xll.qDateNext($X340,AB$12,"M",FRM&lt;&gt;"Calypso",CCY))</f>
        <v>0</v>
      </c>
      <c r="AC340" s="789">
        <f>IF($X340=0,0,      _xll.qDateNext($X340,AC$12,"M",FRM&lt;&gt;"Calypso",CCY))</f>
        <v>0</v>
      </c>
      <c r="AD340" s="789">
        <f>IF($X340=0,0,      _xll.qDateNext($X340,AD$12,"M",FRM&lt;&gt;"Calypso",CCY))</f>
        <v>0</v>
      </c>
      <c r="AE340" s="789">
        <f>IF($X340=0,0,      _xll.qDateNext($X340,AE$12,"M",FRM&lt;&gt;"Calypso",CCY))</f>
        <v>0</v>
      </c>
      <c r="AF340" s="789">
        <f>IF($X340=0,0,      _xll.qDateNext($X340,AF$12,"M",FRM&lt;&gt;"Calypso",CCY))</f>
        <v>0</v>
      </c>
      <c r="AG340" s="789">
        <f>IF($X340=0,0,      _xll.qDateNext($X340,AG$12,"M",FRM&lt;&gt;"Calypso",CCY))</f>
        <v>0</v>
      </c>
      <c r="AH340" s="789">
        <f>IF($X340=0,0,      _xll.qDateNext($X340,AH$12,"M",FRM&lt;&gt;"Calypso",CCY))</f>
        <v>0</v>
      </c>
      <c r="AI340" s="789">
        <f>IF($X340=0,0,      _xll.qDateNext($X340,AI$12,"M",FRM&lt;&gt;"Calypso",CCY))</f>
        <v>0</v>
      </c>
      <c r="AJ340" s="529" t="str">
        <v/>
      </c>
      <c r="AK340" s="529" t="str">
        <v/>
      </c>
      <c r="AL340" s="529" t="str">
        <v/>
      </c>
      <c r="AM340" s="529" t="str">
        <v/>
      </c>
      <c r="AN340" s="529" t="str">
        <v/>
      </c>
      <c r="AO340" s="529" t="str">
        <v/>
      </c>
      <c r="AP340" s="529" t="str">
        <v/>
      </c>
      <c r="AQ340" s="529" t="str">
        <v/>
      </c>
      <c r="AR340" s="529">
        <v>0</v>
      </c>
      <c r="AS340" s="529">
        <v>0</v>
      </c>
      <c r="AT340" s="529">
        <f t="shared" si="96"/>
        <v>0</v>
      </c>
      <c r="AU340" s="529">
        <v>0</v>
      </c>
      <c r="AV340" s="529">
        <f t="shared" si="97"/>
        <v>0</v>
      </c>
      <c r="AW340" s="529">
        <f t="shared" si="98"/>
        <v>0</v>
      </c>
      <c r="AX340" s="529">
        <v>0</v>
      </c>
      <c r="AY340" s="529">
        <v>0</v>
      </c>
      <c r="AZ340" s="761">
        <f t="shared" si="87"/>
        <v>0</v>
      </c>
      <c r="BA340" s="761">
        <f t="shared" si="88"/>
        <v>0</v>
      </c>
      <c r="BB340" s="761">
        <f t="shared" si="89"/>
        <v>0</v>
      </c>
      <c r="BC340" s="761">
        <f t="shared" si="90"/>
        <v>0</v>
      </c>
      <c r="BD340" s="761">
        <f t="shared" si="91"/>
        <v>0</v>
      </c>
      <c r="BE340" s="761">
        <f t="shared" si="92"/>
        <v>0</v>
      </c>
      <c r="BF340" s="761">
        <f t="shared" si="93"/>
        <v>0</v>
      </c>
      <c r="BG340" s="761">
        <f t="shared" si="94"/>
        <v>0</v>
      </c>
      <c r="BH340" s="777">
        <v>0</v>
      </c>
      <c r="BI340" s="755"/>
      <c r="BJ340" s="778">
        <f>IF(X341=0,0,           IF(ISNUMBER(BI340),BI340,               IF(ISTEXT(BI340),INDEX(AZ340:BG340,MATCH(BI340,$AZ$12:$BG$12,0)),             IF(BH340="INT",_xll.qInterp(X341,AB340:AI340,AZ340:BG340),            INDEX(AZ340:BG340,MATCH(BH340,$AZ$12:$BG$12,0))))))</f>
        <v>0</v>
      </c>
      <c r="BK340" s="408">
        <f t="shared" si="99"/>
        <v>0</v>
      </c>
      <c r="BL340" s="414">
        <f t="shared" si="100"/>
        <v>0</v>
      </c>
      <c r="BM340" s="408">
        <f t="shared" si="101"/>
        <v>0</v>
      </c>
    </row>
    <row r="341" spans="16:65">
      <c r="P341" s="781">
        <v>0</v>
      </c>
      <c r="Q341" s="780">
        <f t="shared" si="85"/>
        <v>0</v>
      </c>
      <c r="R341" s="776">
        <f>IF(P342,_xll.qDateYears(P341,P342,DCCfixed),0)</f>
        <v>0</v>
      </c>
      <c r="S341" s="553">
        <v>0</v>
      </c>
      <c r="T341" s="785"/>
      <c r="U341" s="409">
        <f t="shared" si="95"/>
        <v>0</v>
      </c>
      <c r="X341" s="363">
        <v>0</v>
      </c>
      <c r="Y341" s="775">
        <f t="shared" si="86"/>
        <v>0</v>
      </c>
      <c r="Z341" s="776">
        <f>IF(X342,_xll.qDateYears(X341,X342,DCCfloat),0)</f>
        <v>0</v>
      </c>
      <c r="AA341" s="553">
        <v>0</v>
      </c>
      <c r="AB341" s="789">
        <f>IF($X341=0,0,      _xll.qDateNext($X341,AB$12,"M",FRM&lt;&gt;"Calypso",CCY))</f>
        <v>0</v>
      </c>
      <c r="AC341" s="789">
        <f>IF($X341=0,0,      _xll.qDateNext($X341,AC$12,"M",FRM&lt;&gt;"Calypso",CCY))</f>
        <v>0</v>
      </c>
      <c r="AD341" s="789">
        <f>IF($X341=0,0,      _xll.qDateNext($X341,AD$12,"M",FRM&lt;&gt;"Calypso",CCY))</f>
        <v>0</v>
      </c>
      <c r="AE341" s="789">
        <f>IF($X341=0,0,      _xll.qDateNext($X341,AE$12,"M",FRM&lt;&gt;"Calypso",CCY))</f>
        <v>0</v>
      </c>
      <c r="AF341" s="789">
        <f>IF($X341=0,0,      _xll.qDateNext($X341,AF$12,"M",FRM&lt;&gt;"Calypso",CCY))</f>
        <v>0</v>
      </c>
      <c r="AG341" s="789">
        <f>IF($X341=0,0,      _xll.qDateNext($X341,AG$12,"M",FRM&lt;&gt;"Calypso",CCY))</f>
        <v>0</v>
      </c>
      <c r="AH341" s="789">
        <f>IF($X341=0,0,      _xll.qDateNext($X341,AH$12,"M",FRM&lt;&gt;"Calypso",CCY))</f>
        <v>0</v>
      </c>
      <c r="AI341" s="789">
        <f>IF($X341=0,0,      _xll.qDateNext($X341,AI$12,"M",FRM&lt;&gt;"Calypso",CCY))</f>
        <v>0</v>
      </c>
      <c r="AJ341" s="529" t="str">
        <v/>
      </c>
      <c r="AK341" s="529" t="str">
        <v/>
      </c>
      <c r="AL341" s="529" t="str">
        <v/>
      </c>
      <c r="AM341" s="529" t="str">
        <v/>
      </c>
      <c r="AN341" s="529" t="str">
        <v/>
      </c>
      <c r="AO341" s="529" t="str">
        <v/>
      </c>
      <c r="AP341" s="529" t="str">
        <v/>
      </c>
      <c r="AQ341" s="529" t="str">
        <v/>
      </c>
      <c r="AR341" s="529">
        <v>0</v>
      </c>
      <c r="AS341" s="529">
        <v>0</v>
      </c>
      <c r="AT341" s="529">
        <f t="shared" si="96"/>
        <v>0</v>
      </c>
      <c r="AU341" s="529">
        <v>0</v>
      </c>
      <c r="AV341" s="529">
        <f t="shared" si="97"/>
        <v>0</v>
      </c>
      <c r="AW341" s="529">
        <f t="shared" si="98"/>
        <v>0</v>
      </c>
      <c r="AX341" s="529">
        <v>0</v>
      </c>
      <c r="AY341" s="529">
        <v>0</v>
      </c>
      <c r="AZ341" s="761">
        <f t="shared" si="87"/>
        <v>0</v>
      </c>
      <c r="BA341" s="761">
        <f t="shared" si="88"/>
        <v>0</v>
      </c>
      <c r="BB341" s="761">
        <f t="shared" si="89"/>
        <v>0</v>
      </c>
      <c r="BC341" s="761">
        <f t="shared" si="90"/>
        <v>0</v>
      </c>
      <c r="BD341" s="761">
        <f t="shared" si="91"/>
        <v>0</v>
      </c>
      <c r="BE341" s="761">
        <f t="shared" si="92"/>
        <v>0</v>
      </c>
      <c r="BF341" s="761">
        <f t="shared" si="93"/>
        <v>0</v>
      </c>
      <c r="BG341" s="761">
        <f t="shared" si="94"/>
        <v>0</v>
      </c>
      <c r="BH341" s="777">
        <v>0</v>
      </c>
      <c r="BI341" s="755"/>
      <c r="BJ341" s="778">
        <f>IF(X342=0,0,           IF(ISNUMBER(BI341),BI341,               IF(ISTEXT(BI341),INDEX(AZ341:BG341,MATCH(BI341,$AZ$12:$BG$12,0)),             IF(BH341="INT",_xll.qInterp(X342,AB341:AI341,AZ341:BG341),            INDEX(AZ341:BG341,MATCH(BH341,$AZ$12:$BG$12,0))))))</f>
        <v>0</v>
      </c>
      <c r="BK341" s="408">
        <f t="shared" si="99"/>
        <v>0</v>
      </c>
      <c r="BL341" s="414">
        <f t="shared" si="100"/>
        <v>0</v>
      </c>
      <c r="BM341" s="408">
        <f t="shared" si="101"/>
        <v>0</v>
      </c>
    </row>
    <row r="342" spans="16:65">
      <c r="P342" s="781">
        <v>0</v>
      </c>
      <c r="Q342" s="780">
        <f t="shared" si="85"/>
        <v>0</v>
      </c>
      <c r="R342" s="776">
        <f>IF(P343,_xll.qDateYears(P342,P343,DCCfixed),0)</f>
        <v>0</v>
      </c>
      <c r="S342" s="553">
        <v>0</v>
      </c>
      <c r="T342" s="785"/>
      <c r="U342" s="409">
        <f t="shared" si="95"/>
        <v>0</v>
      </c>
      <c r="X342" s="363">
        <v>0</v>
      </c>
      <c r="Y342" s="775">
        <f t="shared" si="86"/>
        <v>0</v>
      </c>
      <c r="Z342" s="776">
        <f>IF(X343,_xll.qDateYears(X342,X343,DCCfloat),0)</f>
        <v>0</v>
      </c>
      <c r="AA342" s="553">
        <v>0</v>
      </c>
      <c r="AB342" s="789">
        <f>IF($X342=0,0,      _xll.qDateNext($X342,AB$12,"M",FRM&lt;&gt;"Calypso",CCY))</f>
        <v>0</v>
      </c>
      <c r="AC342" s="789">
        <f>IF($X342=0,0,      _xll.qDateNext($X342,AC$12,"M",FRM&lt;&gt;"Calypso",CCY))</f>
        <v>0</v>
      </c>
      <c r="AD342" s="789">
        <f>IF($X342=0,0,      _xll.qDateNext($X342,AD$12,"M",FRM&lt;&gt;"Calypso",CCY))</f>
        <v>0</v>
      </c>
      <c r="AE342" s="789">
        <f>IF($X342=0,0,      _xll.qDateNext($X342,AE$12,"M",FRM&lt;&gt;"Calypso",CCY))</f>
        <v>0</v>
      </c>
      <c r="AF342" s="789">
        <f>IF($X342=0,0,      _xll.qDateNext($X342,AF$12,"M",FRM&lt;&gt;"Calypso",CCY))</f>
        <v>0</v>
      </c>
      <c r="AG342" s="789">
        <f>IF($X342=0,0,      _xll.qDateNext($X342,AG$12,"M",FRM&lt;&gt;"Calypso",CCY))</f>
        <v>0</v>
      </c>
      <c r="AH342" s="789">
        <f>IF($X342=0,0,      _xll.qDateNext($X342,AH$12,"M",FRM&lt;&gt;"Calypso",CCY))</f>
        <v>0</v>
      </c>
      <c r="AI342" s="789">
        <f>IF($X342=0,0,      _xll.qDateNext($X342,AI$12,"M",FRM&lt;&gt;"Calypso",CCY))</f>
        <v>0</v>
      </c>
      <c r="AJ342" s="529" t="str">
        <v/>
      </c>
      <c r="AK342" s="529" t="str">
        <v/>
      </c>
      <c r="AL342" s="529" t="str">
        <v/>
      </c>
      <c r="AM342" s="529" t="str">
        <v/>
      </c>
      <c r="AN342" s="529" t="str">
        <v/>
      </c>
      <c r="AO342" s="529" t="str">
        <v/>
      </c>
      <c r="AP342" s="529" t="str">
        <v/>
      </c>
      <c r="AQ342" s="529" t="str">
        <v/>
      </c>
      <c r="AR342" s="529">
        <v>0</v>
      </c>
      <c r="AS342" s="529">
        <v>0</v>
      </c>
      <c r="AT342" s="529">
        <f t="shared" si="96"/>
        <v>0</v>
      </c>
      <c r="AU342" s="529">
        <v>0</v>
      </c>
      <c r="AV342" s="529">
        <f t="shared" si="97"/>
        <v>0</v>
      </c>
      <c r="AW342" s="529">
        <f t="shared" si="98"/>
        <v>0</v>
      </c>
      <c r="AX342" s="529">
        <v>0</v>
      </c>
      <c r="AY342" s="529">
        <v>0</v>
      </c>
      <c r="AZ342" s="761">
        <f t="shared" si="87"/>
        <v>0</v>
      </c>
      <c r="BA342" s="761">
        <f t="shared" si="88"/>
        <v>0</v>
      </c>
      <c r="BB342" s="761">
        <f t="shared" si="89"/>
        <v>0</v>
      </c>
      <c r="BC342" s="761">
        <f t="shared" si="90"/>
        <v>0</v>
      </c>
      <c r="BD342" s="761">
        <f t="shared" si="91"/>
        <v>0</v>
      </c>
      <c r="BE342" s="761">
        <f t="shared" si="92"/>
        <v>0</v>
      </c>
      <c r="BF342" s="761">
        <f t="shared" si="93"/>
        <v>0</v>
      </c>
      <c r="BG342" s="761">
        <f t="shared" si="94"/>
        <v>0</v>
      </c>
      <c r="BH342" s="777">
        <v>0</v>
      </c>
      <c r="BI342" s="755"/>
      <c r="BJ342" s="778">
        <f>IF(X343=0,0,           IF(ISNUMBER(BI342),BI342,               IF(ISTEXT(BI342),INDEX(AZ342:BG342,MATCH(BI342,$AZ$12:$BG$12,0)),             IF(BH342="INT",_xll.qInterp(X343,AB342:AI342,AZ342:BG342),            INDEX(AZ342:BG342,MATCH(BH342,$AZ$12:$BG$12,0))))))</f>
        <v>0</v>
      </c>
      <c r="BK342" s="408">
        <f t="shared" si="99"/>
        <v>0</v>
      </c>
      <c r="BL342" s="414">
        <f t="shared" si="100"/>
        <v>0</v>
      </c>
      <c r="BM342" s="408">
        <f t="shared" si="101"/>
        <v>0</v>
      </c>
    </row>
    <row r="343" spans="16:65">
      <c r="P343" s="781">
        <v>0</v>
      </c>
      <c r="Q343" s="780">
        <f t="shared" si="85"/>
        <v>0</v>
      </c>
      <c r="R343" s="776">
        <f>IF(P344,_xll.qDateYears(P343,P344,DCCfixed),0)</f>
        <v>0</v>
      </c>
      <c r="S343" s="553">
        <v>0</v>
      </c>
      <c r="T343" s="785"/>
      <c r="U343" s="409">
        <f t="shared" si="95"/>
        <v>0</v>
      </c>
      <c r="X343" s="363">
        <v>0</v>
      </c>
      <c r="Y343" s="775">
        <f t="shared" si="86"/>
        <v>0</v>
      </c>
      <c r="Z343" s="776">
        <f>IF(X344,_xll.qDateYears(X343,X344,DCCfloat),0)</f>
        <v>0</v>
      </c>
      <c r="AA343" s="553">
        <v>0</v>
      </c>
      <c r="AB343" s="789">
        <f>IF($X343=0,0,      _xll.qDateNext($X343,AB$12,"M",FRM&lt;&gt;"Calypso",CCY))</f>
        <v>0</v>
      </c>
      <c r="AC343" s="789">
        <f>IF($X343=0,0,      _xll.qDateNext($X343,AC$12,"M",FRM&lt;&gt;"Calypso",CCY))</f>
        <v>0</v>
      </c>
      <c r="AD343" s="789">
        <f>IF($X343=0,0,      _xll.qDateNext($X343,AD$12,"M",FRM&lt;&gt;"Calypso",CCY))</f>
        <v>0</v>
      </c>
      <c r="AE343" s="789">
        <f>IF($X343=0,0,      _xll.qDateNext($X343,AE$12,"M",FRM&lt;&gt;"Calypso",CCY))</f>
        <v>0</v>
      </c>
      <c r="AF343" s="789">
        <f>IF($X343=0,0,      _xll.qDateNext($X343,AF$12,"M",FRM&lt;&gt;"Calypso",CCY))</f>
        <v>0</v>
      </c>
      <c r="AG343" s="789">
        <f>IF($X343=0,0,      _xll.qDateNext($X343,AG$12,"M",FRM&lt;&gt;"Calypso",CCY))</f>
        <v>0</v>
      </c>
      <c r="AH343" s="789">
        <f>IF($X343=0,0,      _xll.qDateNext($X343,AH$12,"M",FRM&lt;&gt;"Calypso",CCY))</f>
        <v>0</v>
      </c>
      <c r="AI343" s="789">
        <f>IF($X343=0,0,      _xll.qDateNext($X343,AI$12,"M",FRM&lt;&gt;"Calypso",CCY))</f>
        <v>0</v>
      </c>
      <c r="AJ343" s="529" t="str">
        <v/>
      </c>
      <c r="AK343" s="529" t="str">
        <v/>
      </c>
      <c r="AL343" s="529" t="str">
        <v/>
      </c>
      <c r="AM343" s="529" t="str">
        <v/>
      </c>
      <c r="AN343" s="529" t="str">
        <v/>
      </c>
      <c r="AO343" s="529" t="str">
        <v/>
      </c>
      <c r="AP343" s="529" t="str">
        <v/>
      </c>
      <c r="AQ343" s="529" t="str">
        <v/>
      </c>
      <c r="AR343" s="529">
        <v>0</v>
      </c>
      <c r="AS343" s="529">
        <v>0</v>
      </c>
      <c r="AT343" s="529">
        <f t="shared" si="96"/>
        <v>0</v>
      </c>
      <c r="AU343" s="529">
        <v>0</v>
      </c>
      <c r="AV343" s="529">
        <f t="shared" si="97"/>
        <v>0</v>
      </c>
      <c r="AW343" s="529">
        <f t="shared" si="98"/>
        <v>0</v>
      </c>
      <c r="AX343" s="529">
        <v>0</v>
      </c>
      <c r="AY343" s="529">
        <v>0</v>
      </c>
      <c r="AZ343" s="761">
        <f t="shared" si="87"/>
        <v>0</v>
      </c>
      <c r="BA343" s="761">
        <f t="shared" si="88"/>
        <v>0</v>
      </c>
      <c r="BB343" s="761">
        <f t="shared" si="89"/>
        <v>0</v>
      </c>
      <c r="BC343" s="761">
        <f t="shared" si="90"/>
        <v>0</v>
      </c>
      <c r="BD343" s="761">
        <f t="shared" si="91"/>
        <v>0</v>
      </c>
      <c r="BE343" s="761">
        <f t="shared" si="92"/>
        <v>0</v>
      </c>
      <c r="BF343" s="761">
        <f t="shared" si="93"/>
        <v>0</v>
      </c>
      <c r="BG343" s="761">
        <f t="shared" si="94"/>
        <v>0</v>
      </c>
      <c r="BH343" s="777">
        <v>0</v>
      </c>
      <c r="BI343" s="755"/>
      <c r="BJ343" s="778">
        <f>IF(X344=0,0,           IF(ISNUMBER(BI343),BI343,               IF(ISTEXT(BI343),INDEX(AZ343:BG343,MATCH(BI343,$AZ$12:$BG$12,0)),             IF(BH343="INT",_xll.qInterp(X344,AB343:AI343,AZ343:BG343),            INDEX(AZ343:BG343,MATCH(BH343,$AZ$12:$BG$12,0))))))</f>
        <v>0</v>
      </c>
      <c r="BK343" s="408">
        <f t="shared" si="99"/>
        <v>0</v>
      </c>
      <c r="BL343" s="414">
        <f t="shared" si="100"/>
        <v>0</v>
      </c>
      <c r="BM343" s="408">
        <f t="shared" si="101"/>
        <v>0</v>
      </c>
    </row>
    <row r="344" spans="16:65">
      <c r="P344" s="781">
        <v>0</v>
      </c>
      <c r="Q344" s="780">
        <f t="shared" si="85"/>
        <v>0</v>
      </c>
      <c r="R344" s="776">
        <f>IF(P345,_xll.qDateYears(P344,P345,DCCfixed),0)</f>
        <v>0</v>
      </c>
      <c r="S344" s="553">
        <v>0</v>
      </c>
      <c r="T344" s="785"/>
      <c r="U344" s="409">
        <f t="shared" si="95"/>
        <v>0</v>
      </c>
      <c r="X344" s="363">
        <v>0</v>
      </c>
      <c r="Y344" s="775">
        <f t="shared" si="86"/>
        <v>0</v>
      </c>
      <c r="Z344" s="776">
        <f>IF(X345,_xll.qDateYears(X344,X345,DCCfloat),0)</f>
        <v>0</v>
      </c>
      <c r="AA344" s="553">
        <v>0</v>
      </c>
      <c r="AB344" s="789">
        <f>IF($X344=0,0,      _xll.qDateNext($X344,AB$12,"M",FRM&lt;&gt;"Calypso",CCY))</f>
        <v>0</v>
      </c>
      <c r="AC344" s="789">
        <f>IF($X344=0,0,      _xll.qDateNext($X344,AC$12,"M",FRM&lt;&gt;"Calypso",CCY))</f>
        <v>0</v>
      </c>
      <c r="AD344" s="789">
        <f>IF($X344=0,0,      _xll.qDateNext($X344,AD$12,"M",FRM&lt;&gt;"Calypso",CCY))</f>
        <v>0</v>
      </c>
      <c r="AE344" s="789">
        <f>IF($X344=0,0,      _xll.qDateNext($X344,AE$12,"M",FRM&lt;&gt;"Calypso",CCY))</f>
        <v>0</v>
      </c>
      <c r="AF344" s="789">
        <f>IF($X344=0,0,      _xll.qDateNext($X344,AF$12,"M",FRM&lt;&gt;"Calypso",CCY))</f>
        <v>0</v>
      </c>
      <c r="AG344" s="789">
        <f>IF($X344=0,0,      _xll.qDateNext($X344,AG$12,"M",FRM&lt;&gt;"Calypso",CCY))</f>
        <v>0</v>
      </c>
      <c r="AH344" s="789">
        <f>IF($X344=0,0,      _xll.qDateNext($X344,AH$12,"M",FRM&lt;&gt;"Calypso",CCY))</f>
        <v>0</v>
      </c>
      <c r="AI344" s="789">
        <f>IF($X344=0,0,      _xll.qDateNext($X344,AI$12,"M",FRM&lt;&gt;"Calypso",CCY))</f>
        <v>0</v>
      </c>
      <c r="AJ344" s="529" t="str">
        <v/>
      </c>
      <c r="AK344" s="529" t="str">
        <v/>
      </c>
      <c r="AL344" s="529" t="str">
        <v/>
      </c>
      <c r="AM344" s="529" t="str">
        <v/>
      </c>
      <c r="AN344" s="529" t="str">
        <v/>
      </c>
      <c r="AO344" s="529" t="str">
        <v/>
      </c>
      <c r="AP344" s="529" t="str">
        <v/>
      </c>
      <c r="AQ344" s="529" t="str">
        <v/>
      </c>
      <c r="AR344" s="529">
        <v>0</v>
      </c>
      <c r="AS344" s="529">
        <v>0</v>
      </c>
      <c r="AT344" s="529">
        <f t="shared" si="96"/>
        <v>0</v>
      </c>
      <c r="AU344" s="529">
        <v>0</v>
      </c>
      <c r="AV344" s="529">
        <f t="shared" si="97"/>
        <v>0</v>
      </c>
      <c r="AW344" s="529">
        <f t="shared" si="98"/>
        <v>0</v>
      </c>
      <c r="AX344" s="529">
        <v>0</v>
      </c>
      <c r="AY344" s="529">
        <v>0</v>
      </c>
      <c r="AZ344" s="761">
        <f t="shared" si="87"/>
        <v>0</v>
      </c>
      <c r="BA344" s="761">
        <f t="shared" si="88"/>
        <v>0</v>
      </c>
      <c r="BB344" s="761">
        <f t="shared" si="89"/>
        <v>0</v>
      </c>
      <c r="BC344" s="761">
        <f t="shared" si="90"/>
        <v>0</v>
      </c>
      <c r="BD344" s="761">
        <f t="shared" si="91"/>
        <v>0</v>
      </c>
      <c r="BE344" s="761">
        <f t="shared" si="92"/>
        <v>0</v>
      </c>
      <c r="BF344" s="761">
        <f t="shared" si="93"/>
        <v>0</v>
      </c>
      <c r="BG344" s="761">
        <f t="shared" si="94"/>
        <v>0</v>
      </c>
      <c r="BH344" s="777">
        <v>0</v>
      </c>
      <c r="BI344" s="755"/>
      <c r="BJ344" s="778">
        <f>IF(X345=0,0,           IF(ISNUMBER(BI344),BI344,               IF(ISTEXT(BI344),INDEX(AZ344:BG344,MATCH(BI344,$AZ$12:$BG$12,0)),             IF(BH344="INT",_xll.qInterp(X345,AB344:AI344,AZ344:BG344),            INDEX(AZ344:BG344,MATCH(BH344,$AZ$12:$BG$12,0))))))</f>
        <v>0</v>
      </c>
      <c r="BK344" s="408">
        <f t="shared" si="99"/>
        <v>0</v>
      </c>
      <c r="BL344" s="414">
        <f t="shared" si="100"/>
        <v>0</v>
      </c>
      <c r="BM344" s="408">
        <f t="shared" si="101"/>
        <v>0</v>
      </c>
    </row>
    <row r="345" spans="16:65">
      <c r="P345" s="781">
        <v>0</v>
      </c>
      <c r="Q345" s="780">
        <f t="shared" si="85"/>
        <v>0</v>
      </c>
      <c r="R345" s="776">
        <f>IF(P346,_xll.qDateYears(P345,P346,DCCfixed),0)</f>
        <v>0</v>
      </c>
      <c r="S345" s="553">
        <v>0</v>
      </c>
      <c r="T345" s="785"/>
      <c r="U345" s="409">
        <f t="shared" si="95"/>
        <v>0</v>
      </c>
      <c r="X345" s="363">
        <v>0</v>
      </c>
      <c r="Y345" s="775">
        <f t="shared" si="86"/>
        <v>0</v>
      </c>
      <c r="Z345" s="776">
        <f>IF(X346,_xll.qDateYears(X345,X346,DCCfloat),0)</f>
        <v>0</v>
      </c>
      <c r="AA345" s="553">
        <v>0</v>
      </c>
      <c r="AB345" s="789">
        <f>IF($X345=0,0,      _xll.qDateNext($X345,AB$12,"M",FRM&lt;&gt;"Calypso",CCY))</f>
        <v>0</v>
      </c>
      <c r="AC345" s="789">
        <f>IF($X345=0,0,      _xll.qDateNext($X345,AC$12,"M",FRM&lt;&gt;"Calypso",CCY))</f>
        <v>0</v>
      </c>
      <c r="AD345" s="789">
        <f>IF($X345=0,0,      _xll.qDateNext($X345,AD$12,"M",FRM&lt;&gt;"Calypso",CCY))</f>
        <v>0</v>
      </c>
      <c r="AE345" s="789">
        <f>IF($X345=0,0,      _xll.qDateNext($X345,AE$12,"M",FRM&lt;&gt;"Calypso",CCY))</f>
        <v>0</v>
      </c>
      <c r="AF345" s="789">
        <f>IF($X345=0,0,      _xll.qDateNext($X345,AF$12,"M",FRM&lt;&gt;"Calypso",CCY))</f>
        <v>0</v>
      </c>
      <c r="AG345" s="789">
        <f>IF($X345=0,0,      _xll.qDateNext($X345,AG$12,"M",FRM&lt;&gt;"Calypso",CCY))</f>
        <v>0</v>
      </c>
      <c r="AH345" s="789">
        <f>IF($X345=0,0,      _xll.qDateNext($X345,AH$12,"M",FRM&lt;&gt;"Calypso",CCY))</f>
        <v>0</v>
      </c>
      <c r="AI345" s="789">
        <f>IF($X345=0,0,      _xll.qDateNext($X345,AI$12,"M",FRM&lt;&gt;"Calypso",CCY))</f>
        <v>0</v>
      </c>
      <c r="AJ345" s="529" t="str">
        <v/>
      </c>
      <c r="AK345" s="529" t="str">
        <v/>
      </c>
      <c r="AL345" s="529" t="str">
        <v/>
      </c>
      <c r="AM345" s="529" t="str">
        <v/>
      </c>
      <c r="AN345" s="529" t="str">
        <v/>
      </c>
      <c r="AO345" s="529" t="str">
        <v/>
      </c>
      <c r="AP345" s="529" t="str">
        <v/>
      </c>
      <c r="AQ345" s="529" t="str">
        <v/>
      </c>
      <c r="AR345" s="529">
        <v>0</v>
      </c>
      <c r="AS345" s="529">
        <v>0</v>
      </c>
      <c r="AT345" s="529">
        <f t="shared" si="96"/>
        <v>0</v>
      </c>
      <c r="AU345" s="529">
        <v>0</v>
      </c>
      <c r="AV345" s="529">
        <f t="shared" si="97"/>
        <v>0</v>
      </c>
      <c r="AW345" s="529">
        <f t="shared" si="98"/>
        <v>0</v>
      </c>
      <c r="AX345" s="529">
        <v>0</v>
      </c>
      <c r="AY345" s="529">
        <v>0</v>
      </c>
      <c r="AZ345" s="761">
        <f t="shared" si="87"/>
        <v>0</v>
      </c>
      <c r="BA345" s="761">
        <f t="shared" si="88"/>
        <v>0</v>
      </c>
      <c r="BB345" s="761">
        <f t="shared" si="89"/>
        <v>0</v>
      </c>
      <c r="BC345" s="761">
        <f t="shared" si="90"/>
        <v>0</v>
      </c>
      <c r="BD345" s="761">
        <f t="shared" si="91"/>
        <v>0</v>
      </c>
      <c r="BE345" s="761">
        <f t="shared" si="92"/>
        <v>0</v>
      </c>
      <c r="BF345" s="761">
        <f t="shared" si="93"/>
        <v>0</v>
      </c>
      <c r="BG345" s="761">
        <f t="shared" si="94"/>
        <v>0</v>
      </c>
      <c r="BH345" s="777">
        <v>0</v>
      </c>
      <c r="BI345" s="755"/>
      <c r="BJ345" s="778">
        <f>IF(X346=0,0,           IF(ISNUMBER(BI345),BI345,               IF(ISTEXT(BI345),INDEX(AZ345:BG345,MATCH(BI345,$AZ$12:$BG$12,0)),             IF(BH345="INT",_xll.qInterp(X346,AB345:AI345,AZ345:BG345),            INDEX(AZ345:BG345,MATCH(BH345,$AZ$12:$BG$12,0))))))</f>
        <v>0</v>
      </c>
      <c r="BK345" s="408">
        <f t="shared" si="99"/>
        <v>0</v>
      </c>
      <c r="BL345" s="414">
        <f t="shared" si="100"/>
        <v>0</v>
      </c>
      <c r="BM345" s="408">
        <f t="shared" si="101"/>
        <v>0</v>
      </c>
    </row>
    <row r="346" spans="16:65">
      <c r="P346" s="781">
        <v>0</v>
      </c>
      <c r="Q346" s="780">
        <f t="shared" si="85"/>
        <v>0</v>
      </c>
      <c r="R346" s="776">
        <f>IF(P347,_xll.qDateYears(P346,P347,DCCfixed),0)</f>
        <v>0</v>
      </c>
      <c r="S346" s="553">
        <v>0</v>
      </c>
      <c r="T346" s="785"/>
      <c r="U346" s="409">
        <f t="shared" si="95"/>
        <v>0</v>
      </c>
      <c r="X346" s="363">
        <v>0</v>
      </c>
      <c r="Y346" s="775">
        <f t="shared" si="86"/>
        <v>0</v>
      </c>
      <c r="Z346" s="776">
        <f>IF(X347,_xll.qDateYears(X346,X347,DCCfloat),0)</f>
        <v>0</v>
      </c>
      <c r="AA346" s="553">
        <v>0</v>
      </c>
      <c r="AB346" s="789">
        <f>IF($X346=0,0,      _xll.qDateNext($X346,AB$12,"M",FRM&lt;&gt;"Calypso",CCY))</f>
        <v>0</v>
      </c>
      <c r="AC346" s="789">
        <f>IF($X346=0,0,      _xll.qDateNext($X346,AC$12,"M",FRM&lt;&gt;"Calypso",CCY))</f>
        <v>0</v>
      </c>
      <c r="AD346" s="789">
        <f>IF($X346=0,0,      _xll.qDateNext($X346,AD$12,"M",FRM&lt;&gt;"Calypso",CCY))</f>
        <v>0</v>
      </c>
      <c r="AE346" s="789">
        <f>IF($X346=0,0,      _xll.qDateNext($X346,AE$12,"M",FRM&lt;&gt;"Calypso",CCY))</f>
        <v>0</v>
      </c>
      <c r="AF346" s="789">
        <f>IF($X346=0,0,      _xll.qDateNext($X346,AF$12,"M",FRM&lt;&gt;"Calypso",CCY))</f>
        <v>0</v>
      </c>
      <c r="AG346" s="789">
        <f>IF($X346=0,0,      _xll.qDateNext($X346,AG$12,"M",FRM&lt;&gt;"Calypso",CCY))</f>
        <v>0</v>
      </c>
      <c r="AH346" s="789">
        <f>IF($X346=0,0,      _xll.qDateNext($X346,AH$12,"M",FRM&lt;&gt;"Calypso",CCY))</f>
        <v>0</v>
      </c>
      <c r="AI346" s="789">
        <f>IF($X346=0,0,      _xll.qDateNext($X346,AI$12,"M",FRM&lt;&gt;"Calypso",CCY))</f>
        <v>0</v>
      </c>
      <c r="AJ346" s="529" t="str">
        <v/>
      </c>
      <c r="AK346" s="529" t="str">
        <v/>
      </c>
      <c r="AL346" s="529" t="str">
        <v/>
      </c>
      <c r="AM346" s="529" t="str">
        <v/>
      </c>
      <c r="AN346" s="529" t="str">
        <v/>
      </c>
      <c r="AO346" s="529" t="str">
        <v/>
      </c>
      <c r="AP346" s="529" t="str">
        <v/>
      </c>
      <c r="AQ346" s="529" t="str">
        <v/>
      </c>
      <c r="AR346" s="529">
        <v>0</v>
      </c>
      <c r="AS346" s="529">
        <v>0</v>
      </c>
      <c r="AT346" s="529">
        <f t="shared" si="96"/>
        <v>0</v>
      </c>
      <c r="AU346" s="529">
        <v>0</v>
      </c>
      <c r="AV346" s="529">
        <f t="shared" si="97"/>
        <v>0</v>
      </c>
      <c r="AW346" s="529">
        <f t="shared" si="98"/>
        <v>0</v>
      </c>
      <c r="AX346" s="529">
        <v>0</v>
      </c>
      <c r="AY346" s="529">
        <v>0</v>
      </c>
      <c r="AZ346" s="761">
        <f t="shared" si="87"/>
        <v>0</v>
      </c>
      <c r="BA346" s="761">
        <f t="shared" si="88"/>
        <v>0</v>
      </c>
      <c r="BB346" s="761">
        <f t="shared" si="89"/>
        <v>0</v>
      </c>
      <c r="BC346" s="761">
        <f t="shared" si="90"/>
        <v>0</v>
      </c>
      <c r="BD346" s="761">
        <f t="shared" si="91"/>
        <v>0</v>
      </c>
      <c r="BE346" s="761">
        <f t="shared" si="92"/>
        <v>0</v>
      </c>
      <c r="BF346" s="761">
        <f t="shared" si="93"/>
        <v>0</v>
      </c>
      <c r="BG346" s="761">
        <f t="shared" si="94"/>
        <v>0</v>
      </c>
      <c r="BH346" s="777">
        <v>0</v>
      </c>
      <c r="BI346" s="755"/>
      <c r="BJ346" s="778">
        <f>IF(X347=0,0,           IF(ISNUMBER(BI346),BI346,               IF(ISTEXT(BI346),INDEX(AZ346:BG346,MATCH(BI346,$AZ$12:$BG$12,0)),             IF(BH346="INT",_xll.qInterp(X347,AB346:AI346,AZ346:BG346),            INDEX(AZ346:BG346,MATCH(BH346,$AZ$12:$BG$12,0))))))</f>
        <v>0</v>
      </c>
      <c r="BK346" s="408">
        <f t="shared" si="99"/>
        <v>0</v>
      </c>
      <c r="BL346" s="414">
        <f t="shared" si="100"/>
        <v>0</v>
      </c>
      <c r="BM346" s="408">
        <f t="shared" si="101"/>
        <v>0</v>
      </c>
    </row>
    <row r="347" spans="16:65">
      <c r="P347" s="781">
        <v>0</v>
      </c>
      <c r="Q347" s="780">
        <f t="shared" si="85"/>
        <v>0</v>
      </c>
      <c r="R347" s="776">
        <f>IF(P348,_xll.qDateYears(P347,P348,DCCfixed),0)</f>
        <v>0</v>
      </c>
      <c r="S347" s="553">
        <v>0</v>
      </c>
      <c r="T347" s="785"/>
      <c r="U347" s="409">
        <f t="shared" si="95"/>
        <v>0</v>
      </c>
      <c r="X347" s="363">
        <v>0</v>
      </c>
      <c r="Y347" s="775">
        <f t="shared" si="86"/>
        <v>0</v>
      </c>
      <c r="Z347" s="776">
        <f>IF(X348,_xll.qDateYears(X347,X348,DCCfloat),0)</f>
        <v>0</v>
      </c>
      <c r="AA347" s="553">
        <v>0</v>
      </c>
      <c r="AB347" s="789">
        <f>IF($X347=0,0,      _xll.qDateNext($X347,AB$12,"M",FRM&lt;&gt;"Calypso",CCY))</f>
        <v>0</v>
      </c>
      <c r="AC347" s="789">
        <f>IF($X347=0,0,      _xll.qDateNext($X347,AC$12,"M",FRM&lt;&gt;"Calypso",CCY))</f>
        <v>0</v>
      </c>
      <c r="AD347" s="789">
        <f>IF($X347=0,0,      _xll.qDateNext($X347,AD$12,"M",FRM&lt;&gt;"Calypso",CCY))</f>
        <v>0</v>
      </c>
      <c r="AE347" s="789">
        <f>IF($X347=0,0,      _xll.qDateNext($X347,AE$12,"M",FRM&lt;&gt;"Calypso",CCY))</f>
        <v>0</v>
      </c>
      <c r="AF347" s="789">
        <f>IF($X347=0,0,      _xll.qDateNext($X347,AF$12,"M",FRM&lt;&gt;"Calypso",CCY))</f>
        <v>0</v>
      </c>
      <c r="AG347" s="789">
        <f>IF($X347=0,0,      _xll.qDateNext($X347,AG$12,"M",FRM&lt;&gt;"Calypso",CCY))</f>
        <v>0</v>
      </c>
      <c r="AH347" s="789">
        <f>IF($X347=0,0,      _xll.qDateNext($X347,AH$12,"M",FRM&lt;&gt;"Calypso",CCY))</f>
        <v>0</v>
      </c>
      <c r="AI347" s="789">
        <f>IF($X347=0,0,      _xll.qDateNext($X347,AI$12,"M",FRM&lt;&gt;"Calypso",CCY))</f>
        <v>0</v>
      </c>
      <c r="AJ347" s="529" t="str">
        <v/>
      </c>
      <c r="AK347" s="529" t="str">
        <v/>
      </c>
      <c r="AL347" s="529" t="str">
        <v/>
      </c>
      <c r="AM347" s="529" t="str">
        <v/>
      </c>
      <c r="AN347" s="529" t="str">
        <v/>
      </c>
      <c r="AO347" s="529" t="str">
        <v/>
      </c>
      <c r="AP347" s="529" t="str">
        <v/>
      </c>
      <c r="AQ347" s="529" t="str">
        <v/>
      </c>
      <c r="AR347" s="529">
        <v>0</v>
      </c>
      <c r="AS347" s="529">
        <v>0</v>
      </c>
      <c r="AT347" s="529">
        <f t="shared" si="96"/>
        <v>0</v>
      </c>
      <c r="AU347" s="529">
        <v>0</v>
      </c>
      <c r="AV347" s="529">
        <f t="shared" si="97"/>
        <v>0</v>
      </c>
      <c r="AW347" s="529">
        <f t="shared" si="98"/>
        <v>0</v>
      </c>
      <c r="AX347" s="529">
        <v>0</v>
      </c>
      <c r="AY347" s="529">
        <v>0</v>
      </c>
      <c r="AZ347" s="761">
        <f t="shared" si="87"/>
        <v>0</v>
      </c>
      <c r="BA347" s="761">
        <f t="shared" si="88"/>
        <v>0</v>
      </c>
      <c r="BB347" s="761">
        <f t="shared" si="89"/>
        <v>0</v>
      </c>
      <c r="BC347" s="761">
        <f t="shared" si="90"/>
        <v>0</v>
      </c>
      <c r="BD347" s="761">
        <f t="shared" si="91"/>
        <v>0</v>
      </c>
      <c r="BE347" s="761">
        <f t="shared" si="92"/>
        <v>0</v>
      </c>
      <c r="BF347" s="761">
        <f t="shared" si="93"/>
        <v>0</v>
      </c>
      <c r="BG347" s="761">
        <f t="shared" si="94"/>
        <v>0</v>
      </c>
      <c r="BH347" s="777">
        <v>0</v>
      </c>
      <c r="BI347" s="755"/>
      <c r="BJ347" s="778">
        <f>IF(X348=0,0,           IF(ISNUMBER(BI347),BI347,               IF(ISTEXT(BI347),INDEX(AZ347:BG347,MATCH(BI347,$AZ$12:$BG$12,0)),             IF(BH347="INT",_xll.qInterp(X348,AB347:AI347,AZ347:BG347),            INDEX(AZ347:BG347,MATCH(BH347,$AZ$12:$BG$12,0))))))</f>
        <v>0</v>
      </c>
      <c r="BK347" s="408">
        <f t="shared" si="99"/>
        <v>0</v>
      </c>
      <c r="BL347" s="414">
        <f t="shared" si="100"/>
        <v>0</v>
      </c>
      <c r="BM347" s="408">
        <f t="shared" si="101"/>
        <v>0</v>
      </c>
    </row>
    <row r="348" spans="16:65">
      <c r="P348" s="781">
        <v>0</v>
      </c>
      <c r="Q348" s="780">
        <f t="shared" si="85"/>
        <v>0</v>
      </c>
      <c r="R348" s="776">
        <f>IF(P349,_xll.qDateYears(P348,P349,DCCfixed),0)</f>
        <v>0</v>
      </c>
      <c r="S348" s="553">
        <v>0</v>
      </c>
      <c r="T348" s="785"/>
      <c r="U348" s="409">
        <f t="shared" si="95"/>
        <v>0</v>
      </c>
      <c r="X348" s="363">
        <v>0</v>
      </c>
      <c r="Y348" s="775">
        <f t="shared" si="86"/>
        <v>0</v>
      </c>
      <c r="Z348" s="776">
        <f>IF(X349,_xll.qDateYears(X348,X349,DCCfloat),0)</f>
        <v>0</v>
      </c>
      <c r="AA348" s="553">
        <v>0</v>
      </c>
      <c r="AB348" s="789">
        <f>IF($X348=0,0,      _xll.qDateNext($X348,AB$12,"M",FRM&lt;&gt;"Calypso",CCY))</f>
        <v>0</v>
      </c>
      <c r="AC348" s="789">
        <f>IF($X348=0,0,      _xll.qDateNext($X348,AC$12,"M",FRM&lt;&gt;"Calypso",CCY))</f>
        <v>0</v>
      </c>
      <c r="AD348" s="789">
        <f>IF($X348=0,0,      _xll.qDateNext($X348,AD$12,"M",FRM&lt;&gt;"Calypso",CCY))</f>
        <v>0</v>
      </c>
      <c r="AE348" s="789">
        <f>IF($X348=0,0,      _xll.qDateNext($X348,AE$12,"M",FRM&lt;&gt;"Calypso",CCY))</f>
        <v>0</v>
      </c>
      <c r="AF348" s="789">
        <f>IF($X348=0,0,      _xll.qDateNext($X348,AF$12,"M",FRM&lt;&gt;"Calypso",CCY))</f>
        <v>0</v>
      </c>
      <c r="AG348" s="789">
        <f>IF($X348=0,0,      _xll.qDateNext($X348,AG$12,"M",FRM&lt;&gt;"Calypso",CCY))</f>
        <v>0</v>
      </c>
      <c r="AH348" s="789">
        <f>IF($X348=0,0,      _xll.qDateNext($X348,AH$12,"M",FRM&lt;&gt;"Calypso",CCY))</f>
        <v>0</v>
      </c>
      <c r="AI348" s="789">
        <f>IF($X348=0,0,      _xll.qDateNext($X348,AI$12,"M",FRM&lt;&gt;"Calypso",CCY))</f>
        <v>0</v>
      </c>
      <c r="AJ348" s="529" t="str">
        <v/>
      </c>
      <c r="AK348" s="529" t="str">
        <v/>
      </c>
      <c r="AL348" s="529" t="str">
        <v/>
      </c>
      <c r="AM348" s="529" t="str">
        <v/>
      </c>
      <c r="AN348" s="529" t="str">
        <v/>
      </c>
      <c r="AO348" s="529" t="str">
        <v/>
      </c>
      <c r="AP348" s="529" t="str">
        <v/>
      </c>
      <c r="AQ348" s="529" t="str">
        <v/>
      </c>
      <c r="AR348" s="529">
        <v>0</v>
      </c>
      <c r="AS348" s="529">
        <v>0</v>
      </c>
      <c r="AT348" s="529">
        <f t="shared" si="96"/>
        <v>0</v>
      </c>
      <c r="AU348" s="529">
        <v>0</v>
      </c>
      <c r="AV348" s="529">
        <f t="shared" si="97"/>
        <v>0</v>
      </c>
      <c r="AW348" s="529">
        <f t="shared" si="98"/>
        <v>0</v>
      </c>
      <c r="AX348" s="529">
        <v>0</v>
      </c>
      <c r="AY348" s="529">
        <v>0</v>
      </c>
      <c r="AZ348" s="761">
        <f t="shared" si="87"/>
        <v>0</v>
      </c>
      <c r="BA348" s="761">
        <f t="shared" si="88"/>
        <v>0</v>
      </c>
      <c r="BB348" s="761">
        <f t="shared" si="89"/>
        <v>0</v>
      </c>
      <c r="BC348" s="761">
        <f t="shared" si="90"/>
        <v>0</v>
      </c>
      <c r="BD348" s="761">
        <f t="shared" si="91"/>
        <v>0</v>
      </c>
      <c r="BE348" s="761">
        <f t="shared" si="92"/>
        <v>0</v>
      </c>
      <c r="BF348" s="761">
        <f t="shared" si="93"/>
        <v>0</v>
      </c>
      <c r="BG348" s="761">
        <f t="shared" si="94"/>
        <v>0</v>
      </c>
      <c r="BH348" s="777">
        <v>0</v>
      </c>
      <c r="BI348" s="755"/>
      <c r="BJ348" s="778">
        <f>IF(X349=0,0,           IF(ISNUMBER(BI348),BI348,               IF(ISTEXT(BI348),INDEX(AZ348:BG348,MATCH(BI348,$AZ$12:$BG$12,0)),             IF(BH348="INT",_xll.qInterp(X349,AB348:AI348,AZ348:BG348),            INDEX(AZ348:BG348,MATCH(BH348,$AZ$12:$BG$12,0))))))</f>
        <v>0</v>
      </c>
      <c r="BK348" s="408">
        <f t="shared" si="99"/>
        <v>0</v>
      </c>
      <c r="BL348" s="414">
        <f t="shared" si="100"/>
        <v>0</v>
      </c>
      <c r="BM348" s="408">
        <f t="shared" si="101"/>
        <v>0</v>
      </c>
    </row>
    <row r="349" spans="16:65">
      <c r="P349" s="781">
        <v>0</v>
      </c>
      <c r="Q349" s="780">
        <f t="shared" si="85"/>
        <v>0</v>
      </c>
      <c r="R349" s="776">
        <f>IF(P350,_xll.qDateYears(P349,P350,DCCfixed),0)</f>
        <v>0</v>
      </c>
      <c r="S349" s="553">
        <v>0</v>
      </c>
      <c r="T349" s="785"/>
      <c r="U349" s="409">
        <f t="shared" si="95"/>
        <v>0</v>
      </c>
      <c r="X349" s="363">
        <v>0</v>
      </c>
      <c r="Y349" s="775">
        <f t="shared" si="86"/>
        <v>0</v>
      </c>
      <c r="Z349" s="776">
        <f>IF(X350,_xll.qDateYears(X349,X350,DCCfloat),0)</f>
        <v>0</v>
      </c>
      <c r="AA349" s="553">
        <v>0</v>
      </c>
      <c r="AB349" s="789">
        <f>IF($X349=0,0,      _xll.qDateNext($X349,AB$12,"M",FRM&lt;&gt;"Calypso",CCY))</f>
        <v>0</v>
      </c>
      <c r="AC349" s="789">
        <f>IF($X349=0,0,      _xll.qDateNext($X349,AC$12,"M",FRM&lt;&gt;"Calypso",CCY))</f>
        <v>0</v>
      </c>
      <c r="AD349" s="789">
        <f>IF($X349=0,0,      _xll.qDateNext($X349,AD$12,"M",FRM&lt;&gt;"Calypso",CCY))</f>
        <v>0</v>
      </c>
      <c r="AE349" s="789">
        <f>IF($X349=0,0,      _xll.qDateNext($X349,AE$12,"M",FRM&lt;&gt;"Calypso",CCY))</f>
        <v>0</v>
      </c>
      <c r="AF349" s="789">
        <f>IF($X349=0,0,      _xll.qDateNext($X349,AF$12,"M",FRM&lt;&gt;"Calypso",CCY))</f>
        <v>0</v>
      </c>
      <c r="AG349" s="789">
        <f>IF($X349=0,0,      _xll.qDateNext($X349,AG$12,"M",FRM&lt;&gt;"Calypso",CCY))</f>
        <v>0</v>
      </c>
      <c r="AH349" s="789">
        <f>IF($X349=0,0,      _xll.qDateNext($X349,AH$12,"M",FRM&lt;&gt;"Calypso",CCY))</f>
        <v>0</v>
      </c>
      <c r="AI349" s="789">
        <f>IF($X349=0,0,      _xll.qDateNext($X349,AI$12,"M",FRM&lt;&gt;"Calypso",CCY))</f>
        <v>0</v>
      </c>
      <c r="AJ349" s="529" t="str">
        <v/>
      </c>
      <c r="AK349" s="529" t="str">
        <v/>
      </c>
      <c r="AL349" s="529" t="str">
        <v/>
      </c>
      <c r="AM349" s="529" t="str">
        <v/>
      </c>
      <c r="AN349" s="529" t="str">
        <v/>
      </c>
      <c r="AO349" s="529" t="str">
        <v/>
      </c>
      <c r="AP349" s="529" t="str">
        <v/>
      </c>
      <c r="AQ349" s="529" t="str">
        <v/>
      </c>
      <c r="AR349" s="529">
        <v>0</v>
      </c>
      <c r="AS349" s="529">
        <v>0</v>
      </c>
      <c r="AT349" s="529">
        <f t="shared" si="96"/>
        <v>0</v>
      </c>
      <c r="AU349" s="529">
        <v>0</v>
      </c>
      <c r="AV349" s="529">
        <f t="shared" si="97"/>
        <v>0</v>
      </c>
      <c r="AW349" s="529">
        <f t="shared" si="98"/>
        <v>0</v>
      </c>
      <c r="AX349" s="529">
        <v>0</v>
      </c>
      <c r="AY349" s="529">
        <v>0</v>
      </c>
      <c r="AZ349" s="761">
        <f t="shared" si="87"/>
        <v>0</v>
      </c>
      <c r="BA349" s="761">
        <f t="shared" si="88"/>
        <v>0</v>
      </c>
      <c r="BB349" s="761">
        <f t="shared" si="89"/>
        <v>0</v>
      </c>
      <c r="BC349" s="761">
        <f t="shared" si="90"/>
        <v>0</v>
      </c>
      <c r="BD349" s="761">
        <f t="shared" si="91"/>
        <v>0</v>
      </c>
      <c r="BE349" s="761">
        <f t="shared" si="92"/>
        <v>0</v>
      </c>
      <c r="BF349" s="761">
        <f t="shared" si="93"/>
        <v>0</v>
      </c>
      <c r="BG349" s="761">
        <f t="shared" si="94"/>
        <v>0</v>
      </c>
      <c r="BH349" s="777">
        <v>0</v>
      </c>
      <c r="BI349" s="755"/>
      <c r="BJ349" s="778">
        <f>IF(X350=0,0,           IF(ISNUMBER(BI349),BI349,               IF(ISTEXT(BI349),INDEX(AZ349:BG349,MATCH(BI349,$AZ$12:$BG$12,0)),             IF(BH349="INT",_xll.qInterp(X350,AB349:AI349,AZ349:BG349),            INDEX(AZ349:BG349,MATCH(BH349,$AZ$12:$BG$12,0))))))</f>
        <v>0</v>
      </c>
      <c r="BK349" s="408">
        <f t="shared" si="99"/>
        <v>0</v>
      </c>
      <c r="BL349" s="414">
        <f t="shared" si="100"/>
        <v>0</v>
      </c>
      <c r="BM349" s="408">
        <f t="shared" si="101"/>
        <v>0</v>
      </c>
    </row>
    <row r="350" spans="16:65">
      <c r="P350" s="781">
        <v>0</v>
      </c>
      <c r="Q350" s="780">
        <f t="shared" si="85"/>
        <v>0</v>
      </c>
      <c r="R350" s="776">
        <f>IF(P351,_xll.qDateYears(P350,P351,DCCfixed),0)</f>
        <v>0</v>
      </c>
      <c r="S350" s="553">
        <v>0</v>
      </c>
      <c r="T350" s="785"/>
      <c r="U350" s="409">
        <f t="shared" si="95"/>
        <v>0</v>
      </c>
      <c r="X350" s="363">
        <v>0</v>
      </c>
      <c r="Y350" s="775">
        <f t="shared" si="86"/>
        <v>0</v>
      </c>
      <c r="Z350" s="776">
        <f>IF(X351,_xll.qDateYears(X350,X351,DCCfloat),0)</f>
        <v>0</v>
      </c>
      <c r="AA350" s="553">
        <v>0</v>
      </c>
      <c r="AB350" s="789">
        <f>IF($X350=0,0,      _xll.qDateNext($X350,AB$12,"M",FRM&lt;&gt;"Calypso",CCY))</f>
        <v>0</v>
      </c>
      <c r="AC350" s="789">
        <f>IF($X350=0,0,      _xll.qDateNext($X350,AC$12,"M",FRM&lt;&gt;"Calypso",CCY))</f>
        <v>0</v>
      </c>
      <c r="AD350" s="789">
        <f>IF($X350=0,0,      _xll.qDateNext($X350,AD$12,"M",FRM&lt;&gt;"Calypso",CCY))</f>
        <v>0</v>
      </c>
      <c r="AE350" s="789">
        <f>IF($X350=0,0,      _xll.qDateNext($X350,AE$12,"M",FRM&lt;&gt;"Calypso",CCY))</f>
        <v>0</v>
      </c>
      <c r="AF350" s="789">
        <f>IF($X350=0,0,      _xll.qDateNext($X350,AF$12,"M",FRM&lt;&gt;"Calypso",CCY))</f>
        <v>0</v>
      </c>
      <c r="AG350" s="789">
        <f>IF($X350=0,0,      _xll.qDateNext($X350,AG$12,"M",FRM&lt;&gt;"Calypso",CCY))</f>
        <v>0</v>
      </c>
      <c r="AH350" s="789">
        <f>IF($X350=0,0,      _xll.qDateNext($X350,AH$12,"M",FRM&lt;&gt;"Calypso",CCY))</f>
        <v>0</v>
      </c>
      <c r="AI350" s="789">
        <f>IF($X350=0,0,      _xll.qDateNext($X350,AI$12,"M",FRM&lt;&gt;"Calypso",CCY))</f>
        <v>0</v>
      </c>
      <c r="AJ350" s="529" t="str">
        <v/>
      </c>
      <c r="AK350" s="529" t="str">
        <v/>
      </c>
      <c r="AL350" s="529" t="str">
        <v/>
      </c>
      <c r="AM350" s="529" t="str">
        <v/>
      </c>
      <c r="AN350" s="529" t="str">
        <v/>
      </c>
      <c r="AO350" s="529" t="str">
        <v/>
      </c>
      <c r="AP350" s="529" t="str">
        <v/>
      </c>
      <c r="AQ350" s="529" t="str">
        <v/>
      </c>
      <c r="AR350" s="529">
        <v>0</v>
      </c>
      <c r="AS350" s="529">
        <v>0</v>
      </c>
      <c r="AT350" s="529">
        <f t="shared" si="96"/>
        <v>0</v>
      </c>
      <c r="AU350" s="529">
        <v>0</v>
      </c>
      <c r="AV350" s="529">
        <f t="shared" si="97"/>
        <v>0</v>
      </c>
      <c r="AW350" s="529">
        <f t="shared" si="98"/>
        <v>0</v>
      </c>
      <c r="AX350" s="529">
        <v>0</v>
      </c>
      <c r="AY350" s="529">
        <v>0</v>
      </c>
      <c r="AZ350" s="761">
        <f t="shared" si="87"/>
        <v>0</v>
      </c>
      <c r="BA350" s="761">
        <f t="shared" si="88"/>
        <v>0</v>
      </c>
      <c r="BB350" s="761">
        <f t="shared" si="89"/>
        <v>0</v>
      </c>
      <c r="BC350" s="761">
        <f t="shared" si="90"/>
        <v>0</v>
      </c>
      <c r="BD350" s="761">
        <f t="shared" si="91"/>
        <v>0</v>
      </c>
      <c r="BE350" s="761">
        <f t="shared" si="92"/>
        <v>0</v>
      </c>
      <c r="BF350" s="761">
        <f t="shared" si="93"/>
        <v>0</v>
      </c>
      <c r="BG350" s="761">
        <f t="shared" si="94"/>
        <v>0</v>
      </c>
      <c r="BH350" s="777">
        <v>0</v>
      </c>
      <c r="BI350" s="755"/>
      <c r="BJ350" s="778">
        <f>IF(X351=0,0,           IF(ISNUMBER(BI350),BI350,               IF(ISTEXT(BI350),INDEX(AZ350:BG350,MATCH(BI350,$AZ$12:$BG$12,0)),             IF(BH350="INT",_xll.qInterp(X351,AB350:AI350,AZ350:BG350),            INDEX(AZ350:BG350,MATCH(BH350,$AZ$12:$BG$12,0))))))</f>
        <v>0</v>
      </c>
      <c r="BK350" s="408">
        <f t="shared" si="99"/>
        <v>0</v>
      </c>
      <c r="BL350" s="414">
        <f t="shared" si="100"/>
        <v>0</v>
      </c>
      <c r="BM350" s="408">
        <f t="shared" si="101"/>
        <v>0</v>
      </c>
    </row>
    <row r="351" spans="16:65">
      <c r="P351" s="781">
        <v>0</v>
      </c>
      <c r="Q351" s="780">
        <f t="shared" si="85"/>
        <v>0</v>
      </c>
      <c r="R351" s="776">
        <f>IF(P352,_xll.qDateYears(P351,P352,DCCfixed),0)</f>
        <v>0</v>
      </c>
      <c r="S351" s="553">
        <v>0</v>
      </c>
      <c r="T351" s="785"/>
      <c r="U351" s="409">
        <f t="shared" si="95"/>
        <v>0</v>
      </c>
      <c r="X351" s="363">
        <v>0</v>
      </c>
      <c r="Y351" s="775">
        <f t="shared" si="86"/>
        <v>0</v>
      </c>
      <c r="Z351" s="776">
        <f>IF(X352,_xll.qDateYears(X351,X352,DCCfloat),0)</f>
        <v>0</v>
      </c>
      <c r="AA351" s="553">
        <v>0</v>
      </c>
      <c r="AB351" s="789">
        <f>IF($X351=0,0,      _xll.qDateNext($X351,AB$12,"M",FRM&lt;&gt;"Calypso",CCY))</f>
        <v>0</v>
      </c>
      <c r="AC351" s="789">
        <f>IF($X351=0,0,      _xll.qDateNext($X351,AC$12,"M",FRM&lt;&gt;"Calypso",CCY))</f>
        <v>0</v>
      </c>
      <c r="AD351" s="789">
        <f>IF($X351=0,0,      _xll.qDateNext($X351,AD$12,"M",FRM&lt;&gt;"Calypso",CCY))</f>
        <v>0</v>
      </c>
      <c r="AE351" s="789">
        <f>IF($X351=0,0,      _xll.qDateNext($X351,AE$12,"M",FRM&lt;&gt;"Calypso",CCY))</f>
        <v>0</v>
      </c>
      <c r="AF351" s="789">
        <f>IF($X351=0,0,      _xll.qDateNext($X351,AF$12,"M",FRM&lt;&gt;"Calypso",CCY))</f>
        <v>0</v>
      </c>
      <c r="AG351" s="789">
        <f>IF($X351=0,0,      _xll.qDateNext($X351,AG$12,"M",FRM&lt;&gt;"Calypso",CCY))</f>
        <v>0</v>
      </c>
      <c r="AH351" s="789">
        <f>IF($X351=0,0,      _xll.qDateNext($X351,AH$12,"M",FRM&lt;&gt;"Calypso",CCY))</f>
        <v>0</v>
      </c>
      <c r="AI351" s="789">
        <f>IF($X351=0,0,      _xll.qDateNext($X351,AI$12,"M",FRM&lt;&gt;"Calypso",CCY))</f>
        <v>0</v>
      </c>
      <c r="AJ351" s="529" t="str">
        <v/>
      </c>
      <c r="AK351" s="529" t="str">
        <v/>
      </c>
      <c r="AL351" s="529" t="str">
        <v/>
      </c>
      <c r="AM351" s="529" t="str">
        <v/>
      </c>
      <c r="AN351" s="529" t="str">
        <v/>
      </c>
      <c r="AO351" s="529" t="str">
        <v/>
      </c>
      <c r="AP351" s="529" t="str">
        <v/>
      </c>
      <c r="AQ351" s="529" t="str">
        <v/>
      </c>
      <c r="AR351" s="529">
        <v>0</v>
      </c>
      <c r="AS351" s="529">
        <v>0</v>
      </c>
      <c r="AT351" s="529">
        <f t="shared" si="96"/>
        <v>0</v>
      </c>
      <c r="AU351" s="529">
        <v>0</v>
      </c>
      <c r="AV351" s="529">
        <f t="shared" si="97"/>
        <v>0</v>
      </c>
      <c r="AW351" s="529">
        <f t="shared" si="98"/>
        <v>0</v>
      </c>
      <c r="AX351" s="529">
        <v>0</v>
      </c>
      <c r="AY351" s="529">
        <v>0</v>
      </c>
      <c r="AZ351" s="761">
        <f t="shared" si="87"/>
        <v>0</v>
      </c>
      <c r="BA351" s="761">
        <f t="shared" si="88"/>
        <v>0</v>
      </c>
      <c r="BB351" s="761">
        <f t="shared" si="89"/>
        <v>0</v>
      </c>
      <c r="BC351" s="761">
        <f t="shared" si="90"/>
        <v>0</v>
      </c>
      <c r="BD351" s="761">
        <f t="shared" si="91"/>
        <v>0</v>
      </c>
      <c r="BE351" s="761">
        <f t="shared" si="92"/>
        <v>0</v>
      </c>
      <c r="BF351" s="761">
        <f t="shared" si="93"/>
        <v>0</v>
      </c>
      <c r="BG351" s="761">
        <f t="shared" si="94"/>
        <v>0</v>
      </c>
      <c r="BH351" s="777">
        <v>0</v>
      </c>
      <c r="BI351" s="755"/>
      <c r="BJ351" s="778">
        <f>IF(X352=0,0,           IF(ISNUMBER(BI351),BI351,               IF(ISTEXT(BI351),INDEX(AZ351:BG351,MATCH(BI351,$AZ$12:$BG$12,0)),             IF(BH351="INT",_xll.qInterp(X352,AB351:AI351,AZ351:BG351),            INDEX(AZ351:BG351,MATCH(BH351,$AZ$12:$BG$12,0))))))</f>
        <v>0</v>
      </c>
      <c r="BK351" s="408">
        <f t="shared" si="99"/>
        <v>0</v>
      </c>
      <c r="BL351" s="414">
        <f t="shared" si="100"/>
        <v>0</v>
      </c>
      <c r="BM351" s="408">
        <f t="shared" si="101"/>
        <v>0</v>
      </c>
    </row>
    <row r="352" spans="16:65">
      <c r="P352" s="781">
        <v>0</v>
      </c>
      <c r="Q352" s="780">
        <f t="shared" si="85"/>
        <v>0</v>
      </c>
      <c r="R352" s="776">
        <f>IF(P353,_xll.qDateYears(P352,P353,DCCfixed),0)</f>
        <v>0</v>
      </c>
      <c r="S352" s="553">
        <v>0</v>
      </c>
      <c r="T352" s="785"/>
      <c r="U352" s="409">
        <f t="shared" si="95"/>
        <v>0</v>
      </c>
      <c r="X352" s="363">
        <v>0</v>
      </c>
      <c r="Y352" s="775">
        <f t="shared" si="86"/>
        <v>0</v>
      </c>
      <c r="Z352" s="776">
        <f>IF(X353,_xll.qDateYears(X352,X353,DCCfloat),0)</f>
        <v>0</v>
      </c>
      <c r="AA352" s="553">
        <v>0</v>
      </c>
      <c r="AB352" s="789">
        <f>IF($X352=0,0,      _xll.qDateNext($X352,AB$12,"M",FRM&lt;&gt;"Calypso",CCY))</f>
        <v>0</v>
      </c>
      <c r="AC352" s="789">
        <f>IF($X352=0,0,      _xll.qDateNext($X352,AC$12,"M",FRM&lt;&gt;"Calypso",CCY))</f>
        <v>0</v>
      </c>
      <c r="AD352" s="789">
        <f>IF($X352=0,0,      _xll.qDateNext($X352,AD$12,"M",FRM&lt;&gt;"Calypso",CCY))</f>
        <v>0</v>
      </c>
      <c r="AE352" s="789">
        <f>IF($X352=0,0,      _xll.qDateNext($X352,AE$12,"M",FRM&lt;&gt;"Calypso",CCY))</f>
        <v>0</v>
      </c>
      <c r="AF352" s="789">
        <f>IF($X352=0,0,      _xll.qDateNext($X352,AF$12,"M",FRM&lt;&gt;"Calypso",CCY))</f>
        <v>0</v>
      </c>
      <c r="AG352" s="789">
        <f>IF($X352=0,0,      _xll.qDateNext($X352,AG$12,"M",FRM&lt;&gt;"Calypso",CCY))</f>
        <v>0</v>
      </c>
      <c r="AH352" s="789">
        <f>IF($X352=0,0,      _xll.qDateNext($X352,AH$12,"M",FRM&lt;&gt;"Calypso",CCY))</f>
        <v>0</v>
      </c>
      <c r="AI352" s="789">
        <f>IF($X352=0,0,      _xll.qDateNext($X352,AI$12,"M",FRM&lt;&gt;"Calypso",CCY))</f>
        <v>0</v>
      </c>
      <c r="AJ352" s="529" t="str">
        <v/>
      </c>
      <c r="AK352" s="529" t="str">
        <v/>
      </c>
      <c r="AL352" s="529" t="str">
        <v/>
      </c>
      <c r="AM352" s="529" t="str">
        <v/>
      </c>
      <c r="AN352" s="529" t="str">
        <v/>
      </c>
      <c r="AO352" s="529" t="str">
        <v/>
      </c>
      <c r="AP352" s="529" t="str">
        <v/>
      </c>
      <c r="AQ352" s="529" t="str">
        <v/>
      </c>
      <c r="AR352" s="529">
        <v>0</v>
      </c>
      <c r="AS352" s="529">
        <v>0</v>
      </c>
      <c r="AT352" s="529">
        <f t="shared" si="96"/>
        <v>0</v>
      </c>
      <c r="AU352" s="529">
        <v>0</v>
      </c>
      <c r="AV352" s="529">
        <f t="shared" si="97"/>
        <v>0</v>
      </c>
      <c r="AW352" s="529">
        <f t="shared" si="98"/>
        <v>0</v>
      </c>
      <c r="AX352" s="529">
        <v>0</v>
      </c>
      <c r="AY352" s="529">
        <v>0</v>
      </c>
      <c r="AZ352" s="761">
        <f t="shared" si="87"/>
        <v>0</v>
      </c>
      <c r="BA352" s="761">
        <f t="shared" si="88"/>
        <v>0</v>
      </c>
      <c r="BB352" s="761">
        <f t="shared" si="89"/>
        <v>0</v>
      </c>
      <c r="BC352" s="761">
        <f t="shared" si="90"/>
        <v>0</v>
      </c>
      <c r="BD352" s="761">
        <f t="shared" si="91"/>
        <v>0</v>
      </c>
      <c r="BE352" s="761">
        <f t="shared" si="92"/>
        <v>0</v>
      </c>
      <c r="BF352" s="761">
        <f t="shared" si="93"/>
        <v>0</v>
      </c>
      <c r="BG352" s="761">
        <f t="shared" si="94"/>
        <v>0</v>
      </c>
      <c r="BH352" s="777">
        <v>0</v>
      </c>
      <c r="BI352" s="755"/>
      <c r="BJ352" s="778">
        <f>IF(X353=0,0,           IF(ISNUMBER(BI352),BI352,               IF(ISTEXT(BI352),INDEX(AZ352:BG352,MATCH(BI352,$AZ$12:$BG$12,0)),             IF(BH352="INT",_xll.qInterp(X353,AB352:AI352,AZ352:BG352),            INDEX(AZ352:BG352,MATCH(BH352,$AZ$12:$BG$12,0))))))</f>
        <v>0</v>
      </c>
      <c r="BK352" s="408">
        <f t="shared" si="99"/>
        <v>0</v>
      </c>
      <c r="BL352" s="414">
        <f t="shared" si="100"/>
        <v>0</v>
      </c>
      <c r="BM352" s="408">
        <f t="shared" si="101"/>
        <v>0</v>
      </c>
    </row>
    <row r="353" spans="16:65">
      <c r="P353" s="781">
        <v>0</v>
      </c>
      <c r="Q353" s="780">
        <f t="shared" si="85"/>
        <v>0</v>
      </c>
      <c r="R353" s="776">
        <f>IF(P354,_xll.qDateYears(P353,P354,DCCfixed),0)</f>
        <v>0</v>
      </c>
      <c r="S353" s="553">
        <v>0</v>
      </c>
      <c r="T353" s="785"/>
      <c r="U353" s="409">
        <f t="shared" si="95"/>
        <v>0</v>
      </c>
      <c r="X353" s="363">
        <v>0</v>
      </c>
      <c r="Y353" s="775">
        <f t="shared" si="86"/>
        <v>0</v>
      </c>
      <c r="Z353" s="776">
        <f>IF(X354,_xll.qDateYears(X353,X354,DCCfloat),0)</f>
        <v>0</v>
      </c>
      <c r="AA353" s="553">
        <v>0</v>
      </c>
      <c r="AB353" s="789">
        <f>IF($X353=0,0,      _xll.qDateNext($X353,AB$12,"M",FRM&lt;&gt;"Calypso",CCY))</f>
        <v>0</v>
      </c>
      <c r="AC353" s="789">
        <f>IF($X353=0,0,      _xll.qDateNext($X353,AC$12,"M",FRM&lt;&gt;"Calypso",CCY))</f>
        <v>0</v>
      </c>
      <c r="AD353" s="789">
        <f>IF($X353=0,0,      _xll.qDateNext($X353,AD$12,"M",FRM&lt;&gt;"Calypso",CCY))</f>
        <v>0</v>
      </c>
      <c r="AE353" s="789">
        <f>IF($X353=0,0,      _xll.qDateNext($X353,AE$12,"M",FRM&lt;&gt;"Calypso",CCY))</f>
        <v>0</v>
      </c>
      <c r="AF353" s="789">
        <f>IF($X353=0,0,      _xll.qDateNext($X353,AF$12,"M",FRM&lt;&gt;"Calypso",CCY))</f>
        <v>0</v>
      </c>
      <c r="AG353" s="789">
        <f>IF($X353=0,0,      _xll.qDateNext($X353,AG$12,"M",FRM&lt;&gt;"Calypso",CCY))</f>
        <v>0</v>
      </c>
      <c r="AH353" s="789">
        <f>IF($X353=0,0,      _xll.qDateNext($X353,AH$12,"M",FRM&lt;&gt;"Calypso",CCY))</f>
        <v>0</v>
      </c>
      <c r="AI353" s="789">
        <f>IF($X353=0,0,      _xll.qDateNext($X353,AI$12,"M",FRM&lt;&gt;"Calypso",CCY))</f>
        <v>0</v>
      </c>
      <c r="AJ353" s="529" t="str">
        <v/>
      </c>
      <c r="AK353" s="529" t="str">
        <v/>
      </c>
      <c r="AL353" s="529" t="str">
        <v/>
      </c>
      <c r="AM353" s="529" t="str">
        <v/>
      </c>
      <c r="AN353" s="529" t="str">
        <v/>
      </c>
      <c r="AO353" s="529" t="str">
        <v/>
      </c>
      <c r="AP353" s="529" t="str">
        <v/>
      </c>
      <c r="AQ353" s="529" t="str">
        <v/>
      </c>
      <c r="AR353" s="529">
        <v>0</v>
      </c>
      <c r="AS353" s="529">
        <v>0</v>
      </c>
      <c r="AT353" s="529">
        <f t="shared" si="96"/>
        <v>0</v>
      </c>
      <c r="AU353" s="529">
        <v>0</v>
      </c>
      <c r="AV353" s="529">
        <f t="shared" si="97"/>
        <v>0</v>
      </c>
      <c r="AW353" s="529">
        <f t="shared" si="98"/>
        <v>0</v>
      </c>
      <c r="AX353" s="529">
        <v>0</v>
      </c>
      <c r="AY353" s="529">
        <v>0</v>
      </c>
      <c r="AZ353" s="761">
        <f t="shared" si="87"/>
        <v>0</v>
      </c>
      <c r="BA353" s="761">
        <f t="shared" si="88"/>
        <v>0</v>
      </c>
      <c r="BB353" s="761">
        <f t="shared" si="89"/>
        <v>0</v>
      </c>
      <c r="BC353" s="761">
        <f t="shared" si="90"/>
        <v>0</v>
      </c>
      <c r="BD353" s="761">
        <f t="shared" si="91"/>
        <v>0</v>
      </c>
      <c r="BE353" s="761">
        <f t="shared" si="92"/>
        <v>0</v>
      </c>
      <c r="BF353" s="761">
        <f t="shared" si="93"/>
        <v>0</v>
      </c>
      <c r="BG353" s="761">
        <f t="shared" si="94"/>
        <v>0</v>
      </c>
      <c r="BH353" s="777">
        <v>0</v>
      </c>
      <c r="BI353" s="755"/>
      <c r="BJ353" s="778">
        <f>IF(X354=0,0,           IF(ISNUMBER(BI353),BI353,               IF(ISTEXT(BI353),INDEX(AZ353:BG353,MATCH(BI353,$AZ$12:$BG$12,0)),             IF(BH353="INT",_xll.qInterp(X354,AB353:AI353,AZ353:BG353),            INDEX(AZ353:BG353,MATCH(BH353,$AZ$12:$BG$12,0))))))</f>
        <v>0</v>
      </c>
      <c r="BK353" s="408">
        <f t="shared" si="99"/>
        <v>0</v>
      </c>
      <c r="BL353" s="414">
        <f t="shared" si="100"/>
        <v>0</v>
      </c>
      <c r="BM353" s="408">
        <f t="shared" si="101"/>
        <v>0</v>
      </c>
    </row>
    <row r="354" spans="16:65">
      <c r="P354" s="781">
        <v>0</v>
      </c>
      <c r="Q354" s="780">
        <f t="shared" si="85"/>
        <v>0</v>
      </c>
      <c r="R354" s="776">
        <f>IF(P355,_xll.qDateYears(P354,P355,DCCfixed),0)</f>
        <v>0</v>
      </c>
      <c r="S354" s="553">
        <v>0</v>
      </c>
      <c r="T354" s="785"/>
      <c r="U354" s="409">
        <f t="shared" si="95"/>
        <v>0</v>
      </c>
      <c r="X354" s="363">
        <v>0</v>
      </c>
      <c r="Y354" s="775">
        <f t="shared" si="86"/>
        <v>0</v>
      </c>
      <c r="Z354" s="776">
        <f>IF(X355,_xll.qDateYears(X354,X355,DCCfloat),0)</f>
        <v>0</v>
      </c>
      <c r="AA354" s="553">
        <v>0</v>
      </c>
      <c r="AB354" s="789">
        <f>IF($X354=0,0,      _xll.qDateNext($X354,AB$12,"M",FRM&lt;&gt;"Calypso",CCY))</f>
        <v>0</v>
      </c>
      <c r="AC354" s="789">
        <f>IF($X354=0,0,      _xll.qDateNext($X354,AC$12,"M",FRM&lt;&gt;"Calypso",CCY))</f>
        <v>0</v>
      </c>
      <c r="AD354" s="789">
        <f>IF($X354=0,0,      _xll.qDateNext($X354,AD$12,"M",FRM&lt;&gt;"Calypso",CCY))</f>
        <v>0</v>
      </c>
      <c r="AE354" s="789">
        <f>IF($X354=0,0,      _xll.qDateNext($X354,AE$12,"M",FRM&lt;&gt;"Calypso",CCY))</f>
        <v>0</v>
      </c>
      <c r="AF354" s="789">
        <f>IF($X354=0,0,      _xll.qDateNext($X354,AF$12,"M",FRM&lt;&gt;"Calypso",CCY))</f>
        <v>0</v>
      </c>
      <c r="AG354" s="789">
        <f>IF($X354=0,0,      _xll.qDateNext($X354,AG$12,"M",FRM&lt;&gt;"Calypso",CCY))</f>
        <v>0</v>
      </c>
      <c r="AH354" s="789">
        <f>IF($X354=0,0,      _xll.qDateNext($X354,AH$12,"M",FRM&lt;&gt;"Calypso",CCY))</f>
        <v>0</v>
      </c>
      <c r="AI354" s="789">
        <f>IF($X354=0,0,      _xll.qDateNext($X354,AI$12,"M",FRM&lt;&gt;"Calypso",CCY))</f>
        <v>0</v>
      </c>
      <c r="AJ354" s="529" t="str">
        <v/>
      </c>
      <c r="AK354" s="529" t="str">
        <v/>
      </c>
      <c r="AL354" s="529" t="str">
        <v/>
      </c>
      <c r="AM354" s="529" t="str">
        <v/>
      </c>
      <c r="AN354" s="529" t="str">
        <v/>
      </c>
      <c r="AO354" s="529" t="str">
        <v/>
      </c>
      <c r="AP354" s="529" t="str">
        <v/>
      </c>
      <c r="AQ354" s="529" t="str">
        <v/>
      </c>
      <c r="AR354" s="529">
        <v>0</v>
      </c>
      <c r="AS354" s="529">
        <v>0</v>
      </c>
      <c r="AT354" s="529">
        <f t="shared" si="96"/>
        <v>0</v>
      </c>
      <c r="AU354" s="529">
        <v>0</v>
      </c>
      <c r="AV354" s="529">
        <f t="shared" si="97"/>
        <v>0</v>
      </c>
      <c r="AW354" s="529">
        <f t="shared" si="98"/>
        <v>0</v>
      </c>
      <c r="AX354" s="529">
        <v>0</v>
      </c>
      <c r="AY354" s="529">
        <v>0</v>
      </c>
      <c r="AZ354" s="761">
        <f t="shared" si="87"/>
        <v>0</v>
      </c>
      <c r="BA354" s="761">
        <f t="shared" si="88"/>
        <v>0</v>
      </c>
      <c r="BB354" s="761">
        <f t="shared" si="89"/>
        <v>0</v>
      </c>
      <c r="BC354" s="761">
        <f t="shared" si="90"/>
        <v>0</v>
      </c>
      <c r="BD354" s="761">
        <f t="shared" si="91"/>
        <v>0</v>
      </c>
      <c r="BE354" s="761">
        <f t="shared" si="92"/>
        <v>0</v>
      </c>
      <c r="BF354" s="761">
        <f t="shared" si="93"/>
        <v>0</v>
      </c>
      <c r="BG354" s="761">
        <f t="shared" si="94"/>
        <v>0</v>
      </c>
      <c r="BH354" s="777">
        <v>0</v>
      </c>
      <c r="BI354" s="755"/>
      <c r="BJ354" s="778">
        <f>IF(X355=0,0,           IF(ISNUMBER(BI354),BI354,               IF(ISTEXT(BI354),INDEX(AZ354:BG354,MATCH(BI354,$AZ$12:$BG$12,0)),             IF(BH354="INT",_xll.qInterp(X355,AB354:AI354,AZ354:BG354),            INDEX(AZ354:BG354,MATCH(BH354,$AZ$12:$BG$12,0))))))</f>
        <v>0</v>
      </c>
      <c r="BK354" s="408">
        <f t="shared" si="99"/>
        <v>0</v>
      </c>
      <c r="BL354" s="414">
        <f t="shared" si="100"/>
        <v>0</v>
      </c>
      <c r="BM354" s="408">
        <f t="shared" si="101"/>
        <v>0</v>
      </c>
    </row>
    <row r="355" spans="16:65">
      <c r="P355" s="781">
        <v>0</v>
      </c>
      <c r="Q355" s="780">
        <f t="shared" si="85"/>
        <v>0</v>
      </c>
      <c r="R355" s="776">
        <f>IF(P356,_xll.qDateYears(P355,P356,DCCfixed),0)</f>
        <v>0</v>
      </c>
      <c r="S355" s="553">
        <v>0</v>
      </c>
      <c r="T355" s="785"/>
      <c r="U355" s="409">
        <f t="shared" si="95"/>
        <v>0</v>
      </c>
      <c r="X355" s="363">
        <v>0</v>
      </c>
      <c r="Y355" s="775">
        <f t="shared" si="86"/>
        <v>0</v>
      </c>
      <c r="Z355" s="776">
        <f>IF(X356,_xll.qDateYears(X355,X356,DCCfloat),0)</f>
        <v>0</v>
      </c>
      <c r="AA355" s="553">
        <v>0</v>
      </c>
      <c r="AB355" s="789">
        <f>IF($X355=0,0,      _xll.qDateNext($X355,AB$12,"M",FRM&lt;&gt;"Calypso",CCY))</f>
        <v>0</v>
      </c>
      <c r="AC355" s="789">
        <f>IF($X355=0,0,      _xll.qDateNext($X355,AC$12,"M",FRM&lt;&gt;"Calypso",CCY))</f>
        <v>0</v>
      </c>
      <c r="AD355" s="789">
        <f>IF($X355=0,0,      _xll.qDateNext($X355,AD$12,"M",FRM&lt;&gt;"Calypso",CCY))</f>
        <v>0</v>
      </c>
      <c r="AE355" s="789">
        <f>IF($X355=0,0,      _xll.qDateNext($X355,AE$12,"M",FRM&lt;&gt;"Calypso",CCY))</f>
        <v>0</v>
      </c>
      <c r="AF355" s="789">
        <f>IF($X355=0,0,      _xll.qDateNext($X355,AF$12,"M",FRM&lt;&gt;"Calypso",CCY))</f>
        <v>0</v>
      </c>
      <c r="AG355" s="789">
        <f>IF($X355=0,0,      _xll.qDateNext($X355,AG$12,"M",FRM&lt;&gt;"Calypso",CCY))</f>
        <v>0</v>
      </c>
      <c r="AH355" s="789">
        <f>IF($X355=0,0,      _xll.qDateNext($X355,AH$12,"M",FRM&lt;&gt;"Calypso",CCY))</f>
        <v>0</v>
      </c>
      <c r="AI355" s="789">
        <f>IF($X355=0,0,      _xll.qDateNext($X355,AI$12,"M",FRM&lt;&gt;"Calypso",CCY))</f>
        <v>0</v>
      </c>
      <c r="AJ355" s="529" t="str">
        <v/>
      </c>
      <c r="AK355" s="529" t="str">
        <v/>
      </c>
      <c r="AL355" s="529" t="str">
        <v/>
      </c>
      <c r="AM355" s="529" t="str">
        <v/>
      </c>
      <c r="AN355" s="529" t="str">
        <v/>
      </c>
      <c r="AO355" s="529" t="str">
        <v/>
      </c>
      <c r="AP355" s="529" t="str">
        <v/>
      </c>
      <c r="AQ355" s="529" t="str">
        <v/>
      </c>
      <c r="AR355" s="529">
        <v>0</v>
      </c>
      <c r="AS355" s="529">
        <v>0</v>
      </c>
      <c r="AT355" s="529">
        <f t="shared" si="96"/>
        <v>0</v>
      </c>
      <c r="AU355" s="529">
        <v>0</v>
      </c>
      <c r="AV355" s="529">
        <f t="shared" si="97"/>
        <v>0</v>
      </c>
      <c r="AW355" s="529">
        <f t="shared" si="98"/>
        <v>0</v>
      </c>
      <c r="AX355" s="529">
        <v>0</v>
      </c>
      <c r="AY355" s="529">
        <v>0</v>
      </c>
      <c r="AZ355" s="761">
        <f t="shared" si="87"/>
        <v>0</v>
      </c>
      <c r="BA355" s="761">
        <f t="shared" si="88"/>
        <v>0</v>
      </c>
      <c r="BB355" s="761">
        <f t="shared" si="89"/>
        <v>0</v>
      </c>
      <c r="BC355" s="761">
        <f t="shared" si="90"/>
        <v>0</v>
      </c>
      <c r="BD355" s="761">
        <f t="shared" si="91"/>
        <v>0</v>
      </c>
      <c r="BE355" s="761">
        <f t="shared" si="92"/>
        <v>0</v>
      </c>
      <c r="BF355" s="761">
        <f t="shared" si="93"/>
        <v>0</v>
      </c>
      <c r="BG355" s="761">
        <f t="shared" si="94"/>
        <v>0</v>
      </c>
      <c r="BH355" s="777">
        <v>0</v>
      </c>
      <c r="BI355" s="755"/>
      <c r="BJ355" s="778">
        <f>IF(X356=0,0,           IF(ISNUMBER(BI355),BI355,               IF(ISTEXT(BI355),INDEX(AZ355:BG355,MATCH(BI355,$AZ$12:$BG$12,0)),             IF(BH355="INT",_xll.qInterp(X356,AB355:AI355,AZ355:BG355),            INDEX(AZ355:BG355,MATCH(BH355,$AZ$12:$BG$12,0))))))</f>
        <v>0</v>
      </c>
      <c r="BK355" s="408">
        <f t="shared" si="99"/>
        <v>0</v>
      </c>
      <c r="BL355" s="414">
        <f t="shared" si="100"/>
        <v>0</v>
      </c>
      <c r="BM355" s="408">
        <f t="shared" si="101"/>
        <v>0</v>
      </c>
    </row>
    <row r="356" spans="16:65">
      <c r="P356" s="781">
        <v>0</v>
      </c>
      <c r="Q356" s="780">
        <f t="shared" si="85"/>
        <v>0</v>
      </c>
      <c r="R356" s="776">
        <f>IF(P357,_xll.qDateYears(P356,P357,DCCfixed),0)</f>
        <v>0</v>
      </c>
      <c r="S356" s="553">
        <v>0</v>
      </c>
      <c r="T356" s="785"/>
      <c r="U356" s="409">
        <f t="shared" si="95"/>
        <v>0</v>
      </c>
      <c r="X356" s="363">
        <v>0</v>
      </c>
      <c r="Y356" s="775">
        <f t="shared" si="86"/>
        <v>0</v>
      </c>
      <c r="Z356" s="776">
        <f>IF(X357,_xll.qDateYears(X356,X357,DCCfloat),0)</f>
        <v>0</v>
      </c>
      <c r="AA356" s="553">
        <v>0</v>
      </c>
      <c r="AB356" s="789">
        <f>IF($X356=0,0,      _xll.qDateNext($X356,AB$12,"M",FRM&lt;&gt;"Calypso",CCY))</f>
        <v>0</v>
      </c>
      <c r="AC356" s="789">
        <f>IF($X356=0,0,      _xll.qDateNext($X356,AC$12,"M",FRM&lt;&gt;"Calypso",CCY))</f>
        <v>0</v>
      </c>
      <c r="AD356" s="789">
        <f>IF($X356=0,0,      _xll.qDateNext($X356,AD$12,"M",FRM&lt;&gt;"Calypso",CCY))</f>
        <v>0</v>
      </c>
      <c r="AE356" s="789">
        <f>IF($X356=0,0,      _xll.qDateNext($X356,AE$12,"M",FRM&lt;&gt;"Calypso",CCY))</f>
        <v>0</v>
      </c>
      <c r="AF356" s="789">
        <f>IF($X356=0,0,      _xll.qDateNext($X356,AF$12,"M",FRM&lt;&gt;"Calypso",CCY))</f>
        <v>0</v>
      </c>
      <c r="AG356" s="789">
        <f>IF($X356=0,0,      _xll.qDateNext($X356,AG$12,"M",FRM&lt;&gt;"Calypso",CCY))</f>
        <v>0</v>
      </c>
      <c r="AH356" s="789">
        <f>IF($X356=0,0,      _xll.qDateNext($X356,AH$12,"M",FRM&lt;&gt;"Calypso",CCY))</f>
        <v>0</v>
      </c>
      <c r="AI356" s="789">
        <f>IF($X356=0,0,      _xll.qDateNext($X356,AI$12,"M",FRM&lt;&gt;"Calypso",CCY))</f>
        <v>0</v>
      </c>
      <c r="AJ356" s="529" t="str">
        <v/>
      </c>
      <c r="AK356" s="529" t="str">
        <v/>
      </c>
      <c r="AL356" s="529" t="str">
        <v/>
      </c>
      <c r="AM356" s="529" t="str">
        <v/>
      </c>
      <c r="AN356" s="529" t="str">
        <v/>
      </c>
      <c r="AO356" s="529" t="str">
        <v/>
      </c>
      <c r="AP356" s="529" t="str">
        <v/>
      </c>
      <c r="AQ356" s="529" t="str">
        <v/>
      </c>
      <c r="AR356" s="529">
        <v>0</v>
      </c>
      <c r="AS356" s="529">
        <v>0</v>
      </c>
      <c r="AT356" s="529">
        <f t="shared" si="96"/>
        <v>0</v>
      </c>
      <c r="AU356" s="529">
        <v>0</v>
      </c>
      <c r="AV356" s="529">
        <f t="shared" si="97"/>
        <v>0</v>
      </c>
      <c r="AW356" s="529">
        <f t="shared" si="98"/>
        <v>0</v>
      </c>
      <c r="AX356" s="529">
        <v>0</v>
      </c>
      <c r="AY356" s="529">
        <v>0</v>
      </c>
      <c r="AZ356" s="761">
        <f t="shared" si="87"/>
        <v>0</v>
      </c>
      <c r="BA356" s="761">
        <f t="shared" si="88"/>
        <v>0</v>
      </c>
      <c r="BB356" s="761">
        <f t="shared" si="89"/>
        <v>0</v>
      </c>
      <c r="BC356" s="761">
        <f t="shared" si="90"/>
        <v>0</v>
      </c>
      <c r="BD356" s="761">
        <f t="shared" si="91"/>
        <v>0</v>
      </c>
      <c r="BE356" s="761">
        <f t="shared" si="92"/>
        <v>0</v>
      </c>
      <c r="BF356" s="761">
        <f t="shared" si="93"/>
        <v>0</v>
      </c>
      <c r="BG356" s="761">
        <f t="shared" si="94"/>
        <v>0</v>
      </c>
      <c r="BH356" s="777">
        <v>0</v>
      </c>
      <c r="BI356" s="755"/>
      <c r="BJ356" s="778">
        <f>IF(X357=0,0,           IF(ISNUMBER(BI356),BI356,               IF(ISTEXT(BI356),INDEX(AZ356:BG356,MATCH(BI356,$AZ$12:$BG$12,0)),             IF(BH356="INT",_xll.qInterp(X357,AB356:AI356,AZ356:BG356),            INDEX(AZ356:BG356,MATCH(BH356,$AZ$12:$BG$12,0))))))</f>
        <v>0</v>
      </c>
      <c r="BK356" s="408">
        <f t="shared" si="99"/>
        <v>0</v>
      </c>
      <c r="BL356" s="414">
        <f t="shared" si="100"/>
        <v>0</v>
      </c>
      <c r="BM356" s="408">
        <f t="shared" si="101"/>
        <v>0</v>
      </c>
    </row>
    <row r="357" spans="16:65">
      <c r="P357" s="781">
        <v>0</v>
      </c>
      <c r="Q357" s="780">
        <f t="shared" si="85"/>
        <v>0</v>
      </c>
      <c r="R357" s="776">
        <f>IF(P358,_xll.qDateYears(P357,P358,DCCfixed),0)</f>
        <v>0</v>
      </c>
      <c r="S357" s="553">
        <v>0</v>
      </c>
      <c r="T357" s="785"/>
      <c r="U357" s="409">
        <f t="shared" si="95"/>
        <v>0</v>
      </c>
      <c r="X357" s="363">
        <v>0</v>
      </c>
      <c r="Y357" s="775">
        <f t="shared" si="86"/>
        <v>0</v>
      </c>
      <c r="Z357" s="776">
        <f>IF(X358,_xll.qDateYears(X357,X358,DCCfloat),0)</f>
        <v>0</v>
      </c>
      <c r="AA357" s="553">
        <v>0</v>
      </c>
      <c r="AB357" s="789">
        <f>IF($X357=0,0,      _xll.qDateNext($X357,AB$12,"M",FRM&lt;&gt;"Calypso",CCY))</f>
        <v>0</v>
      </c>
      <c r="AC357" s="789">
        <f>IF($X357=0,0,      _xll.qDateNext($X357,AC$12,"M",FRM&lt;&gt;"Calypso",CCY))</f>
        <v>0</v>
      </c>
      <c r="AD357" s="789">
        <f>IF($X357=0,0,      _xll.qDateNext($X357,AD$12,"M",FRM&lt;&gt;"Calypso",CCY))</f>
        <v>0</v>
      </c>
      <c r="AE357" s="789">
        <f>IF($X357=0,0,      _xll.qDateNext($X357,AE$12,"M",FRM&lt;&gt;"Calypso",CCY))</f>
        <v>0</v>
      </c>
      <c r="AF357" s="789">
        <f>IF($X357=0,0,      _xll.qDateNext($X357,AF$12,"M",FRM&lt;&gt;"Calypso",CCY))</f>
        <v>0</v>
      </c>
      <c r="AG357" s="789">
        <f>IF($X357=0,0,      _xll.qDateNext($X357,AG$12,"M",FRM&lt;&gt;"Calypso",CCY))</f>
        <v>0</v>
      </c>
      <c r="AH357" s="789">
        <f>IF($X357=0,0,      _xll.qDateNext($X357,AH$12,"M",FRM&lt;&gt;"Calypso",CCY))</f>
        <v>0</v>
      </c>
      <c r="AI357" s="789">
        <f>IF($X357=0,0,      _xll.qDateNext($X357,AI$12,"M",FRM&lt;&gt;"Calypso",CCY))</f>
        <v>0</v>
      </c>
      <c r="AJ357" s="529" t="str">
        <v/>
      </c>
      <c r="AK357" s="529" t="str">
        <v/>
      </c>
      <c r="AL357" s="529" t="str">
        <v/>
      </c>
      <c r="AM357" s="529" t="str">
        <v/>
      </c>
      <c r="AN357" s="529" t="str">
        <v/>
      </c>
      <c r="AO357" s="529" t="str">
        <v/>
      </c>
      <c r="AP357" s="529" t="str">
        <v/>
      </c>
      <c r="AQ357" s="529" t="str">
        <v/>
      </c>
      <c r="AR357" s="529">
        <v>0</v>
      </c>
      <c r="AS357" s="529">
        <v>0</v>
      </c>
      <c r="AT357" s="529">
        <f t="shared" si="96"/>
        <v>0</v>
      </c>
      <c r="AU357" s="529">
        <v>0</v>
      </c>
      <c r="AV357" s="529">
        <f t="shared" si="97"/>
        <v>0</v>
      </c>
      <c r="AW357" s="529">
        <f t="shared" si="98"/>
        <v>0</v>
      </c>
      <c r="AX357" s="529">
        <v>0</v>
      </c>
      <c r="AY357" s="529">
        <v>0</v>
      </c>
      <c r="AZ357" s="761">
        <f t="shared" si="87"/>
        <v>0</v>
      </c>
      <c r="BA357" s="761">
        <f t="shared" si="88"/>
        <v>0</v>
      </c>
      <c r="BB357" s="761">
        <f t="shared" si="89"/>
        <v>0</v>
      </c>
      <c r="BC357" s="761">
        <f t="shared" si="90"/>
        <v>0</v>
      </c>
      <c r="BD357" s="761">
        <f t="shared" si="91"/>
        <v>0</v>
      </c>
      <c r="BE357" s="761">
        <f t="shared" si="92"/>
        <v>0</v>
      </c>
      <c r="BF357" s="761">
        <f t="shared" si="93"/>
        <v>0</v>
      </c>
      <c r="BG357" s="761">
        <f t="shared" si="94"/>
        <v>0</v>
      </c>
      <c r="BH357" s="777">
        <v>0</v>
      </c>
      <c r="BI357" s="755"/>
      <c r="BJ357" s="778">
        <f>IF(X358=0,0,           IF(ISNUMBER(BI357),BI357,               IF(ISTEXT(BI357),INDEX(AZ357:BG357,MATCH(BI357,$AZ$12:$BG$12,0)),             IF(BH357="INT",_xll.qInterp(X358,AB357:AI357,AZ357:BG357),            INDEX(AZ357:BG357,MATCH(BH357,$AZ$12:$BG$12,0))))))</f>
        <v>0</v>
      </c>
      <c r="BK357" s="408">
        <f t="shared" si="99"/>
        <v>0</v>
      </c>
      <c r="BL357" s="414">
        <f t="shared" si="100"/>
        <v>0</v>
      </c>
      <c r="BM357" s="408">
        <f t="shared" si="101"/>
        <v>0</v>
      </c>
    </row>
    <row r="358" spans="16:65">
      <c r="P358" s="781">
        <v>0</v>
      </c>
      <c r="Q358" s="780">
        <f t="shared" si="85"/>
        <v>0</v>
      </c>
      <c r="R358" s="776">
        <f>IF(P359,_xll.qDateYears(P358,P359,DCCfixed),0)</f>
        <v>0</v>
      </c>
      <c r="S358" s="553">
        <v>0</v>
      </c>
      <c r="T358" s="785"/>
      <c r="U358" s="409">
        <f t="shared" si="95"/>
        <v>0</v>
      </c>
      <c r="X358" s="363">
        <v>0</v>
      </c>
      <c r="Y358" s="775">
        <f t="shared" si="86"/>
        <v>0</v>
      </c>
      <c r="Z358" s="776">
        <f>IF(X359,_xll.qDateYears(X358,X359,DCCfloat),0)</f>
        <v>0</v>
      </c>
      <c r="AA358" s="553">
        <v>0</v>
      </c>
      <c r="AB358" s="789">
        <f>IF($X358=0,0,      _xll.qDateNext($X358,AB$12,"M",FRM&lt;&gt;"Calypso",CCY))</f>
        <v>0</v>
      </c>
      <c r="AC358" s="789">
        <f>IF($X358=0,0,      _xll.qDateNext($X358,AC$12,"M",FRM&lt;&gt;"Calypso",CCY))</f>
        <v>0</v>
      </c>
      <c r="AD358" s="789">
        <f>IF($X358=0,0,      _xll.qDateNext($X358,AD$12,"M",FRM&lt;&gt;"Calypso",CCY))</f>
        <v>0</v>
      </c>
      <c r="AE358" s="789">
        <f>IF($X358=0,0,      _xll.qDateNext($X358,AE$12,"M",FRM&lt;&gt;"Calypso",CCY))</f>
        <v>0</v>
      </c>
      <c r="AF358" s="789">
        <f>IF($X358=0,0,      _xll.qDateNext($X358,AF$12,"M",FRM&lt;&gt;"Calypso",CCY))</f>
        <v>0</v>
      </c>
      <c r="AG358" s="789">
        <f>IF($X358=0,0,      _xll.qDateNext($X358,AG$12,"M",FRM&lt;&gt;"Calypso",CCY))</f>
        <v>0</v>
      </c>
      <c r="AH358" s="789">
        <f>IF($X358=0,0,      _xll.qDateNext($X358,AH$12,"M",FRM&lt;&gt;"Calypso",CCY))</f>
        <v>0</v>
      </c>
      <c r="AI358" s="789">
        <f>IF($X358=0,0,      _xll.qDateNext($X358,AI$12,"M",FRM&lt;&gt;"Calypso",CCY))</f>
        <v>0</v>
      </c>
      <c r="AJ358" s="529" t="str">
        <v/>
      </c>
      <c r="AK358" s="529" t="str">
        <v/>
      </c>
      <c r="AL358" s="529" t="str">
        <v/>
      </c>
      <c r="AM358" s="529" t="str">
        <v/>
      </c>
      <c r="AN358" s="529" t="str">
        <v/>
      </c>
      <c r="AO358" s="529" t="str">
        <v/>
      </c>
      <c r="AP358" s="529" t="str">
        <v/>
      </c>
      <c r="AQ358" s="529" t="str">
        <v/>
      </c>
      <c r="AR358" s="529">
        <v>0</v>
      </c>
      <c r="AS358" s="529">
        <v>0</v>
      </c>
      <c r="AT358" s="529">
        <f t="shared" si="96"/>
        <v>0</v>
      </c>
      <c r="AU358" s="529">
        <v>0</v>
      </c>
      <c r="AV358" s="529">
        <f t="shared" si="97"/>
        <v>0</v>
      </c>
      <c r="AW358" s="529">
        <f t="shared" si="98"/>
        <v>0</v>
      </c>
      <c r="AX358" s="529">
        <v>0</v>
      </c>
      <c r="AY358" s="529">
        <v>0</v>
      </c>
      <c r="AZ358" s="761">
        <f t="shared" si="87"/>
        <v>0</v>
      </c>
      <c r="BA358" s="761">
        <f t="shared" si="88"/>
        <v>0</v>
      </c>
      <c r="BB358" s="761">
        <f t="shared" si="89"/>
        <v>0</v>
      </c>
      <c r="BC358" s="761">
        <f t="shared" si="90"/>
        <v>0</v>
      </c>
      <c r="BD358" s="761">
        <f t="shared" si="91"/>
        <v>0</v>
      </c>
      <c r="BE358" s="761">
        <f t="shared" si="92"/>
        <v>0</v>
      </c>
      <c r="BF358" s="761">
        <f t="shared" si="93"/>
        <v>0</v>
      </c>
      <c r="BG358" s="761">
        <f t="shared" si="94"/>
        <v>0</v>
      </c>
      <c r="BH358" s="777">
        <v>0</v>
      </c>
      <c r="BI358" s="755"/>
      <c r="BJ358" s="778">
        <f>IF(X359=0,0,           IF(ISNUMBER(BI358),BI358,               IF(ISTEXT(BI358),INDEX(AZ358:BG358,MATCH(BI358,$AZ$12:$BG$12,0)),             IF(BH358="INT",_xll.qInterp(X359,AB358:AI358,AZ358:BG358),            INDEX(AZ358:BG358,MATCH(BH358,$AZ$12:$BG$12,0))))))</f>
        <v>0</v>
      </c>
      <c r="BK358" s="408">
        <f t="shared" si="99"/>
        <v>0</v>
      </c>
      <c r="BL358" s="414">
        <f t="shared" si="100"/>
        <v>0</v>
      </c>
      <c r="BM358" s="408">
        <f t="shared" si="101"/>
        <v>0</v>
      </c>
    </row>
    <row r="359" spans="16:65">
      <c r="P359" s="781">
        <v>0</v>
      </c>
      <c r="Q359" s="780">
        <f t="shared" si="85"/>
        <v>0</v>
      </c>
      <c r="R359" s="776">
        <f>IF(P360,_xll.qDateYears(P359,P360,DCCfixed),0)</f>
        <v>0</v>
      </c>
      <c r="S359" s="553">
        <v>0</v>
      </c>
      <c r="T359" s="785"/>
      <c r="U359" s="409">
        <f t="shared" si="95"/>
        <v>0</v>
      </c>
      <c r="X359" s="363">
        <v>0</v>
      </c>
      <c r="Y359" s="775">
        <f t="shared" si="86"/>
        <v>0</v>
      </c>
      <c r="Z359" s="776">
        <f>IF(X360,_xll.qDateYears(X359,X360,DCCfloat),0)</f>
        <v>0</v>
      </c>
      <c r="AA359" s="553">
        <v>0</v>
      </c>
      <c r="AB359" s="789">
        <f>IF($X359=0,0,      _xll.qDateNext($X359,AB$12,"M",FRM&lt;&gt;"Calypso",CCY))</f>
        <v>0</v>
      </c>
      <c r="AC359" s="789">
        <f>IF($X359=0,0,      _xll.qDateNext($X359,AC$12,"M",FRM&lt;&gt;"Calypso",CCY))</f>
        <v>0</v>
      </c>
      <c r="AD359" s="789">
        <f>IF($X359=0,0,      _xll.qDateNext($X359,AD$12,"M",FRM&lt;&gt;"Calypso",CCY))</f>
        <v>0</v>
      </c>
      <c r="AE359" s="789">
        <f>IF($X359=0,0,      _xll.qDateNext($X359,AE$12,"M",FRM&lt;&gt;"Calypso",CCY))</f>
        <v>0</v>
      </c>
      <c r="AF359" s="789">
        <f>IF($X359=0,0,      _xll.qDateNext($X359,AF$12,"M",FRM&lt;&gt;"Calypso",CCY))</f>
        <v>0</v>
      </c>
      <c r="AG359" s="789">
        <f>IF($X359=0,0,      _xll.qDateNext($X359,AG$12,"M",FRM&lt;&gt;"Calypso",CCY))</f>
        <v>0</v>
      </c>
      <c r="AH359" s="789">
        <f>IF($X359=0,0,      _xll.qDateNext($X359,AH$12,"M",FRM&lt;&gt;"Calypso",CCY))</f>
        <v>0</v>
      </c>
      <c r="AI359" s="789">
        <f>IF($X359=0,0,      _xll.qDateNext($X359,AI$12,"M",FRM&lt;&gt;"Calypso",CCY))</f>
        <v>0</v>
      </c>
      <c r="AJ359" s="529" t="str">
        <v/>
      </c>
      <c r="AK359" s="529" t="str">
        <v/>
      </c>
      <c r="AL359" s="529" t="str">
        <v/>
      </c>
      <c r="AM359" s="529" t="str">
        <v/>
      </c>
      <c r="AN359" s="529" t="str">
        <v/>
      </c>
      <c r="AO359" s="529" t="str">
        <v/>
      </c>
      <c r="AP359" s="529" t="str">
        <v/>
      </c>
      <c r="AQ359" s="529" t="str">
        <v/>
      </c>
      <c r="AR359" s="529">
        <v>0</v>
      </c>
      <c r="AS359" s="529">
        <v>0</v>
      </c>
      <c r="AT359" s="529">
        <f t="shared" si="96"/>
        <v>0</v>
      </c>
      <c r="AU359" s="529">
        <v>0</v>
      </c>
      <c r="AV359" s="529">
        <f t="shared" si="97"/>
        <v>0</v>
      </c>
      <c r="AW359" s="529">
        <f t="shared" si="98"/>
        <v>0</v>
      </c>
      <c r="AX359" s="529">
        <v>0</v>
      </c>
      <c r="AY359" s="529">
        <v>0</v>
      </c>
      <c r="AZ359" s="761">
        <f t="shared" si="87"/>
        <v>0</v>
      </c>
      <c r="BA359" s="761">
        <f t="shared" si="88"/>
        <v>0</v>
      </c>
      <c r="BB359" s="761">
        <f t="shared" si="89"/>
        <v>0</v>
      </c>
      <c r="BC359" s="761">
        <f t="shared" si="90"/>
        <v>0</v>
      </c>
      <c r="BD359" s="761">
        <f t="shared" si="91"/>
        <v>0</v>
      </c>
      <c r="BE359" s="761">
        <f t="shared" si="92"/>
        <v>0</v>
      </c>
      <c r="BF359" s="761">
        <f t="shared" si="93"/>
        <v>0</v>
      </c>
      <c r="BG359" s="761">
        <f t="shared" si="94"/>
        <v>0</v>
      </c>
      <c r="BH359" s="777">
        <v>0</v>
      </c>
      <c r="BI359" s="755"/>
      <c r="BJ359" s="778">
        <f>IF(X360=0,0,           IF(ISNUMBER(BI359),BI359,               IF(ISTEXT(BI359),INDEX(AZ359:BG359,MATCH(BI359,$AZ$12:$BG$12,0)),             IF(BH359="INT",_xll.qInterp(X360,AB359:AI359,AZ359:BG359),            INDEX(AZ359:BG359,MATCH(BH359,$AZ$12:$BG$12,0))))))</f>
        <v>0</v>
      </c>
      <c r="BK359" s="408">
        <f t="shared" si="99"/>
        <v>0</v>
      </c>
      <c r="BL359" s="414">
        <f t="shared" si="100"/>
        <v>0</v>
      </c>
      <c r="BM359" s="408">
        <f t="shared" si="101"/>
        <v>0</v>
      </c>
    </row>
    <row r="360" spans="16:65">
      <c r="P360" s="781">
        <v>0</v>
      </c>
      <c r="Q360" s="780">
        <f t="shared" si="85"/>
        <v>0</v>
      </c>
      <c r="R360" s="776">
        <f>IF(P361,_xll.qDateYears(P360,P361,DCCfixed),0)</f>
        <v>0</v>
      </c>
      <c r="S360" s="553">
        <v>0</v>
      </c>
      <c r="T360" s="785"/>
      <c r="U360" s="409">
        <f t="shared" si="95"/>
        <v>0</v>
      </c>
      <c r="X360" s="363">
        <v>0</v>
      </c>
      <c r="Y360" s="775">
        <f t="shared" si="86"/>
        <v>0</v>
      </c>
      <c r="Z360" s="776">
        <f>IF(X361,_xll.qDateYears(X360,X361,DCCfloat),0)</f>
        <v>0</v>
      </c>
      <c r="AA360" s="553">
        <v>0</v>
      </c>
      <c r="AB360" s="789">
        <f>IF($X360=0,0,      _xll.qDateNext($X360,AB$12,"M",FRM&lt;&gt;"Calypso",CCY))</f>
        <v>0</v>
      </c>
      <c r="AC360" s="789">
        <f>IF($X360=0,0,      _xll.qDateNext($X360,AC$12,"M",FRM&lt;&gt;"Calypso",CCY))</f>
        <v>0</v>
      </c>
      <c r="AD360" s="789">
        <f>IF($X360=0,0,      _xll.qDateNext($X360,AD$12,"M",FRM&lt;&gt;"Calypso",CCY))</f>
        <v>0</v>
      </c>
      <c r="AE360" s="789">
        <f>IF($X360=0,0,      _xll.qDateNext($X360,AE$12,"M",FRM&lt;&gt;"Calypso",CCY))</f>
        <v>0</v>
      </c>
      <c r="AF360" s="789">
        <f>IF($X360=0,0,      _xll.qDateNext($X360,AF$12,"M",FRM&lt;&gt;"Calypso",CCY))</f>
        <v>0</v>
      </c>
      <c r="AG360" s="789">
        <f>IF($X360=0,0,      _xll.qDateNext($X360,AG$12,"M",FRM&lt;&gt;"Calypso",CCY))</f>
        <v>0</v>
      </c>
      <c r="AH360" s="789">
        <f>IF($X360=0,0,      _xll.qDateNext($X360,AH$12,"M",FRM&lt;&gt;"Calypso",CCY))</f>
        <v>0</v>
      </c>
      <c r="AI360" s="789">
        <f>IF($X360=0,0,      _xll.qDateNext($X360,AI$12,"M",FRM&lt;&gt;"Calypso",CCY))</f>
        <v>0</v>
      </c>
      <c r="AJ360" s="529" t="str">
        <v/>
      </c>
      <c r="AK360" s="529" t="str">
        <v/>
      </c>
      <c r="AL360" s="529" t="str">
        <v/>
      </c>
      <c r="AM360" s="529" t="str">
        <v/>
      </c>
      <c r="AN360" s="529" t="str">
        <v/>
      </c>
      <c r="AO360" s="529" t="str">
        <v/>
      </c>
      <c r="AP360" s="529" t="str">
        <v/>
      </c>
      <c r="AQ360" s="529" t="str">
        <v/>
      </c>
      <c r="AR360" s="529">
        <v>0</v>
      </c>
      <c r="AS360" s="529">
        <v>0</v>
      </c>
      <c r="AT360" s="529">
        <f t="shared" si="96"/>
        <v>0</v>
      </c>
      <c r="AU360" s="529">
        <v>0</v>
      </c>
      <c r="AV360" s="529">
        <f t="shared" si="97"/>
        <v>0</v>
      </c>
      <c r="AW360" s="529">
        <f t="shared" si="98"/>
        <v>0</v>
      </c>
      <c r="AX360" s="529">
        <v>0</v>
      </c>
      <c r="AY360" s="529">
        <v>0</v>
      </c>
      <c r="AZ360" s="761">
        <f t="shared" si="87"/>
        <v>0</v>
      </c>
      <c r="BA360" s="761">
        <f t="shared" si="88"/>
        <v>0</v>
      </c>
      <c r="BB360" s="761">
        <f t="shared" si="89"/>
        <v>0</v>
      </c>
      <c r="BC360" s="761">
        <f t="shared" si="90"/>
        <v>0</v>
      </c>
      <c r="BD360" s="761">
        <f t="shared" si="91"/>
        <v>0</v>
      </c>
      <c r="BE360" s="761">
        <f t="shared" si="92"/>
        <v>0</v>
      </c>
      <c r="BF360" s="761">
        <f t="shared" si="93"/>
        <v>0</v>
      </c>
      <c r="BG360" s="761">
        <f t="shared" si="94"/>
        <v>0</v>
      </c>
      <c r="BH360" s="777">
        <v>0</v>
      </c>
      <c r="BI360" s="755"/>
      <c r="BJ360" s="778">
        <f>IF(X361=0,0,           IF(ISNUMBER(BI360),BI360,               IF(ISTEXT(BI360),INDEX(AZ360:BG360,MATCH(BI360,$AZ$12:$BG$12,0)),             IF(BH360="INT",_xll.qInterp(X361,AB360:AI360,AZ360:BG360),            INDEX(AZ360:BG360,MATCH(BH360,$AZ$12:$BG$12,0))))))</f>
        <v>0</v>
      </c>
      <c r="BK360" s="408">
        <f t="shared" si="99"/>
        <v>0</v>
      </c>
      <c r="BL360" s="414">
        <f t="shared" si="100"/>
        <v>0</v>
      </c>
      <c r="BM360" s="408">
        <f t="shared" si="101"/>
        <v>0</v>
      </c>
    </row>
    <row r="361" spans="16:65">
      <c r="P361" s="781">
        <v>0</v>
      </c>
      <c r="Q361" s="780">
        <f t="shared" si="85"/>
        <v>0</v>
      </c>
      <c r="R361" s="776">
        <f>IF(P362,_xll.qDateYears(P361,P362,DCCfixed),0)</f>
        <v>0</v>
      </c>
      <c r="S361" s="553">
        <v>0</v>
      </c>
      <c r="T361" s="785"/>
      <c r="U361" s="409">
        <f t="shared" si="95"/>
        <v>0</v>
      </c>
      <c r="X361" s="363">
        <v>0</v>
      </c>
      <c r="Y361" s="775">
        <f t="shared" si="86"/>
        <v>0</v>
      </c>
      <c r="Z361" s="776">
        <f>IF(X362,_xll.qDateYears(X361,X362,DCCfloat),0)</f>
        <v>0</v>
      </c>
      <c r="AA361" s="553">
        <v>0</v>
      </c>
      <c r="AB361" s="789">
        <f>IF($X361=0,0,      _xll.qDateNext($X361,AB$12,"M",FRM&lt;&gt;"Calypso",CCY))</f>
        <v>0</v>
      </c>
      <c r="AC361" s="789">
        <f>IF($X361=0,0,      _xll.qDateNext($X361,AC$12,"M",FRM&lt;&gt;"Calypso",CCY))</f>
        <v>0</v>
      </c>
      <c r="AD361" s="789">
        <f>IF($X361=0,0,      _xll.qDateNext($X361,AD$12,"M",FRM&lt;&gt;"Calypso",CCY))</f>
        <v>0</v>
      </c>
      <c r="AE361" s="789">
        <f>IF($X361=0,0,      _xll.qDateNext($X361,AE$12,"M",FRM&lt;&gt;"Calypso",CCY))</f>
        <v>0</v>
      </c>
      <c r="AF361" s="789">
        <f>IF($X361=0,0,      _xll.qDateNext($X361,AF$12,"M",FRM&lt;&gt;"Calypso",CCY))</f>
        <v>0</v>
      </c>
      <c r="AG361" s="789">
        <f>IF($X361=0,0,      _xll.qDateNext($X361,AG$12,"M",FRM&lt;&gt;"Calypso",CCY))</f>
        <v>0</v>
      </c>
      <c r="AH361" s="789">
        <f>IF($X361=0,0,      _xll.qDateNext($X361,AH$12,"M",FRM&lt;&gt;"Calypso",CCY))</f>
        <v>0</v>
      </c>
      <c r="AI361" s="789">
        <f>IF($X361=0,0,      _xll.qDateNext($X361,AI$12,"M",FRM&lt;&gt;"Calypso",CCY))</f>
        <v>0</v>
      </c>
      <c r="AJ361" s="529" t="str">
        <v/>
      </c>
      <c r="AK361" s="529" t="str">
        <v/>
      </c>
      <c r="AL361" s="529" t="str">
        <v/>
      </c>
      <c r="AM361" s="529" t="str">
        <v/>
      </c>
      <c r="AN361" s="529" t="str">
        <v/>
      </c>
      <c r="AO361" s="529" t="str">
        <v/>
      </c>
      <c r="AP361" s="529" t="str">
        <v/>
      </c>
      <c r="AQ361" s="529" t="str">
        <v/>
      </c>
      <c r="AR361" s="529">
        <v>0</v>
      </c>
      <c r="AS361" s="529">
        <v>0</v>
      </c>
      <c r="AT361" s="529">
        <f t="shared" si="96"/>
        <v>0</v>
      </c>
      <c r="AU361" s="529">
        <v>0</v>
      </c>
      <c r="AV361" s="529">
        <f t="shared" si="97"/>
        <v>0</v>
      </c>
      <c r="AW361" s="529">
        <f t="shared" si="98"/>
        <v>0</v>
      </c>
      <c r="AX361" s="529">
        <v>0</v>
      </c>
      <c r="AY361" s="529">
        <v>0</v>
      </c>
      <c r="AZ361" s="761">
        <f t="shared" si="87"/>
        <v>0</v>
      </c>
      <c r="BA361" s="761">
        <f t="shared" si="88"/>
        <v>0</v>
      </c>
      <c r="BB361" s="761">
        <f t="shared" si="89"/>
        <v>0</v>
      </c>
      <c r="BC361" s="761">
        <f t="shared" si="90"/>
        <v>0</v>
      </c>
      <c r="BD361" s="761">
        <f t="shared" si="91"/>
        <v>0</v>
      </c>
      <c r="BE361" s="761">
        <f t="shared" si="92"/>
        <v>0</v>
      </c>
      <c r="BF361" s="761">
        <f t="shared" si="93"/>
        <v>0</v>
      </c>
      <c r="BG361" s="761">
        <f t="shared" si="94"/>
        <v>0</v>
      </c>
      <c r="BH361" s="777">
        <v>0</v>
      </c>
      <c r="BI361" s="755"/>
      <c r="BJ361" s="778">
        <f>IF(X362=0,0,           IF(ISNUMBER(BI361),BI361,               IF(ISTEXT(BI361),INDEX(AZ361:BG361,MATCH(BI361,$AZ$12:$BG$12,0)),             IF(BH361="INT",_xll.qInterp(X362,AB361:AI361,AZ361:BG361),            INDEX(AZ361:BG361,MATCH(BH361,$AZ$12:$BG$12,0))))))</f>
        <v>0</v>
      </c>
      <c r="BK361" s="408">
        <f t="shared" si="99"/>
        <v>0</v>
      </c>
      <c r="BL361" s="414">
        <f t="shared" si="100"/>
        <v>0</v>
      </c>
      <c r="BM361" s="408">
        <f t="shared" si="101"/>
        <v>0</v>
      </c>
    </row>
    <row r="362" spans="16:65">
      <c r="P362" s="781">
        <v>0</v>
      </c>
      <c r="Q362" s="780">
        <f t="shared" si="85"/>
        <v>0</v>
      </c>
      <c r="R362" s="776">
        <f>IF(P363,_xll.qDateYears(P362,P363,DCCfixed),0)</f>
        <v>0</v>
      </c>
      <c r="S362" s="553">
        <v>0</v>
      </c>
      <c r="T362" s="785"/>
      <c r="U362" s="409">
        <f t="shared" si="95"/>
        <v>0</v>
      </c>
      <c r="X362" s="363">
        <v>0</v>
      </c>
      <c r="Y362" s="775">
        <f t="shared" si="86"/>
        <v>0</v>
      </c>
      <c r="Z362" s="776">
        <f>IF(X363,_xll.qDateYears(X362,X363,DCCfloat),0)</f>
        <v>0</v>
      </c>
      <c r="AA362" s="553">
        <v>0</v>
      </c>
      <c r="AB362" s="789">
        <f>IF($X362=0,0,      _xll.qDateNext($X362,AB$12,"M",FRM&lt;&gt;"Calypso",CCY))</f>
        <v>0</v>
      </c>
      <c r="AC362" s="789">
        <f>IF($X362=0,0,      _xll.qDateNext($X362,AC$12,"M",FRM&lt;&gt;"Calypso",CCY))</f>
        <v>0</v>
      </c>
      <c r="AD362" s="789">
        <f>IF($X362=0,0,      _xll.qDateNext($X362,AD$12,"M",FRM&lt;&gt;"Calypso",CCY))</f>
        <v>0</v>
      </c>
      <c r="AE362" s="789">
        <f>IF($X362=0,0,      _xll.qDateNext($X362,AE$12,"M",FRM&lt;&gt;"Calypso",CCY))</f>
        <v>0</v>
      </c>
      <c r="AF362" s="789">
        <f>IF($X362=0,0,      _xll.qDateNext($X362,AF$12,"M",FRM&lt;&gt;"Calypso",CCY))</f>
        <v>0</v>
      </c>
      <c r="AG362" s="789">
        <f>IF($X362=0,0,      _xll.qDateNext($X362,AG$12,"M",FRM&lt;&gt;"Calypso",CCY))</f>
        <v>0</v>
      </c>
      <c r="AH362" s="789">
        <f>IF($X362=0,0,      _xll.qDateNext($X362,AH$12,"M",FRM&lt;&gt;"Calypso",CCY))</f>
        <v>0</v>
      </c>
      <c r="AI362" s="789">
        <f>IF($X362=0,0,      _xll.qDateNext($X362,AI$12,"M",FRM&lt;&gt;"Calypso",CCY))</f>
        <v>0</v>
      </c>
      <c r="AJ362" s="529" t="str">
        <v/>
      </c>
      <c r="AK362" s="529" t="str">
        <v/>
      </c>
      <c r="AL362" s="529" t="str">
        <v/>
      </c>
      <c r="AM362" s="529" t="str">
        <v/>
      </c>
      <c r="AN362" s="529" t="str">
        <v/>
      </c>
      <c r="AO362" s="529" t="str">
        <v/>
      </c>
      <c r="AP362" s="529" t="str">
        <v/>
      </c>
      <c r="AQ362" s="529" t="str">
        <v/>
      </c>
      <c r="AR362" s="529">
        <v>0</v>
      </c>
      <c r="AS362" s="529">
        <v>0</v>
      </c>
      <c r="AT362" s="529">
        <f t="shared" si="96"/>
        <v>0</v>
      </c>
      <c r="AU362" s="529">
        <v>0</v>
      </c>
      <c r="AV362" s="529">
        <f t="shared" si="97"/>
        <v>0</v>
      </c>
      <c r="AW362" s="529">
        <f t="shared" si="98"/>
        <v>0</v>
      </c>
      <c r="AX362" s="529">
        <v>0</v>
      </c>
      <c r="AY362" s="529">
        <v>0</v>
      </c>
      <c r="AZ362" s="761">
        <f t="shared" si="87"/>
        <v>0</v>
      </c>
      <c r="BA362" s="761">
        <f t="shared" si="88"/>
        <v>0</v>
      </c>
      <c r="BB362" s="761">
        <f t="shared" si="89"/>
        <v>0</v>
      </c>
      <c r="BC362" s="761">
        <f t="shared" si="90"/>
        <v>0</v>
      </c>
      <c r="BD362" s="761">
        <f t="shared" si="91"/>
        <v>0</v>
      </c>
      <c r="BE362" s="761">
        <f t="shared" si="92"/>
        <v>0</v>
      </c>
      <c r="BF362" s="761">
        <f t="shared" si="93"/>
        <v>0</v>
      </c>
      <c r="BG362" s="761">
        <f t="shared" si="94"/>
        <v>0</v>
      </c>
      <c r="BH362" s="777">
        <v>0</v>
      </c>
      <c r="BI362" s="755"/>
      <c r="BJ362" s="778">
        <f>IF(X363=0,0,           IF(ISNUMBER(BI362),BI362,               IF(ISTEXT(BI362),INDEX(AZ362:BG362,MATCH(BI362,$AZ$12:$BG$12,0)),             IF(BH362="INT",_xll.qInterp(X363,AB362:AI362,AZ362:BG362),            INDEX(AZ362:BG362,MATCH(BH362,$AZ$12:$BG$12,0))))))</f>
        <v>0</v>
      </c>
      <c r="BK362" s="408">
        <f t="shared" si="99"/>
        <v>0</v>
      </c>
      <c r="BL362" s="414">
        <f t="shared" si="100"/>
        <v>0</v>
      </c>
      <c r="BM362" s="408">
        <f t="shared" si="101"/>
        <v>0</v>
      </c>
    </row>
    <row r="363" spans="16:65">
      <c r="P363" s="781">
        <v>0</v>
      </c>
      <c r="Q363" s="780">
        <f t="shared" si="85"/>
        <v>0</v>
      </c>
      <c r="R363" s="776">
        <f>IF(P364,_xll.qDateYears(P363,P364,DCCfixed),0)</f>
        <v>0</v>
      </c>
      <c r="S363" s="553">
        <v>0</v>
      </c>
      <c r="T363" s="785"/>
      <c r="U363" s="409">
        <f t="shared" si="95"/>
        <v>0</v>
      </c>
      <c r="X363" s="363">
        <v>0</v>
      </c>
      <c r="Y363" s="775">
        <f t="shared" si="86"/>
        <v>0</v>
      </c>
      <c r="Z363" s="776">
        <f>IF(X364,_xll.qDateYears(X363,X364,DCCfloat),0)</f>
        <v>0</v>
      </c>
      <c r="AA363" s="553">
        <v>0</v>
      </c>
      <c r="AB363" s="789">
        <f>IF($X363=0,0,      _xll.qDateNext($X363,AB$12,"M",FRM&lt;&gt;"Calypso",CCY))</f>
        <v>0</v>
      </c>
      <c r="AC363" s="789">
        <f>IF($X363=0,0,      _xll.qDateNext($X363,AC$12,"M",FRM&lt;&gt;"Calypso",CCY))</f>
        <v>0</v>
      </c>
      <c r="AD363" s="789">
        <f>IF($X363=0,0,      _xll.qDateNext($X363,AD$12,"M",FRM&lt;&gt;"Calypso",CCY))</f>
        <v>0</v>
      </c>
      <c r="AE363" s="789">
        <f>IF($X363=0,0,      _xll.qDateNext($X363,AE$12,"M",FRM&lt;&gt;"Calypso",CCY))</f>
        <v>0</v>
      </c>
      <c r="AF363" s="789">
        <f>IF($X363=0,0,      _xll.qDateNext($X363,AF$12,"M",FRM&lt;&gt;"Calypso",CCY))</f>
        <v>0</v>
      </c>
      <c r="AG363" s="789">
        <f>IF($X363=0,0,      _xll.qDateNext($X363,AG$12,"M",FRM&lt;&gt;"Calypso",CCY))</f>
        <v>0</v>
      </c>
      <c r="AH363" s="789">
        <f>IF($X363=0,0,      _xll.qDateNext($X363,AH$12,"M",FRM&lt;&gt;"Calypso",CCY))</f>
        <v>0</v>
      </c>
      <c r="AI363" s="789">
        <f>IF($X363=0,0,      _xll.qDateNext($X363,AI$12,"M",FRM&lt;&gt;"Calypso",CCY))</f>
        <v>0</v>
      </c>
      <c r="AJ363" s="529" t="str">
        <v/>
      </c>
      <c r="AK363" s="529" t="str">
        <v/>
      </c>
      <c r="AL363" s="529" t="str">
        <v/>
      </c>
      <c r="AM363" s="529" t="str">
        <v/>
      </c>
      <c r="AN363" s="529" t="str">
        <v/>
      </c>
      <c r="AO363" s="529" t="str">
        <v/>
      </c>
      <c r="AP363" s="529" t="str">
        <v/>
      </c>
      <c r="AQ363" s="529" t="str">
        <v/>
      </c>
      <c r="AR363" s="529">
        <v>0</v>
      </c>
      <c r="AS363" s="529">
        <v>0</v>
      </c>
      <c r="AT363" s="529">
        <f t="shared" si="96"/>
        <v>0</v>
      </c>
      <c r="AU363" s="529">
        <v>0</v>
      </c>
      <c r="AV363" s="529">
        <f t="shared" si="97"/>
        <v>0</v>
      </c>
      <c r="AW363" s="529">
        <f t="shared" si="98"/>
        <v>0</v>
      </c>
      <c r="AX363" s="529">
        <v>0</v>
      </c>
      <c r="AY363" s="529">
        <v>0</v>
      </c>
      <c r="AZ363" s="761">
        <f t="shared" si="87"/>
        <v>0</v>
      </c>
      <c r="BA363" s="761">
        <f t="shared" si="88"/>
        <v>0</v>
      </c>
      <c r="BB363" s="761">
        <f t="shared" si="89"/>
        <v>0</v>
      </c>
      <c r="BC363" s="761">
        <f t="shared" si="90"/>
        <v>0</v>
      </c>
      <c r="BD363" s="761">
        <f t="shared" si="91"/>
        <v>0</v>
      </c>
      <c r="BE363" s="761">
        <f t="shared" si="92"/>
        <v>0</v>
      </c>
      <c r="BF363" s="761">
        <f t="shared" si="93"/>
        <v>0</v>
      </c>
      <c r="BG363" s="761">
        <f t="shared" si="94"/>
        <v>0</v>
      </c>
      <c r="BH363" s="777">
        <v>0</v>
      </c>
      <c r="BI363" s="755"/>
      <c r="BJ363" s="778">
        <f>IF(X364=0,0,           IF(ISNUMBER(BI363),BI363,               IF(ISTEXT(BI363),INDEX(AZ363:BG363,MATCH(BI363,$AZ$12:$BG$12,0)),             IF(BH363="INT",_xll.qInterp(X364,AB363:AI363,AZ363:BG363),            INDEX(AZ363:BG363,MATCH(BH363,$AZ$12:$BG$12,0))))))</f>
        <v>0</v>
      </c>
      <c r="BK363" s="408">
        <f t="shared" si="99"/>
        <v>0</v>
      </c>
      <c r="BL363" s="414">
        <f t="shared" si="100"/>
        <v>0</v>
      </c>
      <c r="BM363" s="408">
        <f t="shared" si="101"/>
        <v>0</v>
      </c>
    </row>
    <row r="364" spans="16:65">
      <c r="P364" s="781">
        <v>0</v>
      </c>
      <c r="Q364" s="780">
        <f t="shared" si="85"/>
        <v>0</v>
      </c>
      <c r="R364" s="776">
        <f>IF(P365,_xll.qDateYears(P364,P365,DCCfixed),0)</f>
        <v>0</v>
      </c>
      <c r="S364" s="553">
        <v>0</v>
      </c>
      <c r="T364" s="785"/>
      <c r="U364" s="409">
        <f t="shared" si="95"/>
        <v>0</v>
      </c>
      <c r="X364" s="363">
        <v>0</v>
      </c>
      <c r="Y364" s="775">
        <f t="shared" si="86"/>
        <v>0</v>
      </c>
      <c r="Z364" s="776">
        <f>IF(X365,_xll.qDateYears(X364,X365,DCCfloat),0)</f>
        <v>0</v>
      </c>
      <c r="AA364" s="553">
        <v>0</v>
      </c>
      <c r="AB364" s="789">
        <f>IF($X364=0,0,      _xll.qDateNext($X364,AB$12,"M",FRM&lt;&gt;"Calypso",CCY))</f>
        <v>0</v>
      </c>
      <c r="AC364" s="789">
        <f>IF($X364=0,0,      _xll.qDateNext($X364,AC$12,"M",FRM&lt;&gt;"Calypso",CCY))</f>
        <v>0</v>
      </c>
      <c r="AD364" s="789">
        <f>IF($X364=0,0,      _xll.qDateNext($X364,AD$12,"M",FRM&lt;&gt;"Calypso",CCY))</f>
        <v>0</v>
      </c>
      <c r="AE364" s="789">
        <f>IF($X364=0,0,      _xll.qDateNext($X364,AE$12,"M",FRM&lt;&gt;"Calypso",CCY))</f>
        <v>0</v>
      </c>
      <c r="AF364" s="789">
        <f>IF($X364=0,0,      _xll.qDateNext($X364,AF$12,"M",FRM&lt;&gt;"Calypso",CCY))</f>
        <v>0</v>
      </c>
      <c r="AG364" s="789">
        <f>IF($X364=0,0,      _xll.qDateNext($X364,AG$12,"M",FRM&lt;&gt;"Calypso",CCY))</f>
        <v>0</v>
      </c>
      <c r="AH364" s="789">
        <f>IF($X364=0,0,      _xll.qDateNext($X364,AH$12,"M",FRM&lt;&gt;"Calypso",CCY))</f>
        <v>0</v>
      </c>
      <c r="AI364" s="789">
        <f>IF($X364=0,0,      _xll.qDateNext($X364,AI$12,"M",FRM&lt;&gt;"Calypso",CCY))</f>
        <v>0</v>
      </c>
      <c r="AJ364" s="529" t="str">
        <v/>
      </c>
      <c r="AK364" s="529" t="str">
        <v/>
      </c>
      <c r="AL364" s="529" t="str">
        <v/>
      </c>
      <c r="AM364" s="529" t="str">
        <v/>
      </c>
      <c r="AN364" s="529" t="str">
        <v/>
      </c>
      <c r="AO364" s="529" t="str">
        <v/>
      </c>
      <c r="AP364" s="529" t="str">
        <v/>
      </c>
      <c r="AQ364" s="529" t="str">
        <v/>
      </c>
      <c r="AR364" s="529">
        <v>0</v>
      </c>
      <c r="AS364" s="529">
        <v>0</v>
      </c>
      <c r="AT364" s="529">
        <f t="shared" si="96"/>
        <v>0</v>
      </c>
      <c r="AU364" s="529">
        <v>0</v>
      </c>
      <c r="AV364" s="529">
        <f t="shared" si="97"/>
        <v>0</v>
      </c>
      <c r="AW364" s="529">
        <f t="shared" si="98"/>
        <v>0</v>
      </c>
      <c r="AX364" s="529">
        <v>0</v>
      </c>
      <c r="AY364" s="529">
        <v>0</v>
      </c>
      <c r="AZ364" s="761">
        <f t="shared" si="87"/>
        <v>0</v>
      </c>
      <c r="BA364" s="761">
        <f t="shared" si="88"/>
        <v>0</v>
      </c>
      <c r="BB364" s="761">
        <f t="shared" si="89"/>
        <v>0</v>
      </c>
      <c r="BC364" s="761">
        <f t="shared" si="90"/>
        <v>0</v>
      </c>
      <c r="BD364" s="761">
        <f t="shared" si="91"/>
        <v>0</v>
      </c>
      <c r="BE364" s="761">
        <f t="shared" si="92"/>
        <v>0</v>
      </c>
      <c r="BF364" s="761">
        <f t="shared" si="93"/>
        <v>0</v>
      </c>
      <c r="BG364" s="761">
        <f t="shared" si="94"/>
        <v>0</v>
      </c>
      <c r="BH364" s="777">
        <v>0</v>
      </c>
      <c r="BI364" s="755"/>
      <c r="BJ364" s="778">
        <f>IF(X365=0,0,           IF(ISNUMBER(BI364),BI364,               IF(ISTEXT(BI364),INDEX(AZ364:BG364,MATCH(BI364,$AZ$12:$BG$12,0)),             IF(BH364="INT",_xll.qInterp(X365,AB364:AI364,AZ364:BG364),            INDEX(AZ364:BG364,MATCH(BH364,$AZ$12:$BG$12,0))))))</f>
        <v>0</v>
      </c>
      <c r="BK364" s="408">
        <f t="shared" si="99"/>
        <v>0</v>
      </c>
      <c r="BL364" s="414">
        <f t="shared" si="100"/>
        <v>0</v>
      </c>
      <c r="BM364" s="408">
        <f t="shared" si="101"/>
        <v>0</v>
      </c>
    </row>
    <row r="365" spans="16:65">
      <c r="P365" s="781">
        <v>0</v>
      </c>
      <c r="Q365" s="780">
        <f t="shared" si="85"/>
        <v>0</v>
      </c>
      <c r="R365" s="776">
        <f>IF(P366,_xll.qDateYears(P365,P366,DCCfixed),0)</f>
        <v>0</v>
      </c>
      <c r="S365" s="553">
        <v>0</v>
      </c>
      <c r="T365" s="785"/>
      <c r="U365" s="409">
        <f t="shared" si="95"/>
        <v>0</v>
      </c>
      <c r="X365" s="363">
        <v>0</v>
      </c>
      <c r="Y365" s="775">
        <f t="shared" si="86"/>
        <v>0</v>
      </c>
      <c r="Z365" s="776">
        <f>IF(X366,_xll.qDateYears(X365,X366,DCCfloat),0)</f>
        <v>0</v>
      </c>
      <c r="AA365" s="553">
        <v>0</v>
      </c>
      <c r="AB365" s="789">
        <f>IF($X365=0,0,      _xll.qDateNext($X365,AB$12,"M",FRM&lt;&gt;"Calypso",CCY))</f>
        <v>0</v>
      </c>
      <c r="AC365" s="789">
        <f>IF($X365=0,0,      _xll.qDateNext($X365,AC$12,"M",FRM&lt;&gt;"Calypso",CCY))</f>
        <v>0</v>
      </c>
      <c r="AD365" s="789">
        <f>IF($X365=0,0,      _xll.qDateNext($X365,AD$12,"M",FRM&lt;&gt;"Calypso",CCY))</f>
        <v>0</v>
      </c>
      <c r="AE365" s="789">
        <f>IF($X365=0,0,      _xll.qDateNext($X365,AE$12,"M",FRM&lt;&gt;"Calypso",CCY))</f>
        <v>0</v>
      </c>
      <c r="AF365" s="789">
        <f>IF($X365=0,0,      _xll.qDateNext($X365,AF$12,"M",FRM&lt;&gt;"Calypso",CCY))</f>
        <v>0</v>
      </c>
      <c r="AG365" s="789">
        <f>IF($X365=0,0,      _xll.qDateNext($X365,AG$12,"M",FRM&lt;&gt;"Calypso",CCY))</f>
        <v>0</v>
      </c>
      <c r="AH365" s="789">
        <f>IF($X365=0,0,      _xll.qDateNext($X365,AH$12,"M",FRM&lt;&gt;"Calypso",CCY))</f>
        <v>0</v>
      </c>
      <c r="AI365" s="789">
        <f>IF($X365=0,0,      _xll.qDateNext($X365,AI$12,"M",FRM&lt;&gt;"Calypso",CCY))</f>
        <v>0</v>
      </c>
      <c r="AJ365" s="529" t="str">
        <v/>
      </c>
      <c r="AK365" s="529" t="str">
        <v/>
      </c>
      <c r="AL365" s="529" t="str">
        <v/>
      </c>
      <c r="AM365" s="529" t="str">
        <v/>
      </c>
      <c r="AN365" s="529" t="str">
        <v/>
      </c>
      <c r="AO365" s="529" t="str">
        <v/>
      </c>
      <c r="AP365" s="529" t="str">
        <v/>
      </c>
      <c r="AQ365" s="529" t="str">
        <v/>
      </c>
      <c r="AR365" s="529">
        <v>0</v>
      </c>
      <c r="AS365" s="529">
        <v>0</v>
      </c>
      <c r="AT365" s="529">
        <f t="shared" si="96"/>
        <v>0</v>
      </c>
      <c r="AU365" s="529">
        <v>0</v>
      </c>
      <c r="AV365" s="529">
        <f t="shared" si="97"/>
        <v>0</v>
      </c>
      <c r="AW365" s="529">
        <f t="shared" si="98"/>
        <v>0</v>
      </c>
      <c r="AX365" s="529">
        <v>0</v>
      </c>
      <c r="AY365" s="529">
        <v>0</v>
      </c>
      <c r="AZ365" s="761">
        <f t="shared" si="87"/>
        <v>0</v>
      </c>
      <c r="BA365" s="761">
        <f t="shared" si="88"/>
        <v>0</v>
      </c>
      <c r="BB365" s="761">
        <f t="shared" si="89"/>
        <v>0</v>
      </c>
      <c r="BC365" s="761">
        <f t="shared" si="90"/>
        <v>0</v>
      </c>
      <c r="BD365" s="761">
        <f t="shared" si="91"/>
        <v>0</v>
      </c>
      <c r="BE365" s="761">
        <f t="shared" si="92"/>
        <v>0</v>
      </c>
      <c r="BF365" s="761">
        <f t="shared" si="93"/>
        <v>0</v>
      </c>
      <c r="BG365" s="761">
        <f t="shared" si="94"/>
        <v>0</v>
      </c>
      <c r="BH365" s="777">
        <v>0</v>
      </c>
      <c r="BI365" s="755"/>
      <c r="BJ365" s="778">
        <f>IF(X366=0,0,           IF(ISNUMBER(BI365),BI365,               IF(ISTEXT(BI365),INDEX(AZ365:BG365,MATCH(BI365,$AZ$12:$BG$12,0)),             IF(BH365="INT",_xll.qInterp(X366,AB365:AI365,AZ365:BG365),            INDEX(AZ365:BG365,MATCH(BH365,$AZ$12:$BG$12,0))))))</f>
        <v>0</v>
      </c>
      <c r="BK365" s="408">
        <f t="shared" si="99"/>
        <v>0</v>
      </c>
      <c r="BL365" s="414">
        <f t="shared" si="100"/>
        <v>0</v>
      </c>
      <c r="BM365" s="408">
        <f t="shared" si="101"/>
        <v>0</v>
      </c>
    </row>
    <row r="366" spans="16:65">
      <c r="P366" s="781">
        <v>0</v>
      </c>
      <c r="Q366" s="780">
        <f t="shared" si="85"/>
        <v>0</v>
      </c>
      <c r="R366" s="776">
        <f>IF(P367,_xll.qDateYears(P366,P367,DCCfixed),0)</f>
        <v>0</v>
      </c>
      <c r="S366" s="553">
        <v>0</v>
      </c>
      <c r="T366" s="785"/>
      <c r="U366" s="409">
        <f t="shared" si="95"/>
        <v>0</v>
      </c>
      <c r="X366" s="363">
        <v>0</v>
      </c>
      <c r="Y366" s="775">
        <f t="shared" si="86"/>
        <v>0</v>
      </c>
      <c r="Z366" s="776">
        <f>IF(X367,_xll.qDateYears(X366,X367,DCCfloat),0)</f>
        <v>0</v>
      </c>
      <c r="AA366" s="553">
        <v>0</v>
      </c>
      <c r="AB366" s="789">
        <f>IF($X366=0,0,      _xll.qDateNext($X366,AB$12,"M",FRM&lt;&gt;"Calypso",CCY))</f>
        <v>0</v>
      </c>
      <c r="AC366" s="789">
        <f>IF($X366=0,0,      _xll.qDateNext($X366,AC$12,"M",FRM&lt;&gt;"Calypso",CCY))</f>
        <v>0</v>
      </c>
      <c r="AD366" s="789">
        <f>IF($X366=0,0,      _xll.qDateNext($X366,AD$12,"M",FRM&lt;&gt;"Calypso",CCY))</f>
        <v>0</v>
      </c>
      <c r="AE366" s="789">
        <f>IF($X366=0,0,      _xll.qDateNext($X366,AE$12,"M",FRM&lt;&gt;"Calypso",CCY))</f>
        <v>0</v>
      </c>
      <c r="AF366" s="789">
        <f>IF($X366=0,0,      _xll.qDateNext($X366,AF$12,"M",FRM&lt;&gt;"Calypso",CCY))</f>
        <v>0</v>
      </c>
      <c r="AG366" s="789">
        <f>IF($X366=0,0,      _xll.qDateNext($X366,AG$12,"M",FRM&lt;&gt;"Calypso",CCY))</f>
        <v>0</v>
      </c>
      <c r="AH366" s="789">
        <f>IF($X366=0,0,      _xll.qDateNext($X366,AH$12,"M",FRM&lt;&gt;"Calypso",CCY))</f>
        <v>0</v>
      </c>
      <c r="AI366" s="789">
        <f>IF($X366=0,0,      _xll.qDateNext($X366,AI$12,"M",FRM&lt;&gt;"Calypso",CCY))</f>
        <v>0</v>
      </c>
      <c r="AJ366" s="529" t="str">
        <v/>
      </c>
      <c r="AK366" s="529" t="str">
        <v/>
      </c>
      <c r="AL366" s="529" t="str">
        <v/>
      </c>
      <c r="AM366" s="529" t="str">
        <v/>
      </c>
      <c r="AN366" s="529" t="str">
        <v/>
      </c>
      <c r="AO366" s="529" t="str">
        <v/>
      </c>
      <c r="AP366" s="529" t="str">
        <v/>
      </c>
      <c r="AQ366" s="529" t="str">
        <v/>
      </c>
      <c r="AR366" s="529">
        <v>0</v>
      </c>
      <c r="AS366" s="529">
        <v>0</v>
      </c>
      <c r="AT366" s="529">
        <f t="shared" si="96"/>
        <v>0</v>
      </c>
      <c r="AU366" s="529">
        <v>0</v>
      </c>
      <c r="AV366" s="529">
        <f t="shared" si="97"/>
        <v>0</v>
      </c>
      <c r="AW366" s="529">
        <f t="shared" si="98"/>
        <v>0</v>
      </c>
      <c r="AX366" s="529">
        <v>0</v>
      </c>
      <c r="AY366" s="529">
        <v>0</v>
      </c>
      <c r="AZ366" s="761">
        <f t="shared" si="87"/>
        <v>0</v>
      </c>
      <c r="BA366" s="761">
        <f t="shared" si="88"/>
        <v>0</v>
      </c>
      <c r="BB366" s="761">
        <f t="shared" si="89"/>
        <v>0</v>
      </c>
      <c r="BC366" s="761">
        <f t="shared" si="90"/>
        <v>0</v>
      </c>
      <c r="BD366" s="761">
        <f t="shared" si="91"/>
        <v>0</v>
      </c>
      <c r="BE366" s="761">
        <f t="shared" si="92"/>
        <v>0</v>
      </c>
      <c r="BF366" s="761">
        <f t="shared" si="93"/>
        <v>0</v>
      </c>
      <c r="BG366" s="761">
        <f t="shared" si="94"/>
        <v>0</v>
      </c>
      <c r="BH366" s="777">
        <v>0</v>
      </c>
      <c r="BI366" s="755"/>
      <c r="BJ366" s="778">
        <f>IF(X367=0,0,           IF(ISNUMBER(BI366),BI366,               IF(ISTEXT(BI366),INDEX(AZ366:BG366,MATCH(BI366,$AZ$12:$BG$12,0)),             IF(BH366="INT",_xll.qInterp(X367,AB366:AI366,AZ366:BG366),            INDEX(AZ366:BG366,MATCH(BH366,$AZ$12:$BG$12,0))))))</f>
        <v>0</v>
      </c>
      <c r="BK366" s="408">
        <f t="shared" si="99"/>
        <v>0</v>
      </c>
      <c r="BL366" s="414">
        <f t="shared" si="100"/>
        <v>0</v>
      </c>
      <c r="BM366" s="408">
        <f t="shared" si="101"/>
        <v>0</v>
      </c>
    </row>
    <row r="367" spans="16:65">
      <c r="P367" s="781">
        <v>0</v>
      </c>
      <c r="Q367" s="780">
        <f t="shared" si="85"/>
        <v>0</v>
      </c>
      <c r="R367" s="776">
        <f>IF(P368,_xll.qDateYears(P367,P368,DCCfixed),0)</f>
        <v>0</v>
      </c>
      <c r="S367" s="553">
        <v>0</v>
      </c>
      <c r="T367" s="785"/>
      <c r="U367" s="409">
        <f t="shared" si="95"/>
        <v>0</v>
      </c>
      <c r="X367" s="363">
        <v>0</v>
      </c>
      <c r="Y367" s="775">
        <f t="shared" si="86"/>
        <v>0</v>
      </c>
      <c r="Z367" s="776">
        <f>IF(X368,_xll.qDateYears(X367,X368,DCCfloat),0)</f>
        <v>0</v>
      </c>
      <c r="AA367" s="553">
        <v>0</v>
      </c>
      <c r="AB367" s="789">
        <f>IF($X367=0,0,      _xll.qDateNext($X367,AB$12,"M",FRM&lt;&gt;"Calypso",CCY))</f>
        <v>0</v>
      </c>
      <c r="AC367" s="789">
        <f>IF($X367=0,0,      _xll.qDateNext($X367,AC$12,"M",FRM&lt;&gt;"Calypso",CCY))</f>
        <v>0</v>
      </c>
      <c r="AD367" s="789">
        <f>IF($X367=0,0,      _xll.qDateNext($X367,AD$12,"M",FRM&lt;&gt;"Calypso",CCY))</f>
        <v>0</v>
      </c>
      <c r="AE367" s="789">
        <f>IF($X367=0,0,      _xll.qDateNext($X367,AE$12,"M",FRM&lt;&gt;"Calypso",CCY))</f>
        <v>0</v>
      </c>
      <c r="AF367" s="789">
        <f>IF($X367=0,0,      _xll.qDateNext($X367,AF$12,"M",FRM&lt;&gt;"Calypso",CCY))</f>
        <v>0</v>
      </c>
      <c r="AG367" s="789">
        <f>IF($X367=0,0,      _xll.qDateNext($X367,AG$12,"M",FRM&lt;&gt;"Calypso",CCY))</f>
        <v>0</v>
      </c>
      <c r="AH367" s="789">
        <f>IF($X367=0,0,      _xll.qDateNext($X367,AH$12,"M",FRM&lt;&gt;"Calypso",CCY))</f>
        <v>0</v>
      </c>
      <c r="AI367" s="789">
        <f>IF($X367=0,0,      _xll.qDateNext($X367,AI$12,"M",FRM&lt;&gt;"Calypso",CCY))</f>
        <v>0</v>
      </c>
      <c r="AJ367" s="529" t="str">
        <v/>
      </c>
      <c r="AK367" s="529" t="str">
        <v/>
      </c>
      <c r="AL367" s="529" t="str">
        <v/>
      </c>
      <c r="AM367" s="529" t="str">
        <v/>
      </c>
      <c r="AN367" s="529" t="str">
        <v/>
      </c>
      <c r="AO367" s="529" t="str">
        <v/>
      </c>
      <c r="AP367" s="529" t="str">
        <v/>
      </c>
      <c r="AQ367" s="529" t="str">
        <v/>
      </c>
      <c r="AR367" s="529">
        <v>0</v>
      </c>
      <c r="AS367" s="529">
        <v>0</v>
      </c>
      <c r="AT367" s="529">
        <f t="shared" si="96"/>
        <v>0</v>
      </c>
      <c r="AU367" s="529">
        <v>0</v>
      </c>
      <c r="AV367" s="529">
        <f t="shared" si="97"/>
        <v>0</v>
      </c>
      <c r="AW367" s="529">
        <f t="shared" si="98"/>
        <v>0</v>
      </c>
      <c r="AX367" s="529">
        <v>0</v>
      </c>
      <c r="AY367" s="529">
        <v>0</v>
      </c>
      <c r="AZ367" s="761">
        <f t="shared" si="87"/>
        <v>0</v>
      </c>
      <c r="BA367" s="761">
        <f t="shared" si="88"/>
        <v>0</v>
      </c>
      <c r="BB367" s="761">
        <f t="shared" si="89"/>
        <v>0</v>
      </c>
      <c r="BC367" s="761">
        <f t="shared" si="90"/>
        <v>0</v>
      </c>
      <c r="BD367" s="761">
        <f t="shared" si="91"/>
        <v>0</v>
      </c>
      <c r="BE367" s="761">
        <f t="shared" si="92"/>
        <v>0</v>
      </c>
      <c r="BF367" s="761">
        <f t="shared" si="93"/>
        <v>0</v>
      </c>
      <c r="BG367" s="761">
        <f t="shared" si="94"/>
        <v>0</v>
      </c>
      <c r="BH367" s="777">
        <v>0</v>
      </c>
      <c r="BI367" s="755"/>
      <c r="BJ367" s="778">
        <f>IF(X368=0,0,           IF(ISNUMBER(BI367),BI367,               IF(ISTEXT(BI367),INDEX(AZ367:BG367,MATCH(BI367,$AZ$12:$BG$12,0)),             IF(BH367="INT",_xll.qInterp(X368,AB367:AI367,AZ367:BG367),            INDEX(AZ367:BG367,MATCH(BH367,$AZ$12:$BG$12,0))))))</f>
        <v>0</v>
      </c>
      <c r="BK367" s="408">
        <f t="shared" si="99"/>
        <v>0</v>
      </c>
      <c r="BL367" s="414">
        <f t="shared" si="100"/>
        <v>0</v>
      </c>
      <c r="BM367" s="408">
        <f t="shared" si="101"/>
        <v>0</v>
      </c>
    </row>
    <row r="368" spans="16:65">
      <c r="P368" s="781">
        <v>0</v>
      </c>
      <c r="Q368" s="780">
        <f t="shared" si="85"/>
        <v>0</v>
      </c>
      <c r="R368" s="776">
        <f>IF(P369,_xll.qDateYears(P368,P369,DCCfixed),0)</f>
        <v>0</v>
      </c>
      <c r="S368" s="553">
        <v>0</v>
      </c>
      <c r="T368" s="785"/>
      <c r="U368" s="409">
        <f t="shared" si="95"/>
        <v>0</v>
      </c>
      <c r="X368" s="363">
        <v>0</v>
      </c>
      <c r="Y368" s="775">
        <f t="shared" si="86"/>
        <v>0</v>
      </c>
      <c r="Z368" s="776">
        <f>IF(X369,_xll.qDateYears(X368,X369,DCCfloat),0)</f>
        <v>0</v>
      </c>
      <c r="AA368" s="553">
        <v>0</v>
      </c>
      <c r="AB368" s="789">
        <f>IF($X368=0,0,      _xll.qDateNext($X368,AB$12,"M",FRM&lt;&gt;"Calypso",CCY))</f>
        <v>0</v>
      </c>
      <c r="AC368" s="789">
        <f>IF($X368=0,0,      _xll.qDateNext($X368,AC$12,"M",FRM&lt;&gt;"Calypso",CCY))</f>
        <v>0</v>
      </c>
      <c r="AD368" s="789">
        <f>IF($X368=0,0,      _xll.qDateNext($X368,AD$12,"M",FRM&lt;&gt;"Calypso",CCY))</f>
        <v>0</v>
      </c>
      <c r="AE368" s="789">
        <f>IF($X368=0,0,      _xll.qDateNext($X368,AE$12,"M",FRM&lt;&gt;"Calypso",CCY))</f>
        <v>0</v>
      </c>
      <c r="AF368" s="789">
        <f>IF($X368=0,0,      _xll.qDateNext($X368,AF$12,"M",FRM&lt;&gt;"Calypso",CCY))</f>
        <v>0</v>
      </c>
      <c r="AG368" s="789">
        <f>IF($X368=0,0,      _xll.qDateNext($X368,AG$12,"M",FRM&lt;&gt;"Calypso",CCY))</f>
        <v>0</v>
      </c>
      <c r="AH368" s="789">
        <f>IF($X368=0,0,      _xll.qDateNext($X368,AH$12,"M",FRM&lt;&gt;"Calypso",CCY))</f>
        <v>0</v>
      </c>
      <c r="AI368" s="789">
        <f>IF($X368=0,0,      _xll.qDateNext($X368,AI$12,"M",FRM&lt;&gt;"Calypso",CCY))</f>
        <v>0</v>
      </c>
      <c r="AJ368" s="529" t="str">
        <v/>
      </c>
      <c r="AK368" s="529" t="str">
        <v/>
      </c>
      <c r="AL368" s="529" t="str">
        <v/>
      </c>
      <c r="AM368" s="529" t="str">
        <v/>
      </c>
      <c r="AN368" s="529" t="str">
        <v/>
      </c>
      <c r="AO368" s="529" t="str">
        <v/>
      </c>
      <c r="AP368" s="529" t="str">
        <v/>
      </c>
      <c r="AQ368" s="529" t="str">
        <v/>
      </c>
      <c r="AR368" s="529">
        <v>0</v>
      </c>
      <c r="AS368" s="529">
        <v>0</v>
      </c>
      <c r="AT368" s="529">
        <f t="shared" si="96"/>
        <v>0</v>
      </c>
      <c r="AU368" s="529">
        <v>0</v>
      </c>
      <c r="AV368" s="529">
        <f t="shared" si="97"/>
        <v>0</v>
      </c>
      <c r="AW368" s="529">
        <f t="shared" si="98"/>
        <v>0</v>
      </c>
      <c r="AX368" s="529">
        <v>0</v>
      </c>
      <c r="AY368" s="529">
        <v>0</v>
      </c>
      <c r="AZ368" s="761">
        <f t="shared" si="87"/>
        <v>0</v>
      </c>
      <c r="BA368" s="761">
        <f t="shared" si="88"/>
        <v>0</v>
      </c>
      <c r="BB368" s="761">
        <f t="shared" si="89"/>
        <v>0</v>
      </c>
      <c r="BC368" s="761">
        <f t="shared" si="90"/>
        <v>0</v>
      </c>
      <c r="BD368" s="761">
        <f t="shared" si="91"/>
        <v>0</v>
      </c>
      <c r="BE368" s="761">
        <f t="shared" si="92"/>
        <v>0</v>
      </c>
      <c r="BF368" s="761">
        <f t="shared" si="93"/>
        <v>0</v>
      </c>
      <c r="BG368" s="761">
        <f t="shared" si="94"/>
        <v>0</v>
      </c>
      <c r="BH368" s="777">
        <v>0</v>
      </c>
      <c r="BI368" s="755"/>
      <c r="BJ368" s="778">
        <f>IF(X369=0,0,           IF(ISNUMBER(BI368),BI368,               IF(ISTEXT(BI368),INDEX(AZ368:BG368,MATCH(BI368,$AZ$12:$BG$12,0)),             IF(BH368="INT",_xll.qInterp(X369,AB368:AI368,AZ368:BG368),            INDEX(AZ368:BG368,MATCH(BH368,$AZ$12:$BG$12,0))))))</f>
        <v>0</v>
      </c>
      <c r="BK368" s="408">
        <f t="shared" si="99"/>
        <v>0</v>
      </c>
      <c r="BL368" s="414">
        <f t="shared" si="100"/>
        <v>0</v>
      </c>
      <c r="BM368" s="408">
        <f t="shared" si="101"/>
        <v>0</v>
      </c>
    </row>
    <row r="369" spans="16:65">
      <c r="P369" s="781">
        <v>0</v>
      </c>
      <c r="Q369" s="780">
        <f t="shared" si="85"/>
        <v>0</v>
      </c>
      <c r="R369" s="776">
        <f>IF(P370,_xll.qDateYears(P369,P370,DCCfixed),0)</f>
        <v>0</v>
      </c>
      <c r="S369" s="553">
        <v>0</v>
      </c>
      <c r="T369" s="785"/>
      <c r="U369" s="409">
        <f t="shared" si="95"/>
        <v>0</v>
      </c>
      <c r="X369" s="363">
        <v>0</v>
      </c>
      <c r="Y369" s="775">
        <f t="shared" si="86"/>
        <v>0</v>
      </c>
      <c r="Z369" s="776">
        <f>IF(X370,_xll.qDateYears(X369,X370,DCCfloat),0)</f>
        <v>0</v>
      </c>
      <c r="AA369" s="553">
        <v>0</v>
      </c>
      <c r="AB369" s="789">
        <f>IF($X369=0,0,      _xll.qDateNext($X369,AB$12,"M",FRM&lt;&gt;"Calypso",CCY))</f>
        <v>0</v>
      </c>
      <c r="AC369" s="789">
        <f>IF($X369=0,0,      _xll.qDateNext($X369,AC$12,"M",FRM&lt;&gt;"Calypso",CCY))</f>
        <v>0</v>
      </c>
      <c r="AD369" s="789">
        <f>IF($X369=0,0,      _xll.qDateNext($X369,AD$12,"M",FRM&lt;&gt;"Calypso",CCY))</f>
        <v>0</v>
      </c>
      <c r="AE369" s="789">
        <f>IF($X369=0,0,      _xll.qDateNext($X369,AE$12,"M",FRM&lt;&gt;"Calypso",CCY))</f>
        <v>0</v>
      </c>
      <c r="AF369" s="789">
        <f>IF($X369=0,0,      _xll.qDateNext($X369,AF$12,"M",FRM&lt;&gt;"Calypso",CCY))</f>
        <v>0</v>
      </c>
      <c r="AG369" s="789">
        <f>IF($X369=0,0,      _xll.qDateNext($X369,AG$12,"M",FRM&lt;&gt;"Calypso",CCY))</f>
        <v>0</v>
      </c>
      <c r="AH369" s="789">
        <f>IF($X369=0,0,      _xll.qDateNext($X369,AH$12,"M",FRM&lt;&gt;"Calypso",CCY))</f>
        <v>0</v>
      </c>
      <c r="AI369" s="789">
        <f>IF($X369=0,0,      _xll.qDateNext($X369,AI$12,"M",FRM&lt;&gt;"Calypso",CCY))</f>
        <v>0</v>
      </c>
      <c r="AJ369" s="529" t="str">
        <v/>
      </c>
      <c r="AK369" s="529" t="str">
        <v/>
      </c>
      <c r="AL369" s="529" t="str">
        <v/>
      </c>
      <c r="AM369" s="529" t="str">
        <v/>
      </c>
      <c r="AN369" s="529" t="str">
        <v/>
      </c>
      <c r="AO369" s="529" t="str">
        <v/>
      </c>
      <c r="AP369" s="529" t="str">
        <v/>
      </c>
      <c r="AQ369" s="529" t="str">
        <v/>
      </c>
      <c r="AR369" s="529">
        <v>0</v>
      </c>
      <c r="AS369" s="529">
        <v>0</v>
      </c>
      <c r="AT369" s="529">
        <f t="shared" si="96"/>
        <v>0</v>
      </c>
      <c r="AU369" s="529">
        <v>0</v>
      </c>
      <c r="AV369" s="529">
        <f t="shared" si="97"/>
        <v>0</v>
      </c>
      <c r="AW369" s="529">
        <f t="shared" si="98"/>
        <v>0</v>
      </c>
      <c r="AX369" s="529">
        <v>0</v>
      </c>
      <c r="AY369" s="529">
        <v>0</v>
      </c>
      <c r="AZ369" s="761">
        <f t="shared" si="87"/>
        <v>0</v>
      </c>
      <c r="BA369" s="761">
        <f t="shared" si="88"/>
        <v>0</v>
      </c>
      <c r="BB369" s="761">
        <f t="shared" si="89"/>
        <v>0</v>
      </c>
      <c r="BC369" s="761">
        <f t="shared" si="90"/>
        <v>0</v>
      </c>
      <c r="BD369" s="761">
        <f t="shared" si="91"/>
        <v>0</v>
      </c>
      <c r="BE369" s="761">
        <f t="shared" si="92"/>
        <v>0</v>
      </c>
      <c r="BF369" s="761">
        <f t="shared" si="93"/>
        <v>0</v>
      </c>
      <c r="BG369" s="761">
        <f t="shared" si="94"/>
        <v>0</v>
      </c>
      <c r="BH369" s="777">
        <v>0</v>
      </c>
      <c r="BI369" s="755"/>
      <c r="BJ369" s="778">
        <f>IF(X370=0,0,           IF(ISNUMBER(BI369),BI369,               IF(ISTEXT(BI369),INDEX(AZ369:BG369,MATCH(BI369,$AZ$12:$BG$12,0)),             IF(BH369="INT",_xll.qInterp(X370,AB369:AI369,AZ369:BG369),            INDEX(AZ369:BG369,MATCH(BH369,$AZ$12:$BG$12,0))))))</f>
        <v>0</v>
      </c>
      <c r="BK369" s="408">
        <f t="shared" si="99"/>
        <v>0</v>
      </c>
      <c r="BL369" s="414">
        <f t="shared" si="100"/>
        <v>0</v>
      </c>
      <c r="BM369" s="408">
        <f t="shared" si="101"/>
        <v>0</v>
      </c>
    </row>
    <row r="370" spans="16:65">
      <c r="P370" s="781">
        <v>0</v>
      </c>
      <c r="Q370" s="780">
        <f t="shared" si="85"/>
        <v>0</v>
      </c>
      <c r="R370" s="776">
        <f>IF(P371,_xll.qDateYears(P370,P371,DCCfixed),0)</f>
        <v>0</v>
      </c>
      <c r="S370" s="553">
        <v>0</v>
      </c>
      <c r="T370" s="785"/>
      <c r="U370" s="409">
        <f t="shared" si="95"/>
        <v>0</v>
      </c>
      <c r="X370" s="363">
        <v>0</v>
      </c>
      <c r="Y370" s="775">
        <f t="shared" si="86"/>
        <v>0</v>
      </c>
      <c r="Z370" s="776">
        <f>IF(X371,_xll.qDateYears(X370,X371,DCCfloat),0)</f>
        <v>0</v>
      </c>
      <c r="AA370" s="553">
        <v>0</v>
      </c>
      <c r="AB370" s="789">
        <f>IF($X370=0,0,      _xll.qDateNext($X370,AB$12,"M",FRM&lt;&gt;"Calypso",CCY))</f>
        <v>0</v>
      </c>
      <c r="AC370" s="789">
        <f>IF($X370=0,0,      _xll.qDateNext($X370,AC$12,"M",FRM&lt;&gt;"Calypso",CCY))</f>
        <v>0</v>
      </c>
      <c r="AD370" s="789">
        <f>IF($X370=0,0,      _xll.qDateNext($X370,AD$12,"M",FRM&lt;&gt;"Calypso",CCY))</f>
        <v>0</v>
      </c>
      <c r="AE370" s="789">
        <f>IF($X370=0,0,      _xll.qDateNext($X370,AE$12,"M",FRM&lt;&gt;"Calypso",CCY))</f>
        <v>0</v>
      </c>
      <c r="AF370" s="789">
        <f>IF($X370=0,0,      _xll.qDateNext($X370,AF$12,"M",FRM&lt;&gt;"Calypso",CCY))</f>
        <v>0</v>
      </c>
      <c r="AG370" s="789">
        <f>IF($X370=0,0,      _xll.qDateNext($X370,AG$12,"M",FRM&lt;&gt;"Calypso",CCY))</f>
        <v>0</v>
      </c>
      <c r="AH370" s="789">
        <f>IF($X370=0,0,      _xll.qDateNext($X370,AH$12,"M",FRM&lt;&gt;"Calypso",CCY))</f>
        <v>0</v>
      </c>
      <c r="AI370" s="789">
        <f>IF($X370=0,0,      _xll.qDateNext($X370,AI$12,"M",FRM&lt;&gt;"Calypso",CCY))</f>
        <v>0</v>
      </c>
      <c r="AJ370" s="529" t="str">
        <v/>
      </c>
      <c r="AK370" s="529" t="str">
        <v/>
      </c>
      <c r="AL370" s="529" t="str">
        <v/>
      </c>
      <c r="AM370" s="529" t="str">
        <v/>
      </c>
      <c r="AN370" s="529" t="str">
        <v/>
      </c>
      <c r="AO370" s="529" t="str">
        <v/>
      </c>
      <c r="AP370" s="529" t="str">
        <v/>
      </c>
      <c r="AQ370" s="529" t="str">
        <v/>
      </c>
      <c r="AR370" s="529">
        <v>0</v>
      </c>
      <c r="AS370" s="529">
        <v>0</v>
      </c>
      <c r="AT370" s="529">
        <f t="shared" si="96"/>
        <v>0</v>
      </c>
      <c r="AU370" s="529">
        <v>0</v>
      </c>
      <c r="AV370" s="529">
        <f t="shared" si="97"/>
        <v>0</v>
      </c>
      <c r="AW370" s="529">
        <f t="shared" si="98"/>
        <v>0</v>
      </c>
      <c r="AX370" s="529">
        <v>0</v>
      </c>
      <c r="AY370" s="529">
        <v>0</v>
      </c>
      <c r="AZ370" s="761">
        <f t="shared" si="87"/>
        <v>0</v>
      </c>
      <c r="BA370" s="761">
        <f t="shared" si="88"/>
        <v>0</v>
      </c>
      <c r="BB370" s="761">
        <f t="shared" si="89"/>
        <v>0</v>
      </c>
      <c r="BC370" s="761">
        <f t="shared" si="90"/>
        <v>0</v>
      </c>
      <c r="BD370" s="761">
        <f t="shared" si="91"/>
        <v>0</v>
      </c>
      <c r="BE370" s="761">
        <f t="shared" si="92"/>
        <v>0</v>
      </c>
      <c r="BF370" s="761">
        <f t="shared" si="93"/>
        <v>0</v>
      </c>
      <c r="BG370" s="761">
        <f t="shared" si="94"/>
        <v>0</v>
      </c>
      <c r="BH370" s="777">
        <v>0</v>
      </c>
      <c r="BI370" s="755"/>
      <c r="BJ370" s="778">
        <f>IF(X371=0,0,           IF(ISNUMBER(BI370),BI370,               IF(ISTEXT(BI370),INDEX(AZ370:BG370,MATCH(BI370,$AZ$12:$BG$12,0)),             IF(BH370="INT",_xll.qInterp(X371,AB370:AI370,AZ370:BG370),            INDEX(AZ370:BG370,MATCH(BH370,$AZ$12:$BG$12,0))))))</f>
        <v>0</v>
      </c>
      <c r="BK370" s="408">
        <f t="shared" si="99"/>
        <v>0</v>
      </c>
      <c r="BL370" s="414">
        <f t="shared" si="100"/>
        <v>0</v>
      </c>
      <c r="BM370" s="408">
        <f t="shared" si="101"/>
        <v>0</v>
      </c>
    </row>
    <row r="371" spans="16:65">
      <c r="P371" s="781">
        <v>0</v>
      </c>
      <c r="Q371" s="780">
        <f t="shared" si="85"/>
        <v>0</v>
      </c>
      <c r="R371" s="776">
        <f>IF(P372,_xll.qDateYears(P371,P372,DCCfixed),0)</f>
        <v>0</v>
      </c>
      <c r="S371" s="553">
        <v>0</v>
      </c>
      <c r="T371" s="785"/>
      <c r="U371" s="409">
        <f t="shared" si="95"/>
        <v>0</v>
      </c>
      <c r="X371" s="363">
        <v>0</v>
      </c>
      <c r="Y371" s="775">
        <f t="shared" si="86"/>
        <v>0</v>
      </c>
      <c r="Z371" s="776">
        <f>IF(X372,_xll.qDateYears(X371,X372,DCCfloat),0)</f>
        <v>0</v>
      </c>
      <c r="AA371" s="553">
        <v>0</v>
      </c>
      <c r="AB371" s="789">
        <f>IF($X371=0,0,      _xll.qDateNext($X371,AB$12,"M",FRM&lt;&gt;"Calypso",CCY))</f>
        <v>0</v>
      </c>
      <c r="AC371" s="789">
        <f>IF($X371=0,0,      _xll.qDateNext($X371,AC$12,"M",FRM&lt;&gt;"Calypso",CCY))</f>
        <v>0</v>
      </c>
      <c r="AD371" s="789">
        <f>IF($X371=0,0,      _xll.qDateNext($X371,AD$12,"M",FRM&lt;&gt;"Calypso",CCY))</f>
        <v>0</v>
      </c>
      <c r="AE371" s="789">
        <f>IF($X371=0,0,      _xll.qDateNext($X371,AE$12,"M",FRM&lt;&gt;"Calypso",CCY))</f>
        <v>0</v>
      </c>
      <c r="AF371" s="789">
        <f>IF($X371=0,0,      _xll.qDateNext($X371,AF$12,"M",FRM&lt;&gt;"Calypso",CCY))</f>
        <v>0</v>
      </c>
      <c r="AG371" s="789">
        <f>IF($X371=0,0,      _xll.qDateNext($X371,AG$12,"M",FRM&lt;&gt;"Calypso",CCY))</f>
        <v>0</v>
      </c>
      <c r="AH371" s="789">
        <f>IF($X371=0,0,      _xll.qDateNext($X371,AH$12,"M",FRM&lt;&gt;"Calypso",CCY))</f>
        <v>0</v>
      </c>
      <c r="AI371" s="789">
        <f>IF($X371=0,0,      _xll.qDateNext($X371,AI$12,"M",FRM&lt;&gt;"Calypso",CCY))</f>
        <v>0</v>
      </c>
      <c r="AJ371" s="529" t="str">
        <v/>
      </c>
      <c r="AK371" s="529" t="str">
        <v/>
      </c>
      <c r="AL371" s="529" t="str">
        <v/>
      </c>
      <c r="AM371" s="529" t="str">
        <v/>
      </c>
      <c r="AN371" s="529" t="str">
        <v/>
      </c>
      <c r="AO371" s="529" t="str">
        <v/>
      </c>
      <c r="AP371" s="529" t="str">
        <v/>
      </c>
      <c r="AQ371" s="529" t="str">
        <v/>
      </c>
      <c r="AR371" s="529">
        <v>0</v>
      </c>
      <c r="AS371" s="529">
        <v>0</v>
      </c>
      <c r="AT371" s="529">
        <f t="shared" si="96"/>
        <v>0</v>
      </c>
      <c r="AU371" s="529">
        <v>0</v>
      </c>
      <c r="AV371" s="529">
        <f t="shared" si="97"/>
        <v>0</v>
      </c>
      <c r="AW371" s="529">
        <f t="shared" si="98"/>
        <v>0</v>
      </c>
      <c r="AX371" s="529">
        <v>0</v>
      </c>
      <c r="AY371" s="529">
        <v>0</v>
      </c>
      <c r="AZ371" s="761">
        <f t="shared" si="87"/>
        <v>0</v>
      </c>
      <c r="BA371" s="761">
        <f t="shared" si="88"/>
        <v>0</v>
      </c>
      <c r="BB371" s="761">
        <f t="shared" si="89"/>
        <v>0</v>
      </c>
      <c r="BC371" s="761">
        <f t="shared" si="90"/>
        <v>0</v>
      </c>
      <c r="BD371" s="761">
        <f t="shared" si="91"/>
        <v>0</v>
      </c>
      <c r="BE371" s="761">
        <f t="shared" si="92"/>
        <v>0</v>
      </c>
      <c r="BF371" s="761">
        <f t="shared" si="93"/>
        <v>0</v>
      </c>
      <c r="BG371" s="761">
        <f t="shared" si="94"/>
        <v>0</v>
      </c>
      <c r="BH371" s="777">
        <v>0</v>
      </c>
      <c r="BI371" s="755"/>
      <c r="BJ371" s="778">
        <f>IF(X372=0,0,           IF(ISNUMBER(BI371),BI371,               IF(ISTEXT(BI371),INDEX(AZ371:BG371,MATCH(BI371,$AZ$12:$BG$12,0)),             IF(BH371="INT",_xll.qInterp(X372,AB371:AI371,AZ371:BG371),            INDEX(AZ371:BG371,MATCH(BH371,$AZ$12:$BG$12,0))))))</f>
        <v>0</v>
      </c>
      <c r="BK371" s="408">
        <f t="shared" si="99"/>
        <v>0</v>
      </c>
      <c r="BL371" s="414">
        <f t="shared" si="100"/>
        <v>0</v>
      </c>
      <c r="BM371" s="408">
        <f t="shared" si="101"/>
        <v>0</v>
      </c>
    </row>
    <row r="372" spans="16:65">
      <c r="P372" s="781">
        <v>0</v>
      </c>
      <c r="Q372" s="780">
        <f t="shared" si="85"/>
        <v>0</v>
      </c>
      <c r="R372" s="776">
        <f>IF(P373,_xll.qDateYears(P372,P373,DCCfixed),0)</f>
        <v>0</v>
      </c>
      <c r="S372" s="553">
        <v>0</v>
      </c>
      <c r="T372" s="785"/>
      <c r="U372" s="409">
        <f t="shared" si="95"/>
        <v>0</v>
      </c>
      <c r="X372" s="363">
        <v>0</v>
      </c>
      <c r="Y372" s="775">
        <f t="shared" si="86"/>
        <v>0</v>
      </c>
      <c r="Z372" s="776">
        <f>IF(X373,_xll.qDateYears(X372,X373,DCCfloat),0)</f>
        <v>0</v>
      </c>
      <c r="AA372" s="553">
        <v>0</v>
      </c>
      <c r="AB372" s="789">
        <f>IF($X372=0,0,      _xll.qDateNext($X372,AB$12,"M",FRM&lt;&gt;"Calypso",CCY))</f>
        <v>0</v>
      </c>
      <c r="AC372" s="789">
        <f>IF($X372=0,0,      _xll.qDateNext($X372,AC$12,"M",FRM&lt;&gt;"Calypso",CCY))</f>
        <v>0</v>
      </c>
      <c r="AD372" s="789">
        <f>IF($X372=0,0,      _xll.qDateNext($X372,AD$12,"M",FRM&lt;&gt;"Calypso",CCY))</f>
        <v>0</v>
      </c>
      <c r="AE372" s="789">
        <f>IF($X372=0,0,      _xll.qDateNext($X372,AE$12,"M",FRM&lt;&gt;"Calypso",CCY))</f>
        <v>0</v>
      </c>
      <c r="AF372" s="789">
        <f>IF($X372=0,0,      _xll.qDateNext($X372,AF$12,"M",FRM&lt;&gt;"Calypso",CCY))</f>
        <v>0</v>
      </c>
      <c r="AG372" s="789">
        <f>IF($X372=0,0,      _xll.qDateNext($X372,AG$12,"M",FRM&lt;&gt;"Calypso",CCY))</f>
        <v>0</v>
      </c>
      <c r="AH372" s="789">
        <f>IF($X372=0,0,      _xll.qDateNext($X372,AH$12,"M",FRM&lt;&gt;"Calypso",CCY))</f>
        <v>0</v>
      </c>
      <c r="AI372" s="789">
        <f>IF($X372=0,0,      _xll.qDateNext($X372,AI$12,"M",FRM&lt;&gt;"Calypso",CCY))</f>
        <v>0</v>
      </c>
      <c r="AJ372" s="529" t="str">
        <v/>
      </c>
      <c r="AK372" s="529" t="str">
        <v/>
      </c>
      <c r="AL372" s="529" t="str">
        <v/>
      </c>
      <c r="AM372" s="529" t="str">
        <v/>
      </c>
      <c r="AN372" s="529" t="str">
        <v/>
      </c>
      <c r="AO372" s="529" t="str">
        <v/>
      </c>
      <c r="AP372" s="529" t="str">
        <v/>
      </c>
      <c r="AQ372" s="529" t="str">
        <v/>
      </c>
      <c r="AR372" s="529">
        <v>0</v>
      </c>
      <c r="AS372" s="529">
        <v>0</v>
      </c>
      <c r="AT372" s="529">
        <f t="shared" si="96"/>
        <v>0</v>
      </c>
      <c r="AU372" s="529">
        <v>0</v>
      </c>
      <c r="AV372" s="529">
        <f t="shared" si="97"/>
        <v>0</v>
      </c>
      <c r="AW372" s="529">
        <f t="shared" si="98"/>
        <v>0</v>
      </c>
      <c r="AX372" s="529">
        <v>0</v>
      </c>
      <c r="AY372" s="529">
        <v>0</v>
      </c>
      <c r="AZ372" s="761">
        <f t="shared" si="87"/>
        <v>0</v>
      </c>
      <c r="BA372" s="761">
        <f t="shared" si="88"/>
        <v>0</v>
      </c>
      <c r="BB372" s="761">
        <f t="shared" si="89"/>
        <v>0</v>
      </c>
      <c r="BC372" s="761">
        <f t="shared" si="90"/>
        <v>0</v>
      </c>
      <c r="BD372" s="761">
        <f t="shared" si="91"/>
        <v>0</v>
      </c>
      <c r="BE372" s="761">
        <f t="shared" si="92"/>
        <v>0</v>
      </c>
      <c r="BF372" s="761">
        <f t="shared" si="93"/>
        <v>0</v>
      </c>
      <c r="BG372" s="761">
        <f t="shared" si="94"/>
        <v>0</v>
      </c>
      <c r="BH372" s="777">
        <v>0</v>
      </c>
      <c r="BI372" s="755"/>
      <c r="BJ372" s="778">
        <f>IF(X373=0,0,           IF(ISNUMBER(BI372),BI372,               IF(ISTEXT(BI372),INDEX(AZ372:BG372,MATCH(BI372,$AZ$12:$BG$12,0)),             IF(BH372="INT",_xll.qInterp(X373,AB372:AI372,AZ372:BG372),            INDEX(AZ372:BG372,MATCH(BH372,$AZ$12:$BG$12,0))))))</f>
        <v>0</v>
      </c>
      <c r="BK372" s="408">
        <f t="shared" si="99"/>
        <v>0</v>
      </c>
      <c r="BL372" s="414">
        <f t="shared" si="100"/>
        <v>0</v>
      </c>
      <c r="BM372" s="408">
        <f t="shared" si="101"/>
        <v>0</v>
      </c>
    </row>
    <row r="373" spans="16:65">
      <c r="P373" s="781">
        <v>0</v>
      </c>
      <c r="Q373" s="780">
        <f t="shared" si="85"/>
        <v>0</v>
      </c>
      <c r="R373" s="776">
        <f>IF(P374,_xll.qDateYears(P373,P374,DCCfixed),0)</f>
        <v>0</v>
      </c>
      <c r="S373" s="553">
        <v>0</v>
      </c>
      <c r="T373" s="785"/>
      <c r="U373" s="409">
        <f t="shared" si="95"/>
        <v>0</v>
      </c>
      <c r="X373" s="363">
        <v>0</v>
      </c>
      <c r="Y373" s="775">
        <f t="shared" si="86"/>
        <v>0</v>
      </c>
      <c r="Z373" s="776">
        <f>IF(X374,_xll.qDateYears(X373,X374,DCCfloat),0)</f>
        <v>0</v>
      </c>
      <c r="AA373" s="553">
        <v>0</v>
      </c>
      <c r="AB373" s="789">
        <f>IF($X373=0,0,      _xll.qDateNext($X373,AB$12,"M",FRM&lt;&gt;"Calypso",CCY))</f>
        <v>0</v>
      </c>
      <c r="AC373" s="789">
        <f>IF($X373=0,0,      _xll.qDateNext($X373,AC$12,"M",FRM&lt;&gt;"Calypso",CCY))</f>
        <v>0</v>
      </c>
      <c r="AD373" s="789">
        <f>IF($X373=0,0,      _xll.qDateNext($X373,AD$12,"M",FRM&lt;&gt;"Calypso",CCY))</f>
        <v>0</v>
      </c>
      <c r="AE373" s="789">
        <f>IF($X373=0,0,      _xll.qDateNext($X373,AE$12,"M",FRM&lt;&gt;"Calypso",CCY))</f>
        <v>0</v>
      </c>
      <c r="AF373" s="789">
        <f>IF($X373=0,0,      _xll.qDateNext($X373,AF$12,"M",FRM&lt;&gt;"Calypso",CCY))</f>
        <v>0</v>
      </c>
      <c r="AG373" s="789">
        <f>IF($X373=0,0,      _xll.qDateNext($X373,AG$12,"M",FRM&lt;&gt;"Calypso",CCY))</f>
        <v>0</v>
      </c>
      <c r="AH373" s="789">
        <f>IF($X373=0,0,      _xll.qDateNext($X373,AH$12,"M",FRM&lt;&gt;"Calypso",CCY))</f>
        <v>0</v>
      </c>
      <c r="AI373" s="789">
        <f>IF($X373=0,0,      _xll.qDateNext($X373,AI$12,"M",FRM&lt;&gt;"Calypso",CCY))</f>
        <v>0</v>
      </c>
      <c r="AJ373" s="529" t="str">
        <v/>
      </c>
      <c r="AK373" s="529" t="str">
        <v/>
      </c>
      <c r="AL373" s="529" t="str">
        <v/>
      </c>
      <c r="AM373" s="529" t="str">
        <v/>
      </c>
      <c r="AN373" s="529" t="str">
        <v/>
      </c>
      <c r="AO373" s="529" t="str">
        <v/>
      </c>
      <c r="AP373" s="529" t="str">
        <v/>
      </c>
      <c r="AQ373" s="529" t="str">
        <v/>
      </c>
      <c r="AR373" s="529">
        <v>0</v>
      </c>
      <c r="AS373" s="529">
        <v>0</v>
      </c>
      <c r="AT373" s="529">
        <f t="shared" si="96"/>
        <v>0</v>
      </c>
      <c r="AU373" s="529">
        <v>0</v>
      </c>
      <c r="AV373" s="529">
        <f t="shared" si="97"/>
        <v>0</v>
      </c>
      <c r="AW373" s="529">
        <f t="shared" si="98"/>
        <v>0</v>
      </c>
      <c r="AX373" s="529">
        <v>0</v>
      </c>
      <c r="AY373" s="529">
        <v>0</v>
      </c>
      <c r="AZ373" s="761">
        <f t="shared" si="87"/>
        <v>0</v>
      </c>
      <c r="BA373" s="761">
        <f t="shared" si="88"/>
        <v>0</v>
      </c>
      <c r="BB373" s="761">
        <f t="shared" si="89"/>
        <v>0</v>
      </c>
      <c r="BC373" s="761">
        <f t="shared" si="90"/>
        <v>0</v>
      </c>
      <c r="BD373" s="761">
        <f t="shared" si="91"/>
        <v>0</v>
      </c>
      <c r="BE373" s="761">
        <f t="shared" si="92"/>
        <v>0</v>
      </c>
      <c r="BF373" s="761">
        <f t="shared" si="93"/>
        <v>0</v>
      </c>
      <c r="BG373" s="761">
        <f t="shared" si="94"/>
        <v>0</v>
      </c>
      <c r="BH373" s="777">
        <v>0</v>
      </c>
      <c r="BI373" s="755"/>
      <c r="BJ373" s="778">
        <f>IF(X374=0,0,           IF(ISNUMBER(BI373),BI373,               IF(ISTEXT(BI373),INDEX(AZ373:BG373,MATCH(BI373,$AZ$12:$BG$12,0)),             IF(BH373="INT",_xll.qInterp(X374,AB373:AI373,AZ373:BG373),            INDEX(AZ373:BG373,MATCH(BH373,$AZ$12:$BG$12,0))))))</f>
        <v>0</v>
      </c>
      <c r="BK373" s="408">
        <f t="shared" si="99"/>
        <v>0</v>
      </c>
      <c r="BL373" s="414">
        <f t="shared" si="100"/>
        <v>0</v>
      </c>
      <c r="BM373" s="408">
        <f t="shared" si="101"/>
        <v>0</v>
      </c>
    </row>
    <row r="374" spans="16:65">
      <c r="P374" s="781">
        <v>0</v>
      </c>
      <c r="Q374" s="780">
        <f t="shared" si="85"/>
        <v>0</v>
      </c>
      <c r="R374" s="776">
        <f>IF(P375,_xll.qDateYears(P374,P375,DCCfixed),0)</f>
        <v>0</v>
      </c>
      <c r="S374" s="553">
        <v>0</v>
      </c>
      <c r="T374" s="785"/>
      <c r="U374" s="409">
        <f t="shared" si="95"/>
        <v>0</v>
      </c>
      <c r="X374" s="363">
        <v>0</v>
      </c>
      <c r="Y374" s="775">
        <f t="shared" si="86"/>
        <v>0</v>
      </c>
      <c r="Z374" s="776">
        <f>IF(X375,_xll.qDateYears(X374,X375,DCCfloat),0)</f>
        <v>0</v>
      </c>
      <c r="AA374" s="553">
        <v>0</v>
      </c>
      <c r="AB374" s="789">
        <f>IF($X374=0,0,      _xll.qDateNext($X374,AB$12,"M",FRM&lt;&gt;"Calypso",CCY))</f>
        <v>0</v>
      </c>
      <c r="AC374" s="789">
        <f>IF($X374=0,0,      _xll.qDateNext($X374,AC$12,"M",FRM&lt;&gt;"Calypso",CCY))</f>
        <v>0</v>
      </c>
      <c r="AD374" s="789">
        <f>IF($X374=0,0,      _xll.qDateNext($X374,AD$12,"M",FRM&lt;&gt;"Calypso",CCY))</f>
        <v>0</v>
      </c>
      <c r="AE374" s="789">
        <f>IF($X374=0,0,      _xll.qDateNext($X374,AE$12,"M",FRM&lt;&gt;"Calypso",CCY))</f>
        <v>0</v>
      </c>
      <c r="AF374" s="789">
        <f>IF($X374=0,0,      _xll.qDateNext($X374,AF$12,"M",FRM&lt;&gt;"Calypso",CCY))</f>
        <v>0</v>
      </c>
      <c r="AG374" s="789">
        <f>IF($X374=0,0,      _xll.qDateNext($X374,AG$12,"M",FRM&lt;&gt;"Calypso",CCY))</f>
        <v>0</v>
      </c>
      <c r="AH374" s="789">
        <f>IF($X374=0,0,      _xll.qDateNext($X374,AH$12,"M",FRM&lt;&gt;"Calypso",CCY))</f>
        <v>0</v>
      </c>
      <c r="AI374" s="789">
        <f>IF($X374=0,0,      _xll.qDateNext($X374,AI$12,"M",FRM&lt;&gt;"Calypso",CCY))</f>
        <v>0</v>
      </c>
      <c r="AJ374" s="529" t="str">
        <v/>
      </c>
      <c r="AK374" s="529" t="str">
        <v/>
      </c>
      <c r="AL374" s="529" t="str">
        <v/>
      </c>
      <c r="AM374" s="529" t="str">
        <v/>
      </c>
      <c r="AN374" s="529" t="str">
        <v/>
      </c>
      <c r="AO374" s="529" t="str">
        <v/>
      </c>
      <c r="AP374" s="529" t="str">
        <v/>
      </c>
      <c r="AQ374" s="529" t="str">
        <v/>
      </c>
      <c r="AR374" s="529">
        <v>0</v>
      </c>
      <c r="AS374" s="529">
        <v>0</v>
      </c>
      <c r="AT374" s="529">
        <f t="shared" si="96"/>
        <v>0</v>
      </c>
      <c r="AU374" s="529">
        <v>0</v>
      </c>
      <c r="AV374" s="529">
        <f t="shared" si="97"/>
        <v>0</v>
      </c>
      <c r="AW374" s="529">
        <f t="shared" si="98"/>
        <v>0</v>
      </c>
      <c r="AX374" s="529">
        <v>0</v>
      </c>
      <c r="AY374" s="529">
        <v>0</v>
      </c>
      <c r="AZ374" s="761">
        <f t="shared" si="87"/>
        <v>0</v>
      </c>
      <c r="BA374" s="761">
        <f t="shared" si="88"/>
        <v>0</v>
      </c>
      <c r="BB374" s="761">
        <f t="shared" si="89"/>
        <v>0</v>
      </c>
      <c r="BC374" s="761">
        <f t="shared" si="90"/>
        <v>0</v>
      </c>
      <c r="BD374" s="761">
        <f t="shared" si="91"/>
        <v>0</v>
      </c>
      <c r="BE374" s="761">
        <f t="shared" si="92"/>
        <v>0</v>
      </c>
      <c r="BF374" s="761">
        <f t="shared" si="93"/>
        <v>0</v>
      </c>
      <c r="BG374" s="761">
        <f t="shared" si="94"/>
        <v>0</v>
      </c>
      <c r="BH374" s="777">
        <v>0</v>
      </c>
      <c r="BI374" s="755"/>
      <c r="BJ374" s="778">
        <f>IF(X375=0,0,           IF(ISNUMBER(BI374),BI374,               IF(ISTEXT(BI374),INDEX(AZ374:BG374,MATCH(BI374,$AZ$12:$BG$12,0)),             IF(BH374="INT",_xll.qInterp(X375,AB374:AI374,AZ374:BG374),            INDEX(AZ374:BG374,MATCH(BH374,$AZ$12:$BG$12,0))))))</f>
        <v>0</v>
      </c>
      <c r="BK374" s="408">
        <f t="shared" si="99"/>
        <v>0</v>
      </c>
      <c r="BL374" s="414">
        <f t="shared" si="100"/>
        <v>0</v>
      </c>
      <c r="BM374" s="408">
        <f t="shared" si="101"/>
        <v>0</v>
      </c>
    </row>
    <row r="375" spans="16:65">
      <c r="P375" s="781">
        <v>0</v>
      </c>
      <c r="Q375" s="780">
        <f t="shared" si="85"/>
        <v>0</v>
      </c>
      <c r="R375" s="776">
        <f>IF(P376,_xll.qDateYears(P375,P376,DCCfixed),0)</f>
        <v>0</v>
      </c>
      <c r="S375" s="553">
        <v>0</v>
      </c>
      <c r="T375" s="785"/>
      <c r="U375" s="409">
        <f t="shared" si="95"/>
        <v>0</v>
      </c>
      <c r="X375" s="363">
        <v>0</v>
      </c>
      <c r="Y375" s="775">
        <f t="shared" si="86"/>
        <v>0</v>
      </c>
      <c r="Z375" s="776">
        <f>IF(X376,_xll.qDateYears(X375,X376,DCCfloat),0)</f>
        <v>0</v>
      </c>
      <c r="AA375" s="553">
        <v>0</v>
      </c>
      <c r="AB375" s="789">
        <f>IF($X375=0,0,      _xll.qDateNext($X375,AB$12,"M",FRM&lt;&gt;"Calypso",CCY))</f>
        <v>0</v>
      </c>
      <c r="AC375" s="789">
        <f>IF($X375=0,0,      _xll.qDateNext($X375,AC$12,"M",FRM&lt;&gt;"Calypso",CCY))</f>
        <v>0</v>
      </c>
      <c r="AD375" s="789">
        <f>IF($X375=0,0,      _xll.qDateNext($X375,AD$12,"M",FRM&lt;&gt;"Calypso",CCY))</f>
        <v>0</v>
      </c>
      <c r="AE375" s="789">
        <f>IF($X375=0,0,      _xll.qDateNext($X375,AE$12,"M",FRM&lt;&gt;"Calypso",CCY))</f>
        <v>0</v>
      </c>
      <c r="AF375" s="789">
        <f>IF($X375=0,0,      _xll.qDateNext($X375,AF$12,"M",FRM&lt;&gt;"Calypso",CCY))</f>
        <v>0</v>
      </c>
      <c r="AG375" s="789">
        <f>IF($X375=0,0,      _xll.qDateNext($X375,AG$12,"M",FRM&lt;&gt;"Calypso",CCY))</f>
        <v>0</v>
      </c>
      <c r="AH375" s="789">
        <f>IF($X375=0,0,      _xll.qDateNext($X375,AH$12,"M",FRM&lt;&gt;"Calypso",CCY))</f>
        <v>0</v>
      </c>
      <c r="AI375" s="789">
        <f>IF($X375=0,0,      _xll.qDateNext($X375,AI$12,"M",FRM&lt;&gt;"Calypso",CCY))</f>
        <v>0</v>
      </c>
      <c r="AJ375" s="529" t="str">
        <v/>
      </c>
      <c r="AK375" s="529" t="str">
        <v/>
      </c>
      <c r="AL375" s="529" t="str">
        <v/>
      </c>
      <c r="AM375" s="529" t="str">
        <v/>
      </c>
      <c r="AN375" s="529" t="str">
        <v/>
      </c>
      <c r="AO375" s="529" t="str">
        <v/>
      </c>
      <c r="AP375" s="529" t="str">
        <v/>
      </c>
      <c r="AQ375" s="529" t="str">
        <v/>
      </c>
      <c r="AR375" s="529">
        <v>0</v>
      </c>
      <c r="AS375" s="529">
        <v>0</v>
      </c>
      <c r="AT375" s="529">
        <f t="shared" si="96"/>
        <v>0</v>
      </c>
      <c r="AU375" s="529">
        <v>0</v>
      </c>
      <c r="AV375" s="529">
        <f t="shared" si="97"/>
        <v>0</v>
      </c>
      <c r="AW375" s="529">
        <f t="shared" si="98"/>
        <v>0</v>
      </c>
      <c r="AX375" s="529">
        <v>0</v>
      </c>
      <c r="AY375" s="529">
        <v>0</v>
      </c>
      <c r="AZ375" s="761">
        <f t="shared" si="87"/>
        <v>0</v>
      </c>
      <c r="BA375" s="761">
        <f t="shared" si="88"/>
        <v>0</v>
      </c>
      <c r="BB375" s="761">
        <f t="shared" si="89"/>
        <v>0</v>
      </c>
      <c r="BC375" s="761">
        <f t="shared" si="90"/>
        <v>0</v>
      </c>
      <c r="BD375" s="761">
        <f t="shared" si="91"/>
        <v>0</v>
      </c>
      <c r="BE375" s="761">
        <f t="shared" si="92"/>
        <v>0</v>
      </c>
      <c r="BF375" s="761">
        <f t="shared" si="93"/>
        <v>0</v>
      </c>
      <c r="BG375" s="761">
        <f t="shared" si="94"/>
        <v>0</v>
      </c>
      <c r="BH375" s="777">
        <v>0</v>
      </c>
      <c r="BI375" s="755"/>
      <c r="BJ375" s="778">
        <f>IF(X376=0,0,           IF(ISNUMBER(BI375),BI375,               IF(ISTEXT(BI375),INDEX(AZ375:BG375,MATCH(BI375,$AZ$12:$BG$12,0)),             IF(BH375="INT",_xll.qInterp(X376,AB375:AI375,AZ375:BG375),            INDEX(AZ375:BG375,MATCH(BH375,$AZ$12:$BG$12,0))))))</f>
        <v>0</v>
      </c>
      <c r="BK375" s="408">
        <f t="shared" si="99"/>
        <v>0</v>
      </c>
      <c r="BL375" s="414">
        <f t="shared" si="100"/>
        <v>0</v>
      </c>
      <c r="BM375" s="408">
        <f t="shared" si="101"/>
        <v>0</v>
      </c>
    </row>
    <row r="376" spans="16:65">
      <c r="P376" s="781">
        <v>0</v>
      </c>
      <c r="Q376" s="780">
        <f t="shared" si="85"/>
        <v>0</v>
      </c>
      <c r="R376" s="776">
        <f>IF(P377,_xll.qDateYears(P376,P377,DCCfixed),0)</f>
        <v>0</v>
      </c>
      <c r="S376" s="553">
        <v>0</v>
      </c>
      <c r="T376" s="785"/>
      <c r="U376" s="409">
        <f t="shared" si="95"/>
        <v>0</v>
      </c>
      <c r="X376" s="363">
        <v>0</v>
      </c>
      <c r="Y376" s="775">
        <f t="shared" si="86"/>
        <v>0</v>
      </c>
      <c r="Z376" s="776">
        <f>IF(X377,_xll.qDateYears(X376,X377,DCCfloat),0)</f>
        <v>0</v>
      </c>
      <c r="AA376" s="553">
        <v>0</v>
      </c>
      <c r="AB376" s="789">
        <f>IF($X376=0,0,      _xll.qDateNext($X376,AB$12,"M",FRM&lt;&gt;"Calypso",CCY))</f>
        <v>0</v>
      </c>
      <c r="AC376" s="789">
        <f>IF($X376=0,0,      _xll.qDateNext($X376,AC$12,"M",FRM&lt;&gt;"Calypso",CCY))</f>
        <v>0</v>
      </c>
      <c r="AD376" s="789">
        <f>IF($X376=0,0,      _xll.qDateNext($X376,AD$12,"M",FRM&lt;&gt;"Calypso",CCY))</f>
        <v>0</v>
      </c>
      <c r="AE376" s="789">
        <f>IF($X376=0,0,      _xll.qDateNext($X376,AE$12,"M",FRM&lt;&gt;"Calypso",CCY))</f>
        <v>0</v>
      </c>
      <c r="AF376" s="789">
        <f>IF($X376=0,0,      _xll.qDateNext($X376,AF$12,"M",FRM&lt;&gt;"Calypso",CCY))</f>
        <v>0</v>
      </c>
      <c r="AG376" s="789">
        <f>IF($X376=0,0,      _xll.qDateNext($X376,AG$12,"M",FRM&lt;&gt;"Calypso",CCY))</f>
        <v>0</v>
      </c>
      <c r="AH376" s="789">
        <f>IF($X376=0,0,      _xll.qDateNext($X376,AH$12,"M",FRM&lt;&gt;"Calypso",CCY))</f>
        <v>0</v>
      </c>
      <c r="AI376" s="789">
        <f>IF($X376=0,0,      _xll.qDateNext($X376,AI$12,"M",FRM&lt;&gt;"Calypso",CCY))</f>
        <v>0</v>
      </c>
      <c r="AJ376" s="529" t="str">
        <v/>
      </c>
      <c r="AK376" s="529" t="str">
        <v/>
      </c>
      <c r="AL376" s="529" t="str">
        <v/>
      </c>
      <c r="AM376" s="529" t="str">
        <v/>
      </c>
      <c r="AN376" s="529" t="str">
        <v/>
      </c>
      <c r="AO376" s="529" t="str">
        <v/>
      </c>
      <c r="AP376" s="529" t="str">
        <v/>
      </c>
      <c r="AQ376" s="529" t="str">
        <v/>
      </c>
      <c r="AR376" s="529">
        <v>0</v>
      </c>
      <c r="AS376" s="529">
        <v>0</v>
      </c>
      <c r="AT376" s="529">
        <f t="shared" si="96"/>
        <v>0</v>
      </c>
      <c r="AU376" s="529">
        <v>0</v>
      </c>
      <c r="AV376" s="529">
        <f t="shared" si="97"/>
        <v>0</v>
      </c>
      <c r="AW376" s="529">
        <f t="shared" si="98"/>
        <v>0</v>
      </c>
      <c r="AX376" s="529">
        <v>0</v>
      </c>
      <c r="AY376" s="529">
        <v>0</v>
      </c>
      <c r="AZ376" s="761">
        <f t="shared" si="87"/>
        <v>0</v>
      </c>
      <c r="BA376" s="761">
        <f t="shared" si="88"/>
        <v>0</v>
      </c>
      <c r="BB376" s="761">
        <f t="shared" si="89"/>
        <v>0</v>
      </c>
      <c r="BC376" s="761">
        <f t="shared" si="90"/>
        <v>0</v>
      </c>
      <c r="BD376" s="761">
        <f t="shared" si="91"/>
        <v>0</v>
      </c>
      <c r="BE376" s="761">
        <f t="shared" si="92"/>
        <v>0</v>
      </c>
      <c r="BF376" s="761">
        <f t="shared" si="93"/>
        <v>0</v>
      </c>
      <c r="BG376" s="761">
        <f t="shared" si="94"/>
        <v>0</v>
      </c>
      <c r="BH376" s="777">
        <v>0</v>
      </c>
      <c r="BI376" s="755"/>
      <c r="BJ376" s="778">
        <f>IF(X377=0,0,           IF(ISNUMBER(BI376),BI376,               IF(ISTEXT(BI376),INDEX(AZ376:BG376,MATCH(BI376,$AZ$12:$BG$12,0)),             IF(BH376="INT",_xll.qInterp(X377,AB376:AI376,AZ376:BG376),            INDEX(AZ376:BG376,MATCH(BH376,$AZ$12:$BG$12,0))))))</f>
        <v>0</v>
      </c>
      <c r="BK376" s="408">
        <f t="shared" si="99"/>
        <v>0</v>
      </c>
      <c r="BL376" s="414">
        <f t="shared" si="100"/>
        <v>0</v>
      </c>
      <c r="BM376" s="408">
        <f t="shared" si="101"/>
        <v>0</v>
      </c>
    </row>
    <row r="377" spans="16:65">
      <c r="P377" s="781">
        <v>0</v>
      </c>
      <c r="Q377" s="780">
        <f t="shared" si="85"/>
        <v>0</v>
      </c>
      <c r="R377" s="776">
        <f>IF(P378,_xll.qDateYears(P377,P378,DCCfixed),0)</f>
        <v>0</v>
      </c>
      <c r="S377" s="553">
        <v>0</v>
      </c>
      <c r="T377" s="785"/>
      <c r="U377" s="409">
        <f t="shared" si="95"/>
        <v>0</v>
      </c>
      <c r="X377" s="363">
        <v>0</v>
      </c>
      <c r="Y377" s="775">
        <f t="shared" si="86"/>
        <v>0</v>
      </c>
      <c r="Z377" s="776">
        <f>IF(X378,_xll.qDateYears(X377,X378,DCCfloat),0)</f>
        <v>0</v>
      </c>
      <c r="AA377" s="553">
        <v>0</v>
      </c>
      <c r="AB377" s="789">
        <f>IF($X377=0,0,      _xll.qDateNext($X377,AB$12,"M",FRM&lt;&gt;"Calypso",CCY))</f>
        <v>0</v>
      </c>
      <c r="AC377" s="789">
        <f>IF($X377=0,0,      _xll.qDateNext($X377,AC$12,"M",FRM&lt;&gt;"Calypso",CCY))</f>
        <v>0</v>
      </c>
      <c r="AD377" s="789">
        <f>IF($X377=0,0,      _xll.qDateNext($X377,AD$12,"M",FRM&lt;&gt;"Calypso",CCY))</f>
        <v>0</v>
      </c>
      <c r="AE377" s="789">
        <f>IF($X377=0,0,      _xll.qDateNext($X377,AE$12,"M",FRM&lt;&gt;"Calypso",CCY))</f>
        <v>0</v>
      </c>
      <c r="AF377" s="789">
        <f>IF($X377=0,0,      _xll.qDateNext($X377,AF$12,"M",FRM&lt;&gt;"Calypso",CCY))</f>
        <v>0</v>
      </c>
      <c r="AG377" s="789">
        <f>IF($X377=0,0,      _xll.qDateNext($X377,AG$12,"M",FRM&lt;&gt;"Calypso",CCY))</f>
        <v>0</v>
      </c>
      <c r="AH377" s="789">
        <f>IF($X377=0,0,      _xll.qDateNext($X377,AH$12,"M",FRM&lt;&gt;"Calypso",CCY))</f>
        <v>0</v>
      </c>
      <c r="AI377" s="789">
        <f>IF($X377=0,0,      _xll.qDateNext($X377,AI$12,"M",FRM&lt;&gt;"Calypso",CCY))</f>
        <v>0</v>
      </c>
      <c r="AJ377" s="529" t="str">
        <v/>
      </c>
      <c r="AK377" s="529" t="str">
        <v/>
      </c>
      <c r="AL377" s="529" t="str">
        <v/>
      </c>
      <c r="AM377" s="529" t="str">
        <v/>
      </c>
      <c r="AN377" s="529" t="str">
        <v/>
      </c>
      <c r="AO377" s="529" t="str">
        <v/>
      </c>
      <c r="AP377" s="529" t="str">
        <v/>
      </c>
      <c r="AQ377" s="529" t="str">
        <v/>
      </c>
      <c r="AR377" s="529">
        <v>0</v>
      </c>
      <c r="AS377" s="529">
        <v>0</v>
      </c>
      <c r="AT377" s="529">
        <f t="shared" si="96"/>
        <v>0</v>
      </c>
      <c r="AU377" s="529">
        <v>0</v>
      </c>
      <c r="AV377" s="529">
        <f t="shared" si="97"/>
        <v>0</v>
      </c>
      <c r="AW377" s="529">
        <f t="shared" si="98"/>
        <v>0</v>
      </c>
      <c r="AX377" s="529">
        <v>0</v>
      </c>
      <c r="AY377" s="529">
        <v>0</v>
      </c>
      <c r="AZ377" s="761">
        <f t="shared" si="87"/>
        <v>0</v>
      </c>
      <c r="BA377" s="761">
        <f t="shared" si="88"/>
        <v>0</v>
      </c>
      <c r="BB377" s="761">
        <f t="shared" si="89"/>
        <v>0</v>
      </c>
      <c r="BC377" s="761">
        <f t="shared" si="90"/>
        <v>0</v>
      </c>
      <c r="BD377" s="761">
        <f t="shared" si="91"/>
        <v>0</v>
      </c>
      <c r="BE377" s="761">
        <f t="shared" si="92"/>
        <v>0</v>
      </c>
      <c r="BF377" s="761">
        <f t="shared" si="93"/>
        <v>0</v>
      </c>
      <c r="BG377" s="761">
        <f t="shared" si="94"/>
        <v>0</v>
      </c>
      <c r="BH377" s="777">
        <v>0</v>
      </c>
      <c r="BI377" s="755"/>
      <c r="BJ377" s="778">
        <f>IF(X378=0,0,           IF(ISNUMBER(BI377),BI377,               IF(ISTEXT(BI377),INDEX(AZ377:BG377,MATCH(BI377,$AZ$12:$BG$12,0)),             IF(BH377="INT",_xll.qInterp(X378,AB377:AI377,AZ377:BG377),            INDEX(AZ377:BG377,MATCH(BH377,$AZ$12:$BG$12,0))))))</f>
        <v>0</v>
      </c>
      <c r="BK377" s="408">
        <f t="shared" si="99"/>
        <v>0</v>
      </c>
      <c r="BL377" s="414">
        <f t="shared" si="100"/>
        <v>0</v>
      </c>
      <c r="BM377" s="408">
        <f t="shared" si="101"/>
        <v>0</v>
      </c>
    </row>
    <row r="378" spans="16:65">
      <c r="P378" s="781">
        <v>0</v>
      </c>
      <c r="Q378" s="780">
        <f t="shared" si="85"/>
        <v>0</v>
      </c>
      <c r="R378" s="776">
        <f>IF(P379,_xll.qDateYears(P378,P379,DCCfixed),0)</f>
        <v>0</v>
      </c>
      <c r="S378" s="553">
        <v>0</v>
      </c>
      <c r="T378" s="785"/>
      <c r="U378" s="409">
        <f t="shared" si="95"/>
        <v>0</v>
      </c>
      <c r="X378" s="363">
        <v>0</v>
      </c>
      <c r="Y378" s="775">
        <f t="shared" si="86"/>
        <v>0</v>
      </c>
      <c r="Z378" s="776">
        <f>IF(X379,_xll.qDateYears(X378,X379,DCCfloat),0)</f>
        <v>0</v>
      </c>
      <c r="AA378" s="553">
        <v>0</v>
      </c>
      <c r="AB378" s="789">
        <f>IF($X378=0,0,      _xll.qDateNext($X378,AB$12,"M",FRM&lt;&gt;"Calypso",CCY))</f>
        <v>0</v>
      </c>
      <c r="AC378" s="789">
        <f>IF($X378=0,0,      _xll.qDateNext($X378,AC$12,"M",FRM&lt;&gt;"Calypso",CCY))</f>
        <v>0</v>
      </c>
      <c r="AD378" s="789">
        <f>IF($X378=0,0,      _xll.qDateNext($X378,AD$12,"M",FRM&lt;&gt;"Calypso",CCY))</f>
        <v>0</v>
      </c>
      <c r="AE378" s="789">
        <f>IF($X378=0,0,      _xll.qDateNext($X378,AE$12,"M",FRM&lt;&gt;"Calypso",CCY))</f>
        <v>0</v>
      </c>
      <c r="AF378" s="789">
        <f>IF($X378=0,0,      _xll.qDateNext($X378,AF$12,"M",FRM&lt;&gt;"Calypso",CCY))</f>
        <v>0</v>
      </c>
      <c r="AG378" s="789">
        <f>IF($X378=0,0,      _xll.qDateNext($X378,AG$12,"M",FRM&lt;&gt;"Calypso",CCY))</f>
        <v>0</v>
      </c>
      <c r="AH378" s="789">
        <f>IF($X378=0,0,      _xll.qDateNext($X378,AH$12,"M",FRM&lt;&gt;"Calypso",CCY))</f>
        <v>0</v>
      </c>
      <c r="AI378" s="789">
        <f>IF($X378=0,0,      _xll.qDateNext($X378,AI$12,"M",FRM&lt;&gt;"Calypso",CCY))</f>
        <v>0</v>
      </c>
      <c r="AJ378" s="529" t="str">
        <v/>
      </c>
      <c r="AK378" s="529" t="str">
        <v/>
      </c>
      <c r="AL378" s="529" t="str">
        <v/>
      </c>
      <c r="AM378" s="529" t="str">
        <v/>
      </c>
      <c r="AN378" s="529" t="str">
        <v/>
      </c>
      <c r="AO378" s="529" t="str">
        <v/>
      </c>
      <c r="AP378" s="529" t="str">
        <v/>
      </c>
      <c r="AQ378" s="529" t="str">
        <v/>
      </c>
      <c r="AR378" s="529">
        <v>0</v>
      </c>
      <c r="AS378" s="529">
        <v>0</v>
      </c>
      <c r="AT378" s="529">
        <f t="shared" si="96"/>
        <v>0</v>
      </c>
      <c r="AU378" s="529">
        <v>0</v>
      </c>
      <c r="AV378" s="529">
        <f t="shared" si="97"/>
        <v>0</v>
      </c>
      <c r="AW378" s="529">
        <f t="shared" si="98"/>
        <v>0</v>
      </c>
      <c r="AX378" s="529">
        <v>0</v>
      </c>
      <c r="AY378" s="529">
        <v>0</v>
      </c>
      <c r="AZ378" s="761">
        <f t="shared" si="87"/>
        <v>0</v>
      </c>
      <c r="BA378" s="761">
        <f t="shared" si="88"/>
        <v>0</v>
      </c>
      <c r="BB378" s="761">
        <f t="shared" si="89"/>
        <v>0</v>
      </c>
      <c r="BC378" s="761">
        <f t="shared" si="90"/>
        <v>0</v>
      </c>
      <c r="BD378" s="761">
        <f t="shared" si="91"/>
        <v>0</v>
      </c>
      <c r="BE378" s="761">
        <f t="shared" si="92"/>
        <v>0</v>
      </c>
      <c r="BF378" s="761">
        <f t="shared" si="93"/>
        <v>0</v>
      </c>
      <c r="BG378" s="761">
        <f t="shared" si="94"/>
        <v>0</v>
      </c>
      <c r="BH378" s="777">
        <v>0</v>
      </c>
      <c r="BI378" s="755"/>
      <c r="BJ378" s="778">
        <f>IF(X379=0,0,           IF(ISNUMBER(BI378),BI378,               IF(ISTEXT(BI378),INDEX(AZ378:BG378,MATCH(BI378,$AZ$12:$BG$12,0)),             IF(BH378="INT",_xll.qInterp(X379,AB378:AI378,AZ378:BG378),            INDEX(AZ378:BG378,MATCH(BH378,$AZ$12:$BG$12,0))))))</f>
        <v>0</v>
      </c>
      <c r="BK378" s="408">
        <f t="shared" si="99"/>
        <v>0</v>
      </c>
      <c r="BL378" s="414">
        <f t="shared" si="100"/>
        <v>0</v>
      </c>
      <c r="BM378" s="408">
        <f t="shared" si="101"/>
        <v>0</v>
      </c>
    </row>
    <row r="379" spans="16:65">
      <c r="P379" s="781">
        <v>0</v>
      </c>
      <c r="Q379" s="780">
        <f t="shared" si="85"/>
        <v>0</v>
      </c>
      <c r="R379" s="776">
        <f>IF(P380,_xll.qDateYears(P379,P380,DCCfixed),0)</f>
        <v>0</v>
      </c>
      <c r="S379" s="553">
        <v>0</v>
      </c>
      <c r="T379" s="785"/>
      <c r="U379" s="409">
        <f t="shared" si="95"/>
        <v>0</v>
      </c>
      <c r="X379" s="363">
        <v>0</v>
      </c>
      <c r="Y379" s="775">
        <f t="shared" si="86"/>
        <v>0</v>
      </c>
      <c r="Z379" s="776">
        <f>IF(X380,_xll.qDateYears(X379,X380,DCCfloat),0)</f>
        <v>0</v>
      </c>
      <c r="AA379" s="553">
        <v>0</v>
      </c>
      <c r="AB379" s="789">
        <f>IF($X379=0,0,      _xll.qDateNext($X379,AB$12,"M",FRM&lt;&gt;"Calypso",CCY))</f>
        <v>0</v>
      </c>
      <c r="AC379" s="789">
        <f>IF($X379=0,0,      _xll.qDateNext($X379,AC$12,"M",FRM&lt;&gt;"Calypso",CCY))</f>
        <v>0</v>
      </c>
      <c r="AD379" s="789">
        <f>IF($X379=0,0,      _xll.qDateNext($X379,AD$12,"M",FRM&lt;&gt;"Calypso",CCY))</f>
        <v>0</v>
      </c>
      <c r="AE379" s="789">
        <f>IF($X379=0,0,      _xll.qDateNext($X379,AE$12,"M",FRM&lt;&gt;"Calypso",CCY))</f>
        <v>0</v>
      </c>
      <c r="AF379" s="789">
        <f>IF($X379=0,0,      _xll.qDateNext($X379,AF$12,"M",FRM&lt;&gt;"Calypso",CCY))</f>
        <v>0</v>
      </c>
      <c r="AG379" s="789">
        <f>IF($X379=0,0,      _xll.qDateNext($X379,AG$12,"M",FRM&lt;&gt;"Calypso",CCY))</f>
        <v>0</v>
      </c>
      <c r="AH379" s="789">
        <f>IF($X379=0,0,      _xll.qDateNext($X379,AH$12,"M",FRM&lt;&gt;"Calypso",CCY))</f>
        <v>0</v>
      </c>
      <c r="AI379" s="789">
        <f>IF($X379=0,0,      _xll.qDateNext($X379,AI$12,"M",FRM&lt;&gt;"Calypso",CCY))</f>
        <v>0</v>
      </c>
      <c r="AJ379" s="529" t="str">
        <v/>
      </c>
      <c r="AK379" s="529" t="str">
        <v/>
      </c>
      <c r="AL379" s="529" t="str">
        <v/>
      </c>
      <c r="AM379" s="529" t="str">
        <v/>
      </c>
      <c r="AN379" s="529" t="str">
        <v/>
      </c>
      <c r="AO379" s="529" t="str">
        <v/>
      </c>
      <c r="AP379" s="529" t="str">
        <v/>
      </c>
      <c r="AQ379" s="529" t="str">
        <v/>
      </c>
      <c r="AR379" s="529">
        <v>0</v>
      </c>
      <c r="AS379" s="529">
        <v>0</v>
      </c>
      <c r="AT379" s="529">
        <f t="shared" si="96"/>
        <v>0</v>
      </c>
      <c r="AU379" s="529">
        <v>0</v>
      </c>
      <c r="AV379" s="529">
        <f t="shared" si="97"/>
        <v>0</v>
      </c>
      <c r="AW379" s="529">
        <f t="shared" si="98"/>
        <v>0</v>
      </c>
      <c r="AX379" s="529">
        <v>0</v>
      </c>
      <c r="AY379" s="529">
        <v>0</v>
      </c>
      <c r="AZ379" s="761">
        <f t="shared" si="87"/>
        <v>0</v>
      </c>
      <c r="BA379" s="761">
        <f t="shared" si="88"/>
        <v>0</v>
      </c>
      <c r="BB379" s="761">
        <f t="shared" si="89"/>
        <v>0</v>
      </c>
      <c r="BC379" s="761">
        <f t="shared" si="90"/>
        <v>0</v>
      </c>
      <c r="BD379" s="761">
        <f t="shared" si="91"/>
        <v>0</v>
      </c>
      <c r="BE379" s="761">
        <f t="shared" si="92"/>
        <v>0</v>
      </c>
      <c r="BF379" s="761">
        <f t="shared" si="93"/>
        <v>0</v>
      </c>
      <c r="BG379" s="761">
        <f t="shared" si="94"/>
        <v>0</v>
      </c>
      <c r="BH379" s="777">
        <v>0</v>
      </c>
      <c r="BI379" s="755"/>
      <c r="BJ379" s="778">
        <f>IF(X380=0,0,           IF(ISNUMBER(BI379),BI379,               IF(ISTEXT(BI379),INDEX(AZ379:BG379,MATCH(BI379,$AZ$12:$BG$12,0)),             IF(BH379="INT",_xll.qInterp(X380,AB379:AI379,AZ379:BG379),            INDEX(AZ379:BG379,MATCH(BH379,$AZ$12:$BG$12,0))))))</f>
        <v>0</v>
      </c>
      <c r="BK379" s="408">
        <f t="shared" si="99"/>
        <v>0</v>
      </c>
      <c r="BL379" s="414">
        <f t="shared" si="100"/>
        <v>0</v>
      </c>
      <c r="BM379" s="408">
        <f t="shared" si="101"/>
        <v>0</v>
      </c>
    </row>
    <row r="380" spans="16:65">
      <c r="P380" s="781">
        <v>0</v>
      </c>
      <c r="Q380" s="780">
        <f t="shared" si="85"/>
        <v>0</v>
      </c>
      <c r="R380" s="776">
        <f>IF(P381,_xll.qDateYears(P380,P381,DCCfixed),0)</f>
        <v>0</v>
      </c>
      <c r="S380" s="553">
        <v>0</v>
      </c>
      <c r="T380" s="785"/>
      <c r="U380" s="409">
        <f t="shared" si="95"/>
        <v>0</v>
      </c>
      <c r="X380" s="363">
        <v>0</v>
      </c>
      <c r="Y380" s="775">
        <f t="shared" si="86"/>
        <v>0</v>
      </c>
      <c r="Z380" s="776">
        <f>IF(X381,_xll.qDateYears(X380,X381,DCCfloat),0)</f>
        <v>0</v>
      </c>
      <c r="AA380" s="553">
        <v>0</v>
      </c>
      <c r="AB380" s="789">
        <f>IF($X380=0,0,      _xll.qDateNext($X380,AB$12,"M",FRM&lt;&gt;"Calypso",CCY))</f>
        <v>0</v>
      </c>
      <c r="AC380" s="789">
        <f>IF($X380=0,0,      _xll.qDateNext($X380,AC$12,"M",FRM&lt;&gt;"Calypso",CCY))</f>
        <v>0</v>
      </c>
      <c r="AD380" s="789">
        <f>IF($X380=0,0,      _xll.qDateNext($X380,AD$12,"M",FRM&lt;&gt;"Calypso",CCY))</f>
        <v>0</v>
      </c>
      <c r="AE380" s="789">
        <f>IF($X380=0,0,      _xll.qDateNext($X380,AE$12,"M",FRM&lt;&gt;"Calypso",CCY))</f>
        <v>0</v>
      </c>
      <c r="AF380" s="789">
        <f>IF($X380=0,0,      _xll.qDateNext($X380,AF$12,"M",FRM&lt;&gt;"Calypso",CCY))</f>
        <v>0</v>
      </c>
      <c r="AG380" s="789">
        <f>IF($X380=0,0,      _xll.qDateNext($X380,AG$12,"M",FRM&lt;&gt;"Calypso",CCY))</f>
        <v>0</v>
      </c>
      <c r="AH380" s="789">
        <f>IF($X380=0,0,      _xll.qDateNext($X380,AH$12,"M",FRM&lt;&gt;"Calypso",CCY))</f>
        <v>0</v>
      </c>
      <c r="AI380" s="789">
        <f>IF($X380=0,0,      _xll.qDateNext($X380,AI$12,"M",FRM&lt;&gt;"Calypso",CCY))</f>
        <v>0</v>
      </c>
      <c r="AJ380" s="529" t="str">
        <v/>
      </c>
      <c r="AK380" s="529" t="str">
        <v/>
      </c>
      <c r="AL380" s="529" t="str">
        <v/>
      </c>
      <c r="AM380" s="529" t="str">
        <v/>
      </c>
      <c r="AN380" s="529" t="str">
        <v/>
      </c>
      <c r="AO380" s="529" t="str">
        <v/>
      </c>
      <c r="AP380" s="529" t="str">
        <v/>
      </c>
      <c r="AQ380" s="529" t="str">
        <v/>
      </c>
      <c r="AR380" s="529">
        <v>0</v>
      </c>
      <c r="AS380" s="529">
        <v>0</v>
      </c>
      <c r="AT380" s="529">
        <f t="shared" si="96"/>
        <v>0</v>
      </c>
      <c r="AU380" s="529">
        <v>0</v>
      </c>
      <c r="AV380" s="529">
        <f t="shared" si="97"/>
        <v>0</v>
      </c>
      <c r="AW380" s="529">
        <f t="shared" si="98"/>
        <v>0</v>
      </c>
      <c r="AX380" s="529">
        <v>0</v>
      </c>
      <c r="AY380" s="529">
        <v>0</v>
      </c>
      <c r="AZ380" s="761">
        <f t="shared" si="87"/>
        <v>0</v>
      </c>
      <c r="BA380" s="761">
        <f t="shared" si="88"/>
        <v>0</v>
      </c>
      <c r="BB380" s="761">
        <f t="shared" si="89"/>
        <v>0</v>
      </c>
      <c r="BC380" s="761">
        <f t="shared" si="90"/>
        <v>0</v>
      </c>
      <c r="BD380" s="761">
        <f t="shared" si="91"/>
        <v>0</v>
      </c>
      <c r="BE380" s="761">
        <f t="shared" si="92"/>
        <v>0</v>
      </c>
      <c r="BF380" s="761">
        <f t="shared" si="93"/>
        <v>0</v>
      </c>
      <c r="BG380" s="761">
        <f t="shared" si="94"/>
        <v>0</v>
      </c>
      <c r="BH380" s="777">
        <v>0</v>
      </c>
      <c r="BI380" s="755"/>
      <c r="BJ380" s="778">
        <f>IF(X381=0,0,           IF(ISNUMBER(BI380),BI380,               IF(ISTEXT(BI380),INDEX(AZ380:BG380,MATCH(BI380,$AZ$12:$BG$12,0)),             IF(BH380="INT",_xll.qInterp(X381,AB380:AI380,AZ380:BG380),            INDEX(AZ380:BG380,MATCH(BH380,$AZ$12:$BG$12,0))))))</f>
        <v>0</v>
      </c>
      <c r="BK380" s="408">
        <f t="shared" si="99"/>
        <v>0</v>
      </c>
      <c r="BL380" s="414">
        <f t="shared" si="100"/>
        <v>0</v>
      </c>
      <c r="BM380" s="408">
        <f t="shared" si="101"/>
        <v>0</v>
      </c>
    </row>
    <row r="381" spans="16:65">
      <c r="P381" s="781">
        <v>0</v>
      </c>
      <c r="Q381" s="780">
        <f t="shared" si="85"/>
        <v>0</v>
      </c>
      <c r="R381" s="776">
        <f>IF(P382,_xll.qDateYears(P381,P382,DCCfixed),0)</f>
        <v>0</v>
      </c>
      <c r="S381" s="553">
        <v>0</v>
      </c>
      <c r="T381" s="785"/>
      <c r="U381" s="409">
        <f t="shared" si="95"/>
        <v>0</v>
      </c>
      <c r="X381" s="363">
        <v>0</v>
      </c>
      <c r="Y381" s="775">
        <f t="shared" si="86"/>
        <v>0</v>
      </c>
      <c r="Z381" s="776">
        <f>IF(X382,_xll.qDateYears(X381,X382,DCCfloat),0)</f>
        <v>0</v>
      </c>
      <c r="AA381" s="553">
        <v>0</v>
      </c>
      <c r="AB381" s="789">
        <f>IF($X381=0,0,      _xll.qDateNext($X381,AB$12,"M",FRM&lt;&gt;"Calypso",CCY))</f>
        <v>0</v>
      </c>
      <c r="AC381" s="789">
        <f>IF($X381=0,0,      _xll.qDateNext($X381,AC$12,"M",FRM&lt;&gt;"Calypso",CCY))</f>
        <v>0</v>
      </c>
      <c r="AD381" s="789">
        <f>IF($X381=0,0,      _xll.qDateNext($X381,AD$12,"M",FRM&lt;&gt;"Calypso",CCY))</f>
        <v>0</v>
      </c>
      <c r="AE381" s="789">
        <f>IF($X381=0,0,      _xll.qDateNext($X381,AE$12,"M",FRM&lt;&gt;"Calypso",CCY))</f>
        <v>0</v>
      </c>
      <c r="AF381" s="789">
        <f>IF($X381=0,0,      _xll.qDateNext($X381,AF$12,"M",FRM&lt;&gt;"Calypso",CCY))</f>
        <v>0</v>
      </c>
      <c r="AG381" s="789">
        <f>IF($X381=0,0,      _xll.qDateNext($X381,AG$12,"M",FRM&lt;&gt;"Calypso",CCY))</f>
        <v>0</v>
      </c>
      <c r="AH381" s="789">
        <f>IF($X381=0,0,      _xll.qDateNext($X381,AH$12,"M",FRM&lt;&gt;"Calypso",CCY))</f>
        <v>0</v>
      </c>
      <c r="AI381" s="789">
        <f>IF($X381=0,0,      _xll.qDateNext($X381,AI$12,"M",FRM&lt;&gt;"Calypso",CCY))</f>
        <v>0</v>
      </c>
      <c r="AJ381" s="529" t="str">
        <v/>
      </c>
      <c r="AK381" s="529" t="str">
        <v/>
      </c>
      <c r="AL381" s="529" t="str">
        <v/>
      </c>
      <c r="AM381" s="529" t="str">
        <v/>
      </c>
      <c r="AN381" s="529" t="str">
        <v/>
      </c>
      <c r="AO381" s="529" t="str">
        <v/>
      </c>
      <c r="AP381" s="529" t="str">
        <v/>
      </c>
      <c r="AQ381" s="529" t="str">
        <v/>
      </c>
      <c r="AR381" s="529">
        <v>0</v>
      </c>
      <c r="AS381" s="529">
        <v>0</v>
      </c>
      <c r="AT381" s="529">
        <f t="shared" si="96"/>
        <v>0</v>
      </c>
      <c r="AU381" s="529">
        <v>0</v>
      </c>
      <c r="AV381" s="529">
        <f t="shared" si="97"/>
        <v>0</v>
      </c>
      <c r="AW381" s="529">
        <f t="shared" si="98"/>
        <v>0</v>
      </c>
      <c r="AX381" s="529">
        <v>0</v>
      </c>
      <c r="AY381" s="529">
        <v>0</v>
      </c>
      <c r="AZ381" s="761">
        <f t="shared" si="87"/>
        <v>0</v>
      </c>
      <c r="BA381" s="761">
        <f t="shared" si="88"/>
        <v>0</v>
      </c>
      <c r="BB381" s="761">
        <f t="shared" si="89"/>
        <v>0</v>
      </c>
      <c r="BC381" s="761">
        <f t="shared" si="90"/>
        <v>0</v>
      </c>
      <c r="BD381" s="761">
        <f t="shared" si="91"/>
        <v>0</v>
      </c>
      <c r="BE381" s="761">
        <f t="shared" si="92"/>
        <v>0</v>
      </c>
      <c r="BF381" s="761">
        <f t="shared" si="93"/>
        <v>0</v>
      </c>
      <c r="BG381" s="761">
        <f t="shared" si="94"/>
        <v>0</v>
      </c>
      <c r="BH381" s="777">
        <v>0</v>
      </c>
      <c r="BI381" s="755"/>
      <c r="BJ381" s="778">
        <f>IF(X382=0,0,           IF(ISNUMBER(BI381),BI381,               IF(ISTEXT(BI381),INDEX(AZ381:BG381,MATCH(BI381,$AZ$12:$BG$12,0)),             IF(BH381="INT",_xll.qInterp(X382,AB381:AI381,AZ381:BG381),            INDEX(AZ381:BG381,MATCH(BH381,$AZ$12:$BG$12,0))))))</f>
        <v>0</v>
      </c>
      <c r="BK381" s="408">
        <f t="shared" si="99"/>
        <v>0</v>
      </c>
      <c r="BL381" s="414">
        <f t="shared" si="100"/>
        <v>0</v>
      </c>
      <c r="BM381" s="408">
        <f t="shared" si="101"/>
        <v>0</v>
      </c>
    </row>
    <row r="382" spans="16:65">
      <c r="P382" s="781">
        <v>0</v>
      </c>
      <c r="Q382" s="780">
        <f t="shared" si="85"/>
        <v>0</v>
      </c>
      <c r="R382" s="776">
        <f>IF(P383,_xll.qDateYears(P382,P383,DCCfixed),0)</f>
        <v>0</v>
      </c>
      <c r="S382" s="553">
        <v>0</v>
      </c>
      <c r="T382" s="785"/>
      <c r="U382" s="409">
        <f t="shared" si="95"/>
        <v>0</v>
      </c>
      <c r="X382" s="363">
        <v>0</v>
      </c>
      <c r="Y382" s="775">
        <f t="shared" si="86"/>
        <v>0</v>
      </c>
      <c r="Z382" s="776">
        <f>IF(X383,_xll.qDateYears(X382,X383,DCCfloat),0)</f>
        <v>0</v>
      </c>
      <c r="AA382" s="553">
        <v>0</v>
      </c>
      <c r="AB382" s="789">
        <f>IF($X382=0,0,      _xll.qDateNext($X382,AB$12,"M",FRM&lt;&gt;"Calypso",CCY))</f>
        <v>0</v>
      </c>
      <c r="AC382" s="789">
        <f>IF($X382=0,0,      _xll.qDateNext($X382,AC$12,"M",FRM&lt;&gt;"Calypso",CCY))</f>
        <v>0</v>
      </c>
      <c r="AD382" s="789">
        <f>IF($X382=0,0,      _xll.qDateNext($X382,AD$12,"M",FRM&lt;&gt;"Calypso",CCY))</f>
        <v>0</v>
      </c>
      <c r="AE382" s="789">
        <f>IF($X382=0,0,      _xll.qDateNext($X382,AE$12,"M",FRM&lt;&gt;"Calypso",CCY))</f>
        <v>0</v>
      </c>
      <c r="AF382" s="789">
        <f>IF($X382=0,0,      _xll.qDateNext($X382,AF$12,"M",FRM&lt;&gt;"Calypso",CCY))</f>
        <v>0</v>
      </c>
      <c r="AG382" s="789">
        <f>IF($X382=0,0,      _xll.qDateNext($X382,AG$12,"M",FRM&lt;&gt;"Calypso",CCY))</f>
        <v>0</v>
      </c>
      <c r="AH382" s="789">
        <f>IF($X382=0,0,      _xll.qDateNext($X382,AH$12,"M",FRM&lt;&gt;"Calypso",CCY))</f>
        <v>0</v>
      </c>
      <c r="AI382" s="789">
        <f>IF($X382=0,0,      _xll.qDateNext($X382,AI$12,"M",FRM&lt;&gt;"Calypso",CCY))</f>
        <v>0</v>
      </c>
      <c r="AJ382" s="529" t="str">
        <v/>
      </c>
      <c r="AK382" s="529" t="str">
        <v/>
      </c>
      <c r="AL382" s="529" t="str">
        <v/>
      </c>
      <c r="AM382" s="529" t="str">
        <v/>
      </c>
      <c r="AN382" s="529" t="str">
        <v/>
      </c>
      <c r="AO382" s="529" t="str">
        <v/>
      </c>
      <c r="AP382" s="529" t="str">
        <v/>
      </c>
      <c r="AQ382" s="529" t="str">
        <v/>
      </c>
      <c r="AR382" s="529">
        <v>0</v>
      </c>
      <c r="AS382" s="529">
        <v>0</v>
      </c>
      <c r="AT382" s="529">
        <f t="shared" si="96"/>
        <v>0</v>
      </c>
      <c r="AU382" s="529">
        <v>0</v>
      </c>
      <c r="AV382" s="529">
        <f t="shared" si="97"/>
        <v>0</v>
      </c>
      <c r="AW382" s="529">
        <f t="shared" si="98"/>
        <v>0</v>
      </c>
      <c r="AX382" s="529">
        <v>0</v>
      </c>
      <c r="AY382" s="529">
        <v>0</v>
      </c>
      <c r="AZ382" s="761">
        <f t="shared" si="87"/>
        <v>0</v>
      </c>
      <c r="BA382" s="761">
        <f t="shared" si="88"/>
        <v>0</v>
      </c>
      <c r="BB382" s="761">
        <f t="shared" si="89"/>
        <v>0</v>
      </c>
      <c r="BC382" s="761">
        <f t="shared" si="90"/>
        <v>0</v>
      </c>
      <c r="BD382" s="761">
        <f t="shared" si="91"/>
        <v>0</v>
      </c>
      <c r="BE382" s="761">
        <f t="shared" si="92"/>
        <v>0</v>
      </c>
      <c r="BF382" s="761">
        <f t="shared" si="93"/>
        <v>0</v>
      </c>
      <c r="BG382" s="761">
        <f t="shared" si="94"/>
        <v>0</v>
      </c>
      <c r="BH382" s="777">
        <v>0</v>
      </c>
      <c r="BI382" s="755"/>
      <c r="BJ382" s="778">
        <f>IF(X383=0,0,           IF(ISNUMBER(BI382),BI382,               IF(ISTEXT(BI382),INDEX(AZ382:BG382,MATCH(BI382,$AZ$12:$BG$12,0)),             IF(BH382="INT",_xll.qInterp(X383,AB382:AI382,AZ382:BG382),            INDEX(AZ382:BG382,MATCH(BH382,$AZ$12:$BG$12,0))))))</f>
        <v>0</v>
      </c>
      <c r="BK382" s="408">
        <f t="shared" si="99"/>
        <v>0</v>
      </c>
      <c r="BL382" s="414">
        <f t="shared" si="100"/>
        <v>0</v>
      </c>
      <c r="BM382" s="408">
        <f t="shared" si="101"/>
        <v>0</v>
      </c>
    </row>
    <row r="383" spans="16:65">
      <c r="P383" s="781">
        <v>0</v>
      </c>
      <c r="Q383" s="780">
        <f t="shared" si="85"/>
        <v>0</v>
      </c>
      <c r="R383" s="776">
        <f>IF(P384,_xll.qDateYears(P383,P384,DCCfixed),0)</f>
        <v>0</v>
      </c>
      <c r="S383" s="553">
        <v>0</v>
      </c>
      <c r="T383" s="785"/>
      <c r="U383" s="409">
        <f t="shared" si="95"/>
        <v>0</v>
      </c>
      <c r="X383" s="363">
        <v>0</v>
      </c>
      <c r="Y383" s="775">
        <f t="shared" si="86"/>
        <v>0</v>
      </c>
      <c r="Z383" s="776">
        <f>IF(X384,_xll.qDateYears(X383,X384,DCCfloat),0)</f>
        <v>0</v>
      </c>
      <c r="AA383" s="553">
        <v>0</v>
      </c>
      <c r="AB383" s="789">
        <f>IF($X383=0,0,      _xll.qDateNext($X383,AB$12,"M",FRM&lt;&gt;"Calypso",CCY))</f>
        <v>0</v>
      </c>
      <c r="AC383" s="789">
        <f>IF($X383=0,0,      _xll.qDateNext($X383,AC$12,"M",FRM&lt;&gt;"Calypso",CCY))</f>
        <v>0</v>
      </c>
      <c r="AD383" s="789">
        <f>IF($X383=0,0,      _xll.qDateNext($X383,AD$12,"M",FRM&lt;&gt;"Calypso",CCY))</f>
        <v>0</v>
      </c>
      <c r="AE383" s="789">
        <f>IF($X383=0,0,      _xll.qDateNext($X383,AE$12,"M",FRM&lt;&gt;"Calypso",CCY))</f>
        <v>0</v>
      </c>
      <c r="AF383" s="789">
        <f>IF($X383=0,0,      _xll.qDateNext($X383,AF$12,"M",FRM&lt;&gt;"Calypso",CCY))</f>
        <v>0</v>
      </c>
      <c r="AG383" s="789">
        <f>IF($X383=0,0,      _xll.qDateNext($X383,AG$12,"M",FRM&lt;&gt;"Calypso",CCY))</f>
        <v>0</v>
      </c>
      <c r="AH383" s="789">
        <f>IF($X383=0,0,      _xll.qDateNext($X383,AH$12,"M",FRM&lt;&gt;"Calypso",CCY))</f>
        <v>0</v>
      </c>
      <c r="AI383" s="789">
        <f>IF($X383=0,0,      _xll.qDateNext($X383,AI$12,"M",FRM&lt;&gt;"Calypso",CCY))</f>
        <v>0</v>
      </c>
      <c r="AJ383" s="529" t="str">
        <v/>
      </c>
      <c r="AK383" s="529" t="str">
        <v/>
      </c>
      <c r="AL383" s="529" t="str">
        <v/>
      </c>
      <c r="AM383" s="529" t="str">
        <v/>
      </c>
      <c r="AN383" s="529" t="str">
        <v/>
      </c>
      <c r="AO383" s="529" t="str">
        <v/>
      </c>
      <c r="AP383" s="529" t="str">
        <v/>
      </c>
      <c r="AQ383" s="529" t="str">
        <v/>
      </c>
      <c r="AR383" s="529">
        <v>0</v>
      </c>
      <c r="AS383" s="529">
        <v>0</v>
      </c>
      <c r="AT383" s="529">
        <f t="shared" si="96"/>
        <v>0</v>
      </c>
      <c r="AU383" s="529">
        <v>0</v>
      </c>
      <c r="AV383" s="529">
        <f t="shared" si="97"/>
        <v>0</v>
      </c>
      <c r="AW383" s="529">
        <f t="shared" si="98"/>
        <v>0</v>
      </c>
      <c r="AX383" s="529">
        <v>0</v>
      </c>
      <c r="AY383" s="529">
        <v>0</v>
      </c>
      <c r="AZ383" s="761">
        <f t="shared" si="87"/>
        <v>0</v>
      </c>
      <c r="BA383" s="761">
        <f t="shared" si="88"/>
        <v>0</v>
      </c>
      <c r="BB383" s="761">
        <f t="shared" si="89"/>
        <v>0</v>
      </c>
      <c r="BC383" s="761">
        <f t="shared" si="90"/>
        <v>0</v>
      </c>
      <c r="BD383" s="761">
        <f t="shared" si="91"/>
        <v>0</v>
      </c>
      <c r="BE383" s="761">
        <f t="shared" si="92"/>
        <v>0</v>
      </c>
      <c r="BF383" s="761">
        <f t="shared" si="93"/>
        <v>0</v>
      </c>
      <c r="BG383" s="761">
        <f t="shared" si="94"/>
        <v>0</v>
      </c>
      <c r="BH383" s="777">
        <v>0</v>
      </c>
      <c r="BI383" s="755"/>
      <c r="BJ383" s="778">
        <f>IF(X384=0,0,           IF(ISNUMBER(BI383),BI383,               IF(ISTEXT(BI383),INDEX(AZ383:BG383,MATCH(BI383,$AZ$12:$BG$12,0)),             IF(BH383="INT",_xll.qInterp(X384,AB383:AI383,AZ383:BG383),            INDEX(AZ383:BG383,MATCH(BH383,$AZ$12:$BG$12,0))))))</f>
        <v>0</v>
      </c>
      <c r="BK383" s="408">
        <f t="shared" si="99"/>
        <v>0</v>
      </c>
      <c r="BL383" s="414">
        <f t="shared" si="100"/>
        <v>0</v>
      </c>
      <c r="BM383" s="408">
        <f t="shared" si="101"/>
        <v>0</v>
      </c>
    </row>
    <row r="384" spans="16:65">
      <c r="P384" s="781">
        <v>0</v>
      </c>
      <c r="Q384" s="780">
        <f t="shared" si="85"/>
        <v>0</v>
      </c>
      <c r="R384" s="776">
        <f>IF(P385,_xll.qDateYears(P384,P385,DCCfixed),0)</f>
        <v>0</v>
      </c>
      <c r="S384" s="553">
        <v>0</v>
      </c>
      <c r="T384" s="785"/>
      <c r="U384" s="409">
        <f t="shared" si="95"/>
        <v>0</v>
      </c>
      <c r="X384" s="363">
        <v>0</v>
      </c>
      <c r="Y384" s="775">
        <f t="shared" si="86"/>
        <v>0</v>
      </c>
      <c r="Z384" s="776">
        <f>IF(X385,_xll.qDateYears(X384,X385,DCCfloat),0)</f>
        <v>0</v>
      </c>
      <c r="AA384" s="553">
        <v>0</v>
      </c>
      <c r="AB384" s="789">
        <f>IF($X384=0,0,      _xll.qDateNext($X384,AB$12,"M",FRM&lt;&gt;"Calypso",CCY))</f>
        <v>0</v>
      </c>
      <c r="AC384" s="789">
        <f>IF($X384=0,0,      _xll.qDateNext($X384,AC$12,"M",FRM&lt;&gt;"Calypso",CCY))</f>
        <v>0</v>
      </c>
      <c r="AD384" s="789">
        <f>IF($X384=0,0,      _xll.qDateNext($X384,AD$12,"M",FRM&lt;&gt;"Calypso",CCY))</f>
        <v>0</v>
      </c>
      <c r="AE384" s="789">
        <f>IF($X384=0,0,      _xll.qDateNext($X384,AE$12,"M",FRM&lt;&gt;"Calypso",CCY))</f>
        <v>0</v>
      </c>
      <c r="AF384" s="789">
        <f>IF($X384=0,0,      _xll.qDateNext($X384,AF$12,"M",FRM&lt;&gt;"Calypso",CCY))</f>
        <v>0</v>
      </c>
      <c r="AG384" s="789">
        <f>IF($X384=0,0,      _xll.qDateNext($X384,AG$12,"M",FRM&lt;&gt;"Calypso",CCY))</f>
        <v>0</v>
      </c>
      <c r="AH384" s="789">
        <f>IF($X384=0,0,      _xll.qDateNext($X384,AH$12,"M",FRM&lt;&gt;"Calypso",CCY))</f>
        <v>0</v>
      </c>
      <c r="AI384" s="789">
        <f>IF($X384=0,0,      _xll.qDateNext($X384,AI$12,"M",FRM&lt;&gt;"Calypso",CCY))</f>
        <v>0</v>
      </c>
      <c r="AJ384" s="529" t="str">
        <v/>
      </c>
      <c r="AK384" s="529" t="str">
        <v/>
      </c>
      <c r="AL384" s="529" t="str">
        <v/>
      </c>
      <c r="AM384" s="529" t="str">
        <v/>
      </c>
      <c r="AN384" s="529" t="str">
        <v/>
      </c>
      <c r="AO384" s="529" t="str">
        <v/>
      </c>
      <c r="AP384" s="529" t="str">
        <v/>
      </c>
      <c r="AQ384" s="529" t="str">
        <v/>
      </c>
      <c r="AR384" s="529">
        <v>0</v>
      </c>
      <c r="AS384" s="529">
        <v>0</v>
      </c>
      <c r="AT384" s="529">
        <f t="shared" si="96"/>
        <v>0</v>
      </c>
      <c r="AU384" s="529">
        <v>0</v>
      </c>
      <c r="AV384" s="529">
        <f t="shared" si="97"/>
        <v>0</v>
      </c>
      <c r="AW384" s="529">
        <f t="shared" si="98"/>
        <v>0</v>
      </c>
      <c r="AX384" s="529">
        <v>0</v>
      </c>
      <c r="AY384" s="529">
        <v>0</v>
      </c>
      <c r="AZ384" s="761">
        <f t="shared" si="87"/>
        <v>0</v>
      </c>
      <c r="BA384" s="761">
        <f t="shared" si="88"/>
        <v>0</v>
      </c>
      <c r="BB384" s="761">
        <f t="shared" si="89"/>
        <v>0</v>
      </c>
      <c r="BC384" s="761">
        <f t="shared" si="90"/>
        <v>0</v>
      </c>
      <c r="BD384" s="761">
        <f t="shared" si="91"/>
        <v>0</v>
      </c>
      <c r="BE384" s="761">
        <f t="shared" si="92"/>
        <v>0</v>
      </c>
      <c r="BF384" s="761">
        <f t="shared" si="93"/>
        <v>0</v>
      </c>
      <c r="BG384" s="761">
        <f t="shared" si="94"/>
        <v>0</v>
      </c>
      <c r="BH384" s="777">
        <v>0</v>
      </c>
      <c r="BI384" s="755"/>
      <c r="BJ384" s="778">
        <f>IF(X385=0,0,           IF(ISNUMBER(BI384),BI384,               IF(ISTEXT(BI384),INDEX(AZ384:BG384,MATCH(BI384,$AZ$12:$BG$12,0)),             IF(BH384="INT",_xll.qInterp(X385,AB384:AI384,AZ384:BG384),            INDEX(AZ384:BG384,MATCH(BH384,$AZ$12:$BG$12,0))))))</f>
        <v>0</v>
      </c>
      <c r="BK384" s="408">
        <f t="shared" si="99"/>
        <v>0</v>
      </c>
      <c r="BL384" s="414">
        <f t="shared" si="100"/>
        <v>0</v>
      </c>
      <c r="BM384" s="408">
        <f t="shared" si="101"/>
        <v>0</v>
      </c>
    </row>
    <row r="385" spans="16:65">
      <c r="P385" s="781">
        <v>0</v>
      </c>
      <c r="Q385" s="780">
        <f t="shared" si="85"/>
        <v>0</v>
      </c>
      <c r="R385" s="776">
        <f>IF(P386,_xll.qDateYears(P385,P386,DCCfixed),0)</f>
        <v>0</v>
      </c>
      <c r="S385" s="553">
        <v>0</v>
      </c>
      <c r="T385" s="785"/>
      <c r="U385" s="409">
        <f t="shared" si="95"/>
        <v>0</v>
      </c>
      <c r="X385" s="363">
        <v>0</v>
      </c>
      <c r="Y385" s="775">
        <f t="shared" si="86"/>
        <v>0</v>
      </c>
      <c r="Z385" s="776">
        <f>IF(X386,_xll.qDateYears(X385,X386,DCCfloat),0)</f>
        <v>0</v>
      </c>
      <c r="AA385" s="553">
        <v>0</v>
      </c>
      <c r="AB385" s="789">
        <f>IF($X385=0,0,      _xll.qDateNext($X385,AB$12,"M",FRM&lt;&gt;"Calypso",CCY))</f>
        <v>0</v>
      </c>
      <c r="AC385" s="789">
        <f>IF($X385=0,0,      _xll.qDateNext($X385,AC$12,"M",FRM&lt;&gt;"Calypso",CCY))</f>
        <v>0</v>
      </c>
      <c r="AD385" s="789">
        <f>IF($X385=0,0,      _xll.qDateNext($X385,AD$12,"M",FRM&lt;&gt;"Calypso",CCY))</f>
        <v>0</v>
      </c>
      <c r="AE385" s="789">
        <f>IF($X385=0,0,      _xll.qDateNext($X385,AE$12,"M",FRM&lt;&gt;"Calypso",CCY))</f>
        <v>0</v>
      </c>
      <c r="AF385" s="789">
        <f>IF($X385=0,0,      _xll.qDateNext($X385,AF$12,"M",FRM&lt;&gt;"Calypso",CCY))</f>
        <v>0</v>
      </c>
      <c r="AG385" s="789">
        <f>IF($X385=0,0,      _xll.qDateNext($X385,AG$12,"M",FRM&lt;&gt;"Calypso",CCY))</f>
        <v>0</v>
      </c>
      <c r="AH385" s="789">
        <f>IF($X385=0,0,      _xll.qDateNext($X385,AH$12,"M",FRM&lt;&gt;"Calypso",CCY))</f>
        <v>0</v>
      </c>
      <c r="AI385" s="789">
        <f>IF($X385=0,0,      _xll.qDateNext($X385,AI$12,"M",FRM&lt;&gt;"Calypso",CCY))</f>
        <v>0</v>
      </c>
      <c r="AJ385" s="529" t="str">
        <v/>
      </c>
      <c r="AK385" s="529" t="str">
        <v/>
      </c>
      <c r="AL385" s="529" t="str">
        <v/>
      </c>
      <c r="AM385" s="529" t="str">
        <v/>
      </c>
      <c r="AN385" s="529" t="str">
        <v/>
      </c>
      <c r="AO385" s="529" t="str">
        <v/>
      </c>
      <c r="AP385" s="529" t="str">
        <v/>
      </c>
      <c r="AQ385" s="529" t="str">
        <v/>
      </c>
      <c r="AR385" s="529">
        <v>0</v>
      </c>
      <c r="AS385" s="529">
        <v>0</v>
      </c>
      <c r="AT385" s="529">
        <f t="shared" si="96"/>
        <v>0</v>
      </c>
      <c r="AU385" s="529">
        <v>0</v>
      </c>
      <c r="AV385" s="529">
        <f t="shared" si="97"/>
        <v>0</v>
      </c>
      <c r="AW385" s="529">
        <f t="shared" si="98"/>
        <v>0</v>
      </c>
      <c r="AX385" s="529">
        <v>0</v>
      </c>
      <c r="AY385" s="529">
        <v>0</v>
      </c>
      <c r="AZ385" s="761">
        <f t="shared" si="87"/>
        <v>0</v>
      </c>
      <c r="BA385" s="761">
        <f t="shared" si="88"/>
        <v>0</v>
      </c>
      <c r="BB385" s="761">
        <f t="shared" si="89"/>
        <v>0</v>
      </c>
      <c r="BC385" s="761">
        <f t="shared" si="90"/>
        <v>0</v>
      </c>
      <c r="BD385" s="761">
        <f t="shared" si="91"/>
        <v>0</v>
      </c>
      <c r="BE385" s="761">
        <f t="shared" si="92"/>
        <v>0</v>
      </c>
      <c r="BF385" s="761">
        <f t="shared" si="93"/>
        <v>0</v>
      </c>
      <c r="BG385" s="761">
        <f t="shared" si="94"/>
        <v>0</v>
      </c>
      <c r="BH385" s="777">
        <v>0</v>
      </c>
      <c r="BI385" s="755"/>
      <c r="BJ385" s="778">
        <f>IF(X386=0,0,           IF(ISNUMBER(BI385),BI385,               IF(ISTEXT(BI385),INDEX(AZ385:BG385,MATCH(BI385,$AZ$12:$BG$12,0)),             IF(BH385="INT",_xll.qInterp(X386,AB385:AI385,AZ385:BG385),            INDEX(AZ385:BG385,MATCH(BH385,$AZ$12:$BG$12,0))))))</f>
        <v>0</v>
      </c>
      <c r="BK385" s="408">
        <f t="shared" si="99"/>
        <v>0</v>
      </c>
      <c r="BL385" s="414">
        <f t="shared" si="100"/>
        <v>0</v>
      </c>
      <c r="BM385" s="408">
        <f t="shared" si="101"/>
        <v>0</v>
      </c>
    </row>
    <row r="386" spans="16:65">
      <c r="P386" s="781">
        <v>0</v>
      </c>
      <c r="Q386" s="780">
        <f t="shared" si="85"/>
        <v>0</v>
      </c>
      <c r="R386" s="776">
        <f>IF(P387,_xll.qDateYears(P386,P387,DCCfixed),0)</f>
        <v>0</v>
      </c>
      <c r="S386" s="553">
        <v>0</v>
      </c>
      <c r="T386" s="785"/>
      <c r="U386" s="409">
        <f t="shared" si="95"/>
        <v>0</v>
      </c>
      <c r="X386" s="363">
        <v>0</v>
      </c>
      <c r="Y386" s="775">
        <f t="shared" si="86"/>
        <v>0</v>
      </c>
      <c r="Z386" s="776">
        <f>IF(X387,_xll.qDateYears(X386,X387,DCCfloat),0)</f>
        <v>0</v>
      </c>
      <c r="AA386" s="553">
        <v>0</v>
      </c>
      <c r="AB386" s="789">
        <f>IF($X386=0,0,      _xll.qDateNext($X386,AB$12,"M",FRM&lt;&gt;"Calypso",CCY))</f>
        <v>0</v>
      </c>
      <c r="AC386" s="789">
        <f>IF($X386=0,0,      _xll.qDateNext($X386,AC$12,"M",FRM&lt;&gt;"Calypso",CCY))</f>
        <v>0</v>
      </c>
      <c r="AD386" s="789">
        <f>IF($X386=0,0,      _xll.qDateNext($X386,AD$12,"M",FRM&lt;&gt;"Calypso",CCY))</f>
        <v>0</v>
      </c>
      <c r="AE386" s="789">
        <f>IF($X386=0,0,      _xll.qDateNext($X386,AE$12,"M",FRM&lt;&gt;"Calypso",CCY))</f>
        <v>0</v>
      </c>
      <c r="AF386" s="789">
        <f>IF($X386=0,0,      _xll.qDateNext($X386,AF$12,"M",FRM&lt;&gt;"Calypso",CCY))</f>
        <v>0</v>
      </c>
      <c r="AG386" s="789">
        <f>IF($X386=0,0,      _xll.qDateNext($X386,AG$12,"M",FRM&lt;&gt;"Calypso",CCY))</f>
        <v>0</v>
      </c>
      <c r="AH386" s="789">
        <f>IF($X386=0,0,      _xll.qDateNext($X386,AH$12,"M",FRM&lt;&gt;"Calypso",CCY))</f>
        <v>0</v>
      </c>
      <c r="AI386" s="789">
        <f>IF($X386=0,0,      _xll.qDateNext($X386,AI$12,"M",FRM&lt;&gt;"Calypso",CCY))</f>
        <v>0</v>
      </c>
      <c r="AJ386" s="529" t="str">
        <v/>
      </c>
      <c r="AK386" s="529" t="str">
        <v/>
      </c>
      <c r="AL386" s="529" t="str">
        <v/>
      </c>
      <c r="AM386" s="529" t="str">
        <v/>
      </c>
      <c r="AN386" s="529" t="str">
        <v/>
      </c>
      <c r="AO386" s="529" t="str">
        <v/>
      </c>
      <c r="AP386" s="529" t="str">
        <v/>
      </c>
      <c r="AQ386" s="529" t="str">
        <v/>
      </c>
      <c r="AR386" s="529">
        <v>0</v>
      </c>
      <c r="AS386" s="529">
        <v>0</v>
      </c>
      <c r="AT386" s="529">
        <f t="shared" si="96"/>
        <v>0</v>
      </c>
      <c r="AU386" s="529">
        <v>0</v>
      </c>
      <c r="AV386" s="529">
        <f t="shared" si="97"/>
        <v>0</v>
      </c>
      <c r="AW386" s="529">
        <f t="shared" si="98"/>
        <v>0</v>
      </c>
      <c r="AX386" s="529">
        <v>0</v>
      </c>
      <c r="AY386" s="529">
        <v>0</v>
      </c>
      <c r="AZ386" s="761">
        <f t="shared" si="87"/>
        <v>0</v>
      </c>
      <c r="BA386" s="761">
        <f t="shared" si="88"/>
        <v>0</v>
      </c>
      <c r="BB386" s="761">
        <f t="shared" si="89"/>
        <v>0</v>
      </c>
      <c r="BC386" s="761">
        <f t="shared" si="90"/>
        <v>0</v>
      </c>
      <c r="BD386" s="761">
        <f t="shared" si="91"/>
        <v>0</v>
      </c>
      <c r="BE386" s="761">
        <f t="shared" si="92"/>
        <v>0</v>
      </c>
      <c r="BF386" s="761">
        <f t="shared" si="93"/>
        <v>0</v>
      </c>
      <c r="BG386" s="761">
        <f t="shared" si="94"/>
        <v>0</v>
      </c>
      <c r="BH386" s="777">
        <v>0</v>
      </c>
      <c r="BI386" s="755"/>
      <c r="BJ386" s="778">
        <f>IF(X387=0,0,           IF(ISNUMBER(BI386),BI386,               IF(ISTEXT(BI386),INDEX(AZ386:BG386,MATCH(BI386,$AZ$12:$BG$12,0)),             IF(BH386="INT",_xll.qInterp(X387,AB386:AI386,AZ386:BG386),            INDEX(AZ386:BG386,MATCH(BH386,$AZ$12:$BG$12,0))))))</f>
        <v>0</v>
      </c>
      <c r="BK386" s="408">
        <f t="shared" si="99"/>
        <v>0</v>
      </c>
      <c r="BL386" s="414">
        <f t="shared" si="100"/>
        <v>0</v>
      </c>
      <c r="BM386" s="408">
        <f t="shared" si="101"/>
        <v>0</v>
      </c>
    </row>
    <row r="387" spans="16:65">
      <c r="P387" s="781">
        <v>0</v>
      </c>
      <c r="Q387" s="780">
        <f t="shared" si="85"/>
        <v>0</v>
      </c>
      <c r="R387" s="776">
        <f>IF(P388,_xll.qDateYears(P387,P388,DCCfixed),0)</f>
        <v>0</v>
      </c>
      <c r="S387" s="553">
        <v>0</v>
      </c>
      <c r="T387" s="785"/>
      <c r="U387" s="409">
        <f t="shared" si="95"/>
        <v>0</v>
      </c>
      <c r="X387" s="363">
        <v>0</v>
      </c>
      <c r="Y387" s="775">
        <f t="shared" si="86"/>
        <v>0</v>
      </c>
      <c r="Z387" s="776">
        <f>IF(X388,_xll.qDateYears(X387,X388,DCCfloat),0)</f>
        <v>0</v>
      </c>
      <c r="AA387" s="553">
        <v>0</v>
      </c>
      <c r="AB387" s="789">
        <f>IF($X387=0,0,      _xll.qDateNext($X387,AB$12,"M",FRM&lt;&gt;"Calypso",CCY))</f>
        <v>0</v>
      </c>
      <c r="AC387" s="789">
        <f>IF($X387=0,0,      _xll.qDateNext($X387,AC$12,"M",FRM&lt;&gt;"Calypso",CCY))</f>
        <v>0</v>
      </c>
      <c r="AD387" s="789">
        <f>IF($X387=0,0,      _xll.qDateNext($X387,AD$12,"M",FRM&lt;&gt;"Calypso",CCY))</f>
        <v>0</v>
      </c>
      <c r="AE387" s="789">
        <f>IF($X387=0,0,      _xll.qDateNext($X387,AE$12,"M",FRM&lt;&gt;"Calypso",CCY))</f>
        <v>0</v>
      </c>
      <c r="AF387" s="789">
        <f>IF($X387=0,0,      _xll.qDateNext($X387,AF$12,"M",FRM&lt;&gt;"Calypso",CCY))</f>
        <v>0</v>
      </c>
      <c r="AG387" s="789">
        <f>IF($X387=0,0,      _xll.qDateNext($X387,AG$12,"M",FRM&lt;&gt;"Calypso",CCY))</f>
        <v>0</v>
      </c>
      <c r="AH387" s="789">
        <f>IF($X387=0,0,      _xll.qDateNext($X387,AH$12,"M",FRM&lt;&gt;"Calypso",CCY))</f>
        <v>0</v>
      </c>
      <c r="AI387" s="789">
        <f>IF($X387=0,0,      _xll.qDateNext($X387,AI$12,"M",FRM&lt;&gt;"Calypso",CCY))</f>
        <v>0</v>
      </c>
      <c r="AJ387" s="529" t="str">
        <v/>
      </c>
      <c r="AK387" s="529" t="str">
        <v/>
      </c>
      <c r="AL387" s="529" t="str">
        <v/>
      </c>
      <c r="AM387" s="529" t="str">
        <v/>
      </c>
      <c r="AN387" s="529" t="str">
        <v/>
      </c>
      <c r="AO387" s="529" t="str">
        <v/>
      </c>
      <c r="AP387" s="529" t="str">
        <v/>
      </c>
      <c r="AQ387" s="529" t="str">
        <v/>
      </c>
      <c r="AR387" s="529">
        <v>0</v>
      </c>
      <c r="AS387" s="529">
        <v>0</v>
      </c>
      <c r="AT387" s="529">
        <f t="shared" si="96"/>
        <v>0</v>
      </c>
      <c r="AU387" s="529">
        <v>0</v>
      </c>
      <c r="AV387" s="529">
        <f t="shared" si="97"/>
        <v>0</v>
      </c>
      <c r="AW387" s="529">
        <f t="shared" si="98"/>
        <v>0</v>
      </c>
      <c r="AX387" s="529">
        <v>0</v>
      </c>
      <c r="AY387" s="529">
        <v>0</v>
      </c>
      <c r="AZ387" s="761">
        <f t="shared" si="87"/>
        <v>0</v>
      </c>
      <c r="BA387" s="761">
        <f t="shared" si="88"/>
        <v>0</v>
      </c>
      <c r="BB387" s="761">
        <f t="shared" si="89"/>
        <v>0</v>
      </c>
      <c r="BC387" s="761">
        <f t="shared" si="90"/>
        <v>0</v>
      </c>
      <c r="BD387" s="761">
        <f t="shared" si="91"/>
        <v>0</v>
      </c>
      <c r="BE387" s="761">
        <f t="shared" si="92"/>
        <v>0</v>
      </c>
      <c r="BF387" s="761">
        <f t="shared" si="93"/>
        <v>0</v>
      </c>
      <c r="BG387" s="761">
        <f t="shared" si="94"/>
        <v>0</v>
      </c>
      <c r="BH387" s="777">
        <v>0</v>
      </c>
      <c r="BI387" s="755"/>
      <c r="BJ387" s="778">
        <f>IF(X388=0,0,           IF(ISNUMBER(BI387),BI387,               IF(ISTEXT(BI387),INDEX(AZ387:BG387,MATCH(BI387,$AZ$12:$BG$12,0)),             IF(BH387="INT",_xll.qInterp(X388,AB387:AI387,AZ387:BG387),            INDEX(AZ387:BG387,MATCH(BH387,$AZ$12:$BG$12,0))))))</f>
        <v>0</v>
      </c>
      <c r="BK387" s="408">
        <f t="shared" si="99"/>
        <v>0</v>
      </c>
      <c r="BL387" s="414">
        <f t="shared" si="100"/>
        <v>0</v>
      </c>
      <c r="BM387" s="408">
        <f t="shared" si="101"/>
        <v>0</v>
      </c>
    </row>
    <row r="388" spans="16:65">
      <c r="P388" s="781">
        <v>0</v>
      </c>
      <c r="Q388" s="780">
        <f t="shared" si="85"/>
        <v>0</v>
      </c>
      <c r="R388" s="776">
        <f>IF(P389,_xll.qDateYears(P388,P389,DCCfixed),0)</f>
        <v>0</v>
      </c>
      <c r="S388" s="553">
        <v>0</v>
      </c>
      <c r="T388" s="785"/>
      <c r="U388" s="409">
        <f t="shared" si="95"/>
        <v>0</v>
      </c>
      <c r="X388" s="363">
        <v>0</v>
      </c>
      <c r="Y388" s="775">
        <f t="shared" si="86"/>
        <v>0</v>
      </c>
      <c r="Z388" s="776">
        <f>IF(X389,_xll.qDateYears(X388,X389,DCCfloat),0)</f>
        <v>0</v>
      </c>
      <c r="AA388" s="553">
        <v>0</v>
      </c>
      <c r="AB388" s="789">
        <f>IF($X388=0,0,      _xll.qDateNext($X388,AB$12,"M",FRM&lt;&gt;"Calypso",CCY))</f>
        <v>0</v>
      </c>
      <c r="AC388" s="789">
        <f>IF($X388=0,0,      _xll.qDateNext($X388,AC$12,"M",FRM&lt;&gt;"Calypso",CCY))</f>
        <v>0</v>
      </c>
      <c r="AD388" s="789">
        <f>IF($X388=0,0,      _xll.qDateNext($X388,AD$12,"M",FRM&lt;&gt;"Calypso",CCY))</f>
        <v>0</v>
      </c>
      <c r="AE388" s="789">
        <f>IF($X388=0,0,      _xll.qDateNext($X388,AE$12,"M",FRM&lt;&gt;"Calypso",CCY))</f>
        <v>0</v>
      </c>
      <c r="AF388" s="789">
        <f>IF($X388=0,0,      _xll.qDateNext($X388,AF$12,"M",FRM&lt;&gt;"Calypso",CCY))</f>
        <v>0</v>
      </c>
      <c r="AG388" s="789">
        <f>IF($X388=0,0,      _xll.qDateNext($X388,AG$12,"M",FRM&lt;&gt;"Calypso",CCY))</f>
        <v>0</v>
      </c>
      <c r="AH388" s="789">
        <f>IF($X388=0,0,      _xll.qDateNext($X388,AH$12,"M",FRM&lt;&gt;"Calypso",CCY))</f>
        <v>0</v>
      </c>
      <c r="AI388" s="789">
        <f>IF($X388=0,0,      _xll.qDateNext($X388,AI$12,"M",FRM&lt;&gt;"Calypso",CCY))</f>
        <v>0</v>
      </c>
      <c r="AJ388" s="529" t="str">
        <v/>
      </c>
      <c r="AK388" s="529" t="str">
        <v/>
      </c>
      <c r="AL388" s="529" t="str">
        <v/>
      </c>
      <c r="AM388" s="529" t="str">
        <v/>
      </c>
      <c r="AN388" s="529" t="str">
        <v/>
      </c>
      <c r="AO388" s="529" t="str">
        <v/>
      </c>
      <c r="AP388" s="529" t="str">
        <v/>
      </c>
      <c r="AQ388" s="529" t="str">
        <v/>
      </c>
      <c r="AR388" s="529">
        <v>0</v>
      </c>
      <c r="AS388" s="529">
        <v>0</v>
      </c>
      <c r="AT388" s="529">
        <f t="shared" si="96"/>
        <v>0</v>
      </c>
      <c r="AU388" s="529">
        <v>0</v>
      </c>
      <c r="AV388" s="529">
        <f t="shared" si="97"/>
        <v>0</v>
      </c>
      <c r="AW388" s="529">
        <f t="shared" si="98"/>
        <v>0</v>
      </c>
      <c r="AX388" s="529">
        <v>0</v>
      </c>
      <c r="AY388" s="529">
        <v>0</v>
      </c>
      <c r="AZ388" s="761">
        <f t="shared" si="87"/>
        <v>0</v>
      </c>
      <c r="BA388" s="761">
        <f t="shared" si="88"/>
        <v>0</v>
      </c>
      <c r="BB388" s="761">
        <f t="shared" si="89"/>
        <v>0</v>
      </c>
      <c r="BC388" s="761">
        <f t="shared" si="90"/>
        <v>0</v>
      </c>
      <c r="BD388" s="761">
        <f t="shared" si="91"/>
        <v>0</v>
      </c>
      <c r="BE388" s="761">
        <f t="shared" si="92"/>
        <v>0</v>
      </c>
      <c r="BF388" s="761">
        <f t="shared" si="93"/>
        <v>0</v>
      </c>
      <c r="BG388" s="761">
        <f t="shared" si="94"/>
        <v>0</v>
      </c>
      <c r="BH388" s="777">
        <v>0</v>
      </c>
      <c r="BI388" s="755"/>
      <c r="BJ388" s="778">
        <f>IF(X389=0,0,           IF(ISNUMBER(BI388),BI388,               IF(ISTEXT(BI388),INDEX(AZ388:BG388,MATCH(BI388,$AZ$12:$BG$12,0)),             IF(BH388="INT",_xll.qInterp(X389,AB388:AI388,AZ388:BG388),            INDEX(AZ388:BG388,MATCH(BH388,$AZ$12:$BG$12,0))))))</f>
        <v>0</v>
      </c>
      <c r="BK388" s="408">
        <f t="shared" si="99"/>
        <v>0</v>
      </c>
      <c r="BL388" s="414">
        <f t="shared" si="100"/>
        <v>0</v>
      </c>
      <c r="BM388" s="408">
        <f t="shared" si="101"/>
        <v>0</v>
      </c>
    </row>
    <row r="389" spans="16:65">
      <c r="P389" s="781">
        <v>0</v>
      </c>
      <c r="Q389" s="780">
        <f t="shared" si="85"/>
        <v>0</v>
      </c>
      <c r="R389" s="776">
        <f>IF(P390,_xll.qDateYears(P389,P390,DCCfixed),0)</f>
        <v>0</v>
      </c>
      <c r="S389" s="553">
        <v>0</v>
      </c>
      <c r="T389" s="785"/>
      <c r="U389" s="409">
        <f t="shared" si="95"/>
        <v>0</v>
      </c>
      <c r="X389" s="363">
        <v>0</v>
      </c>
      <c r="Y389" s="775">
        <f t="shared" si="86"/>
        <v>0</v>
      </c>
      <c r="Z389" s="776">
        <f>IF(X390,_xll.qDateYears(X389,X390,DCCfloat),0)</f>
        <v>0</v>
      </c>
      <c r="AA389" s="553">
        <v>0</v>
      </c>
      <c r="AB389" s="789">
        <f>IF($X389=0,0,      _xll.qDateNext($X389,AB$12,"M",FRM&lt;&gt;"Calypso",CCY))</f>
        <v>0</v>
      </c>
      <c r="AC389" s="789">
        <f>IF($X389=0,0,      _xll.qDateNext($X389,AC$12,"M",FRM&lt;&gt;"Calypso",CCY))</f>
        <v>0</v>
      </c>
      <c r="AD389" s="789">
        <f>IF($X389=0,0,      _xll.qDateNext($X389,AD$12,"M",FRM&lt;&gt;"Calypso",CCY))</f>
        <v>0</v>
      </c>
      <c r="AE389" s="789">
        <f>IF($X389=0,0,      _xll.qDateNext($X389,AE$12,"M",FRM&lt;&gt;"Calypso",CCY))</f>
        <v>0</v>
      </c>
      <c r="AF389" s="789">
        <f>IF($X389=0,0,      _xll.qDateNext($X389,AF$12,"M",FRM&lt;&gt;"Calypso",CCY))</f>
        <v>0</v>
      </c>
      <c r="AG389" s="789">
        <f>IF($X389=0,0,      _xll.qDateNext($X389,AG$12,"M",FRM&lt;&gt;"Calypso",CCY))</f>
        <v>0</v>
      </c>
      <c r="AH389" s="789">
        <f>IF($X389=0,0,      _xll.qDateNext($X389,AH$12,"M",FRM&lt;&gt;"Calypso",CCY))</f>
        <v>0</v>
      </c>
      <c r="AI389" s="789">
        <f>IF($X389=0,0,      _xll.qDateNext($X389,AI$12,"M",FRM&lt;&gt;"Calypso",CCY))</f>
        <v>0</v>
      </c>
      <c r="AJ389" s="529" t="str">
        <v/>
      </c>
      <c r="AK389" s="529" t="str">
        <v/>
      </c>
      <c r="AL389" s="529" t="str">
        <v/>
      </c>
      <c r="AM389" s="529" t="str">
        <v/>
      </c>
      <c r="AN389" s="529" t="str">
        <v/>
      </c>
      <c r="AO389" s="529" t="str">
        <v/>
      </c>
      <c r="AP389" s="529" t="str">
        <v/>
      </c>
      <c r="AQ389" s="529" t="str">
        <v/>
      </c>
      <c r="AR389" s="529">
        <v>0</v>
      </c>
      <c r="AS389" s="529">
        <v>0</v>
      </c>
      <c r="AT389" s="529">
        <f t="shared" si="96"/>
        <v>0</v>
      </c>
      <c r="AU389" s="529">
        <v>0</v>
      </c>
      <c r="AV389" s="529">
        <f t="shared" si="97"/>
        <v>0</v>
      </c>
      <c r="AW389" s="529">
        <f t="shared" si="98"/>
        <v>0</v>
      </c>
      <c r="AX389" s="529">
        <v>0</v>
      </c>
      <c r="AY389" s="529">
        <v>0</v>
      </c>
      <c r="AZ389" s="761">
        <f t="shared" si="87"/>
        <v>0</v>
      </c>
      <c r="BA389" s="761">
        <f t="shared" si="88"/>
        <v>0</v>
      </c>
      <c r="BB389" s="761">
        <f t="shared" si="89"/>
        <v>0</v>
      </c>
      <c r="BC389" s="761">
        <f t="shared" si="90"/>
        <v>0</v>
      </c>
      <c r="BD389" s="761">
        <f t="shared" si="91"/>
        <v>0</v>
      </c>
      <c r="BE389" s="761">
        <f t="shared" si="92"/>
        <v>0</v>
      </c>
      <c r="BF389" s="761">
        <f t="shared" si="93"/>
        <v>0</v>
      </c>
      <c r="BG389" s="761">
        <f t="shared" si="94"/>
        <v>0</v>
      </c>
      <c r="BH389" s="777">
        <v>0</v>
      </c>
      <c r="BI389" s="755"/>
      <c r="BJ389" s="778">
        <f>IF(X390=0,0,           IF(ISNUMBER(BI389),BI389,               IF(ISTEXT(BI389),INDEX(AZ389:BG389,MATCH(BI389,$AZ$12:$BG$12,0)),             IF(BH389="INT",_xll.qInterp(X390,AB389:AI389,AZ389:BG389),            INDEX(AZ389:BG389,MATCH(BH389,$AZ$12:$BG$12,0))))))</f>
        <v>0</v>
      </c>
      <c r="BK389" s="408">
        <f t="shared" si="99"/>
        <v>0</v>
      </c>
      <c r="BL389" s="414">
        <f t="shared" si="100"/>
        <v>0</v>
      </c>
      <c r="BM389" s="408">
        <f t="shared" si="101"/>
        <v>0</v>
      </c>
    </row>
    <row r="390" spans="16:65">
      <c r="P390" s="781">
        <v>0</v>
      </c>
      <c r="Q390" s="780">
        <f t="shared" si="85"/>
        <v>0</v>
      </c>
      <c r="R390" s="776">
        <f>IF(P391,_xll.qDateYears(P390,P391,DCCfixed),0)</f>
        <v>0</v>
      </c>
      <c r="S390" s="553">
        <v>0</v>
      </c>
      <c r="T390" s="785"/>
      <c r="U390" s="409">
        <f t="shared" si="95"/>
        <v>0</v>
      </c>
      <c r="X390" s="363">
        <v>0</v>
      </c>
      <c r="Y390" s="775">
        <f t="shared" si="86"/>
        <v>0</v>
      </c>
      <c r="Z390" s="776">
        <f>IF(X391,_xll.qDateYears(X390,X391,DCCfloat),0)</f>
        <v>0</v>
      </c>
      <c r="AA390" s="553">
        <v>0</v>
      </c>
      <c r="AB390" s="789">
        <f>IF($X390=0,0,      _xll.qDateNext($X390,AB$12,"M",FRM&lt;&gt;"Calypso",CCY))</f>
        <v>0</v>
      </c>
      <c r="AC390" s="789">
        <f>IF($X390=0,0,      _xll.qDateNext($X390,AC$12,"M",FRM&lt;&gt;"Calypso",CCY))</f>
        <v>0</v>
      </c>
      <c r="AD390" s="789">
        <f>IF($X390=0,0,      _xll.qDateNext($X390,AD$12,"M",FRM&lt;&gt;"Calypso",CCY))</f>
        <v>0</v>
      </c>
      <c r="AE390" s="789">
        <f>IF($X390=0,0,      _xll.qDateNext($X390,AE$12,"M",FRM&lt;&gt;"Calypso",CCY))</f>
        <v>0</v>
      </c>
      <c r="AF390" s="789">
        <f>IF($X390=0,0,      _xll.qDateNext($X390,AF$12,"M",FRM&lt;&gt;"Calypso",CCY))</f>
        <v>0</v>
      </c>
      <c r="AG390" s="789">
        <f>IF($X390=0,0,      _xll.qDateNext($X390,AG$12,"M",FRM&lt;&gt;"Calypso",CCY))</f>
        <v>0</v>
      </c>
      <c r="AH390" s="789">
        <f>IF($X390=0,0,      _xll.qDateNext($X390,AH$12,"M",FRM&lt;&gt;"Calypso",CCY))</f>
        <v>0</v>
      </c>
      <c r="AI390" s="789">
        <f>IF($X390=0,0,      _xll.qDateNext($X390,AI$12,"M",FRM&lt;&gt;"Calypso",CCY))</f>
        <v>0</v>
      </c>
      <c r="AJ390" s="529" t="str">
        <v/>
      </c>
      <c r="AK390" s="529" t="str">
        <v/>
      </c>
      <c r="AL390" s="529" t="str">
        <v/>
      </c>
      <c r="AM390" s="529" t="str">
        <v/>
      </c>
      <c r="AN390" s="529" t="str">
        <v/>
      </c>
      <c r="AO390" s="529" t="str">
        <v/>
      </c>
      <c r="AP390" s="529" t="str">
        <v/>
      </c>
      <c r="AQ390" s="529" t="str">
        <v/>
      </c>
      <c r="AR390" s="529">
        <v>0</v>
      </c>
      <c r="AS390" s="529">
        <v>0</v>
      </c>
      <c r="AT390" s="529">
        <f t="shared" si="96"/>
        <v>0</v>
      </c>
      <c r="AU390" s="529">
        <v>0</v>
      </c>
      <c r="AV390" s="529">
        <f t="shared" si="97"/>
        <v>0</v>
      </c>
      <c r="AW390" s="529">
        <f t="shared" si="98"/>
        <v>0</v>
      </c>
      <c r="AX390" s="529">
        <v>0</v>
      </c>
      <c r="AY390" s="529">
        <v>0</v>
      </c>
      <c r="AZ390" s="761">
        <f t="shared" si="87"/>
        <v>0</v>
      </c>
      <c r="BA390" s="761">
        <f t="shared" si="88"/>
        <v>0</v>
      </c>
      <c r="BB390" s="761">
        <f t="shared" si="89"/>
        <v>0</v>
      </c>
      <c r="BC390" s="761">
        <f t="shared" si="90"/>
        <v>0</v>
      </c>
      <c r="BD390" s="761">
        <f t="shared" si="91"/>
        <v>0</v>
      </c>
      <c r="BE390" s="761">
        <f t="shared" si="92"/>
        <v>0</v>
      </c>
      <c r="BF390" s="761">
        <f t="shared" si="93"/>
        <v>0</v>
      </c>
      <c r="BG390" s="761">
        <f t="shared" si="94"/>
        <v>0</v>
      </c>
      <c r="BH390" s="777">
        <v>0</v>
      </c>
      <c r="BI390" s="755"/>
      <c r="BJ390" s="778">
        <f>IF(X391=0,0,           IF(ISNUMBER(BI390),BI390,               IF(ISTEXT(BI390),INDEX(AZ390:BG390,MATCH(BI390,$AZ$12:$BG$12,0)),             IF(BH390="INT",_xll.qInterp(X391,AB390:AI390,AZ390:BG390),            INDEX(AZ390:BG390,MATCH(BH390,$AZ$12:$BG$12,0))))))</f>
        <v>0</v>
      </c>
      <c r="BK390" s="408">
        <f t="shared" si="99"/>
        <v>0</v>
      </c>
      <c r="BL390" s="414">
        <f t="shared" si="100"/>
        <v>0</v>
      </c>
      <c r="BM390" s="408">
        <f t="shared" si="101"/>
        <v>0</v>
      </c>
    </row>
    <row r="391" spans="16:65">
      <c r="P391" s="781">
        <v>0</v>
      </c>
      <c r="Q391" s="780">
        <f t="shared" si="85"/>
        <v>0</v>
      </c>
      <c r="R391" s="776">
        <f>IF(P392,_xll.qDateYears(P391,P392,DCCfixed),0)</f>
        <v>0</v>
      </c>
      <c r="S391" s="553">
        <v>0</v>
      </c>
      <c r="T391" s="785"/>
      <c r="U391" s="409">
        <f t="shared" si="95"/>
        <v>0</v>
      </c>
      <c r="X391" s="363">
        <v>0</v>
      </c>
      <c r="Y391" s="775">
        <f t="shared" si="86"/>
        <v>0</v>
      </c>
      <c r="Z391" s="776">
        <f>IF(X392,_xll.qDateYears(X391,X392,DCCfloat),0)</f>
        <v>0</v>
      </c>
      <c r="AA391" s="553">
        <v>0</v>
      </c>
      <c r="AB391" s="789">
        <f>IF($X391=0,0,      _xll.qDateNext($X391,AB$12,"M",FRM&lt;&gt;"Calypso",CCY))</f>
        <v>0</v>
      </c>
      <c r="AC391" s="789">
        <f>IF($X391=0,0,      _xll.qDateNext($X391,AC$12,"M",FRM&lt;&gt;"Calypso",CCY))</f>
        <v>0</v>
      </c>
      <c r="AD391" s="789">
        <f>IF($X391=0,0,      _xll.qDateNext($X391,AD$12,"M",FRM&lt;&gt;"Calypso",CCY))</f>
        <v>0</v>
      </c>
      <c r="AE391" s="789">
        <f>IF($X391=0,0,      _xll.qDateNext($X391,AE$12,"M",FRM&lt;&gt;"Calypso",CCY))</f>
        <v>0</v>
      </c>
      <c r="AF391" s="789">
        <f>IF($X391=0,0,      _xll.qDateNext($X391,AF$12,"M",FRM&lt;&gt;"Calypso",CCY))</f>
        <v>0</v>
      </c>
      <c r="AG391" s="789">
        <f>IF($X391=0,0,      _xll.qDateNext($X391,AG$12,"M",FRM&lt;&gt;"Calypso",CCY))</f>
        <v>0</v>
      </c>
      <c r="AH391" s="789">
        <f>IF($X391=0,0,      _xll.qDateNext($X391,AH$12,"M",FRM&lt;&gt;"Calypso",CCY))</f>
        <v>0</v>
      </c>
      <c r="AI391" s="789">
        <f>IF($X391=0,0,      _xll.qDateNext($X391,AI$12,"M",FRM&lt;&gt;"Calypso",CCY))</f>
        <v>0</v>
      </c>
      <c r="AJ391" s="529" t="str">
        <v/>
      </c>
      <c r="AK391" s="529" t="str">
        <v/>
      </c>
      <c r="AL391" s="529" t="str">
        <v/>
      </c>
      <c r="AM391" s="529" t="str">
        <v/>
      </c>
      <c r="AN391" s="529" t="str">
        <v/>
      </c>
      <c r="AO391" s="529" t="str">
        <v/>
      </c>
      <c r="AP391" s="529" t="str">
        <v/>
      </c>
      <c r="AQ391" s="529" t="str">
        <v/>
      </c>
      <c r="AR391" s="529">
        <v>0</v>
      </c>
      <c r="AS391" s="529">
        <v>0</v>
      </c>
      <c r="AT391" s="529">
        <f t="shared" si="96"/>
        <v>0</v>
      </c>
      <c r="AU391" s="529">
        <v>0</v>
      </c>
      <c r="AV391" s="529">
        <f t="shared" si="97"/>
        <v>0</v>
      </c>
      <c r="AW391" s="529">
        <f t="shared" si="98"/>
        <v>0</v>
      </c>
      <c r="AX391" s="529">
        <v>0</v>
      </c>
      <c r="AY391" s="529">
        <v>0</v>
      </c>
      <c r="AZ391" s="761">
        <f t="shared" si="87"/>
        <v>0</v>
      </c>
      <c r="BA391" s="761">
        <f t="shared" si="88"/>
        <v>0</v>
      </c>
      <c r="BB391" s="761">
        <f t="shared" si="89"/>
        <v>0</v>
      </c>
      <c r="BC391" s="761">
        <f t="shared" si="90"/>
        <v>0</v>
      </c>
      <c r="BD391" s="761">
        <f t="shared" si="91"/>
        <v>0</v>
      </c>
      <c r="BE391" s="761">
        <f t="shared" si="92"/>
        <v>0</v>
      </c>
      <c r="BF391" s="761">
        <f t="shared" si="93"/>
        <v>0</v>
      </c>
      <c r="BG391" s="761">
        <f t="shared" si="94"/>
        <v>0</v>
      </c>
      <c r="BH391" s="777">
        <v>0</v>
      </c>
      <c r="BI391" s="755"/>
      <c r="BJ391" s="778">
        <f>IF(X392=0,0,           IF(ISNUMBER(BI391),BI391,               IF(ISTEXT(BI391),INDEX(AZ391:BG391,MATCH(BI391,$AZ$12:$BG$12,0)),             IF(BH391="INT",_xll.qInterp(X392,AB391:AI391,AZ391:BG391),            INDEX(AZ391:BG391,MATCH(BH391,$AZ$12:$BG$12,0))))))</f>
        <v>0</v>
      </c>
      <c r="BK391" s="408">
        <f t="shared" si="99"/>
        <v>0</v>
      </c>
      <c r="BL391" s="414">
        <f t="shared" si="100"/>
        <v>0</v>
      </c>
      <c r="BM391" s="408">
        <f t="shared" si="101"/>
        <v>0</v>
      </c>
    </row>
    <row r="392" spans="16:65">
      <c r="P392" s="781">
        <v>0</v>
      </c>
      <c r="Q392" s="780">
        <f t="shared" si="85"/>
        <v>0</v>
      </c>
      <c r="R392" s="776">
        <f>IF(P393,_xll.qDateYears(P392,P393,DCCfixed),0)</f>
        <v>0</v>
      </c>
      <c r="S392" s="553">
        <v>0</v>
      </c>
      <c r="T392" s="785"/>
      <c r="U392" s="409">
        <f t="shared" si="95"/>
        <v>0</v>
      </c>
      <c r="X392" s="363">
        <v>0</v>
      </c>
      <c r="Y392" s="775">
        <f t="shared" si="86"/>
        <v>0</v>
      </c>
      <c r="Z392" s="776">
        <f>IF(X393,_xll.qDateYears(X392,X393,DCCfloat),0)</f>
        <v>0</v>
      </c>
      <c r="AA392" s="553">
        <v>0</v>
      </c>
      <c r="AB392" s="789">
        <f>IF($X392=0,0,      _xll.qDateNext($X392,AB$12,"M",FRM&lt;&gt;"Calypso",CCY))</f>
        <v>0</v>
      </c>
      <c r="AC392" s="789">
        <f>IF($X392=0,0,      _xll.qDateNext($X392,AC$12,"M",FRM&lt;&gt;"Calypso",CCY))</f>
        <v>0</v>
      </c>
      <c r="AD392" s="789">
        <f>IF($X392=0,0,      _xll.qDateNext($X392,AD$12,"M",FRM&lt;&gt;"Calypso",CCY))</f>
        <v>0</v>
      </c>
      <c r="AE392" s="789">
        <f>IF($X392=0,0,      _xll.qDateNext($X392,AE$12,"M",FRM&lt;&gt;"Calypso",CCY))</f>
        <v>0</v>
      </c>
      <c r="AF392" s="789">
        <f>IF($X392=0,0,      _xll.qDateNext($X392,AF$12,"M",FRM&lt;&gt;"Calypso",CCY))</f>
        <v>0</v>
      </c>
      <c r="AG392" s="789">
        <f>IF($X392=0,0,      _xll.qDateNext($X392,AG$12,"M",FRM&lt;&gt;"Calypso",CCY))</f>
        <v>0</v>
      </c>
      <c r="AH392" s="789">
        <f>IF($X392=0,0,      _xll.qDateNext($X392,AH$12,"M",FRM&lt;&gt;"Calypso",CCY))</f>
        <v>0</v>
      </c>
      <c r="AI392" s="789">
        <f>IF($X392=0,0,      _xll.qDateNext($X392,AI$12,"M",FRM&lt;&gt;"Calypso",CCY))</f>
        <v>0</v>
      </c>
      <c r="AJ392" s="529" t="str">
        <v/>
      </c>
      <c r="AK392" s="529" t="str">
        <v/>
      </c>
      <c r="AL392" s="529" t="str">
        <v/>
      </c>
      <c r="AM392" s="529" t="str">
        <v/>
      </c>
      <c r="AN392" s="529" t="str">
        <v/>
      </c>
      <c r="AO392" s="529" t="str">
        <v/>
      </c>
      <c r="AP392" s="529" t="str">
        <v/>
      </c>
      <c r="AQ392" s="529" t="str">
        <v/>
      </c>
      <c r="AR392" s="529">
        <v>0</v>
      </c>
      <c r="AS392" s="529">
        <v>0</v>
      </c>
      <c r="AT392" s="529">
        <f t="shared" si="96"/>
        <v>0</v>
      </c>
      <c r="AU392" s="529">
        <v>0</v>
      </c>
      <c r="AV392" s="529">
        <f t="shared" si="97"/>
        <v>0</v>
      </c>
      <c r="AW392" s="529">
        <f t="shared" si="98"/>
        <v>0</v>
      </c>
      <c r="AX392" s="529">
        <v>0</v>
      </c>
      <c r="AY392" s="529">
        <v>0</v>
      </c>
      <c r="AZ392" s="761">
        <f t="shared" si="87"/>
        <v>0</v>
      </c>
      <c r="BA392" s="761">
        <f t="shared" si="88"/>
        <v>0</v>
      </c>
      <c r="BB392" s="761">
        <f t="shared" si="89"/>
        <v>0</v>
      </c>
      <c r="BC392" s="761">
        <f t="shared" si="90"/>
        <v>0</v>
      </c>
      <c r="BD392" s="761">
        <f t="shared" si="91"/>
        <v>0</v>
      </c>
      <c r="BE392" s="761">
        <f t="shared" si="92"/>
        <v>0</v>
      </c>
      <c r="BF392" s="761">
        <f t="shared" si="93"/>
        <v>0</v>
      </c>
      <c r="BG392" s="761">
        <f t="shared" si="94"/>
        <v>0</v>
      </c>
      <c r="BH392" s="777">
        <v>0</v>
      </c>
      <c r="BI392" s="755"/>
      <c r="BJ392" s="778">
        <f>IF(X393=0,0,           IF(ISNUMBER(BI392),BI392,               IF(ISTEXT(BI392),INDEX(AZ392:BG392,MATCH(BI392,$AZ$12:$BG$12,0)),             IF(BH392="INT",_xll.qInterp(X393,AB392:AI392,AZ392:BG392),            INDEX(AZ392:BG392,MATCH(BH392,$AZ$12:$BG$12,0))))))</f>
        <v>0</v>
      </c>
      <c r="BK392" s="408">
        <f t="shared" si="99"/>
        <v>0</v>
      </c>
      <c r="BL392" s="414">
        <f t="shared" si="100"/>
        <v>0</v>
      </c>
      <c r="BM392" s="408">
        <f t="shared" si="101"/>
        <v>0</v>
      </c>
    </row>
    <row r="393" spans="16:65">
      <c r="P393" s="781">
        <v>0</v>
      </c>
      <c r="Q393" s="780">
        <f t="shared" si="85"/>
        <v>0</v>
      </c>
      <c r="R393" s="776">
        <f>IF(P394,_xll.qDateYears(P393,P394,DCCfixed),0)</f>
        <v>0</v>
      </c>
      <c r="S393" s="553">
        <v>0</v>
      </c>
      <c r="T393" s="785"/>
      <c r="U393" s="409">
        <f t="shared" si="95"/>
        <v>0</v>
      </c>
      <c r="X393" s="363">
        <v>0</v>
      </c>
      <c r="Y393" s="775">
        <f t="shared" si="86"/>
        <v>0</v>
      </c>
      <c r="Z393" s="776">
        <f>IF(X394,_xll.qDateYears(X393,X394,DCCfloat),0)</f>
        <v>0</v>
      </c>
      <c r="AA393" s="553">
        <v>0</v>
      </c>
      <c r="AB393" s="789">
        <f>IF($X393=0,0,      _xll.qDateNext($X393,AB$12,"M",FRM&lt;&gt;"Calypso",CCY))</f>
        <v>0</v>
      </c>
      <c r="AC393" s="789">
        <f>IF($X393=0,0,      _xll.qDateNext($X393,AC$12,"M",FRM&lt;&gt;"Calypso",CCY))</f>
        <v>0</v>
      </c>
      <c r="AD393" s="789">
        <f>IF($X393=0,0,      _xll.qDateNext($X393,AD$12,"M",FRM&lt;&gt;"Calypso",CCY))</f>
        <v>0</v>
      </c>
      <c r="AE393" s="789">
        <f>IF($X393=0,0,      _xll.qDateNext($X393,AE$12,"M",FRM&lt;&gt;"Calypso",CCY))</f>
        <v>0</v>
      </c>
      <c r="AF393" s="789">
        <f>IF($X393=0,0,      _xll.qDateNext($X393,AF$12,"M",FRM&lt;&gt;"Calypso",CCY))</f>
        <v>0</v>
      </c>
      <c r="AG393" s="789">
        <f>IF($X393=0,0,      _xll.qDateNext($X393,AG$12,"M",FRM&lt;&gt;"Calypso",CCY))</f>
        <v>0</v>
      </c>
      <c r="AH393" s="789">
        <f>IF($X393=0,0,      _xll.qDateNext($X393,AH$12,"M",FRM&lt;&gt;"Calypso",CCY))</f>
        <v>0</v>
      </c>
      <c r="AI393" s="789">
        <f>IF($X393=0,0,      _xll.qDateNext($X393,AI$12,"M",FRM&lt;&gt;"Calypso",CCY))</f>
        <v>0</v>
      </c>
      <c r="AJ393" s="529" t="str">
        <v/>
      </c>
      <c r="AK393" s="529" t="str">
        <v/>
      </c>
      <c r="AL393" s="529" t="str">
        <v/>
      </c>
      <c r="AM393" s="529" t="str">
        <v/>
      </c>
      <c r="AN393" s="529" t="str">
        <v/>
      </c>
      <c r="AO393" s="529" t="str">
        <v/>
      </c>
      <c r="AP393" s="529" t="str">
        <v/>
      </c>
      <c r="AQ393" s="529" t="str">
        <v/>
      </c>
      <c r="AR393" s="529">
        <v>0</v>
      </c>
      <c r="AS393" s="529">
        <v>0</v>
      </c>
      <c r="AT393" s="529">
        <f t="shared" si="96"/>
        <v>0</v>
      </c>
      <c r="AU393" s="529">
        <v>0</v>
      </c>
      <c r="AV393" s="529">
        <f t="shared" si="97"/>
        <v>0</v>
      </c>
      <c r="AW393" s="529">
        <f t="shared" si="98"/>
        <v>0</v>
      </c>
      <c r="AX393" s="529">
        <v>0</v>
      </c>
      <c r="AY393" s="529">
        <v>0</v>
      </c>
      <c r="AZ393" s="761">
        <f t="shared" si="87"/>
        <v>0</v>
      </c>
      <c r="BA393" s="761">
        <f t="shared" si="88"/>
        <v>0</v>
      </c>
      <c r="BB393" s="761">
        <f t="shared" si="89"/>
        <v>0</v>
      </c>
      <c r="BC393" s="761">
        <f t="shared" si="90"/>
        <v>0</v>
      </c>
      <c r="BD393" s="761">
        <f t="shared" si="91"/>
        <v>0</v>
      </c>
      <c r="BE393" s="761">
        <f t="shared" si="92"/>
        <v>0</v>
      </c>
      <c r="BF393" s="761">
        <f t="shared" si="93"/>
        <v>0</v>
      </c>
      <c r="BG393" s="761">
        <f t="shared" si="94"/>
        <v>0</v>
      </c>
      <c r="BH393" s="777">
        <v>0</v>
      </c>
      <c r="BI393" s="755"/>
      <c r="BJ393" s="778">
        <f>IF(X394=0,0,           IF(ISNUMBER(BI393),BI393,               IF(ISTEXT(BI393),INDEX(AZ393:BG393,MATCH(BI393,$AZ$12:$BG$12,0)),             IF(BH393="INT",_xll.qInterp(X394,AB393:AI393,AZ393:BG393),            INDEX(AZ393:BG393,MATCH(BH393,$AZ$12:$BG$12,0))))))</f>
        <v>0</v>
      </c>
      <c r="BK393" s="408">
        <f t="shared" si="99"/>
        <v>0</v>
      </c>
      <c r="BL393" s="414">
        <f t="shared" si="100"/>
        <v>0</v>
      </c>
      <c r="BM393" s="408">
        <f t="shared" si="101"/>
        <v>0</v>
      </c>
    </row>
    <row r="394" spans="16:65">
      <c r="P394" s="781">
        <v>0</v>
      </c>
      <c r="Q394" s="780">
        <f t="shared" si="85"/>
        <v>0</v>
      </c>
      <c r="R394" s="776">
        <f>IF(P395,_xll.qDateYears(P394,P395,DCCfixed),0)</f>
        <v>0</v>
      </c>
      <c r="S394" s="553">
        <v>0</v>
      </c>
      <c r="T394" s="785"/>
      <c r="U394" s="409">
        <f t="shared" si="95"/>
        <v>0</v>
      </c>
      <c r="X394" s="363">
        <v>0</v>
      </c>
      <c r="Y394" s="775">
        <f t="shared" si="86"/>
        <v>0</v>
      </c>
      <c r="Z394" s="776">
        <f>IF(X395,_xll.qDateYears(X394,X395,DCCfloat),0)</f>
        <v>0</v>
      </c>
      <c r="AA394" s="553">
        <v>0</v>
      </c>
      <c r="AB394" s="789">
        <f>IF($X394=0,0,      _xll.qDateNext($X394,AB$12,"M",FRM&lt;&gt;"Calypso",CCY))</f>
        <v>0</v>
      </c>
      <c r="AC394" s="789">
        <f>IF($X394=0,0,      _xll.qDateNext($X394,AC$12,"M",FRM&lt;&gt;"Calypso",CCY))</f>
        <v>0</v>
      </c>
      <c r="AD394" s="789">
        <f>IF($X394=0,0,      _xll.qDateNext($X394,AD$12,"M",FRM&lt;&gt;"Calypso",CCY))</f>
        <v>0</v>
      </c>
      <c r="AE394" s="789">
        <f>IF($X394=0,0,      _xll.qDateNext($X394,AE$12,"M",FRM&lt;&gt;"Calypso",CCY))</f>
        <v>0</v>
      </c>
      <c r="AF394" s="789">
        <f>IF($X394=0,0,      _xll.qDateNext($X394,AF$12,"M",FRM&lt;&gt;"Calypso",CCY))</f>
        <v>0</v>
      </c>
      <c r="AG394" s="789">
        <f>IF($X394=0,0,      _xll.qDateNext($X394,AG$12,"M",FRM&lt;&gt;"Calypso",CCY))</f>
        <v>0</v>
      </c>
      <c r="AH394" s="789">
        <f>IF($X394=0,0,      _xll.qDateNext($X394,AH$12,"M",FRM&lt;&gt;"Calypso",CCY))</f>
        <v>0</v>
      </c>
      <c r="AI394" s="789">
        <f>IF($X394=0,0,      _xll.qDateNext($X394,AI$12,"M",FRM&lt;&gt;"Calypso",CCY))</f>
        <v>0</v>
      </c>
      <c r="AJ394" s="529" t="str">
        <v/>
      </c>
      <c r="AK394" s="529" t="str">
        <v/>
      </c>
      <c r="AL394" s="529" t="str">
        <v/>
      </c>
      <c r="AM394" s="529" t="str">
        <v/>
      </c>
      <c r="AN394" s="529" t="str">
        <v/>
      </c>
      <c r="AO394" s="529" t="str">
        <v/>
      </c>
      <c r="AP394" s="529" t="str">
        <v/>
      </c>
      <c r="AQ394" s="529" t="str">
        <v/>
      </c>
      <c r="AR394" s="529">
        <v>0</v>
      </c>
      <c r="AS394" s="529">
        <v>0</v>
      </c>
      <c r="AT394" s="529">
        <f t="shared" si="96"/>
        <v>0</v>
      </c>
      <c r="AU394" s="529">
        <v>0</v>
      </c>
      <c r="AV394" s="529">
        <f t="shared" si="97"/>
        <v>0</v>
      </c>
      <c r="AW394" s="529">
        <f t="shared" si="98"/>
        <v>0</v>
      </c>
      <c r="AX394" s="529">
        <v>0</v>
      </c>
      <c r="AY394" s="529">
        <v>0</v>
      </c>
      <c r="AZ394" s="761">
        <f t="shared" si="87"/>
        <v>0</v>
      </c>
      <c r="BA394" s="761">
        <f t="shared" si="88"/>
        <v>0</v>
      </c>
      <c r="BB394" s="761">
        <f t="shared" si="89"/>
        <v>0</v>
      </c>
      <c r="BC394" s="761">
        <f t="shared" si="90"/>
        <v>0</v>
      </c>
      <c r="BD394" s="761">
        <f t="shared" si="91"/>
        <v>0</v>
      </c>
      <c r="BE394" s="761">
        <f t="shared" si="92"/>
        <v>0</v>
      </c>
      <c r="BF394" s="761">
        <f t="shared" si="93"/>
        <v>0</v>
      </c>
      <c r="BG394" s="761">
        <f t="shared" si="94"/>
        <v>0</v>
      </c>
      <c r="BH394" s="777">
        <v>0</v>
      </c>
      <c r="BI394" s="755"/>
      <c r="BJ394" s="778">
        <f>IF(X395=0,0,           IF(ISNUMBER(BI394),BI394,               IF(ISTEXT(BI394),INDEX(AZ394:BG394,MATCH(BI394,$AZ$12:$BG$12,0)),             IF(BH394="INT",_xll.qInterp(X395,AB394:AI394,AZ394:BG394),            INDEX(AZ394:BG394,MATCH(BH394,$AZ$12:$BG$12,0))))))</f>
        <v>0</v>
      </c>
      <c r="BK394" s="408">
        <f t="shared" si="99"/>
        <v>0</v>
      </c>
      <c r="BL394" s="414">
        <f t="shared" si="100"/>
        <v>0</v>
      </c>
      <c r="BM394" s="408">
        <f t="shared" si="101"/>
        <v>0</v>
      </c>
    </row>
    <row r="395" spans="16:65">
      <c r="P395" s="781">
        <v>0</v>
      </c>
      <c r="Q395" s="780">
        <f t="shared" si="85"/>
        <v>0</v>
      </c>
      <c r="R395" s="776">
        <f>IF(P396,_xll.qDateYears(P395,P396,DCCfixed),0)</f>
        <v>0</v>
      </c>
      <c r="S395" s="553">
        <v>0</v>
      </c>
      <c r="T395" s="785"/>
      <c r="U395" s="409">
        <f t="shared" si="95"/>
        <v>0</v>
      </c>
      <c r="X395" s="363">
        <v>0</v>
      </c>
      <c r="Y395" s="775">
        <f t="shared" si="86"/>
        <v>0</v>
      </c>
      <c r="Z395" s="776">
        <f>IF(X396,_xll.qDateYears(X395,X396,DCCfloat),0)</f>
        <v>0</v>
      </c>
      <c r="AA395" s="553">
        <v>0</v>
      </c>
      <c r="AB395" s="789">
        <f>IF($X395=0,0,      _xll.qDateNext($X395,AB$12,"M",FRM&lt;&gt;"Calypso",CCY))</f>
        <v>0</v>
      </c>
      <c r="AC395" s="789">
        <f>IF($X395=0,0,      _xll.qDateNext($X395,AC$12,"M",FRM&lt;&gt;"Calypso",CCY))</f>
        <v>0</v>
      </c>
      <c r="AD395" s="789">
        <f>IF($X395=0,0,      _xll.qDateNext($X395,AD$12,"M",FRM&lt;&gt;"Calypso",CCY))</f>
        <v>0</v>
      </c>
      <c r="AE395" s="789">
        <f>IF($X395=0,0,      _xll.qDateNext($X395,AE$12,"M",FRM&lt;&gt;"Calypso",CCY))</f>
        <v>0</v>
      </c>
      <c r="AF395" s="789">
        <f>IF($X395=0,0,      _xll.qDateNext($X395,AF$12,"M",FRM&lt;&gt;"Calypso",CCY))</f>
        <v>0</v>
      </c>
      <c r="AG395" s="789">
        <f>IF($X395=0,0,      _xll.qDateNext($X395,AG$12,"M",FRM&lt;&gt;"Calypso",CCY))</f>
        <v>0</v>
      </c>
      <c r="AH395" s="789">
        <f>IF($X395=0,0,      _xll.qDateNext($X395,AH$12,"M",FRM&lt;&gt;"Calypso",CCY))</f>
        <v>0</v>
      </c>
      <c r="AI395" s="789">
        <f>IF($X395=0,0,      _xll.qDateNext($X395,AI$12,"M",FRM&lt;&gt;"Calypso",CCY))</f>
        <v>0</v>
      </c>
      <c r="AJ395" s="529" t="str">
        <v/>
      </c>
      <c r="AK395" s="529" t="str">
        <v/>
      </c>
      <c r="AL395" s="529" t="str">
        <v/>
      </c>
      <c r="AM395" s="529" t="str">
        <v/>
      </c>
      <c r="AN395" s="529" t="str">
        <v/>
      </c>
      <c r="AO395" s="529" t="str">
        <v/>
      </c>
      <c r="AP395" s="529" t="str">
        <v/>
      </c>
      <c r="AQ395" s="529" t="str">
        <v/>
      </c>
      <c r="AR395" s="529">
        <v>0</v>
      </c>
      <c r="AS395" s="529">
        <v>0</v>
      </c>
      <c r="AT395" s="529">
        <f t="shared" si="96"/>
        <v>0</v>
      </c>
      <c r="AU395" s="529">
        <v>0</v>
      </c>
      <c r="AV395" s="529">
        <f t="shared" si="97"/>
        <v>0</v>
      </c>
      <c r="AW395" s="529">
        <f t="shared" si="98"/>
        <v>0</v>
      </c>
      <c r="AX395" s="529">
        <v>0</v>
      </c>
      <c r="AY395" s="529">
        <v>0</v>
      </c>
      <c r="AZ395" s="761">
        <f t="shared" si="87"/>
        <v>0</v>
      </c>
      <c r="BA395" s="761">
        <f t="shared" si="88"/>
        <v>0</v>
      </c>
      <c r="BB395" s="761">
        <f t="shared" si="89"/>
        <v>0</v>
      </c>
      <c r="BC395" s="761">
        <f t="shared" si="90"/>
        <v>0</v>
      </c>
      <c r="BD395" s="761">
        <f t="shared" si="91"/>
        <v>0</v>
      </c>
      <c r="BE395" s="761">
        <f t="shared" si="92"/>
        <v>0</v>
      </c>
      <c r="BF395" s="761">
        <f t="shared" si="93"/>
        <v>0</v>
      </c>
      <c r="BG395" s="761">
        <f t="shared" si="94"/>
        <v>0</v>
      </c>
      <c r="BH395" s="777">
        <v>0</v>
      </c>
      <c r="BI395" s="755"/>
      <c r="BJ395" s="778">
        <f>IF(X396=0,0,           IF(ISNUMBER(BI395),BI395,               IF(ISTEXT(BI395),INDEX(AZ395:BG395,MATCH(BI395,$AZ$12:$BG$12,0)),             IF(BH395="INT",_xll.qInterp(X396,AB395:AI395,AZ395:BG395),            INDEX(AZ395:BG395,MATCH(BH395,$AZ$12:$BG$12,0))))))</f>
        <v>0</v>
      </c>
      <c r="BK395" s="408">
        <f t="shared" si="99"/>
        <v>0</v>
      </c>
      <c r="BL395" s="414">
        <f t="shared" si="100"/>
        <v>0</v>
      </c>
      <c r="BM395" s="408">
        <f t="shared" si="101"/>
        <v>0</v>
      </c>
    </row>
    <row r="396" spans="16:65">
      <c r="P396" s="781">
        <v>0</v>
      </c>
      <c r="Q396" s="780">
        <f t="shared" si="85"/>
        <v>0</v>
      </c>
      <c r="R396" s="776">
        <f>IF(P397,_xll.qDateYears(P396,P397,DCCfixed),0)</f>
        <v>0</v>
      </c>
      <c r="S396" s="553">
        <v>0</v>
      </c>
      <c r="T396" s="785"/>
      <c r="U396" s="409">
        <f t="shared" si="95"/>
        <v>0</v>
      </c>
      <c r="X396" s="363">
        <v>0</v>
      </c>
      <c r="Y396" s="775">
        <f t="shared" si="86"/>
        <v>0</v>
      </c>
      <c r="Z396" s="776">
        <f>IF(X397,_xll.qDateYears(X396,X397,DCCfloat),0)</f>
        <v>0</v>
      </c>
      <c r="AA396" s="553">
        <v>0</v>
      </c>
      <c r="AB396" s="789">
        <f>IF($X396=0,0,      _xll.qDateNext($X396,AB$12,"M",FRM&lt;&gt;"Calypso",CCY))</f>
        <v>0</v>
      </c>
      <c r="AC396" s="789">
        <f>IF($X396=0,0,      _xll.qDateNext($X396,AC$12,"M",FRM&lt;&gt;"Calypso",CCY))</f>
        <v>0</v>
      </c>
      <c r="AD396" s="789">
        <f>IF($X396=0,0,      _xll.qDateNext($X396,AD$12,"M",FRM&lt;&gt;"Calypso",CCY))</f>
        <v>0</v>
      </c>
      <c r="AE396" s="789">
        <f>IF($X396=0,0,      _xll.qDateNext($X396,AE$12,"M",FRM&lt;&gt;"Calypso",CCY))</f>
        <v>0</v>
      </c>
      <c r="AF396" s="789">
        <f>IF($X396=0,0,      _xll.qDateNext($X396,AF$12,"M",FRM&lt;&gt;"Calypso",CCY))</f>
        <v>0</v>
      </c>
      <c r="AG396" s="789">
        <f>IF($X396=0,0,      _xll.qDateNext($X396,AG$12,"M",FRM&lt;&gt;"Calypso",CCY))</f>
        <v>0</v>
      </c>
      <c r="AH396" s="789">
        <f>IF($X396=0,0,      _xll.qDateNext($X396,AH$12,"M",FRM&lt;&gt;"Calypso",CCY))</f>
        <v>0</v>
      </c>
      <c r="AI396" s="789">
        <f>IF($X396=0,0,      _xll.qDateNext($X396,AI$12,"M",FRM&lt;&gt;"Calypso",CCY))</f>
        <v>0</v>
      </c>
      <c r="AJ396" s="529" t="str">
        <v/>
      </c>
      <c r="AK396" s="529" t="str">
        <v/>
      </c>
      <c r="AL396" s="529" t="str">
        <v/>
      </c>
      <c r="AM396" s="529" t="str">
        <v/>
      </c>
      <c r="AN396" s="529" t="str">
        <v/>
      </c>
      <c r="AO396" s="529" t="str">
        <v/>
      </c>
      <c r="AP396" s="529" t="str">
        <v/>
      </c>
      <c r="AQ396" s="529" t="str">
        <v/>
      </c>
      <c r="AR396" s="529">
        <v>0</v>
      </c>
      <c r="AS396" s="529">
        <v>0</v>
      </c>
      <c r="AT396" s="529">
        <f t="shared" si="96"/>
        <v>0</v>
      </c>
      <c r="AU396" s="529">
        <v>0</v>
      </c>
      <c r="AV396" s="529">
        <f t="shared" si="97"/>
        <v>0</v>
      </c>
      <c r="AW396" s="529">
        <f t="shared" si="98"/>
        <v>0</v>
      </c>
      <c r="AX396" s="529">
        <v>0</v>
      </c>
      <c r="AY396" s="529">
        <v>0</v>
      </c>
      <c r="AZ396" s="761">
        <f t="shared" si="87"/>
        <v>0</v>
      </c>
      <c r="BA396" s="761">
        <f t="shared" si="88"/>
        <v>0</v>
      </c>
      <c r="BB396" s="761">
        <f t="shared" si="89"/>
        <v>0</v>
      </c>
      <c r="BC396" s="761">
        <f t="shared" si="90"/>
        <v>0</v>
      </c>
      <c r="BD396" s="761">
        <f t="shared" si="91"/>
        <v>0</v>
      </c>
      <c r="BE396" s="761">
        <f t="shared" si="92"/>
        <v>0</v>
      </c>
      <c r="BF396" s="761">
        <f t="shared" si="93"/>
        <v>0</v>
      </c>
      <c r="BG396" s="761">
        <f t="shared" si="94"/>
        <v>0</v>
      </c>
      <c r="BH396" s="777">
        <v>0</v>
      </c>
      <c r="BI396" s="755"/>
      <c r="BJ396" s="778">
        <f>IF(X397=0,0,           IF(ISNUMBER(BI396),BI396,               IF(ISTEXT(BI396),INDEX(AZ396:BG396,MATCH(BI396,$AZ$12:$BG$12,0)),             IF(BH396="INT",_xll.qInterp(X397,AB396:AI396,AZ396:BG396),            INDEX(AZ396:BG396,MATCH(BH396,$AZ$12:$BG$12,0))))))</f>
        <v>0</v>
      </c>
      <c r="BK396" s="408">
        <f t="shared" si="99"/>
        <v>0</v>
      </c>
      <c r="BL396" s="414">
        <f t="shared" si="100"/>
        <v>0</v>
      </c>
      <c r="BM396" s="408">
        <f t="shared" si="101"/>
        <v>0</v>
      </c>
    </row>
    <row r="397" spans="16:65">
      <c r="P397" s="781">
        <v>0</v>
      </c>
      <c r="Q397" s="780">
        <f t="shared" ref="Q397:Q460" si="102">IF(P398,IF(LEFT(DCCfixed,3)="Act",P398-P397,DAYS360(P397,P398)),0)</f>
        <v>0</v>
      </c>
      <c r="R397" s="776">
        <f>IF(P398,_xll.qDateYears(P397,P398,DCCfixed),0)</f>
        <v>0</v>
      </c>
      <c r="S397" s="553">
        <v>0</v>
      </c>
      <c r="T397" s="785"/>
      <c r="U397" s="409">
        <f t="shared" si="95"/>
        <v>0</v>
      </c>
      <c r="X397" s="363">
        <v>0</v>
      </c>
      <c r="Y397" s="775">
        <f t="shared" ref="Y397:Y460" si="103">IF(X398,IF(LEFT(DCCfloat,3)="Act",X398-X397,DAYS360(X397,X398)),0)</f>
        <v>0</v>
      </c>
      <c r="Z397" s="776">
        <f>IF(X398,_xll.qDateYears(X397,X398,DCCfloat),0)</f>
        <v>0</v>
      </c>
      <c r="AA397" s="553">
        <v>0</v>
      </c>
      <c r="AB397" s="789">
        <f>IF($X397=0,0,      _xll.qDateNext($X397,AB$12,"M",FRM&lt;&gt;"Calypso",CCY))</f>
        <v>0</v>
      </c>
      <c r="AC397" s="789">
        <f>IF($X397=0,0,      _xll.qDateNext($X397,AC$12,"M",FRM&lt;&gt;"Calypso",CCY))</f>
        <v>0</v>
      </c>
      <c r="AD397" s="789">
        <f>IF($X397=0,0,      _xll.qDateNext($X397,AD$12,"M",FRM&lt;&gt;"Calypso",CCY))</f>
        <v>0</v>
      </c>
      <c r="AE397" s="789">
        <f>IF($X397=0,0,      _xll.qDateNext($X397,AE$12,"M",FRM&lt;&gt;"Calypso",CCY))</f>
        <v>0</v>
      </c>
      <c r="AF397" s="789">
        <f>IF($X397=0,0,      _xll.qDateNext($X397,AF$12,"M",FRM&lt;&gt;"Calypso",CCY))</f>
        <v>0</v>
      </c>
      <c r="AG397" s="789">
        <f>IF($X397=0,0,      _xll.qDateNext($X397,AG$12,"M",FRM&lt;&gt;"Calypso",CCY))</f>
        <v>0</v>
      </c>
      <c r="AH397" s="789">
        <f>IF($X397=0,0,      _xll.qDateNext($X397,AH$12,"M",FRM&lt;&gt;"Calypso",CCY))</f>
        <v>0</v>
      </c>
      <c r="AI397" s="789">
        <f>IF($X397=0,0,      _xll.qDateNext($X397,AI$12,"M",FRM&lt;&gt;"Calypso",CCY))</f>
        <v>0</v>
      </c>
      <c r="AJ397" s="529" t="str">
        <v/>
      </c>
      <c r="AK397" s="529" t="str">
        <v/>
      </c>
      <c r="AL397" s="529" t="str">
        <v/>
      </c>
      <c r="AM397" s="529" t="str">
        <v/>
      </c>
      <c r="AN397" s="529" t="str">
        <v/>
      </c>
      <c r="AO397" s="529" t="str">
        <v/>
      </c>
      <c r="AP397" s="529" t="str">
        <v/>
      </c>
      <c r="AQ397" s="529" t="str">
        <v/>
      </c>
      <c r="AR397" s="529">
        <v>0</v>
      </c>
      <c r="AS397" s="529">
        <v>0</v>
      </c>
      <c r="AT397" s="529">
        <f t="shared" si="96"/>
        <v>0</v>
      </c>
      <c r="AU397" s="529">
        <v>0</v>
      </c>
      <c r="AV397" s="529">
        <f t="shared" si="97"/>
        <v>0</v>
      </c>
      <c r="AW397" s="529">
        <f t="shared" si="98"/>
        <v>0</v>
      </c>
      <c r="AX397" s="529">
        <v>0</v>
      </c>
      <c r="AY397" s="529">
        <v>0</v>
      </c>
      <c r="AZ397" s="761">
        <f t="shared" ref="AZ397:AZ460" si="104">IF($X397=0,0,   IF(ISNUMBER(AJ397),AJ397,AR397))</f>
        <v>0</v>
      </c>
      <c r="BA397" s="761">
        <f t="shared" ref="BA397:BA460" si="105">IF($X397=0,0,   IF(ISNUMBER(AK397),AK397,AS397))</f>
        <v>0</v>
      </c>
      <c r="BB397" s="761">
        <f t="shared" ref="BB397:BB460" si="106">IF($X397=0,0,   IF(ISNUMBER(AL397),AL397,AT397))</f>
        <v>0</v>
      </c>
      <c r="BC397" s="761">
        <f t="shared" ref="BC397:BC460" si="107">IF($X397=0,0,   IF(ISNUMBER(AM397),AM397,AU397))</f>
        <v>0</v>
      </c>
      <c r="BD397" s="761">
        <f t="shared" ref="BD397:BD460" si="108">IF($X397=0,0,   IF(ISNUMBER(AN397),AN397,AV397))</f>
        <v>0</v>
      </c>
      <c r="BE397" s="761">
        <f t="shared" ref="BE397:BE460" si="109">IF($X397=0,0,   IF(ISNUMBER(AO397),AO397,AW397))</f>
        <v>0</v>
      </c>
      <c r="BF397" s="761">
        <f t="shared" ref="BF397:BF460" si="110">IF($X397=0,0,   IF(ISNUMBER(AP397),AP397,AX397))</f>
        <v>0</v>
      </c>
      <c r="BG397" s="761">
        <f t="shared" ref="BG397:BG460" si="111">IF($X397=0,0,   IF(ISNUMBER(AQ397),AQ397,AY397))</f>
        <v>0</v>
      </c>
      <c r="BH397" s="777">
        <v>0</v>
      </c>
      <c r="BI397" s="755"/>
      <c r="BJ397" s="778">
        <f>IF(X398=0,0,           IF(ISNUMBER(BI397),BI397,               IF(ISTEXT(BI397),INDEX(AZ397:BG397,MATCH(BI397,$AZ$12:$BG$12,0)),             IF(BH397="INT",_xll.qInterp(X398,AB397:AI397,AZ397:BG397),            INDEX(AZ397:BG397,MATCH(BH397,$AZ$12:$BG$12,0))))))</f>
        <v>0</v>
      </c>
      <c r="BK397" s="408">
        <f t="shared" si="99"/>
        <v>0</v>
      </c>
      <c r="BL397" s="414">
        <f t="shared" si="100"/>
        <v>0</v>
      </c>
      <c r="BM397" s="408">
        <f t="shared" si="101"/>
        <v>0</v>
      </c>
    </row>
    <row r="398" spans="16:65">
      <c r="P398" s="781">
        <v>0</v>
      </c>
      <c r="Q398" s="780">
        <f t="shared" si="102"/>
        <v>0</v>
      </c>
      <c r="R398" s="776">
        <f>IF(P399,_xll.qDateYears(P398,P399,DCCfixed),0)</f>
        <v>0</v>
      </c>
      <c r="S398" s="553">
        <v>0</v>
      </c>
      <c r="T398" s="785"/>
      <c r="U398" s="409">
        <f t="shared" ref="U398:U461" si="112">IF(P398,$U$5%*R397*Face,0) + IF(AND(IncludePrincipals,P398&gt;0,P399=0),Face,0) + IF(P398,T398,0)</f>
        <v>0</v>
      </c>
      <c r="X398" s="363">
        <v>0</v>
      </c>
      <c r="Y398" s="775">
        <f t="shared" si="103"/>
        <v>0</v>
      </c>
      <c r="Z398" s="776">
        <f>IF(X399,_xll.qDateYears(X398,X399,DCCfloat),0)</f>
        <v>0</v>
      </c>
      <c r="AA398" s="553">
        <v>0</v>
      </c>
      <c r="AB398" s="789">
        <f>IF($X398=0,0,      _xll.qDateNext($X398,AB$12,"M",FRM&lt;&gt;"Calypso",CCY))</f>
        <v>0</v>
      </c>
      <c r="AC398" s="789">
        <f>IF($X398=0,0,      _xll.qDateNext($X398,AC$12,"M",FRM&lt;&gt;"Calypso",CCY))</f>
        <v>0</v>
      </c>
      <c r="AD398" s="789">
        <f>IF($X398=0,0,      _xll.qDateNext($X398,AD$12,"M",FRM&lt;&gt;"Calypso",CCY))</f>
        <v>0</v>
      </c>
      <c r="AE398" s="789">
        <f>IF($X398=0,0,      _xll.qDateNext($X398,AE$12,"M",FRM&lt;&gt;"Calypso",CCY))</f>
        <v>0</v>
      </c>
      <c r="AF398" s="789">
        <f>IF($X398=0,0,      _xll.qDateNext($X398,AF$12,"M",FRM&lt;&gt;"Calypso",CCY))</f>
        <v>0</v>
      </c>
      <c r="AG398" s="789">
        <f>IF($X398=0,0,      _xll.qDateNext($X398,AG$12,"M",FRM&lt;&gt;"Calypso",CCY))</f>
        <v>0</v>
      </c>
      <c r="AH398" s="789">
        <f>IF($X398=0,0,      _xll.qDateNext($X398,AH$12,"M",FRM&lt;&gt;"Calypso",CCY))</f>
        <v>0</v>
      </c>
      <c r="AI398" s="789">
        <f>IF($X398=0,0,      _xll.qDateNext($X398,AI$12,"M",FRM&lt;&gt;"Calypso",CCY))</f>
        <v>0</v>
      </c>
      <c r="AJ398" s="529" t="str">
        <v/>
      </c>
      <c r="AK398" s="529" t="str">
        <v/>
      </c>
      <c r="AL398" s="529" t="str">
        <v/>
      </c>
      <c r="AM398" s="529" t="str">
        <v/>
      </c>
      <c r="AN398" s="529" t="str">
        <v/>
      </c>
      <c r="AO398" s="529" t="str">
        <v/>
      </c>
      <c r="AP398" s="529" t="str">
        <v/>
      </c>
      <c r="AQ398" s="529" t="str">
        <v/>
      </c>
      <c r="AR398" s="529">
        <v>0</v>
      </c>
      <c r="AS398" s="529">
        <v>0</v>
      </c>
      <c r="AT398" s="529">
        <f t="shared" ref="AT398:AT461" si="113">IF($X398,AVERAGE(AS398,AU398),0)</f>
        <v>0</v>
      </c>
      <c r="AU398" s="529">
        <v>0</v>
      </c>
      <c r="AV398" s="529">
        <f t="shared" ref="AV398:AV461" si="114">IF($X398,AU398+(AX398-AU398)/3,0)</f>
        <v>0</v>
      </c>
      <c r="AW398" s="529">
        <f t="shared" ref="AW398:AW461" si="115">IF($X398,AVERAGE(AV398,AX398),0)</f>
        <v>0</v>
      </c>
      <c r="AX398" s="529">
        <v>0</v>
      </c>
      <c r="AY398" s="529">
        <v>0</v>
      </c>
      <c r="AZ398" s="761">
        <f t="shared" si="104"/>
        <v>0</v>
      </c>
      <c r="BA398" s="761">
        <f t="shared" si="105"/>
        <v>0</v>
      </c>
      <c r="BB398" s="761">
        <f t="shared" si="106"/>
        <v>0</v>
      </c>
      <c r="BC398" s="761">
        <f t="shared" si="107"/>
        <v>0</v>
      </c>
      <c r="BD398" s="761">
        <f t="shared" si="108"/>
        <v>0</v>
      </c>
      <c r="BE398" s="761">
        <f t="shared" si="109"/>
        <v>0</v>
      </c>
      <c r="BF398" s="761">
        <f t="shared" si="110"/>
        <v>0</v>
      </c>
      <c r="BG398" s="761">
        <f t="shared" si="111"/>
        <v>0</v>
      </c>
      <c r="BH398" s="777">
        <v>0</v>
      </c>
      <c r="BI398" s="755"/>
      <c r="BJ398" s="778">
        <f>IF(X399=0,0,           IF(ISNUMBER(BI398),BI398,               IF(ISTEXT(BI398),INDEX(AZ398:BG398,MATCH(BI398,$AZ$12:$BG$12,0)),             IF(BH398="INT",_xll.qInterp(X399,AB398:AI398,AZ398:BG398),            INDEX(AZ398:BG398,MATCH(BH398,$AZ$12:$BG$12,0))))))</f>
        <v>0</v>
      </c>
      <c r="BK398" s="408">
        <f t="shared" ref="BK398:BK461" si="116">IF(X398,-BJ397%*Face*Z397,0)</f>
        <v>0</v>
      </c>
      <c r="BL398" s="414">
        <f t="shared" ref="BL398:BL461" si="117">IF(X398,-Margin%%*Z397*Face,0)</f>
        <v>0</v>
      </c>
      <c r="BM398" s="408">
        <f t="shared" ref="BM398:BM461" si="118">SUM(BK398:BL398)+IF(AND(IncludePrincipals,X398&lt;&gt;0,X399=0),-Face,0)</f>
        <v>0</v>
      </c>
    </row>
    <row r="399" spans="16:65">
      <c r="P399" s="781">
        <v>0</v>
      </c>
      <c r="Q399" s="780">
        <f t="shared" si="102"/>
        <v>0</v>
      </c>
      <c r="R399" s="776">
        <f>IF(P400,_xll.qDateYears(P399,P400,DCCfixed),0)</f>
        <v>0</v>
      </c>
      <c r="S399" s="553">
        <v>0</v>
      </c>
      <c r="T399" s="785"/>
      <c r="U399" s="409">
        <f t="shared" si="112"/>
        <v>0</v>
      </c>
      <c r="X399" s="363">
        <v>0</v>
      </c>
      <c r="Y399" s="775">
        <f t="shared" si="103"/>
        <v>0</v>
      </c>
      <c r="Z399" s="776">
        <f>IF(X400,_xll.qDateYears(X399,X400,DCCfloat),0)</f>
        <v>0</v>
      </c>
      <c r="AA399" s="553">
        <v>0</v>
      </c>
      <c r="AB399" s="789">
        <f>IF($X399=0,0,      _xll.qDateNext($X399,AB$12,"M",FRM&lt;&gt;"Calypso",CCY))</f>
        <v>0</v>
      </c>
      <c r="AC399" s="789">
        <f>IF($X399=0,0,      _xll.qDateNext($X399,AC$12,"M",FRM&lt;&gt;"Calypso",CCY))</f>
        <v>0</v>
      </c>
      <c r="AD399" s="789">
        <f>IF($X399=0,0,      _xll.qDateNext($X399,AD$12,"M",FRM&lt;&gt;"Calypso",CCY))</f>
        <v>0</v>
      </c>
      <c r="AE399" s="789">
        <f>IF($X399=0,0,      _xll.qDateNext($X399,AE$12,"M",FRM&lt;&gt;"Calypso",CCY))</f>
        <v>0</v>
      </c>
      <c r="AF399" s="789">
        <f>IF($X399=0,0,      _xll.qDateNext($X399,AF$12,"M",FRM&lt;&gt;"Calypso",CCY))</f>
        <v>0</v>
      </c>
      <c r="AG399" s="789">
        <f>IF($X399=0,0,      _xll.qDateNext($X399,AG$12,"M",FRM&lt;&gt;"Calypso",CCY))</f>
        <v>0</v>
      </c>
      <c r="AH399" s="789">
        <f>IF($X399=0,0,      _xll.qDateNext($X399,AH$12,"M",FRM&lt;&gt;"Calypso",CCY))</f>
        <v>0</v>
      </c>
      <c r="AI399" s="789">
        <f>IF($X399=0,0,      _xll.qDateNext($X399,AI$12,"M",FRM&lt;&gt;"Calypso",CCY))</f>
        <v>0</v>
      </c>
      <c r="AJ399" s="529" t="str">
        <v/>
      </c>
      <c r="AK399" s="529" t="str">
        <v/>
      </c>
      <c r="AL399" s="529" t="str">
        <v/>
      </c>
      <c r="AM399" s="529" t="str">
        <v/>
      </c>
      <c r="AN399" s="529" t="str">
        <v/>
      </c>
      <c r="AO399" s="529" t="str">
        <v/>
      </c>
      <c r="AP399" s="529" t="str">
        <v/>
      </c>
      <c r="AQ399" s="529" t="str">
        <v/>
      </c>
      <c r="AR399" s="529">
        <v>0</v>
      </c>
      <c r="AS399" s="529">
        <v>0</v>
      </c>
      <c r="AT399" s="529">
        <f t="shared" si="113"/>
        <v>0</v>
      </c>
      <c r="AU399" s="529">
        <v>0</v>
      </c>
      <c r="AV399" s="529">
        <f t="shared" si="114"/>
        <v>0</v>
      </c>
      <c r="AW399" s="529">
        <f t="shared" si="115"/>
        <v>0</v>
      </c>
      <c r="AX399" s="529">
        <v>0</v>
      </c>
      <c r="AY399" s="529">
        <v>0</v>
      </c>
      <c r="AZ399" s="761">
        <f t="shared" si="104"/>
        <v>0</v>
      </c>
      <c r="BA399" s="761">
        <f t="shared" si="105"/>
        <v>0</v>
      </c>
      <c r="BB399" s="761">
        <f t="shared" si="106"/>
        <v>0</v>
      </c>
      <c r="BC399" s="761">
        <f t="shared" si="107"/>
        <v>0</v>
      </c>
      <c r="BD399" s="761">
        <f t="shared" si="108"/>
        <v>0</v>
      </c>
      <c r="BE399" s="761">
        <f t="shared" si="109"/>
        <v>0</v>
      </c>
      <c r="BF399" s="761">
        <f t="shared" si="110"/>
        <v>0</v>
      </c>
      <c r="BG399" s="761">
        <f t="shared" si="111"/>
        <v>0</v>
      </c>
      <c r="BH399" s="777">
        <v>0</v>
      </c>
      <c r="BI399" s="755"/>
      <c r="BJ399" s="778">
        <f>IF(X400=0,0,           IF(ISNUMBER(BI399),BI399,               IF(ISTEXT(BI399),INDEX(AZ399:BG399,MATCH(BI399,$AZ$12:$BG$12,0)),             IF(BH399="INT",_xll.qInterp(X400,AB399:AI399,AZ399:BG399),            INDEX(AZ399:BG399,MATCH(BH399,$AZ$12:$BG$12,0))))))</f>
        <v>0</v>
      </c>
      <c r="BK399" s="408">
        <f t="shared" si="116"/>
        <v>0</v>
      </c>
      <c r="BL399" s="414">
        <f t="shared" si="117"/>
        <v>0</v>
      </c>
      <c r="BM399" s="408">
        <f t="shared" si="118"/>
        <v>0</v>
      </c>
    </row>
    <row r="400" spans="16:65">
      <c r="P400" s="781">
        <v>0</v>
      </c>
      <c r="Q400" s="780">
        <f t="shared" si="102"/>
        <v>0</v>
      </c>
      <c r="R400" s="776">
        <f>IF(P401,_xll.qDateYears(P400,P401,DCCfixed),0)</f>
        <v>0</v>
      </c>
      <c r="S400" s="553">
        <v>0</v>
      </c>
      <c r="T400" s="785"/>
      <c r="U400" s="409">
        <f t="shared" si="112"/>
        <v>0</v>
      </c>
      <c r="X400" s="363">
        <v>0</v>
      </c>
      <c r="Y400" s="775">
        <f t="shared" si="103"/>
        <v>0</v>
      </c>
      <c r="Z400" s="776">
        <f>IF(X401,_xll.qDateYears(X400,X401,DCCfloat),0)</f>
        <v>0</v>
      </c>
      <c r="AA400" s="553">
        <v>0</v>
      </c>
      <c r="AB400" s="789">
        <f>IF($X400=0,0,      _xll.qDateNext($X400,AB$12,"M",FRM&lt;&gt;"Calypso",CCY))</f>
        <v>0</v>
      </c>
      <c r="AC400" s="789">
        <f>IF($X400=0,0,      _xll.qDateNext($X400,AC$12,"M",FRM&lt;&gt;"Calypso",CCY))</f>
        <v>0</v>
      </c>
      <c r="AD400" s="789">
        <f>IF($X400=0,0,      _xll.qDateNext($X400,AD$12,"M",FRM&lt;&gt;"Calypso",CCY))</f>
        <v>0</v>
      </c>
      <c r="AE400" s="789">
        <f>IF($X400=0,0,      _xll.qDateNext($X400,AE$12,"M",FRM&lt;&gt;"Calypso",CCY))</f>
        <v>0</v>
      </c>
      <c r="AF400" s="789">
        <f>IF($X400=0,0,      _xll.qDateNext($X400,AF$12,"M",FRM&lt;&gt;"Calypso",CCY))</f>
        <v>0</v>
      </c>
      <c r="AG400" s="789">
        <f>IF($X400=0,0,      _xll.qDateNext($X400,AG$12,"M",FRM&lt;&gt;"Calypso",CCY))</f>
        <v>0</v>
      </c>
      <c r="AH400" s="789">
        <f>IF($X400=0,0,      _xll.qDateNext($X400,AH$12,"M",FRM&lt;&gt;"Calypso",CCY))</f>
        <v>0</v>
      </c>
      <c r="AI400" s="789">
        <f>IF($X400=0,0,      _xll.qDateNext($X400,AI$12,"M",FRM&lt;&gt;"Calypso",CCY))</f>
        <v>0</v>
      </c>
      <c r="AJ400" s="529" t="str">
        <v/>
      </c>
      <c r="AK400" s="529" t="str">
        <v/>
      </c>
      <c r="AL400" s="529" t="str">
        <v/>
      </c>
      <c r="AM400" s="529" t="str">
        <v/>
      </c>
      <c r="AN400" s="529" t="str">
        <v/>
      </c>
      <c r="AO400" s="529" t="str">
        <v/>
      </c>
      <c r="AP400" s="529" t="str">
        <v/>
      </c>
      <c r="AQ400" s="529" t="str">
        <v/>
      </c>
      <c r="AR400" s="529">
        <v>0</v>
      </c>
      <c r="AS400" s="529">
        <v>0</v>
      </c>
      <c r="AT400" s="529">
        <f t="shared" si="113"/>
        <v>0</v>
      </c>
      <c r="AU400" s="529">
        <v>0</v>
      </c>
      <c r="AV400" s="529">
        <f t="shared" si="114"/>
        <v>0</v>
      </c>
      <c r="AW400" s="529">
        <f t="shared" si="115"/>
        <v>0</v>
      </c>
      <c r="AX400" s="529">
        <v>0</v>
      </c>
      <c r="AY400" s="529">
        <v>0</v>
      </c>
      <c r="AZ400" s="761">
        <f t="shared" si="104"/>
        <v>0</v>
      </c>
      <c r="BA400" s="761">
        <f t="shared" si="105"/>
        <v>0</v>
      </c>
      <c r="BB400" s="761">
        <f t="shared" si="106"/>
        <v>0</v>
      </c>
      <c r="BC400" s="761">
        <f t="shared" si="107"/>
        <v>0</v>
      </c>
      <c r="BD400" s="761">
        <f t="shared" si="108"/>
        <v>0</v>
      </c>
      <c r="BE400" s="761">
        <f t="shared" si="109"/>
        <v>0</v>
      </c>
      <c r="BF400" s="761">
        <f t="shared" si="110"/>
        <v>0</v>
      </c>
      <c r="BG400" s="761">
        <f t="shared" si="111"/>
        <v>0</v>
      </c>
      <c r="BH400" s="777">
        <v>0</v>
      </c>
      <c r="BI400" s="755"/>
      <c r="BJ400" s="778">
        <f>IF(X401=0,0,           IF(ISNUMBER(BI400),BI400,               IF(ISTEXT(BI400),INDEX(AZ400:BG400,MATCH(BI400,$AZ$12:$BG$12,0)),             IF(BH400="INT",_xll.qInterp(X401,AB400:AI400,AZ400:BG400),            INDEX(AZ400:BG400,MATCH(BH400,$AZ$12:$BG$12,0))))))</f>
        <v>0</v>
      </c>
      <c r="BK400" s="408">
        <f t="shared" si="116"/>
        <v>0</v>
      </c>
      <c r="BL400" s="414">
        <f t="shared" si="117"/>
        <v>0</v>
      </c>
      <c r="BM400" s="408">
        <f t="shared" si="118"/>
        <v>0</v>
      </c>
    </row>
    <row r="401" spans="16:65">
      <c r="P401" s="781">
        <v>0</v>
      </c>
      <c r="Q401" s="780">
        <f t="shared" si="102"/>
        <v>0</v>
      </c>
      <c r="R401" s="776">
        <f>IF(P402,_xll.qDateYears(P401,P402,DCCfixed),0)</f>
        <v>0</v>
      </c>
      <c r="S401" s="553">
        <v>0</v>
      </c>
      <c r="T401" s="785"/>
      <c r="U401" s="409">
        <f t="shared" si="112"/>
        <v>0</v>
      </c>
      <c r="X401" s="363">
        <v>0</v>
      </c>
      <c r="Y401" s="775">
        <f t="shared" si="103"/>
        <v>0</v>
      </c>
      <c r="Z401" s="776">
        <f>IF(X402,_xll.qDateYears(X401,X402,DCCfloat),0)</f>
        <v>0</v>
      </c>
      <c r="AA401" s="553">
        <v>0</v>
      </c>
      <c r="AB401" s="789">
        <f>IF($X401=0,0,      _xll.qDateNext($X401,AB$12,"M",FRM&lt;&gt;"Calypso",CCY))</f>
        <v>0</v>
      </c>
      <c r="AC401" s="789">
        <f>IF($X401=0,0,      _xll.qDateNext($X401,AC$12,"M",FRM&lt;&gt;"Calypso",CCY))</f>
        <v>0</v>
      </c>
      <c r="AD401" s="789">
        <f>IF($X401=0,0,      _xll.qDateNext($X401,AD$12,"M",FRM&lt;&gt;"Calypso",CCY))</f>
        <v>0</v>
      </c>
      <c r="AE401" s="789">
        <f>IF($X401=0,0,      _xll.qDateNext($X401,AE$12,"M",FRM&lt;&gt;"Calypso",CCY))</f>
        <v>0</v>
      </c>
      <c r="AF401" s="789">
        <f>IF($X401=0,0,      _xll.qDateNext($X401,AF$12,"M",FRM&lt;&gt;"Calypso",CCY))</f>
        <v>0</v>
      </c>
      <c r="AG401" s="789">
        <f>IF($X401=0,0,      _xll.qDateNext($X401,AG$12,"M",FRM&lt;&gt;"Calypso",CCY))</f>
        <v>0</v>
      </c>
      <c r="AH401" s="789">
        <f>IF($X401=0,0,      _xll.qDateNext($X401,AH$12,"M",FRM&lt;&gt;"Calypso",CCY))</f>
        <v>0</v>
      </c>
      <c r="AI401" s="789">
        <f>IF($X401=0,0,      _xll.qDateNext($X401,AI$12,"M",FRM&lt;&gt;"Calypso",CCY))</f>
        <v>0</v>
      </c>
      <c r="AJ401" s="529" t="str">
        <v/>
      </c>
      <c r="AK401" s="529" t="str">
        <v/>
      </c>
      <c r="AL401" s="529" t="str">
        <v/>
      </c>
      <c r="AM401" s="529" t="str">
        <v/>
      </c>
      <c r="AN401" s="529" t="str">
        <v/>
      </c>
      <c r="AO401" s="529" t="str">
        <v/>
      </c>
      <c r="AP401" s="529" t="str">
        <v/>
      </c>
      <c r="AQ401" s="529" t="str">
        <v/>
      </c>
      <c r="AR401" s="529">
        <v>0</v>
      </c>
      <c r="AS401" s="529">
        <v>0</v>
      </c>
      <c r="AT401" s="529">
        <f t="shared" si="113"/>
        <v>0</v>
      </c>
      <c r="AU401" s="529">
        <v>0</v>
      </c>
      <c r="AV401" s="529">
        <f t="shared" si="114"/>
        <v>0</v>
      </c>
      <c r="AW401" s="529">
        <f t="shared" si="115"/>
        <v>0</v>
      </c>
      <c r="AX401" s="529">
        <v>0</v>
      </c>
      <c r="AY401" s="529">
        <v>0</v>
      </c>
      <c r="AZ401" s="761">
        <f t="shared" si="104"/>
        <v>0</v>
      </c>
      <c r="BA401" s="761">
        <f t="shared" si="105"/>
        <v>0</v>
      </c>
      <c r="BB401" s="761">
        <f t="shared" si="106"/>
        <v>0</v>
      </c>
      <c r="BC401" s="761">
        <f t="shared" si="107"/>
        <v>0</v>
      </c>
      <c r="BD401" s="761">
        <f t="shared" si="108"/>
        <v>0</v>
      </c>
      <c r="BE401" s="761">
        <f t="shared" si="109"/>
        <v>0</v>
      </c>
      <c r="BF401" s="761">
        <f t="shared" si="110"/>
        <v>0</v>
      </c>
      <c r="BG401" s="761">
        <f t="shared" si="111"/>
        <v>0</v>
      </c>
      <c r="BH401" s="777">
        <v>0</v>
      </c>
      <c r="BI401" s="755"/>
      <c r="BJ401" s="778">
        <f>IF(X402=0,0,           IF(ISNUMBER(BI401),BI401,               IF(ISTEXT(BI401),INDEX(AZ401:BG401,MATCH(BI401,$AZ$12:$BG$12,0)),             IF(BH401="INT",_xll.qInterp(X402,AB401:AI401,AZ401:BG401),            INDEX(AZ401:BG401,MATCH(BH401,$AZ$12:$BG$12,0))))))</f>
        <v>0</v>
      </c>
      <c r="BK401" s="408">
        <f t="shared" si="116"/>
        <v>0</v>
      </c>
      <c r="BL401" s="414">
        <f t="shared" si="117"/>
        <v>0</v>
      </c>
      <c r="BM401" s="408">
        <f t="shared" si="118"/>
        <v>0</v>
      </c>
    </row>
    <row r="402" spans="16:65">
      <c r="P402" s="781">
        <v>0</v>
      </c>
      <c r="Q402" s="780">
        <f t="shared" si="102"/>
        <v>0</v>
      </c>
      <c r="R402" s="776">
        <f>IF(P403,_xll.qDateYears(P402,P403,DCCfixed),0)</f>
        <v>0</v>
      </c>
      <c r="S402" s="553">
        <v>0</v>
      </c>
      <c r="T402" s="785"/>
      <c r="U402" s="409">
        <f t="shared" si="112"/>
        <v>0</v>
      </c>
      <c r="X402" s="363">
        <v>0</v>
      </c>
      <c r="Y402" s="775">
        <f t="shared" si="103"/>
        <v>0</v>
      </c>
      <c r="Z402" s="776">
        <f>IF(X403,_xll.qDateYears(X402,X403,DCCfloat),0)</f>
        <v>0</v>
      </c>
      <c r="AA402" s="553">
        <v>0</v>
      </c>
      <c r="AB402" s="789">
        <f>IF($X402=0,0,      _xll.qDateNext($X402,AB$12,"M",FRM&lt;&gt;"Calypso",CCY))</f>
        <v>0</v>
      </c>
      <c r="AC402" s="789">
        <f>IF($X402=0,0,      _xll.qDateNext($X402,AC$12,"M",FRM&lt;&gt;"Calypso",CCY))</f>
        <v>0</v>
      </c>
      <c r="AD402" s="789">
        <f>IF($X402=0,0,      _xll.qDateNext($X402,AD$12,"M",FRM&lt;&gt;"Calypso",CCY))</f>
        <v>0</v>
      </c>
      <c r="AE402" s="789">
        <f>IF($X402=0,0,      _xll.qDateNext($X402,AE$12,"M",FRM&lt;&gt;"Calypso",CCY))</f>
        <v>0</v>
      </c>
      <c r="AF402" s="789">
        <f>IF($X402=0,0,      _xll.qDateNext($X402,AF$12,"M",FRM&lt;&gt;"Calypso",CCY))</f>
        <v>0</v>
      </c>
      <c r="AG402" s="789">
        <f>IF($X402=0,0,      _xll.qDateNext($X402,AG$12,"M",FRM&lt;&gt;"Calypso",CCY))</f>
        <v>0</v>
      </c>
      <c r="AH402" s="789">
        <f>IF($X402=0,0,      _xll.qDateNext($X402,AH$12,"M",FRM&lt;&gt;"Calypso",CCY))</f>
        <v>0</v>
      </c>
      <c r="AI402" s="789">
        <f>IF($X402=0,0,      _xll.qDateNext($X402,AI$12,"M",FRM&lt;&gt;"Calypso",CCY))</f>
        <v>0</v>
      </c>
      <c r="AJ402" s="529" t="str">
        <v/>
      </c>
      <c r="AK402" s="529" t="str">
        <v/>
      </c>
      <c r="AL402" s="529" t="str">
        <v/>
      </c>
      <c r="AM402" s="529" t="str">
        <v/>
      </c>
      <c r="AN402" s="529" t="str">
        <v/>
      </c>
      <c r="AO402" s="529" t="str">
        <v/>
      </c>
      <c r="AP402" s="529" t="str">
        <v/>
      </c>
      <c r="AQ402" s="529" t="str">
        <v/>
      </c>
      <c r="AR402" s="529">
        <v>0</v>
      </c>
      <c r="AS402" s="529">
        <v>0</v>
      </c>
      <c r="AT402" s="529">
        <f t="shared" si="113"/>
        <v>0</v>
      </c>
      <c r="AU402" s="529">
        <v>0</v>
      </c>
      <c r="AV402" s="529">
        <f t="shared" si="114"/>
        <v>0</v>
      </c>
      <c r="AW402" s="529">
        <f t="shared" si="115"/>
        <v>0</v>
      </c>
      <c r="AX402" s="529">
        <v>0</v>
      </c>
      <c r="AY402" s="529">
        <v>0</v>
      </c>
      <c r="AZ402" s="761">
        <f t="shared" si="104"/>
        <v>0</v>
      </c>
      <c r="BA402" s="761">
        <f t="shared" si="105"/>
        <v>0</v>
      </c>
      <c r="BB402" s="761">
        <f t="shared" si="106"/>
        <v>0</v>
      </c>
      <c r="BC402" s="761">
        <f t="shared" si="107"/>
        <v>0</v>
      </c>
      <c r="BD402" s="761">
        <f t="shared" si="108"/>
        <v>0</v>
      </c>
      <c r="BE402" s="761">
        <f t="shared" si="109"/>
        <v>0</v>
      </c>
      <c r="BF402" s="761">
        <f t="shared" si="110"/>
        <v>0</v>
      </c>
      <c r="BG402" s="761">
        <f t="shared" si="111"/>
        <v>0</v>
      </c>
      <c r="BH402" s="777">
        <v>0</v>
      </c>
      <c r="BI402" s="755"/>
      <c r="BJ402" s="778">
        <f>IF(X403=0,0,           IF(ISNUMBER(BI402),BI402,               IF(ISTEXT(BI402),INDEX(AZ402:BG402,MATCH(BI402,$AZ$12:$BG$12,0)),             IF(BH402="INT",_xll.qInterp(X403,AB402:AI402,AZ402:BG402),            INDEX(AZ402:BG402,MATCH(BH402,$AZ$12:$BG$12,0))))))</f>
        <v>0</v>
      </c>
      <c r="BK402" s="408">
        <f t="shared" si="116"/>
        <v>0</v>
      </c>
      <c r="BL402" s="414">
        <f t="shared" si="117"/>
        <v>0</v>
      </c>
      <c r="BM402" s="408">
        <f t="shared" si="118"/>
        <v>0</v>
      </c>
    </row>
    <row r="403" spans="16:65">
      <c r="P403" s="781">
        <v>0</v>
      </c>
      <c r="Q403" s="780">
        <f t="shared" si="102"/>
        <v>0</v>
      </c>
      <c r="R403" s="776">
        <f>IF(P404,_xll.qDateYears(P403,P404,DCCfixed),0)</f>
        <v>0</v>
      </c>
      <c r="S403" s="553">
        <v>0</v>
      </c>
      <c r="T403" s="785"/>
      <c r="U403" s="409">
        <f t="shared" si="112"/>
        <v>0</v>
      </c>
      <c r="X403" s="363">
        <v>0</v>
      </c>
      <c r="Y403" s="775">
        <f t="shared" si="103"/>
        <v>0</v>
      </c>
      <c r="Z403" s="776">
        <f>IF(X404,_xll.qDateYears(X403,X404,DCCfloat),0)</f>
        <v>0</v>
      </c>
      <c r="AA403" s="553">
        <v>0</v>
      </c>
      <c r="AB403" s="789">
        <f>IF($X403=0,0,      _xll.qDateNext($X403,AB$12,"M",FRM&lt;&gt;"Calypso",CCY))</f>
        <v>0</v>
      </c>
      <c r="AC403" s="789">
        <f>IF($X403=0,0,      _xll.qDateNext($X403,AC$12,"M",FRM&lt;&gt;"Calypso",CCY))</f>
        <v>0</v>
      </c>
      <c r="AD403" s="789">
        <f>IF($X403=0,0,      _xll.qDateNext($X403,AD$12,"M",FRM&lt;&gt;"Calypso",CCY))</f>
        <v>0</v>
      </c>
      <c r="AE403" s="789">
        <f>IF($X403=0,0,      _xll.qDateNext($X403,AE$12,"M",FRM&lt;&gt;"Calypso",CCY))</f>
        <v>0</v>
      </c>
      <c r="AF403" s="789">
        <f>IF($X403=0,0,      _xll.qDateNext($X403,AF$12,"M",FRM&lt;&gt;"Calypso",CCY))</f>
        <v>0</v>
      </c>
      <c r="AG403" s="789">
        <f>IF($X403=0,0,      _xll.qDateNext($X403,AG$12,"M",FRM&lt;&gt;"Calypso",CCY))</f>
        <v>0</v>
      </c>
      <c r="AH403" s="789">
        <f>IF($X403=0,0,      _xll.qDateNext($X403,AH$12,"M",FRM&lt;&gt;"Calypso",CCY))</f>
        <v>0</v>
      </c>
      <c r="AI403" s="789">
        <f>IF($X403=0,0,      _xll.qDateNext($X403,AI$12,"M",FRM&lt;&gt;"Calypso",CCY))</f>
        <v>0</v>
      </c>
      <c r="AJ403" s="529" t="str">
        <v/>
      </c>
      <c r="AK403" s="529" t="str">
        <v/>
      </c>
      <c r="AL403" s="529" t="str">
        <v/>
      </c>
      <c r="AM403" s="529" t="str">
        <v/>
      </c>
      <c r="AN403" s="529" t="str">
        <v/>
      </c>
      <c r="AO403" s="529" t="str">
        <v/>
      </c>
      <c r="AP403" s="529" t="str">
        <v/>
      </c>
      <c r="AQ403" s="529" t="str">
        <v/>
      </c>
      <c r="AR403" s="529">
        <v>0</v>
      </c>
      <c r="AS403" s="529">
        <v>0</v>
      </c>
      <c r="AT403" s="529">
        <f t="shared" si="113"/>
        <v>0</v>
      </c>
      <c r="AU403" s="529">
        <v>0</v>
      </c>
      <c r="AV403" s="529">
        <f t="shared" si="114"/>
        <v>0</v>
      </c>
      <c r="AW403" s="529">
        <f t="shared" si="115"/>
        <v>0</v>
      </c>
      <c r="AX403" s="529">
        <v>0</v>
      </c>
      <c r="AY403" s="529">
        <v>0</v>
      </c>
      <c r="AZ403" s="761">
        <f t="shared" si="104"/>
        <v>0</v>
      </c>
      <c r="BA403" s="761">
        <f t="shared" si="105"/>
        <v>0</v>
      </c>
      <c r="BB403" s="761">
        <f t="shared" si="106"/>
        <v>0</v>
      </c>
      <c r="BC403" s="761">
        <f t="shared" si="107"/>
        <v>0</v>
      </c>
      <c r="BD403" s="761">
        <f t="shared" si="108"/>
        <v>0</v>
      </c>
      <c r="BE403" s="761">
        <f t="shared" si="109"/>
        <v>0</v>
      </c>
      <c r="BF403" s="761">
        <f t="shared" si="110"/>
        <v>0</v>
      </c>
      <c r="BG403" s="761">
        <f t="shared" si="111"/>
        <v>0</v>
      </c>
      <c r="BH403" s="777">
        <v>0</v>
      </c>
      <c r="BI403" s="755"/>
      <c r="BJ403" s="778">
        <f>IF(X404=0,0,           IF(ISNUMBER(BI403),BI403,               IF(ISTEXT(BI403),INDEX(AZ403:BG403,MATCH(BI403,$AZ$12:$BG$12,0)),             IF(BH403="INT",_xll.qInterp(X404,AB403:AI403,AZ403:BG403),            INDEX(AZ403:BG403,MATCH(BH403,$AZ$12:$BG$12,0))))))</f>
        <v>0</v>
      </c>
      <c r="BK403" s="408">
        <f t="shared" si="116"/>
        <v>0</v>
      </c>
      <c r="BL403" s="414">
        <f t="shared" si="117"/>
        <v>0</v>
      </c>
      <c r="BM403" s="408">
        <f t="shared" si="118"/>
        <v>0</v>
      </c>
    </row>
    <row r="404" spans="16:65">
      <c r="P404" s="781">
        <v>0</v>
      </c>
      <c r="Q404" s="780">
        <f t="shared" si="102"/>
        <v>0</v>
      </c>
      <c r="R404" s="776">
        <f>IF(P405,_xll.qDateYears(P404,P405,DCCfixed),0)</f>
        <v>0</v>
      </c>
      <c r="S404" s="553">
        <v>0</v>
      </c>
      <c r="T404" s="785"/>
      <c r="U404" s="409">
        <f t="shared" si="112"/>
        <v>0</v>
      </c>
      <c r="X404" s="363">
        <v>0</v>
      </c>
      <c r="Y404" s="775">
        <f t="shared" si="103"/>
        <v>0</v>
      </c>
      <c r="Z404" s="776">
        <f>IF(X405,_xll.qDateYears(X404,X405,DCCfloat),0)</f>
        <v>0</v>
      </c>
      <c r="AA404" s="553">
        <v>0</v>
      </c>
      <c r="AB404" s="789">
        <f>IF($X404=0,0,      _xll.qDateNext($X404,AB$12,"M",FRM&lt;&gt;"Calypso",CCY))</f>
        <v>0</v>
      </c>
      <c r="AC404" s="789">
        <f>IF($X404=0,0,      _xll.qDateNext($X404,AC$12,"M",FRM&lt;&gt;"Calypso",CCY))</f>
        <v>0</v>
      </c>
      <c r="AD404" s="789">
        <f>IF($X404=0,0,      _xll.qDateNext($X404,AD$12,"M",FRM&lt;&gt;"Calypso",CCY))</f>
        <v>0</v>
      </c>
      <c r="AE404" s="789">
        <f>IF($X404=0,0,      _xll.qDateNext($X404,AE$12,"M",FRM&lt;&gt;"Calypso",CCY))</f>
        <v>0</v>
      </c>
      <c r="AF404" s="789">
        <f>IF($X404=0,0,      _xll.qDateNext($X404,AF$12,"M",FRM&lt;&gt;"Calypso",CCY))</f>
        <v>0</v>
      </c>
      <c r="AG404" s="789">
        <f>IF($X404=0,0,      _xll.qDateNext($X404,AG$12,"M",FRM&lt;&gt;"Calypso",CCY))</f>
        <v>0</v>
      </c>
      <c r="AH404" s="789">
        <f>IF($X404=0,0,      _xll.qDateNext($X404,AH$12,"M",FRM&lt;&gt;"Calypso",CCY))</f>
        <v>0</v>
      </c>
      <c r="AI404" s="789">
        <f>IF($X404=0,0,      _xll.qDateNext($X404,AI$12,"M",FRM&lt;&gt;"Calypso",CCY))</f>
        <v>0</v>
      </c>
      <c r="AJ404" s="529" t="str">
        <v/>
      </c>
      <c r="AK404" s="529" t="str">
        <v/>
      </c>
      <c r="AL404" s="529" t="str">
        <v/>
      </c>
      <c r="AM404" s="529" t="str">
        <v/>
      </c>
      <c r="AN404" s="529" t="str">
        <v/>
      </c>
      <c r="AO404" s="529" t="str">
        <v/>
      </c>
      <c r="AP404" s="529" t="str">
        <v/>
      </c>
      <c r="AQ404" s="529" t="str">
        <v/>
      </c>
      <c r="AR404" s="529">
        <v>0</v>
      </c>
      <c r="AS404" s="529">
        <v>0</v>
      </c>
      <c r="AT404" s="529">
        <f t="shared" si="113"/>
        <v>0</v>
      </c>
      <c r="AU404" s="529">
        <v>0</v>
      </c>
      <c r="AV404" s="529">
        <f t="shared" si="114"/>
        <v>0</v>
      </c>
      <c r="AW404" s="529">
        <f t="shared" si="115"/>
        <v>0</v>
      </c>
      <c r="AX404" s="529">
        <v>0</v>
      </c>
      <c r="AY404" s="529">
        <v>0</v>
      </c>
      <c r="AZ404" s="761">
        <f t="shared" si="104"/>
        <v>0</v>
      </c>
      <c r="BA404" s="761">
        <f t="shared" si="105"/>
        <v>0</v>
      </c>
      <c r="BB404" s="761">
        <f t="shared" si="106"/>
        <v>0</v>
      </c>
      <c r="BC404" s="761">
        <f t="shared" si="107"/>
        <v>0</v>
      </c>
      <c r="BD404" s="761">
        <f t="shared" si="108"/>
        <v>0</v>
      </c>
      <c r="BE404" s="761">
        <f t="shared" si="109"/>
        <v>0</v>
      </c>
      <c r="BF404" s="761">
        <f t="shared" si="110"/>
        <v>0</v>
      </c>
      <c r="BG404" s="761">
        <f t="shared" si="111"/>
        <v>0</v>
      </c>
      <c r="BH404" s="777">
        <v>0</v>
      </c>
      <c r="BI404" s="755"/>
      <c r="BJ404" s="778">
        <f>IF(X405=0,0,           IF(ISNUMBER(BI404),BI404,               IF(ISTEXT(BI404),INDEX(AZ404:BG404,MATCH(BI404,$AZ$12:$BG$12,0)),             IF(BH404="INT",_xll.qInterp(X405,AB404:AI404,AZ404:BG404),            INDEX(AZ404:BG404,MATCH(BH404,$AZ$12:$BG$12,0))))))</f>
        <v>0</v>
      </c>
      <c r="BK404" s="408">
        <f t="shared" si="116"/>
        <v>0</v>
      </c>
      <c r="BL404" s="414">
        <f t="shared" si="117"/>
        <v>0</v>
      </c>
      <c r="BM404" s="408">
        <f t="shared" si="118"/>
        <v>0</v>
      </c>
    </row>
    <row r="405" spans="16:65">
      <c r="P405" s="781">
        <v>0</v>
      </c>
      <c r="Q405" s="780">
        <f t="shared" si="102"/>
        <v>0</v>
      </c>
      <c r="R405" s="776">
        <f>IF(P406,_xll.qDateYears(P405,P406,DCCfixed),0)</f>
        <v>0</v>
      </c>
      <c r="S405" s="553">
        <v>0</v>
      </c>
      <c r="T405" s="785"/>
      <c r="U405" s="409">
        <f t="shared" si="112"/>
        <v>0</v>
      </c>
      <c r="X405" s="363">
        <v>0</v>
      </c>
      <c r="Y405" s="775">
        <f t="shared" si="103"/>
        <v>0</v>
      </c>
      <c r="Z405" s="776">
        <f>IF(X406,_xll.qDateYears(X405,X406,DCCfloat),0)</f>
        <v>0</v>
      </c>
      <c r="AA405" s="553">
        <v>0</v>
      </c>
      <c r="AB405" s="789">
        <f>IF($X405=0,0,      _xll.qDateNext($X405,AB$12,"M",FRM&lt;&gt;"Calypso",CCY))</f>
        <v>0</v>
      </c>
      <c r="AC405" s="789">
        <f>IF($X405=0,0,      _xll.qDateNext($X405,AC$12,"M",FRM&lt;&gt;"Calypso",CCY))</f>
        <v>0</v>
      </c>
      <c r="AD405" s="789">
        <f>IF($X405=0,0,      _xll.qDateNext($X405,AD$12,"M",FRM&lt;&gt;"Calypso",CCY))</f>
        <v>0</v>
      </c>
      <c r="AE405" s="789">
        <f>IF($X405=0,0,      _xll.qDateNext($X405,AE$12,"M",FRM&lt;&gt;"Calypso",CCY))</f>
        <v>0</v>
      </c>
      <c r="AF405" s="789">
        <f>IF($X405=0,0,      _xll.qDateNext($X405,AF$12,"M",FRM&lt;&gt;"Calypso",CCY))</f>
        <v>0</v>
      </c>
      <c r="AG405" s="789">
        <f>IF($X405=0,0,      _xll.qDateNext($X405,AG$12,"M",FRM&lt;&gt;"Calypso",CCY))</f>
        <v>0</v>
      </c>
      <c r="AH405" s="789">
        <f>IF($X405=0,0,      _xll.qDateNext($X405,AH$12,"M",FRM&lt;&gt;"Calypso",CCY))</f>
        <v>0</v>
      </c>
      <c r="AI405" s="789">
        <f>IF($X405=0,0,      _xll.qDateNext($X405,AI$12,"M",FRM&lt;&gt;"Calypso",CCY))</f>
        <v>0</v>
      </c>
      <c r="AJ405" s="529" t="str">
        <v/>
      </c>
      <c r="AK405" s="529" t="str">
        <v/>
      </c>
      <c r="AL405" s="529" t="str">
        <v/>
      </c>
      <c r="AM405" s="529" t="str">
        <v/>
      </c>
      <c r="AN405" s="529" t="str">
        <v/>
      </c>
      <c r="AO405" s="529" t="str">
        <v/>
      </c>
      <c r="AP405" s="529" t="str">
        <v/>
      </c>
      <c r="AQ405" s="529" t="str">
        <v/>
      </c>
      <c r="AR405" s="529">
        <v>0</v>
      </c>
      <c r="AS405" s="529">
        <v>0</v>
      </c>
      <c r="AT405" s="529">
        <f t="shared" si="113"/>
        <v>0</v>
      </c>
      <c r="AU405" s="529">
        <v>0</v>
      </c>
      <c r="AV405" s="529">
        <f t="shared" si="114"/>
        <v>0</v>
      </c>
      <c r="AW405" s="529">
        <f t="shared" si="115"/>
        <v>0</v>
      </c>
      <c r="AX405" s="529">
        <v>0</v>
      </c>
      <c r="AY405" s="529">
        <v>0</v>
      </c>
      <c r="AZ405" s="761">
        <f t="shared" si="104"/>
        <v>0</v>
      </c>
      <c r="BA405" s="761">
        <f t="shared" si="105"/>
        <v>0</v>
      </c>
      <c r="BB405" s="761">
        <f t="shared" si="106"/>
        <v>0</v>
      </c>
      <c r="BC405" s="761">
        <f t="shared" si="107"/>
        <v>0</v>
      </c>
      <c r="BD405" s="761">
        <f t="shared" si="108"/>
        <v>0</v>
      </c>
      <c r="BE405" s="761">
        <f t="shared" si="109"/>
        <v>0</v>
      </c>
      <c r="BF405" s="761">
        <f t="shared" si="110"/>
        <v>0</v>
      </c>
      <c r="BG405" s="761">
        <f t="shared" si="111"/>
        <v>0</v>
      </c>
      <c r="BH405" s="777">
        <v>0</v>
      </c>
      <c r="BI405" s="755"/>
      <c r="BJ405" s="778">
        <f>IF(X406=0,0,           IF(ISNUMBER(BI405),BI405,               IF(ISTEXT(BI405),INDEX(AZ405:BG405,MATCH(BI405,$AZ$12:$BG$12,0)),             IF(BH405="INT",_xll.qInterp(X406,AB405:AI405,AZ405:BG405),            INDEX(AZ405:BG405,MATCH(BH405,$AZ$12:$BG$12,0))))))</f>
        <v>0</v>
      </c>
      <c r="BK405" s="408">
        <f t="shared" si="116"/>
        <v>0</v>
      </c>
      <c r="BL405" s="414">
        <f t="shared" si="117"/>
        <v>0</v>
      </c>
      <c r="BM405" s="408">
        <f t="shared" si="118"/>
        <v>0</v>
      </c>
    </row>
    <row r="406" spans="16:65">
      <c r="P406" s="781">
        <v>0</v>
      </c>
      <c r="Q406" s="780">
        <f t="shared" si="102"/>
        <v>0</v>
      </c>
      <c r="R406" s="776">
        <f>IF(P407,_xll.qDateYears(P406,P407,DCCfixed),0)</f>
        <v>0</v>
      </c>
      <c r="S406" s="553">
        <v>0</v>
      </c>
      <c r="T406" s="785"/>
      <c r="U406" s="409">
        <f t="shared" si="112"/>
        <v>0</v>
      </c>
      <c r="X406" s="363">
        <v>0</v>
      </c>
      <c r="Y406" s="775">
        <f t="shared" si="103"/>
        <v>0</v>
      </c>
      <c r="Z406" s="776">
        <f>IF(X407,_xll.qDateYears(X406,X407,DCCfloat),0)</f>
        <v>0</v>
      </c>
      <c r="AA406" s="553">
        <v>0</v>
      </c>
      <c r="AB406" s="789">
        <f>IF($X406=0,0,      _xll.qDateNext($X406,AB$12,"M",FRM&lt;&gt;"Calypso",CCY))</f>
        <v>0</v>
      </c>
      <c r="AC406" s="789">
        <f>IF($X406=0,0,      _xll.qDateNext($X406,AC$12,"M",FRM&lt;&gt;"Calypso",CCY))</f>
        <v>0</v>
      </c>
      <c r="AD406" s="789">
        <f>IF($X406=0,0,      _xll.qDateNext($X406,AD$12,"M",FRM&lt;&gt;"Calypso",CCY))</f>
        <v>0</v>
      </c>
      <c r="AE406" s="789">
        <f>IF($X406=0,0,      _xll.qDateNext($X406,AE$12,"M",FRM&lt;&gt;"Calypso",CCY))</f>
        <v>0</v>
      </c>
      <c r="AF406" s="789">
        <f>IF($X406=0,0,      _xll.qDateNext($X406,AF$12,"M",FRM&lt;&gt;"Calypso",CCY))</f>
        <v>0</v>
      </c>
      <c r="AG406" s="789">
        <f>IF($X406=0,0,      _xll.qDateNext($X406,AG$12,"M",FRM&lt;&gt;"Calypso",CCY))</f>
        <v>0</v>
      </c>
      <c r="AH406" s="789">
        <f>IF($X406=0,0,      _xll.qDateNext($X406,AH$12,"M",FRM&lt;&gt;"Calypso",CCY))</f>
        <v>0</v>
      </c>
      <c r="AI406" s="789">
        <f>IF($X406=0,0,      _xll.qDateNext($X406,AI$12,"M",FRM&lt;&gt;"Calypso",CCY))</f>
        <v>0</v>
      </c>
      <c r="AJ406" s="529" t="str">
        <v/>
      </c>
      <c r="AK406" s="529" t="str">
        <v/>
      </c>
      <c r="AL406" s="529" t="str">
        <v/>
      </c>
      <c r="AM406" s="529" t="str">
        <v/>
      </c>
      <c r="AN406" s="529" t="str">
        <v/>
      </c>
      <c r="AO406" s="529" t="str">
        <v/>
      </c>
      <c r="AP406" s="529" t="str">
        <v/>
      </c>
      <c r="AQ406" s="529" t="str">
        <v/>
      </c>
      <c r="AR406" s="529">
        <v>0</v>
      </c>
      <c r="AS406" s="529">
        <v>0</v>
      </c>
      <c r="AT406" s="529">
        <f t="shared" si="113"/>
        <v>0</v>
      </c>
      <c r="AU406" s="529">
        <v>0</v>
      </c>
      <c r="AV406" s="529">
        <f t="shared" si="114"/>
        <v>0</v>
      </c>
      <c r="AW406" s="529">
        <f t="shared" si="115"/>
        <v>0</v>
      </c>
      <c r="AX406" s="529">
        <v>0</v>
      </c>
      <c r="AY406" s="529">
        <v>0</v>
      </c>
      <c r="AZ406" s="761">
        <f t="shared" si="104"/>
        <v>0</v>
      </c>
      <c r="BA406" s="761">
        <f t="shared" si="105"/>
        <v>0</v>
      </c>
      <c r="BB406" s="761">
        <f t="shared" si="106"/>
        <v>0</v>
      </c>
      <c r="BC406" s="761">
        <f t="shared" si="107"/>
        <v>0</v>
      </c>
      <c r="BD406" s="761">
        <f t="shared" si="108"/>
        <v>0</v>
      </c>
      <c r="BE406" s="761">
        <f t="shared" si="109"/>
        <v>0</v>
      </c>
      <c r="BF406" s="761">
        <f t="shared" si="110"/>
        <v>0</v>
      </c>
      <c r="BG406" s="761">
        <f t="shared" si="111"/>
        <v>0</v>
      </c>
      <c r="BH406" s="777">
        <v>0</v>
      </c>
      <c r="BI406" s="755"/>
      <c r="BJ406" s="778">
        <f>IF(X407=0,0,           IF(ISNUMBER(BI406),BI406,               IF(ISTEXT(BI406),INDEX(AZ406:BG406,MATCH(BI406,$AZ$12:$BG$12,0)),             IF(BH406="INT",_xll.qInterp(X407,AB406:AI406,AZ406:BG406),            INDEX(AZ406:BG406,MATCH(BH406,$AZ$12:$BG$12,0))))))</f>
        <v>0</v>
      </c>
      <c r="BK406" s="408">
        <f t="shared" si="116"/>
        <v>0</v>
      </c>
      <c r="BL406" s="414">
        <f t="shared" si="117"/>
        <v>0</v>
      </c>
      <c r="BM406" s="408">
        <f t="shared" si="118"/>
        <v>0</v>
      </c>
    </row>
    <row r="407" spans="16:65">
      <c r="P407" s="781">
        <v>0</v>
      </c>
      <c r="Q407" s="780">
        <f t="shared" si="102"/>
        <v>0</v>
      </c>
      <c r="R407" s="776">
        <f>IF(P408,_xll.qDateYears(P407,P408,DCCfixed),0)</f>
        <v>0</v>
      </c>
      <c r="S407" s="553">
        <v>0</v>
      </c>
      <c r="T407" s="785"/>
      <c r="U407" s="409">
        <f t="shared" si="112"/>
        <v>0</v>
      </c>
      <c r="X407" s="363">
        <v>0</v>
      </c>
      <c r="Y407" s="775">
        <f t="shared" si="103"/>
        <v>0</v>
      </c>
      <c r="Z407" s="776">
        <f>IF(X408,_xll.qDateYears(X407,X408,DCCfloat),0)</f>
        <v>0</v>
      </c>
      <c r="AA407" s="553">
        <v>0</v>
      </c>
      <c r="AB407" s="789">
        <f>IF($X407=0,0,      _xll.qDateNext($X407,AB$12,"M",FRM&lt;&gt;"Calypso",CCY))</f>
        <v>0</v>
      </c>
      <c r="AC407" s="789">
        <f>IF($X407=0,0,      _xll.qDateNext($X407,AC$12,"M",FRM&lt;&gt;"Calypso",CCY))</f>
        <v>0</v>
      </c>
      <c r="AD407" s="789">
        <f>IF($X407=0,0,      _xll.qDateNext($X407,AD$12,"M",FRM&lt;&gt;"Calypso",CCY))</f>
        <v>0</v>
      </c>
      <c r="AE407" s="789">
        <f>IF($X407=0,0,      _xll.qDateNext($X407,AE$12,"M",FRM&lt;&gt;"Calypso",CCY))</f>
        <v>0</v>
      </c>
      <c r="AF407" s="789">
        <f>IF($X407=0,0,      _xll.qDateNext($X407,AF$12,"M",FRM&lt;&gt;"Calypso",CCY))</f>
        <v>0</v>
      </c>
      <c r="AG407" s="789">
        <f>IF($X407=0,0,      _xll.qDateNext($X407,AG$12,"M",FRM&lt;&gt;"Calypso",CCY))</f>
        <v>0</v>
      </c>
      <c r="AH407" s="789">
        <f>IF($X407=0,0,      _xll.qDateNext($X407,AH$12,"M",FRM&lt;&gt;"Calypso",CCY))</f>
        <v>0</v>
      </c>
      <c r="AI407" s="789">
        <f>IF($X407=0,0,      _xll.qDateNext($X407,AI$12,"M",FRM&lt;&gt;"Calypso",CCY))</f>
        <v>0</v>
      </c>
      <c r="AJ407" s="529" t="str">
        <v/>
      </c>
      <c r="AK407" s="529" t="str">
        <v/>
      </c>
      <c r="AL407" s="529" t="str">
        <v/>
      </c>
      <c r="AM407" s="529" t="str">
        <v/>
      </c>
      <c r="AN407" s="529" t="str">
        <v/>
      </c>
      <c r="AO407" s="529" t="str">
        <v/>
      </c>
      <c r="AP407" s="529" t="str">
        <v/>
      </c>
      <c r="AQ407" s="529" t="str">
        <v/>
      </c>
      <c r="AR407" s="529">
        <v>0</v>
      </c>
      <c r="AS407" s="529">
        <v>0</v>
      </c>
      <c r="AT407" s="529">
        <f t="shared" si="113"/>
        <v>0</v>
      </c>
      <c r="AU407" s="529">
        <v>0</v>
      </c>
      <c r="AV407" s="529">
        <f t="shared" si="114"/>
        <v>0</v>
      </c>
      <c r="AW407" s="529">
        <f t="shared" si="115"/>
        <v>0</v>
      </c>
      <c r="AX407" s="529">
        <v>0</v>
      </c>
      <c r="AY407" s="529">
        <v>0</v>
      </c>
      <c r="AZ407" s="761">
        <f t="shared" si="104"/>
        <v>0</v>
      </c>
      <c r="BA407" s="761">
        <f t="shared" si="105"/>
        <v>0</v>
      </c>
      <c r="BB407" s="761">
        <f t="shared" si="106"/>
        <v>0</v>
      </c>
      <c r="BC407" s="761">
        <f t="shared" si="107"/>
        <v>0</v>
      </c>
      <c r="BD407" s="761">
        <f t="shared" si="108"/>
        <v>0</v>
      </c>
      <c r="BE407" s="761">
        <f t="shared" si="109"/>
        <v>0</v>
      </c>
      <c r="BF407" s="761">
        <f t="shared" si="110"/>
        <v>0</v>
      </c>
      <c r="BG407" s="761">
        <f t="shared" si="111"/>
        <v>0</v>
      </c>
      <c r="BH407" s="777">
        <v>0</v>
      </c>
      <c r="BI407" s="755"/>
      <c r="BJ407" s="778">
        <f>IF(X408=0,0,           IF(ISNUMBER(BI407),BI407,               IF(ISTEXT(BI407),INDEX(AZ407:BG407,MATCH(BI407,$AZ$12:$BG$12,0)),             IF(BH407="INT",_xll.qInterp(X408,AB407:AI407,AZ407:BG407),            INDEX(AZ407:BG407,MATCH(BH407,$AZ$12:$BG$12,0))))))</f>
        <v>0</v>
      </c>
      <c r="BK407" s="408">
        <f t="shared" si="116"/>
        <v>0</v>
      </c>
      <c r="BL407" s="414">
        <f t="shared" si="117"/>
        <v>0</v>
      </c>
      <c r="BM407" s="408">
        <f t="shared" si="118"/>
        <v>0</v>
      </c>
    </row>
    <row r="408" spans="16:65">
      <c r="P408" s="781">
        <v>0</v>
      </c>
      <c r="Q408" s="780">
        <f t="shared" si="102"/>
        <v>0</v>
      </c>
      <c r="R408" s="776">
        <f>IF(P409,_xll.qDateYears(P408,P409,DCCfixed),0)</f>
        <v>0</v>
      </c>
      <c r="S408" s="553">
        <v>0</v>
      </c>
      <c r="T408" s="785"/>
      <c r="U408" s="409">
        <f t="shared" si="112"/>
        <v>0</v>
      </c>
      <c r="X408" s="363">
        <v>0</v>
      </c>
      <c r="Y408" s="775">
        <f t="shared" si="103"/>
        <v>0</v>
      </c>
      <c r="Z408" s="776">
        <f>IF(X409,_xll.qDateYears(X408,X409,DCCfloat),0)</f>
        <v>0</v>
      </c>
      <c r="AA408" s="553">
        <v>0</v>
      </c>
      <c r="AB408" s="789">
        <f>IF($X408=0,0,      _xll.qDateNext($X408,AB$12,"M",FRM&lt;&gt;"Calypso",CCY))</f>
        <v>0</v>
      </c>
      <c r="AC408" s="789">
        <f>IF($X408=0,0,      _xll.qDateNext($X408,AC$12,"M",FRM&lt;&gt;"Calypso",CCY))</f>
        <v>0</v>
      </c>
      <c r="AD408" s="789">
        <f>IF($X408=0,0,      _xll.qDateNext($X408,AD$12,"M",FRM&lt;&gt;"Calypso",CCY))</f>
        <v>0</v>
      </c>
      <c r="AE408" s="789">
        <f>IF($X408=0,0,      _xll.qDateNext($X408,AE$12,"M",FRM&lt;&gt;"Calypso",CCY))</f>
        <v>0</v>
      </c>
      <c r="AF408" s="789">
        <f>IF($X408=0,0,      _xll.qDateNext($X408,AF$12,"M",FRM&lt;&gt;"Calypso",CCY))</f>
        <v>0</v>
      </c>
      <c r="AG408" s="789">
        <f>IF($X408=0,0,      _xll.qDateNext($X408,AG$12,"M",FRM&lt;&gt;"Calypso",CCY))</f>
        <v>0</v>
      </c>
      <c r="AH408" s="789">
        <f>IF($X408=0,0,      _xll.qDateNext($X408,AH$12,"M",FRM&lt;&gt;"Calypso",CCY))</f>
        <v>0</v>
      </c>
      <c r="AI408" s="789">
        <f>IF($X408=0,0,      _xll.qDateNext($X408,AI$12,"M",FRM&lt;&gt;"Calypso",CCY))</f>
        <v>0</v>
      </c>
      <c r="AJ408" s="529" t="str">
        <v/>
      </c>
      <c r="AK408" s="529" t="str">
        <v/>
      </c>
      <c r="AL408" s="529" t="str">
        <v/>
      </c>
      <c r="AM408" s="529" t="str">
        <v/>
      </c>
      <c r="AN408" s="529" t="str">
        <v/>
      </c>
      <c r="AO408" s="529" t="str">
        <v/>
      </c>
      <c r="AP408" s="529" t="str">
        <v/>
      </c>
      <c r="AQ408" s="529" t="str">
        <v/>
      </c>
      <c r="AR408" s="529">
        <v>0</v>
      </c>
      <c r="AS408" s="529">
        <v>0</v>
      </c>
      <c r="AT408" s="529">
        <f t="shared" si="113"/>
        <v>0</v>
      </c>
      <c r="AU408" s="529">
        <v>0</v>
      </c>
      <c r="AV408" s="529">
        <f t="shared" si="114"/>
        <v>0</v>
      </c>
      <c r="AW408" s="529">
        <f t="shared" si="115"/>
        <v>0</v>
      </c>
      <c r="AX408" s="529">
        <v>0</v>
      </c>
      <c r="AY408" s="529">
        <v>0</v>
      </c>
      <c r="AZ408" s="761">
        <f t="shared" si="104"/>
        <v>0</v>
      </c>
      <c r="BA408" s="761">
        <f t="shared" si="105"/>
        <v>0</v>
      </c>
      <c r="BB408" s="761">
        <f t="shared" si="106"/>
        <v>0</v>
      </c>
      <c r="BC408" s="761">
        <f t="shared" si="107"/>
        <v>0</v>
      </c>
      <c r="BD408" s="761">
        <f t="shared" si="108"/>
        <v>0</v>
      </c>
      <c r="BE408" s="761">
        <f t="shared" si="109"/>
        <v>0</v>
      </c>
      <c r="BF408" s="761">
        <f t="shared" si="110"/>
        <v>0</v>
      </c>
      <c r="BG408" s="761">
        <f t="shared" si="111"/>
        <v>0</v>
      </c>
      <c r="BH408" s="777">
        <v>0</v>
      </c>
      <c r="BI408" s="755"/>
      <c r="BJ408" s="778">
        <f>IF(X409=0,0,           IF(ISNUMBER(BI408),BI408,               IF(ISTEXT(BI408),INDEX(AZ408:BG408,MATCH(BI408,$AZ$12:$BG$12,0)),             IF(BH408="INT",_xll.qInterp(X409,AB408:AI408,AZ408:BG408),            INDEX(AZ408:BG408,MATCH(BH408,$AZ$12:$BG$12,0))))))</f>
        <v>0</v>
      </c>
      <c r="BK408" s="408">
        <f t="shared" si="116"/>
        <v>0</v>
      </c>
      <c r="BL408" s="414">
        <f t="shared" si="117"/>
        <v>0</v>
      </c>
      <c r="BM408" s="408">
        <f t="shared" si="118"/>
        <v>0</v>
      </c>
    </row>
    <row r="409" spans="16:65">
      <c r="P409" s="781">
        <v>0</v>
      </c>
      <c r="Q409" s="780">
        <f t="shared" si="102"/>
        <v>0</v>
      </c>
      <c r="R409" s="776">
        <f>IF(P410,_xll.qDateYears(P409,P410,DCCfixed),0)</f>
        <v>0</v>
      </c>
      <c r="S409" s="553">
        <v>0</v>
      </c>
      <c r="T409" s="785"/>
      <c r="U409" s="409">
        <f t="shared" si="112"/>
        <v>0</v>
      </c>
      <c r="X409" s="363">
        <v>0</v>
      </c>
      <c r="Y409" s="775">
        <f t="shared" si="103"/>
        <v>0</v>
      </c>
      <c r="Z409" s="776">
        <f>IF(X410,_xll.qDateYears(X409,X410,DCCfloat),0)</f>
        <v>0</v>
      </c>
      <c r="AA409" s="553">
        <v>0</v>
      </c>
      <c r="AB409" s="789">
        <f>IF($X409=0,0,      _xll.qDateNext($X409,AB$12,"M",FRM&lt;&gt;"Calypso",CCY))</f>
        <v>0</v>
      </c>
      <c r="AC409" s="789">
        <f>IF($X409=0,0,      _xll.qDateNext($X409,AC$12,"M",FRM&lt;&gt;"Calypso",CCY))</f>
        <v>0</v>
      </c>
      <c r="AD409" s="789">
        <f>IF($X409=0,0,      _xll.qDateNext($X409,AD$12,"M",FRM&lt;&gt;"Calypso",CCY))</f>
        <v>0</v>
      </c>
      <c r="AE409" s="789">
        <f>IF($X409=0,0,      _xll.qDateNext($X409,AE$12,"M",FRM&lt;&gt;"Calypso",CCY))</f>
        <v>0</v>
      </c>
      <c r="AF409" s="789">
        <f>IF($X409=0,0,      _xll.qDateNext($X409,AF$12,"M",FRM&lt;&gt;"Calypso",CCY))</f>
        <v>0</v>
      </c>
      <c r="AG409" s="789">
        <f>IF($X409=0,0,      _xll.qDateNext($X409,AG$12,"M",FRM&lt;&gt;"Calypso",CCY))</f>
        <v>0</v>
      </c>
      <c r="AH409" s="789">
        <f>IF($X409=0,0,      _xll.qDateNext($X409,AH$12,"M",FRM&lt;&gt;"Calypso",CCY))</f>
        <v>0</v>
      </c>
      <c r="AI409" s="789">
        <f>IF($X409=0,0,      _xll.qDateNext($X409,AI$12,"M",FRM&lt;&gt;"Calypso",CCY))</f>
        <v>0</v>
      </c>
      <c r="AJ409" s="529" t="str">
        <v/>
      </c>
      <c r="AK409" s="529" t="str">
        <v/>
      </c>
      <c r="AL409" s="529" t="str">
        <v/>
      </c>
      <c r="AM409" s="529" t="str">
        <v/>
      </c>
      <c r="AN409" s="529" t="str">
        <v/>
      </c>
      <c r="AO409" s="529" t="str">
        <v/>
      </c>
      <c r="AP409" s="529" t="str">
        <v/>
      </c>
      <c r="AQ409" s="529" t="str">
        <v/>
      </c>
      <c r="AR409" s="529">
        <v>0</v>
      </c>
      <c r="AS409" s="529">
        <v>0</v>
      </c>
      <c r="AT409" s="529">
        <f t="shared" si="113"/>
        <v>0</v>
      </c>
      <c r="AU409" s="529">
        <v>0</v>
      </c>
      <c r="AV409" s="529">
        <f t="shared" si="114"/>
        <v>0</v>
      </c>
      <c r="AW409" s="529">
        <f t="shared" si="115"/>
        <v>0</v>
      </c>
      <c r="AX409" s="529">
        <v>0</v>
      </c>
      <c r="AY409" s="529">
        <v>0</v>
      </c>
      <c r="AZ409" s="761">
        <f t="shared" si="104"/>
        <v>0</v>
      </c>
      <c r="BA409" s="761">
        <f t="shared" si="105"/>
        <v>0</v>
      </c>
      <c r="BB409" s="761">
        <f t="shared" si="106"/>
        <v>0</v>
      </c>
      <c r="BC409" s="761">
        <f t="shared" si="107"/>
        <v>0</v>
      </c>
      <c r="BD409" s="761">
        <f t="shared" si="108"/>
        <v>0</v>
      </c>
      <c r="BE409" s="761">
        <f t="shared" si="109"/>
        <v>0</v>
      </c>
      <c r="BF409" s="761">
        <f t="shared" si="110"/>
        <v>0</v>
      </c>
      <c r="BG409" s="761">
        <f t="shared" si="111"/>
        <v>0</v>
      </c>
      <c r="BH409" s="777">
        <v>0</v>
      </c>
      <c r="BI409" s="755"/>
      <c r="BJ409" s="778">
        <f>IF(X410=0,0,           IF(ISNUMBER(BI409),BI409,               IF(ISTEXT(BI409),INDEX(AZ409:BG409,MATCH(BI409,$AZ$12:$BG$12,0)),             IF(BH409="INT",_xll.qInterp(X410,AB409:AI409,AZ409:BG409),            INDEX(AZ409:BG409,MATCH(BH409,$AZ$12:$BG$12,0))))))</f>
        <v>0</v>
      </c>
      <c r="BK409" s="408">
        <f t="shared" si="116"/>
        <v>0</v>
      </c>
      <c r="BL409" s="414">
        <f t="shared" si="117"/>
        <v>0</v>
      </c>
      <c r="BM409" s="408">
        <f t="shared" si="118"/>
        <v>0</v>
      </c>
    </row>
    <row r="410" spans="16:65">
      <c r="P410" s="781">
        <v>0</v>
      </c>
      <c r="Q410" s="780">
        <f t="shared" si="102"/>
        <v>0</v>
      </c>
      <c r="R410" s="776">
        <f>IF(P411,_xll.qDateYears(P410,P411,DCCfixed),0)</f>
        <v>0</v>
      </c>
      <c r="S410" s="553">
        <v>0</v>
      </c>
      <c r="T410" s="785"/>
      <c r="U410" s="409">
        <f t="shared" si="112"/>
        <v>0</v>
      </c>
      <c r="X410" s="363">
        <v>0</v>
      </c>
      <c r="Y410" s="775">
        <f t="shared" si="103"/>
        <v>0</v>
      </c>
      <c r="Z410" s="776">
        <f>IF(X411,_xll.qDateYears(X410,X411,DCCfloat),0)</f>
        <v>0</v>
      </c>
      <c r="AA410" s="553">
        <v>0</v>
      </c>
      <c r="AB410" s="789">
        <f>IF($X410=0,0,      _xll.qDateNext($X410,AB$12,"M",FRM&lt;&gt;"Calypso",CCY))</f>
        <v>0</v>
      </c>
      <c r="AC410" s="789">
        <f>IF($X410=0,0,      _xll.qDateNext($X410,AC$12,"M",FRM&lt;&gt;"Calypso",CCY))</f>
        <v>0</v>
      </c>
      <c r="AD410" s="789">
        <f>IF($X410=0,0,      _xll.qDateNext($X410,AD$12,"M",FRM&lt;&gt;"Calypso",CCY))</f>
        <v>0</v>
      </c>
      <c r="AE410" s="789">
        <f>IF($X410=0,0,      _xll.qDateNext($X410,AE$12,"M",FRM&lt;&gt;"Calypso",CCY))</f>
        <v>0</v>
      </c>
      <c r="AF410" s="789">
        <f>IF($X410=0,0,      _xll.qDateNext($X410,AF$12,"M",FRM&lt;&gt;"Calypso",CCY))</f>
        <v>0</v>
      </c>
      <c r="AG410" s="789">
        <f>IF($X410=0,0,      _xll.qDateNext($X410,AG$12,"M",FRM&lt;&gt;"Calypso",CCY))</f>
        <v>0</v>
      </c>
      <c r="AH410" s="789">
        <f>IF($X410=0,0,      _xll.qDateNext($X410,AH$12,"M",FRM&lt;&gt;"Calypso",CCY))</f>
        <v>0</v>
      </c>
      <c r="AI410" s="789">
        <f>IF($X410=0,0,      _xll.qDateNext($X410,AI$12,"M",FRM&lt;&gt;"Calypso",CCY))</f>
        <v>0</v>
      </c>
      <c r="AJ410" s="529" t="str">
        <v/>
      </c>
      <c r="AK410" s="529" t="str">
        <v/>
      </c>
      <c r="AL410" s="529" t="str">
        <v/>
      </c>
      <c r="AM410" s="529" t="str">
        <v/>
      </c>
      <c r="AN410" s="529" t="str">
        <v/>
      </c>
      <c r="AO410" s="529" t="str">
        <v/>
      </c>
      <c r="AP410" s="529" t="str">
        <v/>
      </c>
      <c r="AQ410" s="529" t="str">
        <v/>
      </c>
      <c r="AR410" s="529">
        <v>0</v>
      </c>
      <c r="AS410" s="529">
        <v>0</v>
      </c>
      <c r="AT410" s="529">
        <f t="shared" si="113"/>
        <v>0</v>
      </c>
      <c r="AU410" s="529">
        <v>0</v>
      </c>
      <c r="AV410" s="529">
        <f t="shared" si="114"/>
        <v>0</v>
      </c>
      <c r="AW410" s="529">
        <f t="shared" si="115"/>
        <v>0</v>
      </c>
      <c r="AX410" s="529">
        <v>0</v>
      </c>
      <c r="AY410" s="529">
        <v>0</v>
      </c>
      <c r="AZ410" s="761">
        <f t="shared" si="104"/>
        <v>0</v>
      </c>
      <c r="BA410" s="761">
        <f t="shared" si="105"/>
        <v>0</v>
      </c>
      <c r="BB410" s="761">
        <f t="shared" si="106"/>
        <v>0</v>
      </c>
      <c r="BC410" s="761">
        <f t="shared" si="107"/>
        <v>0</v>
      </c>
      <c r="BD410" s="761">
        <f t="shared" si="108"/>
        <v>0</v>
      </c>
      <c r="BE410" s="761">
        <f t="shared" si="109"/>
        <v>0</v>
      </c>
      <c r="BF410" s="761">
        <f t="shared" si="110"/>
        <v>0</v>
      </c>
      <c r="BG410" s="761">
        <f t="shared" si="111"/>
        <v>0</v>
      </c>
      <c r="BH410" s="777">
        <v>0</v>
      </c>
      <c r="BI410" s="755"/>
      <c r="BJ410" s="778">
        <f>IF(X411=0,0,           IF(ISNUMBER(BI410),BI410,               IF(ISTEXT(BI410),INDEX(AZ410:BG410,MATCH(BI410,$AZ$12:$BG$12,0)),             IF(BH410="INT",_xll.qInterp(X411,AB410:AI410,AZ410:BG410),            INDEX(AZ410:BG410,MATCH(BH410,$AZ$12:$BG$12,0))))))</f>
        <v>0</v>
      </c>
      <c r="BK410" s="408">
        <f t="shared" si="116"/>
        <v>0</v>
      </c>
      <c r="BL410" s="414">
        <f t="shared" si="117"/>
        <v>0</v>
      </c>
      <c r="BM410" s="408">
        <f t="shared" si="118"/>
        <v>0</v>
      </c>
    </row>
    <row r="411" spans="16:65">
      <c r="P411" s="781">
        <v>0</v>
      </c>
      <c r="Q411" s="780">
        <f t="shared" si="102"/>
        <v>0</v>
      </c>
      <c r="R411" s="776">
        <f>IF(P412,_xll.qDateYears(P411,P412,DCCfixed),0)</f>
        <v>0</v>
      </c>
      <c r="S411" s="553">
        <v>0</v>
      </c>
      <c r="T411" s="785"/>
      <c r="U411" s="409">
        <f t="shared" si="112"/>
        <v>0</v>
      </c>
      <c r="X411" s="363">
        <v>0</v>
      </c>
      <c r="Y411" s="775">
        <f t="shared" si="103"/>
        <v>0</v>
      </c>
      <c r="Z411" s="776">
        <f>IF(X412,_xll.qDateYears(X411,X412,DCCfloat),0)</f>
        <v>0</v>
      </c>
      <c r="AA411" s="553">
        <v>0</v>
      </c>
      <c r="AB411" s="789">
        <f>IF($X411=0,0,      _xll.qDateNext($X411,AB$12,"M",FRM&lt;&gt;"Calypso",CCY))</f>
        <v>0</v>
      </c>
      <c r="AC411" s="789">
        <f>IF($X411=0,0,      _xll.qDateNext($X411,AC$12,"M",FRM&lt;&gt;"Calypso",CCY))</f>
        <v>0</v>
      </c>
      <c r="AD411" s="789">
        <f>IF($X411=0,0,      _xll.qDateNext($X411,AD$12,"M",FRM&lt;&gt;"Calypso",CCY))</f>
        <v>0</v>
      </c>
      <c r="AE411" s="789">
        <f>IF($X411=0,0,      _xll.qDateNext($X411,AE$12,"M",FRM&lt;&gt;"Calypso",CCY))</f>
        <v>0</v>
      </c>
      <c r="AF411" s="789">
        <f>IF($X411=0,0,      _xll.qDateNext($X411,AF$12,"M",FRM&lt;&gt;"Calypso",CCY))</f>
        <v>0</v>
      </c>
      <c r="AG411" s="789">
        <f>IF($X411=0,0,      _xll.qDateNext($X411,AG$12,"M",FRM&lt;&gt;"Calypso",CCY))</f>
        <v>0</v>
      </c>
      <c r="AH411" s="789">
        <f>IF($X411=0,0,      _xll.qDateNext($X411,AH$12,"M",FRM&lt;&gt;"Calypso",CCY))</f>
        <v>0</v>
      </c>
      <c r="AI411" s="789">
        <f>IF($X411=0,0,      _xll.qDateNext($X411,AI$12,"M",FRM&lt;&gt;"Calypso",CCY))</f>
        <v>0</v>
      </c>
      <c r="AJ411" s="529" t="str">
        <v/>
      </c>
      <c r="AK411" s="529" t="str">
        <v/>
      </c>
      <c r="AL411" s="529" t="str">
        <v/>
      </c>
      <c r="AM411" s="529" t="str">
        <v/>
      </c>
      <c r="AN411" s="529" t="str">
        <v/>
      </c>
      <c r="AO411" s="529" t="str">
        <v/>
      </c>
      <c r="AP411" s="529" t="str">
        <v/>
      </c>
      <c r="AQ411" s="529" t="str">
        <v/>
      </c>
      <c r="AR411" s="529">
        <v>0</v>
      </c>
      <c r="AS411" s="529">
        <v>0</v>
      </c>
      <c r="AT411" s="529">
        <f t="shared" si="113"/>
        <v>0</v>
      </c>
      <c r="AU411" s="529">
        <v>0</v>
      </c>
      <c r="AV411" s="529">
        <f t="shared" si="114"/>
        <v>0</v>
      </c>
      <c r="AW411" s="529">
        <f t="shared" si="115"/>
        <v>0</v>
      </c>
      <c r="AX411" s="529">
        <v>0</v>
      </c>
      <c r="AY411" s="529">
        <v>0</v>
      </c>
      <c r="AZ411" s="761">
        <f t="shared" si="104"/>
        <v>0</v>
      </c>
      <c r="BA411" s="761">
        <f t="shared" si="105"/>
        <v>0</v>
      </c>
      <c r="BB411" s="761">
        <f t="shared" si="106"/>
        <v>0</v>
      </c>
      <c r="BC411" s="761">
        <f t="shared" si="107"/>
        <v>0</v>
      </c>
      <c r="BD411" s="761">
        <f t="shared" si="108"/>
        <v>0</v>
      </c>
      <c r="BE411" s="761">
        <f t="shared" si="109"/>
        <v>0</v>
      </c>
      <c r="BF411" s="761">
        <f t="shared" si="110"/>
        <v>0</v>
      </c>
      <c r="BG411" s="761">
        <f t="shared" si="111"/>
        <v>0</v>
      </c>
      <c r="BH411" s="777">
        <v>0</v>
      </c>
      <c r="BI411" s="755"/>
      <c r="BJ411" s="778">
        <f>IF(X412=0,0,           IF(ISNUMBER(BI411),BI411,               IF(ISTEXT(BI411),INDEX(AZ411:BG411,MATCH(BI411,$AZ$12:$BG$12,0)),             IF(BH411="INT",_xll.qInterp(X412,AB411:AI411,AZ411:BG411),            INDEX(AZ411:BG411,MATCH(BH411,$AZ$12:$BG$12,0))))))</f>
        <v>0</v>
      </c>
      <c r="BK411" s="408">
        <f t="shared" si="116"/>
        <v>0</v>
      </c>
      <c r="BL411" s="414">
        <f t="shared" si="117"/>
        <v>0</v>
      </c>
      <c r="BM411" s="408">
        <f t="shared" si="118"/>
        <v>0</v>
      </c>
    </row>
    <row r="412" spans="16:65">
      <c r="P412" s="781">
        <v>0</v>
      </c>
      <c r="Q412" s="780">
        <f t="shared" si="102"/>
        <v>0</v>
      </c>
      <c r="R412" s="776">
        <f>IF(P413,_xll.qDateYears(P412,P413,DCCfixed),0)</f>
        <v>0</v>
      </c>
      <c r="S412" s="553">
        <v>0</v>
      </c>
      <c r="T412" s="785"/>
      <c r="U412" s="409">
        <f t="shared" si="112"/>
        <v>0</v>
      </c>
      <c r="X412" s="363">
        <v>0</v>
      </c>
      <c r="Y412" s="775">
        <f t="shared" si="103"/>
        <v>0</v>
      </c>
      <c r="Z412" s="776">
        <f>IF(X413,_xll.qDateYears(X412,X413,DCCfloat),0)</f>
        <v>0</v>
      </c>
      <c r="AA412" s="553">
        <v>0</v>
      </c>
      <c r="AB412" s="789">
        <f>IF($X412=0,0,      _xll.qDateNext($X412,AB$12,"M",FRM&lt;&gt;"Calypso",CCY))</f>
        <v>0</v>
      </c>
      <c r="AC412" s="789">
        <f>IF($X412=0,0,      _xll.qDateNext($X412,AC$12,"M",FRM&lt;&gt;"Calypso",CCY))</f>
        <v>0</v>
      </c>
      <c r="AD412" s="789">
        <f>IF($X412=0,0,      _xll.qDateNext($X412,AD$12,"M",FRM&lt;&gt;"Calypso",CCY))</f>
        <v>0</v>
      </c>
      <c r="AE412" s="789">
        <f>IF($X412=0,0,      _xll.qDateNext($X412,AE$12,"M",FRM&lt;&gt;"Calypso",CCY))</f>
        <v>0</v>
      </c>
      <c r="AF412" s="789">
        <f>IF($X412=0,0,      _xll.qDateNext($X412,AF$12,"M",FRM&lt;&gt;"Calypso",CCY))</f>
        <v>0</v>
      </c>
      <c r="AG412" s="789">
        <f>IF($X412=0,0,      _xll.qDateNext($X412,AG$12,"M",FRM&lt;&gt;"Calypso",CCY))</f>
        <v>0</v>
      </c>
      <c r="AH412" s="789">
        <f>IF($X412=0,0,      _xll.qDateNext($X412,AH$12,"M",FRM&lt;&gt;"Calypso",CCY))</f>
        <v>0</v>
      </c>
      <c r="AI412" s="789">
        <f>IF($X412=0,0,      _xll.qDateNext($X412,AI$12,"M",FRM&lt;&gt;"Calypso",CCY))</f>
        <v>0</v>
      </c>
      <c r="AJ412" s="529" t="str">
        <v/>
      </c>
      <c r="AK412" s="529" t="str">
        <v/>
      </c>
      <c r="AL412" s="529" t="str">
        <v/>
      </c>
      <c r="AM412" s="529" t="str">
        <v/>
      </c>
      <c r="AN412" s="529" t="str">
        <v/>
      </c>
      <c r="AO412" s="529" t="str">
        <v/>
      </c>
      <c r="AP412" s="529" t="str">
        <v/>
      </c>
      <c r="AQ412" s="529" t="str">
        <v/>
      </c>
      <c r="AR412" s="529">
        <v>0</v>
      </c>
      <c r="AS412" s="529">
        <v>0</v>
      </c>
      <c r="AT412" s="529">
        <f t="shared" si="113"/>
        <v>0</v>
      </c>
      <c r="AU412" s="529">
        <v>0</v>
      </c>
      <c r="AV412" s="529">
        <f t="shared" si="114"/>
        <v>0</v>
      </c>
      <c r="AW412" s="529">
        <f t="shared" si="115"/>
        <v>0</v>
      </c>
      <c r="AX412" s="529">
        <v>0</v>
      </c>
      <c r="AY412" s="529">
        <v>0</v>
      </c>
      <c r="AZ412" s="761">
        <f t="shared" si="104"/>
        <v>0</v>
      </c>
      <c r="BA412" s="761">
        <f t="shared" si="105"/>
        <v>0</v>
      </c>
      <c r="BB412" s="761">
        <f t="shared" si="106"/>
        <v>0</v>
      </c>
      <c r="BC412" s="761">
        <f t="shared" si="107"/>
        <v>0</v>
      </c>
      <c r="BD412" s="761">
        <f t="shared" si="108"/>
        <v>0</v>
      </c>
      <c r="BE412" s="761">
        <f t="shared" si="109"/>
        <v>0</v>
      </c>
      <c r="BF412" s="761">
        <f t="shared" si="110"/>
        <v>0</v>
      </c>
      <c r="BG412" s="761">
        <f t="shared" si="111"/>
        <v>0</v>
      </c>
      <c r="BH412" s="777">
        <v>0</v>
      </c>
      <c r="BI412" s="755"/>
      <c r="BJ412" s="778">
        <f>IF(X413=0,0,           IF(ISNUMBER(BI412),BI412,               IF(ISTEXT(BI412),INDEX(AZ412:BG412,MATCH(BI412,$AZ$12:$BG$12,0)),             IF(BH412="INT",_xll.qInterp(X413,AB412:AI412,AZ412:BG412),            INDEX(AZ412:BG412,MATCH(BH412,$AZ$12:$BG$12,0))))))</f>
        <v>0</v>
      </c>
      <c r="BK412" s="408">
        <f t="shared" si="116"/>
        <v>0</v>
      </c>
      <c r="BL412" s="414">
        <f t="shared" si="117"/>
        <v>0</v>
      </c>
      <c r="BM412" s="408">
        <f t="shared" si="118"/>
        <v>0</v>
      </c>
    </row>
    <row r="413" spans="16:65">
      <c r="P413" s="781">
        <v>0</v>
      </c>
      <c r="Q413" s="780">
        <f t="shared" si="102"/>
        <v>0</v>
      </c>
      <c r="R413" s="776">
        <f>IF(P414,_xll.qDateYears(P413,P414,DCCfixed),0)</f>
        <v>0</v>
      </c>
      <c r="S413" s="553">
        <v>0</v>
      </c>
      <c r="T413" s="785"/>
      <c r="U413" s="409">
        <f t="shared" si="112"/>
        <v>0</v>
      </c>
      <c r="X413" s="363">
        <v>0</v>
      </c>
      <c r="Y413" s="775">
        <f t="shared" si="103"/>
        <v>0</v>
      </c>
      <c r="Z413" s="776">
        <f>IF(X414,_xll.qDateYears(X413,X414,DCCfloat),0)</f>
        <v>0</v>
      </c>
      <c r="AA413" s="553">
        <v>0</v>
      </c>
      <c r="AB413" s="789">
        <f>IF($X413=0,0,      _xll.qDateNext($X413,AB$12,"M",FRM&lt;&gt;"Calypso",CCY))</f>
        <v>0</v>
      </c>
      <c r="AC413" s="789">
        <f>IF($X413=0,0,      _xll.qDateNext($X413,AC$12,"M",FRM&lt;&gt;"Calypso",CCY))</f>
        <v>0</v>
      </c>
      <c r="AD413" s="789">
        <f>IF($X413=0,0,      _xll.qDateNext($X413,AD$12,"M",FRM&lt;&gt;"Calypso",CCY))</f>
        <v>0</v>
      </c>
      <c r="AE413" s="789">
        <f>IF($X413=0,0,      _xll.qDateNext($X413,AE$12,"M",FRM&lt;&gt;"Calypso",CCY))</f>
        <v>0</v>
      </c>
      <c r="AF413" s="789">
        <f>IF($X413=0,0,      _xll.qDateNext($X413,AF$12,"M",FRM&lt;&gt;"Calypso",CCY))</f>
        <v>0</v>
      </c>
      <c r="AG413" s="789">
        <f>IF($X413=0,0,      _xll.qDateNext($X413,AG$12,"M",FRM&lt;&gt;"Calypso",CCY))</f>
        <v>0</v>
      </c>
      <c r="AH413" s="789">
        <f>IF($X413=0,0,      _xll.qDateNext($X413,AH$12,"M",FRM&lt;&gt;"Calypso",CCY))</f>
        <v>0</v>
      </c>
      <c r="AI413" s="789">
        <f>IF($X413=0,0,      _xll.qDateNext($X413,AI$12,"M",FRM&lt;&gt;"Calypso",CCY))</f>
        <v>0</v>
      </c>
      <c r="AJ413" s="529" t="str">
        <v/>
      </c>
      <c r="AK413" s="529" t="str">
        <v/>
      </c>
      <c r="AL413" s="529" t="str">
        <v/>
      </c>
      <c r="AM413" s="529" t="str">
        <v/>
      </c>
      <c r="AN413" s="529" t="str">
        <v/>
      </c>
      <c r="AO413" s="529" t="str">
        <v/>
      </c>
      <c r="AP413" s="529" t="str">
        <v/>
      </c>
      <c r="AQ413" s="529" t="str">
        <v/>
      </c>
      <c r="AR413" s="529">
        <v>0</v>
      </c>
      <c r="AS413" s="529">
        <v>0</v>
      </c>
      <c r="AT413" s="529">
        <f t="shared" si="113"/>
        <v>0</v>
      </c>
      <c r="AU413" s="529">
        <v>0</v>
      </c>
      <c r="AV413" s="529">
        <f t="shared" si="114"/>
        <v>0</v>
      </c>
      <c r="AW413" s="529">
        <f t="shared" si="115"/>
        <v>0</v>
      </c>
      <c r="AX413" s="529">
        <v>0</v>
      </c>
      <c r="AY413" s="529">
        <v>0</v>
      </c>
      <c r="AZ413" s="761">
        <f t="shared" si="104"/>
        <v>0</v>
      </c>
      <c r="BA413" s="761">
        <f t="shared" si="105"/>
        <v>0</v>
      </c>
      <c r="BB413" s="761">
        <f t="shared" si="106"/>
        <v>0</v>
      </c>
      <c r="BC413" s="761">
        <f t="shared" si="107"/>
        <v>0</v>
      </c>
      <c r="BD413" s="761">
        <f t="shared" si="108"/>
        <v>0</v>
      </c>
      <c r="BE413" s="761">
        <f t="shared" si="109"/>
        <v>0</v>
      </c>
      <c r="BF413" s="761">
        <f t="shared" si="110"/>
        <v>0</v>
      </c>
      <c r="BG413" s="761">
        <f t="shared" si="111"/>
        <v>0</v>
      </c>
      <c r="BH413" s="777">
        <v>0</v>
      </c>
      <c r="BI413" s="755"/>
      <c r="BJ413" s="778">
        <f>IF(X414=0,0,           IF(ISNUMBER(BI413),BI413,               IF(ISTEXT(BI413),INDEX(AZ413:BG413,MATCH(BI413,$AZ$12:$BG$12,0)),             IF(BH413="INT",_xll.qInterp(X414,AB413:AI413,AZ413:BG413),            INDEX(AZ413:BG413,MATCH(BH413,$AZ$12:$BG$12,0))))))</f>
        <v>0</v>
      </c>
      <c r="BK413" s="408">
        <f t="shared" si="116"/>
        <v>0</v>
      </c>
      <c r="BL413" s="414">
        <f t="shared" si="117"/>
        <v>0</v>
      </c>
      <c r="BM413" s="408">
        <f t="shared" si="118"/>
        <v>0</v>
      </c>
    </row>
    <row r="414" spans="16:65">
      <c r="P414" s="781">
        <v>0</v>
      </c>
      <c r="Q414" s="780">
        <f t="shared" si="102"/>
        <v>0</v>
      </c>
      <c r="R414" s="776">
        <f>IF(P415,_xll.qDateYears(P414,P415,DCCfixed),0)</f>
        <v>0</v>
      </c>
      <c r="S414" s="553">
        <v>0</v>
      </c>
      <c r="T414" s="785"/>
      <c r="U414" s="409">
        <f t="shared" si="112"/>
        <v>0</v>
      </c>
      <c r="X414" s="363">
        <v>0</v>
      </c>
      <c r="Y414" s="775">
        <f t="shared" si="103"/>
        <v>0</v>
      </c>
      <c r="Z414" s="776">
        <f>IF(X415,_xll.qDateYears(X414,X415,DCCfloat),0)</f>
        <v>0</v>
      </c>
      <c r="AA414" s="553">
        <v>0</v>
      </c>
      <c r="AB414" s="789">
        <f>IF($X414=0,0,      _xll.qDateNext($X414,AB$12,"M",FRM&lt;&gt;"Calypso",CCY))</f>
        <v>0</v>
      </c>
      <c r="AC414" s="789">
        <f>IF($X414=0,0,      _xll.qDateNext($X414,AC$12,"M",FRM&lt;&gt;"Calypso",CCY))</f>
        <v>0</v>
      </c>
      <c r="AD414" s="789">
        <f>IF($X414=0,0,      _xll.qDateNext($X414,AD$12,"M",FRM&lt;&gt;"Calypso",CCY))</f>
        <v>0</v>
      </c>
      <c r="AE414" s="789">
        <f>IF($X414=0,0,      _xll.qDateNext($X414,AE$12,"M",FRM&lt;&gt;"Calypso",CCY))</f>
        <v>0</v>
      </c>
      <c r="AF414" s="789">
        <f>IF($X414=0,0,      _xll.qDateNext($X414,AF$12,"M",FRM&lt;&gt;"Calypso",CCY))</f>
        <v>0</v>
      </c>
      <c r="AG414" s="789">
        <f>IF($X414=0,0,      _xll.qDateNext($X414,AG$12,"M",FRM&lt;&gt;"Calypso",CCY))</f>
        <v>0</v>
      </c>
      <c r="AH414" s="789">
        <f>IF($X414=0,0,      _xll.qDateNext($X414,AH$12,"M",FRM&lt;&gt;"Calypso",CCY))</f>
        <v>0</v>
      </c>
      <c r="AI414" s="789">
        <f>IF($X414=0,0,      _xll.qDateNext($X414,AI$12,"M",FRM&lt;&gt;"Calypso",CCY))</f>
        <v>0</v>
      </c>
      <c r="AJ414" s="529" t="str">
        <v/>
      </c>
      <c r="AK414" s="529" t="str">
        <v/>
      </c>
      <c r="AL414" s="529" t="str">
        <v/>
      </c>
      <c r="AM414" s="529" t="str">
        <v/>
      </c>
      <c r="AN414" s="529" t="str">
        <v/>
      </c>
      <c r="AO414" s="529" t="str">
        <v/>
      </c>
      <c r="AP414" s="529" t="str">
        <v/>
      </c>
      <c r="AQ414" s="529" t="str">
        <v/>
      </c>
      <c r="AR414" s="529">
        <v>0</v>
      </c>
      <c r="AS414" s="529">
        <v>0</v>
      </c>
      <c r="AT414" s="529">
        <f t="shared" si="113"/>
        <v>0</v>
      </c>
      <c r="AU414" s="529">
        <v>0</v>
      </c>
      <c r="AV414" s="529">
        <f t="shared" si="114"/>
        <v>0</v>
      </c>
      <c r="AW414" s="529">
        <f t="shared" si="115"/>
        <v>0</v>
      </c>
      <c r="AX414" s="529">
        <v>0</v>
      </c>
      <c r="AY414" s="529">
        <v>0</v>
      </c>
      <c r="AZ414" s="761">
        <f t="shared" si="104"/>
        <v>0</v>
      </c>
      <c r="BA414" s="761">
        <f t="shared" si="105"/>
        <v>0</v>
      </c>
      <c r="BB414" s="761">
        <f t="shared" si="106"/>
        <v>0</v>
      </c>
      <c r="BC414" s="761">
        <f t="shared" si="107"/>
        <v>0</v>
      </c>
      <c r="BD414" s="761">
        <f t="shared" si="108"/>
        <v>0</v>
      </c>
      <c r="BE414" s="761">
        <f t="shared" si="109"/>
        <v>0</v>
      </c>
      <c r="BF414" s="761">
        <f t="shared" si="110"/>
        <v>0</v>
      </c>
      <c r="BG414" s="761">
        <f t="shared" si="111"/>
        <v>0</v>
      </c>
      <c r="BH414" s="777">
        <v>0</v>
      </c>
      <c r="BI414" s="755"/>
      <c r="BJ414" s="778">
        <f>IF(X415=0,0,           IF(ISNUMBER(BI414),BI414,               IF(ISTEXT(BI414),INDEX(AZ414:BG414,MATCH(BI414,$AZ$12:$BG$12,0)),             IF(BH414="INT",_xll.qInterp(X415,AB414:AI414,AZ414:BG414),            INDEX(AZ414:BG414,MATCH(BH414,$AZ$12:$BG$12,0))))))</f>
        <v>0</v>
      </c>
      <c r="BK414" s="408">
        <f t="shared" si="116"/>
        <v>0</v>
      </c>
      <c r="BL414" s="414">
        <f t="shared" si="117"/>
        <v>0</v>
      </c>
      <c r="BM414" s="408">
        <f t="shared" si="118"/>
        <v>0</v>
      </c>
    </row>
    <row r="415" spans="16:65">
      <c r="P415" s="781">
        <v>0</v>
      </c>
      <c r="Q415" s="780">
        <f t="shared" si="102"/>
        <v>0</v>
      </c>
      <c r="R415" s="776">
        <f>IF(P416,_xll.qDateYears(P415,P416,DCCfixed),0)</f>
        <v>0</v>
      </c>
      <c r="S415" s="553">
        <v>0</v>
      </c>
      <c r="T415" s="785"/>
      <c r="U415" s="409">
        <f t="shared" si="112"/>
        <v>0</v>
      </c>
      <c r="X415" s="363">
        <v>0</v>
      </c>
      <c r="Y415" s="775">
        <f t="shared" si="103"/>
        <v>0</v>
      </c>
      <c r="Z415" s="776">
        <f>IF(X416,_xll.qDateYears(X415,X416,DCCfloat),0)</f>
        <v>0</v>
      </c>
      <c r="AA415" s="553">
        <v>0</v>
      </c>
      <c r="AB415" s="789">
        <f>IF($X415=0,0,      _xll.qDateNext($X415,AB$12,"M",FRM&lt;&gt;"Calypso",CCY))</f>
        <v>0</v>
      </c>
      <c r="AC415" s="789">
        <f>IF($X415=0,0,      _xll.qDateNext($X415,AC$12,"M",FRM&lt;&gt;"Calypso",CCY))</f>
        <v>0</v>
      </c>
      <c r="AD415" s="789">
        <f>IF($X415=0,0,      _xll.qDateNext($X415,AD$12,"M",FRM&lt;&gt;"Calypso",CCY))</f>
        <v>0</v>
      </c>
      <c r="AE415" s="789">
        <f>IF($X415=0,0,      _xll.qDateNext($X415,AE$12,"M",FRM&lt;&gt;"Calypso",CCY))</f>
        <v>0</v>
      </c>
      <c r="AF415" s="789">
        <f>IF($X415=0,0,      _xll.qDateNext($X415,AF$12,"M",FRM&lt;&gt;"Calypso",CCY))</f>
        <v>0</v>
      </c>
      <c r="AG415" s="789">
        <f>IF($X415=0,0,      _xll.qDateNext($X415,AG$12,"M",FRM&lt;&gt;"Calypso",CCY))</f>
        <v>0</v>
      </c>
      <c r="AH415" s="789">
        <f>IF($X415=0,0,      _xll.qDateNext($X415,AH$12,"M",FRM&lt;&gt;"Calypso",CCY))</f>
        <v>0</v>
      </c>
      <c r="AI415" s="789">
        <f>IF($X415=0,0,      _xll.qDateNext($X415,AI$12,"M",FRM&lt;&gt;"Calypso",CCY))</f>
        <v>0</v>
      </c>
      <c r="AJ415" s="529" t="str">
        <v/>
      </c>
      <c r="AK415" s="529" t="str">
        <v/>
      </c>
      <c r="AL415" s="529" t="str">
        <v/>
      </c>
      <c r="AM415" s="529" t="str">
        <v/>
      </c>
      <c r="AN415" s="529" t="str">
        <v/>
      </c>
      <c r="AO415" s="529" t="str">
        <v/>
      </c>
      <c r="AP415" s="529" t="str">
        <v/>
      </c>
      <c r="AQ415" s="529" t="str">
        <v/>
      </c>
      <c r="AR415" s="529">
        <v>0</v>
      </c>
      <c r="AS415" s="529">
        <v>0</v>
      </c>
      <c r="AT415" s="529">
        <f t="shared" si="113"/>
        <v>0</v>
      </c>
      <c r="AU415" s="529">
        <v>0</v>
      </c>
      <c r="AV415" s="529">
        <f t="shared" si="114"/>
        <v>0</v>
      </c>
      <c r="AW415" s="529">
        <f t="shared" si="115"/>
        <v>0</v>
      </c>
      <c r="AX415" s="529">
        <v>0</v>
      </c>
      <c r="AY415" s="529">
        <v>0</v>
      </c>
      <c r="AZ415" s="761">
        <f t="shared" si="104"/>
        <v>0</v>
      </c>
      <c r="BA415" s="761">
        <f t="shared" si="105"/>
        <v>0</v>
      </c>
      <c r="BB415" s="761">
        <f t="shared" si="106"/>
        <v>0</v>
      </c>
      <c r="BC415" s="761">
        <f t="shared" si="107"/>
        <v>0</v>
      </c>
      <c r="BD415" s="761">
        <f t="shared" si="108"/>
        <v>0</v>
      </c>
      <c r="BE415" s="761">
        <f t="shared" si="109"/>
        <v>0</v>
      </c>
      <c r="BF415" s="761">
        <f t="shared" si="110"/>
        <v>0</v>
      </c>
      <c r="BG415" s="761">
        <f t="shared" si="111"/>
        <v>0</v>
      </c>
      <c r="BH415" s="777">
        <v>0</v>
      </c>
      <c r="BI415" s="755"/>
      <c r="BJ415" s="778">
        <f>IF(X416=0,0,           IF(ISNUMBER(BI415),BI415,               IF(ISTEXT(BI415),INDEX(AZ415:BG415,MATCH(BI415,$AZ$12:$BG$12,0)),             IF(BH415="INT",_xll.qInterp(X416,AB415:AI415,AZ415:BG415),            INDEX(AZ415:BG415,MATCH(BH415,$AZ$12:$BG$12,0))))))</f>
        <v>0</v>
      </c>
      <c r="BK415" s="408">
        <f t="shared" si="116"/>
        <v>0</v>
      </c>
      <c r="BL415" s="414">
        <f t="shared" si="117"/>
        <v>0</v>
      </c>
      <c r="BM415" s="408">
        <f t="shared" si="118"/>
        <v>0</v>
      </c>
    </row>
    <row r="416" spans="16:65">
      <c r="P416" s="781">
        <v>0</v>
      </c>
      <c r="Q416" s="780">
        <f t="shared" si="102"/>
        <v>0</v>
      </c>
      <c r="R416" s="776">
        <f>IF(P417,_xll.qDateYears(P416,P417,DCCfixed),0)</f>
        <v>0</v>
      </c>
      <c r="S416" s="553">
        <v>0</v>
      </c>
      <c r="T416" s="785"/>
      <c r="U416" s="409">
        <f t="shared" si="112"/>
        <v>0</v>
      </c>
      <c r="X416" s="363">
        <v>0</v>
      </c>
      <c r="Y416" s="775">
        <f t="shared" si="103"/>
        <v>0</v>
      </c>
      <c r="Z416" s="776">
        <f>IF(X417,_xll.qDateYears(X416,X417,DCCfloat),0)</f>
        <v>0</v>
      </c>
      <c r="AA416" s="553">
        <v>0</v>
      </c>
      <c r="AB416" s="789">
        <f>IF($X416=0,0,      _xll.qDateNext($X416,AB$12,"M",FRM&lt;&gt;"Calypso",CCY))</f>
        <v>0</v>
      </c>
      <c r="AC416" s="789">
        <f>IF($X416=0,0,      _xll.qDateNext($X416,AC$12,"M",FRM&lt;&gt;"Calypso",CCY))</f>
        <v>0</v>
      </c>
      <c r="AD416" s="789">
        <f>IF($X416=0,0,      _xll.qDateNext($X416,AD$12,"M",FRM&lt;&gt;"Calypso",CCY))</f>
        <v>0</v>
      </c>
      <c r="AE416" s="789">
        <f>IF($X416=0,0,      _xll.qDateNext($X416,AE$12,"M",FRM&lt;&gt;"Calypso",CCY))</f>
        <v>0</v>
      </c>
      <c r="AF416" s="789">
        <f>IF($X416=0,0,      _xll.qDateNext($X416,AF$12,"M",FRM&lt;&gt;"Calypso",CCY))</f>
        <v>0</v>
      </c>
      <c r="AG416" s="789">
        <f>IF($X416=0,0,      _xll.qDateNext($X416,AG$12,"M",FRM&lt;&gt;"Calypso",CCY))</f>
        <v>0</v>
      </c>
      <c r="AH416" s="789">
        <f>IF($X416=0,0,      _xll.qDateNext($X416,AH$12,"M",FRM&lt;&gt;"Calypso",CCY))</f>
        <v>0</v>
      </c>
      <c r="AI416" s="789">
        <f>IF($X416=0,0,      _xll.qDateNext($X416,AI$12,"M",FRM&lt;&gt;"Calypso",CCY))</f>
        <v>0</v>
      </c>
      <c r="AJ416" s="529" t="str">
        <v/>
      </c>
      <c r="AK416" s="529" t="str">
        <v/>
      </c>
      <c r="AL416" s="529" t="str">
        <v/>
      </c>
      <c r="AM416" s="529" t="str">
        <v/>
      </c>
      <c r="AN416" s="529" t="str">
        <v/>
      </c>
      <c r="AO416" s="529" t="str">
        <v/>
      </c>
      <c r="AP416" s="529" t="str">
        <v/>
      </c>
      <c r="AQ416" s="529" t="str">
        <v/>
      </c>
      <c r="AR416" s="529">
        <v>0</v>
      </c>
      <c r="AS416" s="529">
        <v>0</v>
      </c>
      <c r="AT416" s="529">
        <f t="shared" si="113"/>
        <v>0</v>
      </c>
      <c r="AU416" s="529">
        <v>0</v>
      </c>
      <c r="AV416" s="529">
        <f t="shared" si="114"/>
        <v>0</v>
      </c>
      <c r="AW416" s="529">
        <f t="shared" si="115"/>
        <v>0</v>
      </c>
      <c r="AX416" s="529">
        <v>0</v>
      </c>
      <c r="AY416" s="529">
        <v>0</v>
      </c>
      <c r="AZ416" s="761">
        <f t="shared" si="104"/>
        <v>0</v>
      </c>
      <c r="BA416" s="761">
        <f t="shared" si="105"/>
        <v>0</v>
      </c>
      <c r="BB416" s="761">
        <f t="shared" si="106"/>
        <v>0</v>
      </c>
      <c r="BC416" s="761">
        <f t="shared" si="107"/>
        <v>0</v>
      </c>
      <c r="BD416" s="761">
        <f t="shared" si="108"/>
        <v>0</v>
      </c>
      <c r="BE416" s="761">
        <f t="shared" si="109"/>
        <v>0</v>
      </c>
      <c r="BF416" s="761">
        <f t="shared" si="110"/>
        <v>0</v>
      </c>
      <c r="BG416" s="761">
        <f t="shared" si="111"/>
        <v>0</v>
      </c>
      <c r="BH416" s="777">
        <v>0</v>
      </c>
      <c r="BI416" s="755"/>
      <c r="BJ416" s="778">
        <f>IF(X417=0,0,           IF(ISNUMBER(BI416),BI416,               IF(ISTEXT(BI416),INDEX(AZ416:BG416,MATCH(BI416,$AZ$12:$BG$12,0)),             IF(BH416="INT",_xll.qInterp(X417,AB416:AI416,AZ416:BG416),            INDEX(AZ416:BG416,MATCH(BH416,$AZ$12:$BG$12,0))))))</f>
        <v>0</v>
      </c>
      <c r="BK416" s="408">
        <f t="shared" si="116"/>
        <v>0</v>
      </c>
      <c r="BL416" s="414">
        <f t="shared" si="117"/>
        <v>0</v>
      </c>
      <c r="BM416" s="408">
        <f t="shared" si="118"/>
        <v>0</v>
      </c>
    </row>
    <row r="417" spans="16:65">
      <c r="P417" s="781">
        <v>0</v>
      </c>
      <c r="Q417" s="780">
        <f t="shared" si="102"/>
        <v>0</v>
      </c>
      <c r="R417" s="776">
        <f>IF(P418,_xll.qDateYears(P417,P418,DCCfixed),0)</f>
        <v>0</v>
      </c>
      <c r="S417" s="553">
        <v>0</v>
      </c>
      <c r="T417" s="785"/>
      <c r="U417" s="409">
        <f t="shared" si="112"/>
        <v>0</v>
      </c>
      <c r="X417" s="363">
        <v>0</v>
      </c>
      <c r="Y417" s="775">
        <f t="shared" si="103"/>
        <v>0</v>
      </c>
      <c r="Z417" s="776">
        <f>IF(X418,_xll.qDateYears(X417,X418,DCCfloat),0)</f>
        <v>0</v>
      </c>
      <c r="AA417" s="553">
        <v>0</v>
      </c>
      <c r="AB417" s="789">
        <f>IF($X417=0,0,      _xll.qDateNext($X417,AB$12,"M",FRM&lt;&gt;"Calypso",CCY))</f>
        <v>0</v>
      </c>
      <c r="AC417" s="789">
        <f>IF($X417=0,0,      _xll.qDateNext($X417,AC$12,"M",FRM&lt;&gt;"Calypso",CCY))</f>
        <v>0</v>
      </c>
      <c r="AD417" s="789">
        <f>IF($X417=0,0,      _xll.qDateNext($X417,AD$12,"M",FRM&lt;&gt;"Calypso",CCY))</f>
        <v>0</v>
      </c>
      <c r="AE417" s="789">
        <f>IF($X417=0,0,      _xll.qDateNext($X417,AE$12,"M",FRM&lt;&gt;"Calypso",CCY))</f>
        <v>0</v>
      </c>
      <c r="AF417" s="789">
        <f>IF($X417=0,0,      _xll.qDateNext($X417,AF$12,"M",FRM&lt;&gt;"Calypso",CCY))</f>
        <v>0</v>
      </c>
      <c r="AG417" s="789">
        <f>IF($X417=0,0,      _xll.qDateNext($X417,AG$12,"M",FRM&lt;&gt;"Calypso",CCY))</f>
        <v>0</v>
      </c>
      <c r="AH417" s="789">
        <f>IF($X417=0,0,      _xll.qDateNext($X417,AH$12,"M",FRM&lt;&gt;"Calypso",CCY))</f>
        <v>0</v>
      </c>
      <c r="AI417" s="789">
        <f>IF($X417=0,0,      _xll.qDateNext($X417,AI$12,"M",FRM&lt;&gt;"Calypso",CCY))</f>
        <v>0</v>
      </c>
      <c r="AJ417" s="529" t="str">
        <v/>
      </c>
      <c r="AK417" s="529" t="str">
        <v/>
      </c>
      <c r="AL417" s="529" t="str">
        <v/>
      </c>
      <c r="AM417" s="529" t="str">
        <v/>
      </c>
      <c r="AN417" s="529" t="str">
        <v/>
      </c>
      <c r="AO417" s="529" t="str">
        <v/>
      </c>
      <c r="AP417" s="529" t="str">
        <v/>
      </c>
      <c r="AQ417" s="529" t="str">
        <v/>
      </c>
      <c r="AR417" s="529">
        <v>0</v>
      </c>
      <c r="AS417" s="529">
        <v>0</v>
      </c>
      <c r="AT417" s="529">
        <f t="shared" si="113"/>
        <v>0</v>
      </c>
      <c r="AU417" s="529">
        <v>0</v>
      </c>
      <c r="AV417" s="529">
        <f t="shared" si="114"/>
        <v>0</v>
      </c>
      <c r="AW417" s="529">
        <f t="shared" si="115"/>
        <v>0</v>
      </c>
      <c r="AX417" s="529">
        <v>0</v>
      </c>
      <c r="AY417" s="529">
        <v>0</v>
      </c>
      <c r="AZ417" s="761">
        <f t="shared" si="104"/>
        <v>0</v>
      </c>
      <c r="BA417" s="761">
        <f t="shared" si="105"/>
        <v>0</v>
      </c>
      <c r="BB417" s="761">
        <f t="shared" si="106"/>
        <v>0</v>
      </c>
      <c r="BC417" s="761">
        <f t="shared" si="107"/>
        <v>0</v>
      </c>
      <c r="BD417" s="761">
        <f t="shared" si="108"/>
        <v>0</v>
      </c>
      <c r="BE417" s="761">
        <f t="shared" si="109"/>
        <v>0</v>
      </c>
      <c r="BF417" s="761">
        <f t="shared" si="110"/>
        <v>0</v>
      </c>
      <c r="BG417" s="761">
        <f t="shared" si="111"/>
        <v>0</v>
      </c>
      <c r="BH417" s="777">
        <v>0</v>
      </c>
      <c r="BI417" s="755"/>
      <c r="BJ417" s="778">
        <f>IF(X418=0,0,           IF(ISNUMBER(BI417),BI417,               IF(ISTEXT(BI417),INDEX(AZ417:BG417,MATCH(BI417,$AZ$12:$BG$12,0)),             IF(BH417="INT",_xll.qInterp(X418,AB417:AI417,AZ417:BG417),            INDEX(AZ417:BG417,MATCH(BH417,$AZ$12:$BG$12,0))))))</f>
        <v>0</v>
      </c>
      <c r="BK417" s="408">
        <f t="shared" si="116"/>
        <v>0</v>
      </c>
      <c r="BL417" s="414">
        <f t="shared" si="117"/>
        <v>0</v>
      </c>
      <c r="BM417" s="408">
        <f t="shared" si="118"/>
        <v>0</v>
      </c>
    </row>
    <row r="418" spans="16:65">
      <c r="P418" s="781">
        <v>0</v>
      </c>
      <c r="Q418" s="780">
        <f t="shared" si="102"/>
        <v>0</v>
      </c>
      <c r="R418" s="776">
        <f>IF(P419,_xll.qDateYears(P418,P419,DCCfixed),0)</f>
        <v>0</v>
      </c>
      <c r="S418" s="553">
        <v>0</v>
      </c>
      <c r="T418" s="785"/>
      <c r="U418" s="409">
        <f t="shared" si="112"/>
        <v>0</v>
      </c>
      <c r="X418" s="363">
        <v>0</v>
      </c>
      <c r="Y418" s="775">
        <f t="shared" si="103"/>
        <v>0</v>
      </c>
      <c r="Z418" s="776">
        <f>IF(X419,_xll.qDateYears(X418,X419,DCCfloat),0)</f>
        <v>0</v>
      </c>
      <c r="AA418" s="553">
        <v>0</v>
      </c>
      <c r="AB418" s="789">
        <f>IF($X418=0,0,      _xll.qDateNext($X418,AB$12,"M",FRM&lt;&gt;"Calypso",CCY))</f>
        <v>0</v>
      </c>
      <c r="AC418" s="789">
        <f>IF($X418=0,0,      _xll.qDateNext($X418,AC$12,"M",FRM&lt;&gt;"Calypso",CCY))</f>
        <v>0</v>
      </c>
      <c r="AD418" s="789">
        <f>IF($X418=0,0,      _xll.qDateNext($X418,AD$12,"M",FRM&lt;&gt;"Calypso",CCY))</f>
        <v>0</v>
      </c>
      <c r="AE418" s="789">
        <f>IF($X418=0,0,      _xll.qDateNext($X418,AE$12,"M",FRM&lt;&gt;"Calypso",CCY))</f>
        <v>0</v>
      </c>
      <c r="AF418" s="789">
        <f>IF($X418=0,0,      _xll.qDateNext($X418,AF$12,"M",FRM&lt;&gt;"Calypso",CCY))</f>
        <v>0</v>
      </c>
      <c r="AG418" s="789">
        <f>IF($X418=0,0,      _xll.qDateNext($X418,AG$12,"M",FRM&lt;&gt;"Calypso",CCY))</f>
        <v>0</v>
      </c>
      <c r="AH418" s="789">
        <f>IF($X418=0,0,      _xll.qDateNext($X418,AH$12,"M",FRM&lt;&gt;"Calypso",CCY))</f>
        <v>0</v>
      </c>
      <c r="AI418" s="789">
        <f>IF($X418=0,0,      _xll.qDateNext($X418,AI$12,"M",FRM&lt;&gt;"Calypso",CCY))</f>
        <v>0</v>
      </c>
      <c r="AJ418" s="529" t="str">
        <v/>
      </c>
      <c r="AK418" s="529" t="str">
        <v/>
      </c>
      <c r="AL418" s="529" t="str">
        <v/>
      </c>
      <c r="AM418" s="529" t="str">
        <v/>
      </c>
      <c r="AN418" s="529" t="str">
        <v/>
      </c>
      <c r="AO418" s="529" t="str">
        <v/>
      </c>
      <c r="AP418" s="529" t="str">
        <v/>
      </c>
      <c r="AQ418" s="529" t="str">
        <v/>
      </c>
      <c r="AR418" s="529">
        <v>0</v>
      </c>
      <c r="AS418" s="529">
        <v>0</v>
      </c>
      <c r="AT418" s="529">
        <f t="shared" si="113"/>
        <v>0</v>
      </c>
      <c r="AU418" s="529">
        <v>0</v>
      </c>
      <c r="AV418" s="529">
        <f t="shared" si="114"/>
        <v>0</v>
      </c>
      <c r="AW418" s="529">
        <f t="shared" si="115"/>
        <v>0</v>
      </c>
      <c r="AX418" s="529">
        <v>0</v>
      </c>
      <c r="AY418" s="529">
        <v>0</v>
      </c>
      <c r="AZ418" s="761">
        <f t="shared" si="104"/>
        <v>0</v>
      </c>
      <c r="BA418" s="761">
        <f t="shared" si="105"/>
        <v>0</v>
      </c>
      <c r="BB418" s="761">
        <f t="shared" si="106"/>
        <v>0</v>
      </c>
      <c r="BC418" s="761">
        <f t="shared" si="107"/>
        <v>0</v>
      </c>
      <c r="BD418" s="761">
        <f t="shared" si="108"/>
        <v>0</v>
      </c>
      <c r="BE418" s="761">
        <f t="shared" si="109"/>
        <v>0</v>
      </c>
      <c r="BF418" s="761">
        <f t="shared" si="110"/>
        <v>0</v>
      </c>
      <c r="BG418" s="761">
        <f t="shared" si="111"/>
        <v>0</v>
      </c>
      <c r="BH418" s="777">
        <v>0</v>
      </c>
      <c r="BI418" s="755"/>
      <c r="BJ418" s="778">
        <f>IF(X419=0,0,           IF(ISNUMBER(BI418),BI418,               IF(ISTEXT(BI418),INDEX(AZ418:BG418,MATCH(BI418,$AZ$12:$BG$12,0)),             IF(BH418="INT",_xll.qInterp(X419,AB418:AI418,AZ418:BG418),            INDEX(AZ418:BG418,MATCH(BH418,$AZ$12:$BG$12,0))))))</f>
        <v>0</v>
      </c>
      <c r="BK418" s="408">
        <f t="shared" si="116"/>
        <v>0</v>
      </c>
      <c r="BL418" s="414">
        <f t="shared" si="117"/>
        <v>0</v>
      </c>
      <c r="BM418" s="408">
        <f t="shared" si="118"/>
        <v>0</v>
      </c>
    </row>
    <row r="419" spans="16:65">
      <c r="P419" s="781">
        <v>0</v>
      </c>
      <c r="Q419" s="780">
        <f t="shared" si="102"/>
        <v>0</v>
      </c>
      <c r="R419" s="776">
        <f>IF(P420,_xll.qDateYears(P419,P420,DCCfixed),0)</f>
        <v>0</v>
      </c>
      <c r="S419" s="553">
        <v>0</v>
      </c>
      <c r="T419" s="785"/>
      <c r="U419" s="409">
        <f t="shared" si="112"/>
        <v>0</v>
      </c>
      <c r="X419" s="363">
        <v>0</v>
      </c>
      <c r="Y419" s="775">
        <f t="shared" si="103"/>
        <v>0</v>
      </c>
      <c r="Z419" s="776">
        <f>IF(X420,_xll.qDateYears(X419,X420,DCCfloat),0)</f>
        <v>0</v>
      </c>
      <c r="AA419" s="553">
        <v>0</v>
      </c>
      <c r="AB419" s="789">
        <f>IF($X419=0,0,      _xll.qDateNext($X419,AB$12,"M",FRM&lt;&gt;"Calypso",CCY))</f>
        <v>0</v>
      </c>
      <c r="AC419" s="789">
        <f>IF($X419=0,0,      _xll.qDateNext($X419,AC$12,"M",FRM&lt;&gt;"Calypso",CCY))</f>
        <v>0</v>
      </c>
      <c r="AD419" s="789">
        <f>IF($X419=0,0,      _xll.qDateNext($X419,AD$12,"M",FRM&lt;&gt;"Calypso",CCY))</f>
        <v>0</v>
      </c>
      <c r="AE419" s="789">
        <f>IF($X419=0,0,      _xll.qDateNext($X419,AE$12,"M",FRM&lt;&gt;"Calypso",CCY))</f>
        <v>0</v>
      </c>
      <c r="AF419" s="789">
        <f>IF($X419=0,0,      _xll.qDateNext($X419,AF$12,"M",FRM&lt;&gt;"Calypso",CCY))</f>
        <v>0</v>
      </c>
      <c r="AG419" s="789">
        <f>IF($X419=0,0,      _xll.qDateNext($X419,AG$12,"M",FRM&lt;&gt;"Calypso",CCY))</f>
        <v>0</v>
      </c>
      <c r="AH419" s="789">
        <f>IF($X419=0,0,      _xll.qDateNext($X419,AH$12,"M",FRM&lt;&gt;"Calypso",CCY))</f>
        <v>0</v>
      </c>
      <c r="AI419" s="789">
        <f>IF($X419=0,0,      _xll.qDateNext($X419,AI$12,"M",FRM&lt;&gt;"Calypso",CCY))</f>
        <v>0</v>
      </c>
      <c r="AJ419" s="529" t="str">
        <v/>
      </c>
      <c r="AK419" s="529" t="str">
        <v/>
      </c>
      <c r="AL419" s="529" t="str">
        <v/>
      </c>
      <c r="AM419" s="529" t="str">
        <v/>
      </c>
      <c r="AN419" s="529" t="str">
        <v/>
      </c>
      <c r="AO419" s="529" t="str">
        <v/>
      </c>
      <c r="AP419" s="529" t="str">
        <v/>
      </c>
      <c r="AQ419" s="529" t="str">
        <v/>
      </c>
      <c r="AR419" s="529">
        <v>0</v>
      </c>
      <c r="AS419" s="529">
        <v>0</v>
      </c>
      <c r="AT419" s="529">
        <f t="shared" si="113"/>
        <v>0</v>
      </c>
      <c r="AU419" s="529">
        <v>0</v>
      </c>
      <c r="AV419" s="529">
        <f t="shared" si="114"/>
        <v>0</v>
      </c>
      <c r="AW419" s="529">
        <f t="shared" si="115"/>
        <v>0</v>
      </c>
      <c r="AX419" s="529">
        <v>0</v>
      </c>
      <c r="AY419" s="529">
        <v>0</v>
      </c>
      <c r="AZ419" s="761">
        <f t="shared" si="104"/>
        <v>0</v>
      </c>
      <c r="BA419" s="761">
        <f t="shared" si="105"/>
        <v>0</v>
      </c>
      <c r="BB419" s="761">
        <f t="shared" si="106"/>
        <v>0</v>
      </c>
      <c r="BC419" s="761">
        <f t="shared" si="107"/>
        <v>0</v>
      </c>
      <c r="BD419" s="761">
        <f t="shared" si="108"/>
        <v>0</v>
      </c>
      <c r="BE419" s="761">
        <f t="shared" si="109"/>
        <v>0</v>
      </c>
      <c r="BF419" s="761">
        <f t="shared" si="110"/>
        <v>0</v>
      </c>
      <c r="BG419" s="761">
        <f t="shared" si="111"/>
        <v>0</v>
      </c>
      <c r="BH419" s="777">
        <v>0</v>
      </c>
      <c r="BI419" s="755"/>
      <c r="BJ419" s="778">
        <f>IF(X420=0,0,           IF(ISNUMBER(BI419),BI419,               IF(ISTEXT(BI419),INDEX(AZ419:BG419,MATCH(BI419,$AZ$12:$BG$12,0)),             IF(BH419="INT",_xll.qInterp(X420,AB419:AI419,AZ419:BG419),            INDEX(AZ419:BG419,MATCH(BH419,$AZ$12:$BG$12,0))))))</f>
        <v>0</v>
      </c>
      <c r="BK419" s="408">
        <f t="shared" si="116"/>
        <v>0</v>
      </c>
      <c r="BL419" s="414">
        <f t="shared" si="117"/>
        <v>0</v>
      </c>
      <c r="BM419" s="408">
        <f t="shared" si="118"/>
        <v>0</v>
      </c>
    </row>
    <row r="420" spans="16:65">
      <c r="P420" s="781">
        <v>0</v>
      </c>
      <c r="Q420" s="780">
        <f t="shared" si="102"/>
        <v>0</v>
      </c>
      <c r="R420" s="776">
        <f>IF(P421,_xll.qDateYears(P420,P421,DCCfixed),0)</f>
        <v>0</v>
      </c>
      <c r="S420" s="553">
        <v>0</v>
      </c>
      <c r="T420" s="785"/>
      <c r="U420" s="409">
        <f t="shared" si="112"/>
        <v>0</v>
      </c>
      <c r="X420" s="363">
        <v>0</v>
      </c>
      <c r="Y420" s="775">
        <f t="shared" si="103"/>
        <v>0</v>
      </c>
      <c r="Z420" s="776">
        <f>IF(X421,_xll.qDateYears(X420,X421,DCCfloat),0)</f>
        <v>0</v>
      </c>
      <c r="AA420" s="553">
        <v>0</v>
      </c>
      <c r="AB420" s="789">
        <f>IF($X420=0,0,      _xll.qDateNext($X420,AB$12,"M",FRM&lt;&gt;"Calypso",CCY))</f>
        <v>0</v>
      </c>
      <c r="AC420" s="789">
        <f>IF($X420=0,0,      _xll.qDateNext($X420,AC$12,"M",FRM&lt;&gt;"Calypso",CCY))</f>
        <v>0</v>
      </c>
      <c r="AD420" s="789">
        <f>IF($X420=0,0,      _xll.qDateNext($X420,AD$12,"M",FRM&lt;&gt;"Calypso",CCY))</f>
        <v>0</v>
      </c>
      <c r="AE420" s="789">
        <f>IF($X420=0,0,      _xll.qDateNext($X420,AE$12,"M",FRM&lt;&gt;"Calypso",CCY))</f>
        <v>0</v>
      </c>
      <c r="AF420" s="789">
        <f>IF($X420=0,0,      _xll.qDateNext($X420,AF$12,"M",FRM&lt;&gt;"Calypso",CCY))</f>
        <v>0</v>
      </c>
      <c r="AG420" s="789">
        <f>IF($X420=0,0,      _xll.qDateNext($X420,AG$12,"M",FRM&lt;&gt;"Calypso",CCY))</f>
        <v>0</v>
      </c>
      <c r="AH420" s="789">
        <f>IF($X420=0,0,      _xll.qDateNext($X420,AH$12,"M",FRM&lt;&gt;"Calypso",CCY))</f>
        <v>0</v>
      </c>
      <c r="AI420" s="789">
        <f>IF($X420=0,0,      _xll.qDateNext($X420,AI$12,"M",FRM&lt;&gt;"Calypso",CCY))</f>
        <v>0</v>
      </c>
      <c r="AJ420" s="529" t="str">
        <v/>
      </c>
      <c r="AK420" s="529" t="str">
        <v/>
      </c>
      <c r="AL420" s="529" t="str">
        <v/>
      </c>
      <c r="AM420" s="529" t="str">
        <v/>
      </c>
      <c r="AN420" s="529" t="str">
        <v/>
      </c>
      <c r="AO420" s="529" t="str">
        <v/>
      </c>
      <c r="AP420" s="529" t="str">
        <v/>
      </c>
      <c r="AQ420" s="529" t="str">
        <v/>
      </c>
      <c r="AR420" s="529">
        <v>0</v>
      </c>
      <c r="AS420" s="529">
        <v>0</v>
      </c>
      <c r="AT420" s="529">
        <f t="shared" si="113"/>
        <v>0</v>
      </c>
      <c r="AU420" s="529">
        <v>0</v>
      </c>
      <c r="AV420" s="529">
        <f t="shared" si="114"/>
        <v>0</v>
      </c>
      <c r="AW420" s="529">
        <f t="shared" si="115"/>
        <v>0</v>
      </c>
      <c r="AX420" s="529">
        <v>0</v>
      </c>
      <c r="AY420" s="529">
        <v>0</v>
      </c>
      <c r="AZ420" s="761">
        <f t="shared" si="104"/>
        <v>0</v>
      </c>
      <c r="BA420" s="761">
        <f t="shared" si="105"/>
        <v>0</v>
      </c>
      <c r="BB420" s="761">
        <f t="shared" si="106"/>
        <v>0</v>
      </c>
      <c r="BC420" s="761">
        <f t="shared" si="107"/>
        <v>0</v>
      </c>
      <c r="BD420" s="761">
        <f t="shared" si="108"/>
        <v>0</v>
      </c>
      <c r="BE420" s="761">
        <f t="shared" si="109"/>
        <v>0</v>
      </c>
      <c r="BF420" s="761">
        <f t="shared" si="110"/>
        <v>0</v>
      </c>
      <c r="BG420" s="761">
        <f t="shared" si="111"/>
        <v>0</v>
      </c>
      <c r="BH420" s="777">
        <v>0</v>
      </c>
      <c r="BI420" s="755"/>
      <c r="BJ420" s="778">
        <f>IF(X421=0,0,           IF(ISNUMBER(BI420),BI420,               IF(ISTEXT(BI420),INDEX(AZ420:BG420,MATCH(BI420,$AZ$12:$BG$12,0)),             IF(BH420="INT",_xll.qInterp(X421,AB420:AI420,AZ420:BG420),            INDEX(AZ420:BG420,MATCH(BH420,$AZ$12:$BG$12,0))))))</f>
        <v>0</v>
      </c>
      <c r="BK420" s="408">
        <f t="shared" si="116"/>
        <v>0</v>
      </c>
      <c r="BL420" s="414">
        <f t="shared" si="117"/>
        <v>0</v>
      </c>
      <c r="BM420" s="408">
        <f t="shared" si="118"/>
        <v>0</v>
      </c>
    </row>
    <row r="421" spans="16:65">
      <c r="P421" s="781">
        <v>0</v>
      </c>
      <c r="Q421" s="780">
        <f t="shared" si="102"/>
        <v>0</v>
      </c>
      <c r="R421" s="776">
        <f>IF(P422,_xll.qDateYears(P421,P422,DCCfixed),0)</f>
        <v>0</v>
      </c>
      <c r="S421" s="553">
        <v>0</v>
      </c>
      <c r="T421" s="785"/>
      <c r="U421" s="409">
        <f t="shared" si="112"/>
        <v>0</v>
      </c>
      <c r="X421" s="363">
        <v>0</v>
      </c>
      <c r="Y421" s="775">
        <f t="shared" si="103"/>
        <v>0</v>
      </c>
      <c r="Z421" s="776">
        <f>IF(X422,_xll.qDateYears(X421,X422,DCCfloat),0)</f>
        <v>0</v>
      </c>
      <c r="AA421" s="553">
        <v>0</v>
      </c>
      <c r="AB421" s="789">
        <f>IF($X421=0,0,      _xll.qDateNext($X421,AB$12,"M",FRM&lt;&gt;"Calypso",CCY))</f>
        <v>0</v>
      </c>
      <c r="AC421" s="789">
        <f>IF($X421=0,0,      _xll.qDateNext($X421,AC$12,"M",FRM&lt;&gt;"Calypso",CCY))</f>
        <v>0</v>
      </c>
      <c r="AD421" s="789">
        <f>IF($X421=0,0,      _xll.qDateNext($X421,AD$12,"M",FRM&lt;&gt;"Calypso",CCY))</f>
        <v>0</v>
      </c>
      <c r="AE421" s="789">
        <f>IF($X421=0,0,      _xll.qDateNext($X421,AE$12,"M",FRM&lt;&gt;"Calypso",CCY))</f>
        <v>0</v>
      </c>
      <c r="AF421" s="789">
        <f>IF($X421=0,0,      _xll.qDateNext($X421,AF$12,"M",FRM&lt;&gt;"Calypso",CCY))</f>
        <v>0</v>
      </c>
      <c r="AG421" s="789">
        <f>IF($X421=0,0,      _xll.qDateNext($X421,AG$12,"M",FRM&lt;&gt;"Calypso",CCY))</f>
        <v>0</v>
      </c>
      <c r="AH421" s="789">
        <f>IF($X421=0,0,      _xll.qDateNext($X421,AH$12,"M",FRM&lt;&gt;"Calypso",CCY))</f>
        <v>0</v>
      </c>
      <c r="AI421" s="789">
        <f>IF($X421=0,0,      _xll.qDateNext($X421,AI$12,"M",FRM&lt;&gt;"Calypso",CCY))</f>
        <v>0</v>
      </c>
      <c r="AJ421" s="529" t="str">
        <v/>
      </c>
      <c r="AK421" s="529" t="str">
        <v/>
      </c>
      <c r="AL421" s="529" t="str">
        <v/>
      </c>
      <c r="AM421" s="529" t="str">
        <v/>
      </c>
      <c r="AN421" s="529" t="str">
        <v/>
      </c>
      <c r="AO421" s="529" t="str">
        <v/>
      </c>
      <c r="AP421" s="529" t="str">
        <v/>
      </c>
      <c r="AQ421" s="529" t="str">
        <v/>
      </c>
      <c r="AR421" s="529">
        <v>0</v>
      </c>
      <c r="AS421" s="529">
        <v>0</v>
      </c>
      <c r="AT421" s="529">
        <f t="shared" si="113"/>
        <v>0</v>
      </c>
      <c r="AU421" s="529">
        <v>0</v>
      </c>
      <c r="AV421" s="529">
        <f t="shared" si="114"/>
        <v>0</v>
      </c>
      <c r="AW421" s="529">
        <f t="shared" si="115"/>
        <v>0</v>
      </c>
      <c r="AX421" s="529">
        <v>0</v>
      </c>
      <c r="AY421" s="529">
        <v>0</v>
      </c>
      <c r="AZ421" s="761">
        <f t="shared" si="104"/>
        <v>0</v>
      </c>
      <c r="BA421" s="761">
        <f t="shared" si="105"/>
        <v>0</v>
      </c>
      <c r="BB421" s="761">
        <f t="shared" si="106"/>
        <v>0</v>
      </c>
      <c r="BC421" s="761">
        <f t="shared" si="107"/>
        <v>0</v>
      </c>
      <c r="BD421" s="761">
        <f t="shared" si="108"/>
        <v>0</v>
      </c>
      <c r="BE421" s="761">
        <f t="shared" si="109"/>
        <v>0</v>
      </c>
      <c r="BF421" s="761">
        <f t="shared" si="110"/>
        <v>0</v>
      </c>
      <c r="BG421" s="761">
        <f t="shared" si="111"/>
        <v>0</v>
      </c>
      <c r="BH421" s="777">
        <v>0</v>
      </c>
      <c r="BI421" s="755"/>
      <c r="BJ421" s="778">
        <f>IF(X422=0,0,           IF(ISNUMBER(BI421),BI421,               IF(ISTEXT(BI421),INDEX(AZ421:BG421,MATCH(BI421,$AZ$12:$BG$12,0)),             IF(BH421="INT",_xll.qInterp(X422,AB421:AI421,AZ421:BG421),            INDEX(AZ421:BG421,MATCH(BH421,$AZ$12:$BG$12,0))))))</f>
        <v>0</v>
      </c>
      <c r="BK421" s="408">
        <f t="shared" si="116"/>
        <v>0</v>
      </c>
      <c r="BL421" s="414">
        <f t="shared" si="117"/>
        <v>0</v>
      </c>
      <c r="BM421" s="408">
        <f t="shared" si="118"/>
        <v>0</v>
      </c>
    </row>
    <row r="422" spans="16:65">
      <c r="P422" s="781">
        <v>0</v>
      </c>
      <c r="Q422" s="780">
        <f t="shared" si="102"/>
        <v>0</v>
      </c>
      <c r="R422" s="776">
        <f>IF(P423,_xll.qDateYears(P422,P423,DCCfixed),0)</f>
        <v>0</v>
      </c>
      <c r="S422" s="553">
        <v>0</v>
      </c>
      <c r="T422" s="785"/>
      <c r="U422" s="409">
        <f t="shared" si="112"/>
        <v>0</v>
      </c>
      <c r="X422" s="363">
        <v>0</v>
      </c>
      <c r="Y422" s="775">
        <f t="shared" si="103"/>
        <v>0</v>
      </c>
      <c r="Z422" s="776">
        <f>IF(X423,_xll.qDateYears(X422,X423,DCCfloat),0)</f>
        <v>0</v>
      </c>
      <c r="AA422" s="553">
        <v>0</v>
      </c>
      <c r="AB422" s="789">
        <f>IF($X422=0,0,      _xll.qDateNext($X422,AB$12,"M",FRM&lt;&gt;"Calypso",CCY))</f>
        <v>0</v>
      </c>
      <c r="AC422" s="789">
        <f>IF($X422=0,0,      _xll.qDateNext($X422,AC$12,"M",FRM&lt;&gt;"Calypso",CCY))</f>
        <v>0</v>
      </c>
      <c r="AD422" s="789">
        <f>IF($X422=0,0,      _xll.qDateNext($X422,AD$12,"M",FRM&lt;&gt;"Calypso",CCY))</f>
        <v>0</v>
      </c>
      <c r="AE422" s="789">
        <f>IF($X422=0,0,      _xll.qDateNext($X422,AE$12,"M",FRM&lt;&gt;"Calypso",CCY))</f>
        <v>0</v>
      </c>
      <c r="AF422" s="789">
        <f>IF($X422=0,0,      _xll.qDateNext($X422,AF$12,"M",FRM&lt;&gt;"Calypso",CCY))</f>
        <v>0</v>
      </c>
      <c r="AG422" s="789">
        <f>IF($X422=0,0,      _xll.qDateNext($X422,AG$12,"M",FRM&lt;&gt;"Calypso",CCY))</f>
        <v>0</v>
      </c>
      <c r="AH422" s="789">
        <f>IF($X422=0,0,      _xll.qDateNext($X422,AH$12,"M",FRM&lt;&gt;"Calypso",CCY))</f>
        <v>0</v>
      </c>
      <c r="AI422" s="789">
        <f>IF($X422=0,0,      _xll.qDateNext($X422,AI$12,"M",FRM&lt;&gt;"Calypso",CCY))</f>
        <v>0</v>
      </c>
      <c r="AJ422" s="529" t="str">
        <v/>
      </c>
      <c r="AK422" s="529" t="str">
        <v/>
      </c>
      <c r="AL422" s="529" t="str">
        <v/>
      </c>
      <c r="AM422" s="529" t="str">
        <v/>
      </c>
      <c r="AN422" s="529" t="str">
        <v/>
      </c>
      <c r="AO422" s="529" t="str">
        <v/>
      </c>
      <c r="AP422" s="529" t="str">
        <v/>
      </c>
      <c r="AQ422" s="529" t="str">
        <v/>
      </c>
      <c r="AR422" s="529">
        <v>0</v>
      </c>
      <c r="AS422" s="529">
        <v>0</v>
      </c>
      <c r="AT422" s="529">
        <f t="shared" si="113"/>
        <v>0</v>
      </c>
      <c r="AU422" s="529">
        <v>0</v>
      </c>
      <c r="AV422" s="529">
        <f t="shared" si="114"/>
        <v>0</v>
      </c>
      <c r="AW422" s="529">
        <f t="shared" si="115"/>
        <v>0</v>
      </c>
      <c r="AX422" s="529">
        <v>0</v>
      </c>
      <c r="AY422" s="529">
        <v>0</v>
      </c>
      <c r="AZ422" s="761">
        <f t="shared" si="104"/>
        <v>0</v>
      </c>
      <c r="BA422" s="761">
        <f t="shared" si="105"/>
        <v>0</v>
      </c>
      <c r="BB422" s="761">
        <f t="shared" si="106"/>
        <v>0</v>
      </c>
      <c r="BC422" s="761">
        <f t="shared" si="107"/>
        <v>0</v>
      </c>
      <c r="BD422" s="761">
        <f t="shared" si="108"/>
        <v>0</v>
      </c>
      <c r="BE422" s="761">
        <f t="shared" si="109"/>
        <v>0</v>
      </c>
      <c r="BF422" s="761">
        <f t="shared" si="110"/>
        <v>0</v>
      </c>
      <c r="BG422" s="761">
        <f t="shared" si="111"/>
        <v>0</v>
      </c>
      <c r="BH422" s="777">
        <v>0</v>
      </c>
      <c r="BI422" s="755"/>
      <c r="BJ422" s="778">
        <f>IF(X423=0,0,           IF(ISNUMBER(BI422),BI422,               IF(ISTEXT(BI422),INDEX(AZ422:BG422,MATCH(BI422,$AZ$12:$BG$12,0)),             IF(BH422="INT",_xll.qInterp(X423,AB422:AI422,AZ422:BG422),            INDEX(AZ422:BG422,MATCH(BH422,$AZ$12:$BG$12,0))))))</f>
        <v>0</v>
      </c>
      <c r="BK422" s="408">
        <f t="shared" si="116"/>
        <v>0</v>
      </c>
      <c r="BL422" s="414">
        <f t="shared" si="117"/>
        <v>0</v>
      </c>
      <c r="BM422" s="408">
        <f t="shared" si="118"/>
        <v>0</v>
      </c>
    </row>
    <row r="423" spans="16:65">
      <c r="P423" s="781">
        <v>0</v>
      </c>
      <c r="Q423" s="780">
        <f t="shared" si="102"/>
        <v>0</v>
      </c>
      <c r="R423" s="776">
        <f>IF(P424,_xll.qDateYears(P423,P424,DCCfixed),0)</f>
        <v>0</v>
      </c>
      <c r="S423" s="553">
        <v>0</v>
      </c>
      <c r="T423" s="785"/>
      <c r="U423" s="409">
        <f t="shared" si="112"/>
        <v>0</v>
      </c>
      <c r="X423" s="363">
        <v>0</v>
      </c>
      <c r="Y423" s="775">
        <f t="shared" si="103"/>
        <v>0</v>
      </c>
      <c r="Z423" s="776">
        <f>IF(X424,_xll.qDateYears(X423,X424,DCCfloat),0)</f>
        <v>0</v>
      </c>
      <c r="AA423" s="553">
        <v>0</v>
      </c>
      <c r="AB423" s="789">
        <f>IF($X423=0,0,      _xll.qDateNext($X423,AB$12,"M",FRM&lt;&gt;"Calypso",CCY))</f>
        <v>0</v>
      </c>
      <c r="AC423" s="789">
        <f>IF($X423=0,0,      _xll.qDateNext($X423,AC$12,"M",FRM&lt;&gt;"Calypso",CCY))</f>
        <v>0</v>
      </c>
      <c r="AD423" s="789">
        <f>IF($X423=0,0,      _xll.qDateNext($X423,AD$12,"M",FRM&lt;&gt;"Calypso",CCY))</f>
        <v>0</v>
      </c>
      <c r="AE423" s="789">
        <f>IF($X423=0,0,      _xll.qDateNext($X423,AE$12,"M",FRM&lt;&gt;"Calypso",CCY))</f>
        <v>0</v>
      </c>
      <c r="AF423" s="789">
        <f>IF($X423=0,0,      _xll.qDateNext($X423,AF$12,"M",FRM&lt;&gt;"Calypso",CCY))</f>
        <v>0</v>
      </c>
      <c r="AG423" s="789">
        <f>IF($X423=0,0,      _xll.qDateNext($X423,AG$12,"M",FRM&lt;&gt;"Calypso",CCY))</f>
        <v>0</v>
      </c>
      <c r="AH423" s="789">
        <f>IF($X423=0,0,      _xll.qDateNext($X423,AH$12,"M",FRM&lt;&gt;"Calypso",CCY))</f>
        <v>0</v>
      </c>
      <c r="AI423" s="789">
        <f>IF($X423=0,0,      _xll.qDateNext($X423,AI$12,"M",FRM&lt;&gt;"Calypso",CCY))</f>
        <v>0</v>
      </c>
      <c r="AJ423" s="529" t="str">
        <v/>
      </c>
      <c r="AK423" s="529" t="str">
        <v/>
      </c>
      <c r="AL423" s="529" t="str">
        <v/>
      </c>
      <c r="AM423" s="529" t="str">
        <v/>
      </c>
      <c r="AN423" s="529" t="str">
        <v/>
      </c>
      <c r="AO423" s="529" t="str">
        <v/>
      </c>
      <c r="AP423" s="529" t="str">
        <v/>
      </c>
      <c r="AQ423" s="529" t="str">
        <v/>
      </c>
      <c r="AR423" s="529">
        <v>0</v>
      </c>
      <c r="AS423" s="529">
        <v>0</v>
      </c>
      <c r="AT423" s="529">
        <f t="shared" si="113"/>
        <v>0</v>
      </c>
      <c r="AU423" s="529">
        <v>0</v>
      </c>
      <c r="AV423" s="529">
        <f t="shared" si="114"/>
        <v>0</v>
      </c>
      <c r="AW423" s="529">
        <f t="shared" si="115"/>
        <v>0</v>
      </c>
      <c r="AX423" s="529">
        <v>0</v>
      </c>
      <c r="AY423" s="529">
        <v>0</v>
      </c>
      <c r="AZ423" s="761">
        <f t="shared" si="104"/>
        <v>0</v>
      </c>
      <c r="BA423" s="761">
        <f t="shared" si="105"/>
        <v>0</v>
      </c>
      <c r="BB423" s="761">
        <f t="shared" si="106"/>
        <v>0</v>
      </c>
      <c r="BC423" s="761">
        <f t="shared" si="107"/>
        <v>0</v>
      </c>
      <c r="BD423" s="761">
        <f t="shared" si="108"/>
        <v>0</v>
      </c>
      <c r="BE423" s="761">
        <f t="shared" si="109"/>
        <v>0</v>
      </c>
      <c r="BF423" s="761">
        <f t="shared" si="110"/>
        <v>0</v>
      </c>
      <c r="BG423" s="761">
        <f t="shared" si="111"/>
        <v>0</v>
      </c>
      <c r="BH423" s="777">
        <v>0</v>
      </c>
      <c r="BI423" s="755"/>
      <c r="BJ423" s="778">
        <f>IF(X424=0,0,           IF(ISNUMBER(BI423),BI423,               IF(ISTEXT(BI423),INDEX(AZ423:BG423,MATCH(BI423,$AZ$12:$BG$12,0)),             IF(BH423="INT",_xll.qInterp(X424,AB423:AI423,AZ423:BG423),            INDEX(AZ423:BG423,MATCH(BH423,$AZ$12:$BG$12,0))))))</f>
        <v>0</v>
      </c>
      <c r="BK423" s="408">
        <f t="shared" si="116"/>
        <v>0</v>
      </c>
      <c r="BL423" s="414">
        <f t="shared" si="117"/>
        <v>0</v>
      </c>
      <c r="BM423" s="408">
        <f t="shared" si="118"/>
        <v>0</v>
      </c>
    </row>
    <row r="424" spans="16:65">
      <c r="P424" s="781">
        <v>0</v>
      </c>
      <c r="Q424" s="780">
        <f t="shared" si="102"/>
        <v>0</v>
      </c>
      <c r="R424" s="776">
        <f>IF(P425,_xll.qDateYears(P424,P425,DCCfixed),0)</f>
        <v>0</v>
      </c>
      <c r="S424" s="553">
        <v>0</v>
      </c>
      <c r="T424" s="785"/>
      <c r="U424" s="409">
        <f t="shared" si="112"/>
        <v>0</v>
      </c>
      <c r="X424" s="363">
        <v>0</v>
      </c>
      <c r="Y424" s="775">
        <f t="shared" si="103"/>
        <v>0</v>
      </c>
      <c r="Z424" s="776">
        <f>IF(X425,_xll.qDateYears(X424,X425,DCCfloat),0)</f>
        <v>0</v>
      </c>
      <c r="AA424" s="553">
        <v>0</v>
      </c>
      <c r="AB424" s="789">
        <f>IF($X424=0,0,      _xll.qDateNext($X424,AB$12,"M",FRM&lt;&gt;"Calypso",CCY))</f>
        <v>0</v>
      </c>
      <c r="AC424" s="789">
        <f>IF($X424=0,0,      _xll.qDateNext($X424,AC$12,"M",FRM&lt;&gt;"Calypso",CCY))</f>
        <v>0</v>
      </c>
      <c r="AD424" s="789">
        <f>IF($X424=0,0,      _xll.qDateNext($X424,AD$12,"M",FRM&lt;&gt;"Calypso",CCY))</f>
        <v>0</v>
      </c>
      <c r="AE424" s="789">
        <f>IF($X424=0,0,      _xll.qDateNext($X424,AE$12,"M",FRM&lt;&gt;"Calypso",CCY))</f>
        <v>0</v>
      </c>
      <c r="AF424" s="789">
        <f>IF($X424=0,0,      _xll.qDateNext($X424,AF$12,"M",FRM&lt;&gt;"Calypso",CCY))</f>
        <v>0</v>
      </c>
      <c r="AG424" s="789">
        <f>IF($X424=0,0,      _xll.qDateNext($X424,AG$12,"M",FRM&lt;&gt;"Calypso",CCY))</f>
        <v>0</v>
      </c>
      <c r="AH424" s="789">
        <f>IF($X424=0,0,      _xll.qDateNext($X424,AH$12,"M",FRM&lt;&gt;"Calypso",CCY))</f>
        <v>0</v>
      </c>
      <c r="AI424" s="789">
        <f>IF($X424=0,0,      _xll.qDateNext($X424,AI$12,"M",FRM&lt;&gt;"Calypso",CCY))</f>
        <v>0</v>
      </c>
      <c r="AJ424" s="529" t="str">
        <v/>
      </c>
      <c r="AK424" s="529" t="str">
        <v/>
      </c>
      <c r="AL424" s="529" t="str">
        <v/>
      </c>
      <c r="AM424" s="529" t="str">
        <v/>
      </c>
      <c r="AN424" s="529" t="str">
        <v/>
      </c>
      <c r="AO424" s="529" t="str">
        <v/>
      </c>
      <c r="AP424" s="529" t="str">
        <v/>
      </c>
      <c r="AQ424" s="529" t="str">
        <v/>
      </c>
      <c r="AR424" s="529">
        <v>0</v>
      </c>
      <c r="AS424" s="529">
        <v>0</v>
      </c>
      <c r="AT424" s="529">
        <f t="shared" si="113"/>
        <v>0</v>
      </c>
      <c r="AU424" s="529">
        <v>0</v>
      </c>
      <c r="AV424" s="529">
        <f t="shared" si="114"/>
        <v>0</v>
      </c>
      <c r="AW424" s="529">
        <f t="shared" si="115"/>
        <v>0</v>
      </c>
      <c r="AX424" s="529">
        <v>0</v>
      </c>
      <c r="AY424" s="529">
        <v>0</v>
      </c>
      <c r="AZ424" s="761">
        <f t="shared" si="104"/>
        <v>0</v>
      </c>
      <c r="BA424" s="761">
        <f t="shared" si="105"/>
        <v>0</v>
      </c>
      <c r="BB424" s="761">
        <f t="shared" si="106"/>
        <v>0</v>
      </c>
      <c r="BC424" s="761">
        <f t="shared" si="107"/>
        <v>0</v>
      </c>
      <c r="BD424" s="761">
        <f t="shared" si="108"/>
        <v>0</v>
      </c>
      <c r="BE424" s="761">
        <f t="shared" si="109"/>
        <v>0</v>
      </c>
      <c r="BF424" s="761">
        <f t="shared" si="110"/>
        <v>0</v>
      </c>
      <c r="BG424" s="761">
        <f t="shared" si="111"/>
        <v>0</v>
      </c>
      <c r="BH424" s="777">
        <v>0</v>
      </c>
      <c r="BI424" s="755"/>
      <c r="BJ424" s="778">
        <f>IF(X425=0,0,           IF(ISNUMBER(BI424),BI424,               IF(ISTEXT(BI424),INDEX(AZ424:BG424,MATCH(BI424,$AZ$12:$BG$12,0)),             IF(BH424="INT",_xll.qInterp(X425,AB424:AI424,AZ424:BG424),            INDEX(AZ424:BG424,MATCH(BH424,$AZ$12:$BG$12,0))))))</f>
        <v>0</v>
      </c>
      <c r="BK424" s="408">
        <f t="shared" si="116"/>
        <v>0</v>
      </c>
      <c r="BL424" s="414">
        <f t="shared" si="117"/>
        <v>0</v>
      </c>
      <c r="BM424" s="408">
        <f t="shared" si="118"/>
        <v>0</v>
      </c>
    </row>
    <row r="425" spans="16:65">
      <c r="P425" s="781">
        <v>0</v>
      </c>
      <c r="Q425" s="780">
        <f t="shared" si="102"/>
        <v>0</v>
      </c>
      <c r="R425" s="776">
        <f>IF(P426,_xll.qDateYears(P425,P426,DCCfixed),0)</f>
        <v>0</v>
      </c>
      <c r="S425" s="553">
        <v>0</v>
      </c>
      <c r="T425" s="785"/>
      <c r="U425" s="409">
        <f t="shared" si="112"/>
        <v>0</v>
      </c>
      <c r="X425" s="363">
        <v>0</v>
      </c>
      <c r="Y425" s="775">
        <f t="shared" si="103"/>
        <v>0</v>
      </c>
      <c r="Z425" s="776">
        <f>IF(X426,_xll.qDateYears(X425,X426,DCCfloat),0)</f>
        <v>0</v>
      </c>
      <c r="AA425" s="553">
        <v>0</v>
      </c>
      <c r="AB425" s="789">
        <f>IF($X425=0,0,      _xll.qDateNext($X425,AB$12,"M",FRM&lt;&gt;"Calypso",CCY))</f>
        <v>0</v>
      </c>
      <c r="AC425" s="789">
        <f>IF($X425=0,0,      _xll.qDateNext($X425,AC$12,"M",FRM&lt;&gt;"Calypso",CCY))</f>
        <v>0</v>
      </c>
      <c r="AD425" s="789">
        <f>IF($X425=0,0,      _xll.qDateNext($X425,AD$12,"M",FRM&lt;&gt;"Calypso",CCY))</f>
        <v>0</v>
      </c>
      <c r="AE425" s="789">
        <f>IF($X425=0,0,      _xll.qDateNext($X425,AE$12,"M",FRM&lt;&gt;"Calypso",CCY))</f>
        <v>0</v>
      </c>
      <c r="AF425" s="789">
        <f>IF($X425=0,0,      _xll.qDateNext($X425,AF$12,"M",FRM&lt;&gt;"Calypso",CCY))</f>
        <v>0</v>
      </c>
      <c r="AG425" s="789">
        <f>IF($X425=0,0,      _xll.qDateNext($X425,AG$12,"M",FRM&lt;&gt;"Calypso",CCY))</f>
        <v>0</v>
      </c>
      <c r="AH425" s="789">
        <f>IF($X425=0,0,      _xll.qDateNext($X425,AH$12,"M",FRM&lt;&gt;"Calypso",CCY))</f>
        <v>0</v>
      </c>
      <c r="AI425" s="789">
        <f>IF($X425=0,0,      _xll.qDateNext($X425,AI$12,"M",FRM&lt;&gt;"Calypso",CCY))</f>
        <v>0</v>
      </c>
      <c r="AJ425" s="529" t="str">
        <v/>
      </c>
      <c r="AK425" s="529" t="str">
        <v/>
      </c>
      <c r="AL425" s="529" t="str">
        <v/>
      </c>
      <c r="AM425" s="529" t="str">
        <v/>
      </c>
      <c r="AN425" s="529" t="str">
        <v/>
      </c>
      <c r="AO425" s="529" t="str">
        <v/>
      </c>
      <c r="AP425" s="529" t="str">
        <v/>
      </c>
      <c r="AQ425" s="529" t="str">
        <v/>
      </c>
      <c r="AR425" s="529">
        <v>0</v>
      </c>
      <c r="AS425" s="529">
        <v>0</v>
      </c>
      <c r="AT425" s="529">
        <f t="shared" si="113"/>
        <v>0</v>
      </c>
      <c r="AU425" s="529">
        <v>0</v>
      </c>
      <c r="AV425" s="529">
        <f t="shared" si="114"/>
        <v>0</v>
      </c>
      <c r="AW425" s="529">
        <f t="shared" si="115"/>
        <v>0</v>
      </c>
      <c r="AX425" s="529">
        <v>0</v>
      </c>
      <c r="AY425" s="529">
        <v>0</v>
      </c>
      <c r="AZ425" s="761">
        <f t="shared" si="104"/>
        <v>0</v>
      </c>
      <c r="BA425" s="761">
        <f t="shared" si="105"/>
        <v>0</v>
      </c>
      <c r="BB425" s="761">
        <f t="shared" si="106"/>
        <v>0</v>
      </c>
      <c r="BC425" s="761">
        <f t="shared" si="107"/>
        <v>0</v>
      </c>
      <c r="BD425" s="761">
        <f t="shared" si="108"/>
        <v>0</v>
      </c>
      <c r="BE425" s="761">
        <f t="shared" si="109"/>
        <v>0</v>
      </c>
      <c r="BF425" s="761">
        <f t="shared" si="110"/>
        <v>0</v>
      </c>
      <c r="BG425" s="761">
        <f t="shared" si="111"/>
        <v>0</v>
      </c>
      <c r="BH425" s="777">
        <v>0</v>
      </c>
      <c r="BI425" s="755"/>
      <c r="BJ425" s="778">
        <f>IF(X426=0,0,           IF(ISNUMBER(BI425),BI425,               IF(ISTEXT(BI425),INDEX(AZ425:BG425,MATCH(BI425,$AZ$12:$BG$12,0)),             IF(BH425="INT",_xll.qInterp(X426,AB425:AI425,AZ425:BG425),            INDEX(AZ425:BG425,MATCH(BH425,$AZ$12:$BG$12,0))))))</f>
        <v>0</v>
      </c>
      <c r="BK425" s="408">
        <f t="shared" si="116"/>
        <v>0</v>
      </c>
      <c r="BL425" s="414">
        <f t="shared" si="117"/>
        <v>0</v>
      </c>
      <c r="BM425" s="408">
        <f t="shared" si="118"/>
        <v>0</v>
      </c>
    </row>
    <row r="426" spans="16:65">
      <c r="P426" s="781">
        <v>0</v>
      </c>
      <c r="Q426" s="780">
        <f t="shared" si="102"/>
        <v>0</v>
      </c>
      <c r="R426" s="776">
        <f>IF(P427,_xll.qDateYears(P426,P427,DCCfixed),0)</f>
        <v>0</v>
      </c>
      <c r="S426" s="553">
        <v>0</v>
      </c>
      <c r="T426" s="785"/>
      <c r="U426" s="409">
        <f t="shared" si="112"/>
        <v>0</v>
      </c>
      <c r="X426" s="363">
        <v>0</v>
      </c>
      <c r="Y426" s="775">
        <f t="shared" si="103"/>
        <v>0</v>
      </c>
      <c r="Z426" s="776">
        <f>IF(X427,_xll.qDateYears(X426,X427,DCCfloat),0)</f>
        <v>0</v>
      </c>
      <c r="AA426" s="553">
        <v>0</v>
      </c>
      <c r="AB426" s="789">
        <f>IF($X426=0,0,      _xll.qDateNext($X426,AB$12,"M",FRM&lt;&gt;"Calypso",CCY))</f>
        <v>0</v>
      </c>
      <c r="AC426" s="789">
        <f>IF($X426=0,0,      _xll.qDateNext($X426,AC$12,"M",FRM&lt;&gt;"Calypso",CCY))</f>
        <v>0</v>
      </c>
      <c r="AD426" s="789">
        <f>IF($X426=0,0,      _xll.qDateNext($X426,AD$12,"M",FRM&lt;&gt;"Calypso",CCY))</f>
        <v>0</v>
      </c>
      <c r="AE426" s="789">
        <f>IF($X426=0,0,      _xll.qDateNext($X426,AE$12,"M",FRM&lt;&gt;"Calypso",CCY))</f>
        <v>0</v>
      </c>
      <c r="AF426" s="789">
        <f>IF($X426=0,0,      _xll.qDateNext($X426,AF$12,"M",FRM&lt;&gt;"Calypso",CCY))</f>
        <v>0</v>
      </c>
      <c r="AG426" s="789">
        <f>IF($X426=0,0,      _xll.qDateNext($X426,AG$12,"M",FRM&lt;&gt;"Calypso",CCY))</f>
        <v>0</v>
      </c>
      <c r="AH426" s="789">
        <f>IF($X426=0,0,      _xll.qDateNext($X426,AH$12,"M",FRM&lt;&gt;"Calypso",CCY))</f>
        <v>0</v>
      </c>
      <c r="AI426" s="789">
        <f>IF($X426=0,0,      _xll.qDateNext($X426,AI$12,"M",FRM&lt;&gt;"Calypso",CCY))</f>
        <v>0</v>
      </c>
      <c r="AJ426" s="529" t="str">
        <v/>
      </c>
      <c r="AK426" s="529" t="str">
        <v/>
      </c>
      <c r="AL426" s="529" t="str">
        <v/>
      </c>
      <c r="AM426" s="529" t="str">
        <v/>
      </c>
      <c r="AN426" s="529" t="str">
        <v/>
      </c>
      <c r="AO426" s="529" t="str">
        <v/>
      </c>
      <c r="AP426" s="529" t="str">
        <v/>
      </c>
      <c r="AQ426" s="529" t="str">
        <v/>
      </c>
      <c r="AR426" s="529">
        <v>0</v>
      </c>
      <c r="AS426" s="529">
        <v>0</v>
      </c>
      <c r="AT426" s="529">
        <f t="shared" si="113"/>
        <v>0</v>
      </c>
      <c r="AU426" s="529">
        <v>0</v>
      </c>
      <c r="AV426" s="529">
        <f t="shared" si="114"/>
        <v>0</v>
      </c>
      <c r="AW426" s="529">
        <f t="shared" si="115"/>
        <v>0</v>
      </c>
      <c r="AX426" s="529">
        <v>0</v>
      </c>
      <c r="AY426" s="529">
        <v>0</v>
      </c>
      <c r="AZ426" s="761">
        <f t="shared" si="104"/>
        <v>0</v>
      </c>
      <c r="BA426" s="761">
        <f t="shared" si="105"/>
        <v>0</v>
      </c>
      <c r="BB426" s="761">
        <f t="shared" si="106"/>
        <v>0</v>
      </c>
      <c r="BC426" s="761">
        <f t="shared" si="107"/>
        <v>0</v>
      </c>
      <c r="BD426" s="761">
        <f t="shared" si="108"/>
        <v>0</v>
      </c>
      <c r="BE426" s="761">
        <f t="shared" si="109"/>
        <v>0</v>
      </c>
      <c r="BF426" s="761">
        <f t="shared" si="110"/>
        <v>0</v>
      </c>
      <c r="BG426" s="761">
        <f t="shared" si="111"/>
        <v>0</v>
      </c>
      <c r="BH426" s="777">
        <v>0</v>
      </c>
      <c r="BI426" s="755"/>
      <c r="BJ426" s="778">
        <f>IF(X427=0,0,           IF(ISNUMBER(BI426),BI426,               IF(ISTEXT(BI426),INDEX(AZ426:BG426,MATCH(BI426,$AZ$12:$BG$12,0)),             IF(BH426="INT",_xll.qInterp(X427,AB426:AI426,AZ426:BG426),            INDEX(AZ426:BG426,MATCH(BH426,$AZ$12:$BG$12,0))))))</f>
        <v>0</v>
      </c>
      <c r="BK426" s="408">
        <f t="shared" si="116"/>
        <v>0</v>
      </c>
      <c r="BL426" s="414">
        <f t="shared" si="117"/>
        <v>0</v>
      </c>
      <c r="BM426" s="408">
        <f t="shared" si="118"/>
        <v>0</v>
      </c>
    </row>
    <row r="427" spans="16:65">
      <c r="P427" s="781">
        <v>0</v>
      </c>
      <c r="Q427" s="780">
        <f t="shared" si="102"/>
        <v>0</v>
      </c>
      <c r="R427" s="776">
        <f>IF(P428,_xll.qDateYears(P427,P428,DCCfixed),0)</f>
        <v>0</v>
      </c>
      <c r="S427" s="553">
        <v>0</v>
      </c>
      <c r="T427" s="785"/>
      <c r="U427" s="409">
        <f t="shared" si="112"/>
        <v>0</v>
      </c>
      <c r="X427" s="363">
        <v>0</v>
      </c>
      <c r="Y427" s="775">
        <f t="shared" si="103"/>
        <v>0</v>
      </c>
      <c r="Z427" s="776">
        <f>IF(X428,_xll.qDateYears(X427,X428,DCCfloat),0)</f>
        <v>0</v>
      </c>
      <c r="AA427" s="553">
        <v>0</v>
      </c>
      <c r="AB427" s="789">
        <f>IF($X427=0,0,      _xll.qDateNext($X427,AB$12,"M",FRM&lt;&gt;"Calypso",CCY))</f>
        <v>0</v>
      </c>
      <c r="AC427" s="789">
        <f>IF($X427=0,0,      _xll.qDateNext($X427,AC$12,"M",FRM&lt;&gt;"Calypso",CCY))</f>
        <v>0</v>
      </c>
      <c r="AD427" s="789">
        <f>IF($X427=0,0,      _xll.qDateNext($X427,AD$12,"M",FRM&lt;&gt;"Calypso",CCY))</f>
        <v>0</v>
      </c>
      <c r="AE427" s="789">
        <f>IF($X427=0,0,      _xll.qDateNext($X427,AE$12,"M",FRM&lt;&gt;"Calypso",CCY))</f>
        <v>0</v>
      </c>
      <c r="AF427" s="789">
        <f>IF($X427=0,0,      _xll.qDateNext($X427,AF$12,"M",FRM&lt;&gt;"Calypso",CCY))</f>
        <v>0</v>
      </c>
      <c r="AG427" s="789">
        <f>IF($X427=0,0,      _xll.qDateNext($X427,AG$12,"M",FRM&lt;&gt;"Calypso",CCY))</f>
        <v>0</v>
      </c>
      <c r="AH427" s="789">
        <f>IF($X427=0,0,      _xll.qDateNext($X427,AH$12,"M",FRM&lt;&gt;"Calypso",CCY))</f>
        <v>0</v>
      </c>
      <c r="AI427" s="789">
        <f>IF($X427=0,0,      _xll.qDateNext($X427,AI$12,"M",FRM&lt;&gt;"Calypso",CCY))</f>
        <v>0</v>
      </c>
      <c r="AJ427" s="529" t="str">
        <v/>
      </c>
      <c r="AK427" s="529" t="str">
        <v/>
      </c>
      <c r="AL427" s="529" t="str">
        <v/>
      </c>
      <c r="AM427" s="529" t="str">
        <v/>
      </c>
      <c r="AN427" s="529" t="str">
        <v/>
      </c>
      <c r="AO427" s="529" t="str">
        <v/>
      </c>
      <c r="AP427" s="529" t="str">
        <v/>
      </c>
      <c r="AQ427" s="529" t="str">
        <v/>
      </c>
      <c r="AR427" s="529">
        <v>0</v>
      </c>
      <c r="AS427" s="529">
        <v>0</v>
      </c>
      <c r="AT427" s="529">
        <f t="shared" si="113"/>
        <v>0</v>
      </c>
      <c r="AU427" s="529">
        <v>0</v>
      </c>
      <c r="AV427" s="529">
        <f t="shared" si="114"/>
        <v>0</v>
      </c>
      <c r="AW427" s="529">
        <f t="shared" si="115"/>
        <v>0</v>
      </c>
      <c r="AX427" s="529">
        <v>0</v>
      </c>
      <c r="AY427" s="529">
        <v>0</v>
      </c>
      <c r="AZ427" s="761">
        <f t="shared" si="104"/>
        <v>0</v>
      </c>
      <c r="BA427" s="761">
        <f t="shared" si="105"/>
        <v>0</v>
      </c>
      <c r="BB427" s="761">
        <f t="shared" si="106"/>
        <v>0</v>
      </c>
      <c r="BC427" s="761">
        <f t="shared" si="107"/>
        <v>0</v>
      </c>
      <c r="BD427" s="761">
        <f t="shared" si="108"/>
        <v>0</v>
      </c>
      <c r="BE427" s="761">
        <f t="shared" si="109"/>
        <v>0</v>
      </c>
      <c r="BF427" s="761">
        <f t="shared" si="110"/>
        <v>0</v>
      </c>
      <c r="BG427" s="761">
        <f t="shared" si="111"/>
        <v>0</v>
      </c>
      <c r="BH427" s="777">
        <v>0</v>
      </c>
      <c r="BI427" s="755"/>
      <c r="BJ427" s="778">
        <f>IF(X428=0,0,           IF(ISNUMBER(BI427),BI427,               IF(ISTEXT(BI427),INDEX(AZ427:BG427,MATCH(BI427,$AZ$12:$BG$12,0)),             IF(BH427="INT",_xll.qInterp(X428,AB427:AI427,AZ427:BG427),            INDEX(AZ427:BG427,MATCH(BH427,$AZ$12:$BG$12,0))))))</f>
        <v>0</v>
      </c>
      <c r="BK427" s="408">
        <f t="shared" si="116"/>
        <v>0</v>
      </c>
      <c r="BL427" s="414">
        <f t="shared" si="117"/>
        <v>0</v>
      </c>
      <c r="BM427" s="408">
        <f t="shared" si="118"/>
        <v>0</v>
      </c>
    </row>
    <row r="428" spans="16:65">
      <c r="P428" s="781">
        <v>0</v>
      </c>
      <c r="Q428" s="780">
        <f t="shared" si="102"/>
        <v>0</v>
      </c>
      <c r="R428" s="776">
        <f>IF(P429,_xll.qDateYears(P428,P429,DCCfixed),0)</f>
        <v>0</v>
      </c>
      <c r="S428" s="553">
        <v>0</v>
      </c>
      <c r="T428" s="785"/>
      <c r="U428" s="409">
        <f t="shared" si="112"/>
        <v>0</v>
      </c>
      <c r="X428" s="363">
        <v>0</v>
      </c>
      <c r="Y428" s="775">
        <f t="shared" si="103"/>
        <v>0</v>
      </c>
      <c r="Z428" s="776">
        <f>IF(X429,_xll.qDateYears(X428,X429,DCCfloat),0)</f>
        <v>0</v>
      </c>
      <c r="AA428" s="553">
        <v>0</v>
      </c>
      <c r="AB428" s="789">
        <f>IF($X428=0,0,      _xll.qDateNext($X428,AB$12,"M",FRM&lt;&gt;"Calypso",CCY))</f>
        <v>0</v>
      </c>
      <c r="AC428" s="789">
        <f>IF($X428=0,0,      _xll.qDateNext($X428,AC$12,"M",FRM&lt;&gt;"Calypso",CCY))</f>
        <v>0</v>
      </c>
      <c r="AD428" s="789">
        <f>IF($X428=0,0,      _xll.qDateNext($X428,AD$12,"M",FRM&lt;&gt;"Calypso",CCY))</f>
        <v>0</v>
      </c>
      <c r="AE428" s="789">
        <f>IF($X428=0,0,      _xll.qDateNext($X428,AE$12,"M",FRM&lt;&gt;"Calypso",CCY))</f>
        <v>0</v>
      </c>
      <c r="AF428" s="789">
        <f>IF($X428=0,0,      _xll.qDateNext($X428,AF$12,"M",FRM&lt;&gt;"Calypso",CCY))</f>
        <v>0</v>
      </c>
      <c r="AG428" s="789">
        <f>IF($X428=0,0,      _xll.qDateNext($X428,AG$12,"M",FRM&lt;&gt;"Calypso",CCY))</f>
        <v>0</v>
      </c>
      <c r="AH428" s="789">
        <f>IF($X428=0,0,      _xll.qDateNext($X428,AH$12,"M",FRM&lt;&gt;"Calypso",CCY))</f>
        <v>0</v>
      </c>
      <c r="AI428" s="789">
        <f>IF($X428=0,0,      _xll.qDateNext($X428,AI$12,"M",FRM&lt;&gt;"Calypso",CCY))</f>
        <v>0</v>
      </c>
      <c r="AJ428" s="529" t="str">
        <v/>
      </c>
      <c r="AK428" s="529" t="str">
        <v/>
      </c>
      <c r="AL428" s="529" t="str">
        <v/>
      </c>
      <c r="AM428" s="529" t="str">
        <v/>
      </c>
      <c r="AN428" s="529" t="str">
        <v/>
      </c>
      <c r="AO428" s="529" t="str">
        <v/>
      </c>
      <c r="AP428" s="529" t="str">
        <v/>
      </c>
      <c r="AQ428" s="529" t="str">
        <v/>
      </c>
      <c r="AR428" s="529">
        <v>0</v>
      </c>
      <c r="AS428" s="529">
        <v>0</v>
      </c>
      <c r="AT428" s="529">
        <f t="shared" si="113"/>
        <v>0</v>
      </c>
      <c r="AU428" s="529">
        <v>0</v>
      </c>
      <c r="AV428" s="529">
        <f t="shared" si="114"/>
        <v>0</v>
      </c>
      <c r="AW428" s="529">
        <f t="shared" si="115"/>
        <v>0</v>
      </c>
      <c r="AX428" s="529">
        <v>0</v>
      </c>
      <c r="AY428" s="529">
        <v>0</v>
      </c>
      <c r="AZ428" s="761">
        <f t="shared" si="104"/>
        <v>0</v>
      </c>
      <c r="BA428" s="761">
        <f t="shared" si="105"/>
        <v>0</v>
      </c>
      <c r="BB428" s="761">
        <f t="shared" si="106"/>
        <v>0</v>
      </c>
      <c r="BC428" s="761">
        <f t="shared" si="107"/>
        <v>0</v>
      </c>
      <c r="BD428" s="761">
        <f t="shared" si="108"/>
        <v>0</v>
      </c>
      <c r="BE428" s="761">
        <f t="shared" si="109"/>
        <v>0</v>
      </c>
      <c r="BF428" s="761">
        <f t="shared" si="110"/>
        <v>0</v>
      </c>
      <c r="BG428" s="761">
        <f t="shared" si="111"/>
        <v>0</v>
      </c>
      <c r="BH428" s="777">
        <v>0</v>
      </c>
      <c r="BI428" s="755"/>
      <c r="BJ428" s="778">
        <f>IF(X429=0,0,           IF(ISNUMBER(BI428),BI428,               IF(ISTEXT(BI428),INDEX(AZ428:BG428,MATCH(BI428,$AZ$12:$BG$12,0)),             IF(BH428="INT",_xll.qInterp(X429,AB428:AI428,AZ428:BG428),            INDEX(AZ428:BG428,MATCH(BH428,$AZ$12:$BG$12,0))))))</f>
        <v>0</v>
      </c>
      <c r="BK428" s="408">
        <f t="shared" si="116"/>
        <v>0</v>
      </c>
      <c r="BL428" s="414">
        <f t="shared" si="117"/>
        <v>0</v>
      </c>
      <c r="BM428" s="408">
        <f t="shared" si="118"/>
        <v>0</v>
      </c>
    </row>
    <row r="429" spans="16:65">
      <c r="P429" s="781">
        <v>0</v>
      </c>
      <c r="Q429" s="780">
        <f t="shared" si="102"/>
        <v>0</v>
      </c>
      <c r="R429" s="776">
        <f>IF(P430,_xll.qDateYears(P429,P430,DCCfixed),0)</f>
        <v>0</v>
      </c>
      <c r="S429" s="553">
        <v>0</v>
      </c>
      <c r="T429" s="785"/>
      <c r="U429" s="409">
        <f t="shared" si="112"/>
        <v>0</v>
      </c>
      <c r="X429" s="363">
        <v>0</v>
      </c>
      <c r="Y429" s="775">
        <f t="shared" si="103"/>
        <v>0</v>
      </c>
      <c r="Z429" s="776">
        <f>IF(X430,_xll.qDateYears(X429,X430,DCCfloat),0)</f>
        <v>0</v>
      </c>
      <c r="AA429" s="553">
        <v>0</v>
      </c>
      <c r="AB429" s="789">
        <f>IF($X429=0,0,      _xll.qDateNext($X429,AB$12,"M",FRM&lt;&gt;"Calypso",CCY))</f>
        <v>0</v>
      </c>
      <c r="AC429" s="789">
        <f>IF($X429=0,0,      _xll.qDateNext($X429,AC$12,"M",FRM&lt;&gt;"Calypso",CCY))</f>
        <v>0</v>
      </c>
      <c r="AD429" s="789">
        <f>IF($X429=0,0,      _xll.qDateNext($X429,AD$12,"M",FRM&lt;&gt;"Calypso",CCY))</f>
        <v>0</v>
      </c>
      <c r="AE429" s="789">
        <f>IF($X429=0,0,      _xll.qDateNext($X429,AE$12,"M",FRM&lt;&gt;"Calypso",CCY))</f>
        <v>0</v>
      </c>
      <c r="AF429" s="789">
        <f>IF($X429=0,0,      _xll.qDateNext($X429,AF$12,"M",FRM&lt;&gt;"Calypso",CCY))</f>
        <v>0</v>
      </c>
      <c r="AG429" s="789">
        <f>IF($X429=0,0,      _xll.qDateNext($X429,AG$12,"M",FRM&lt;&gt;"Calypso",CCY))</f>
        <v>0</v>
      </c>
      <c r="AH429" s="789">
        <f>IF($X429=0,0,      _xll.qDateNext($X429,AH$12,"M",FRM&lt;&gt;"Calypso",CCY))</f>
        <v>0</v>
      </c>
      <c r="AI429" s="789">
        <f>IF($X429=0,0,      _xll.qDateNext($X429,AI$12,"M",FRM&lt;&gt;"Calypso",CCY))</f>
        <v>0</v>
      </c>
      <c r="AJ429" s="529" t="str">
        <v/>
      </c>
      <c r="AK429" s="529" t="str">
        <v/>
      </c>
      <c r="AL429" s="529" t="str">
        <v/>
      </c>
      <c r="AM429" s="529" t="str">
        <v/>
      </c>
      <c r="AN429" s="529" t="str">
        <v/>
      </c>
      <c r="AO429" s="529" t="str">
        <v/>
      </c>
      <c r="AP429" s="529" t="str">
        <v/>
      </c>
      <c r="AQ429" s="529" t="str">
        <v/>
      </c>
      <c r="AR429" s="529">
        <v>0</v>
      </c>
      <c r="AS429" s="529">
        <v>0</v>
      </c>
      <c r="AT429" s="529">
        <f t="shared" si="113"/>
        <v>0</v>
      </c>
      <c r="AU429" s="529">
        <v>0</v>
      </c>
      <c r="AV429" s="529">
        <f t="shared" si="114"/>
        <v>0</v>
      </c>
      <c r="AW429" s="529">
        <f t="shared" si="115"/>
        <v>0</v>
      </c>
      <c r="AX429" s="529">
        <v>0</v>
      </c>
      <c r="AY429" s="529">
        <v>0</v>
      </c>
      <c r="AZ429" s="761">
        <f t="shared" si="104"/>
        <v>0</v>
      </c>
      <c r="BA429" s="761">
        <f t="shared" si="105"/>
        <v>0</v>
      </c>
      <c r="BB429" s="761">
        <f t="shared" si="106"/>
        <v>0</v>
      </c>
      <c r="BC429" s="761">
        <f t="shared" si="107"/>
        <v>0</v>
      </c>
      <c r="BD429" s="761">
        <f t="shared" si="108"/>
        <v>0</v>
      </c>
      <c r="BE429" s="761">
        <f t="shared" si="109"/>
        <v>0</v>
      </c>
      <c r="BF429" s="761">
        <f t="shared" si="110"/>
        <v>0</v>
      </c>
      <c r="BG429" s="761">
        <f t="shared" si="111"/>
        <v>0</v>
      </c>
      <c r="BH429" s="777">
        <v>0</v>
      </c>
      <c r="BI429" s="755"/>
      <c r="BJ429" s="778">
        <f>IF(X430=0,0,           IF(ISNUMBER(BI429),BI429,               IF(ISTEXT(BI429),INDEX(AZ429:BG429,MATCH(BI429,$AZ$12:$BG$12,0)),             IF(BH429="INT",_xll.qInterp(X430,AB429:AI429,AZ429:BG429),            INDEX(AZ429:BG429,MATCH(BH429,$AZ$12:$BG$12,0))))))</f>
        <v>0</v>
      </c>
      <c r="BK429" s="408">
        <f t="shared" si="116"/>
        <v>0</v>
      </c>
      <c r="BL429" s="414">
        <f t="shared" si="117"/>
        <v>0</v>
      </c>
      <c r="BM429" s="408">
        <f t="shared" si="118"/>
        <v>0</v>
      </c>
    </row>
    <row r="430" spans="16:65">
      <c r="P430" s="781">
        <v>0</v>
      </c>
      <c r="Q430" s="780">
        <f t="shared" si="102"/>
        <v>0</v>
      </c>
      <c r="R430" s="776">
        <f>IF(P431,_xll.qDateYears(P430,P431,DCCfixed),0)</f>
        <v>0</v>
      </c>
      <c r="S430" s="553">
        <v>0</v>
      </c>
      <c r="T430" s="785"/>
      <c r="U430" s="409">
        <f t="shared" si="112"/>
        <v>0</v>
      </c>
      <c r="X430" s="363">
        <v>0</v>
      </c>
      <c r="Y430" s="775">
        <f t="shared" si="103"/>
        <v>0</v>
      </c>
      <c r="Z430" s="776">
        <f>IF(X431,_xll.qDateYears(X430,X431,DCCfloat),0)</f>
        <v>0</v>
      </c>
      <c r="AA430" s="553">
        <v>0</v>
      </c>
      <c r="AB430" s="789">
        <f>IF($X430=0,0,      _xll.qDateNext($X430,AB$12,"M",FRM&lt;&gt;"Calypso",CCY))</f>
        <v>0</v>
      </c>
      <c r="AC430" s="789">
        <f>IF($X430=0,0,      _xll.qDateNext($X430,AC$12,"M",FRM&lt;&gt;"Calypso",CCY))</f>
        <v>0</v>
      </c>
      <c r="AD430" s="789">
        <f>IF($X430=0,0,      _xll.qDateNext($X430,AD$12,"M",FRM&lt;&gt;"Calypso",CCY))</f>
        <v>0</v>
      </c>
      <c r="AE430" s="789">
        <f>IF($X430=0,0,      _xll.qDateNext($X430,AE$12,"M",FRM&lt;&gt;"Calypso",CCY))</f>
        <v>0</v>
      </c>
      <c r="AF430" s="789">
        <f>IF($X430=0,0,      _xll.qDateNext($X430,AF$12,"M",FRM&lt;&gt;"Calypso",CCY))</f>
        <v>0</v>
      </c>
      <c r="AG430" s="789">
        <f>IF($X430=0,0,      _xll.qDateNext($X430,AG$12,"M",FRM&lt;&gt;"Calypso",CCY))</f>
        <v>0</v>
      </c>
      <c r="AH430" s="789">
        <f>IF($X430=0,0,      _xll.qDateNext($X430,AH$12,"M",FRM&lt;&gt;"Calypso",CCY))</f>
        <v>0</v>
      </c>
      <c r="AI430" s="789">
        <f>IF($X430=0,0,      _xll.qDateNext($X430,AI$12,"M",FRM&lt;&gt;"Calypso",CCY))</f>
        <v>0</v>
      </c>
      <c r="AJ430" s="529" t="str">
        <v/>
      </c>
      <c r="AK430" s="529" t="str">
        <v/>
      </c>
      <c r="AL430" s="529" t="str">
        <v/>
      </c>
      <c r="AM430" s="529" t="str">
        <v/>
      </c>
      <c r="AN430" s="529" t="str">
        <v/>
      </c>
      <c r="AO430" s="529" t="str">
        <v/>
      </c>
      <c r="AP430" s="529" t="str">
        <v/>
      </c>
      <c r="AQ430" s="529" t="str">
        <v/>
      </c>
      <c r="AR430" s="529">
        <v>0</v>
      </c>
      <c r="AS430" s="529">
        <v>0</v>
      </c>
      <c r="AT430" s="529">
        <f t="shared" si="113"/>
        <v>0</v>
      </c>
      <c r="AU430" s="529">
        <v>0</v>
      </c>
      <c r="AV430" s="529">
        <f t="shared" si="114"/>
        <v>0</v>
      </c>
      <c r="AW430" s="529">
        <f t="shared" si="115"/>
        <v>0</v>
      </c>
      <c r="AX430" s="529">
        <v>0</v>
      </c>
      <c r="AY430" s="529">
        <v>0</v>
      </c>
      <c r="AZ430" s="761">
        <f t="shared" si="104"/>
        <v>0</v>
      </c>
      <c r="BA430" s="761">
        <f t="shared" si="105"/>
        <v>0</v>
      </c>
      <c r="BB430" s="761">
        <f t="shared" si="106"/>
        <v>0</v>
      </c>
      <c r="BC430" s="761">
        <f t="shared" si="107"/>
        <v>0</v>
      </c>
      <c r="BD430" s="761">
        <f t="shared" si="108"/>
        <v>0</v>
      </c>
      <c r="BE430" s="761">
        <f t="shared" si="109"/>
        <v>0</v>
      </c>
      <c r="BF430" s="761">
        <f t="shared" si="110"/>
        <v>0</v>
      </c>
      <c r="BG430" s="761">
        <f t="shared" si="111"/>
        <v>0</v>
      </c>
      <c r="BH430" s="777">
        <v>0</v>
      </c>
      <c r="BI430" s="755"/>
      <c r="BJ430" s="778">
        <f>IF(X431=0,0,           IF(ISNUMBER(BI430),BI430,               IF(ISTEXT(BI430),INDEX(AZ430:BG430,MATCH(BI430,$AZ$12:$BG$12,0)),             IF(BH430="INT",_xll.qInterp(X431,AB430:AI430,AZ430:BG430),            INDEX(AZ430:BG430,MATCH(BH430,$AZ$12:$BG$12,0))))))</f>
        <v>0</v>
      </c>
      <c r="BK430" s="408">
        <f t="shared" si="116"/>
        <v>0</v>
      </c>
      <c r="BL430" s="414">
        <f t="shared" si="117"/>
        <v>0</v>
      </c>
      <c r="BM430" s="408">
        <f t="shared" si="118"/>
        <v>0</v>
      </c>
    </row>
    <row r="431" spans="16:65">
      <c r="P431" s="781">
        <v>0</v>
      </c>
      <c r="Q431" s="780">
        <f t="shared" si="102"/>
        <v>0</v>
      </c>
      <c r="R431" s="776">
        <f>IF(P432,_xll.qDateYears(P431,P432,DCCfixed),0)</f>
        <v>0</v>
      </c>
      <c r="S431" s="553">
        <v>0</v>
      </c>
      <c r="T431" s="785"/>
      <c r="U431" s="409">
        <f t="shared" si="112"/>
        <v>0</v>
      </c>
      <c r="X431" s="363">
        <v>0</v>
      </c>
      <c r="Y431" s="775">
        <f t="shared" si="103"/>
        <v>0</v>
      </c>
      <c r="Z431" s="776">
        <f>IF(X432,_xll.qDateYears(X431,X432,DCCfloat),0)</f>
        <v>0</v>
      </c>
      <c r="AA431" s="553">
        <v>0</v>
      </c>
      <c r="AB431" s="789">
        <f>IF($X431=0,0,      _xll.qDateNext($X431,AB$12,"M",FRM&lt;&gt;"Calypso",CCY))</f>
        <v>0</v>
      </c>
      <c r="AC431" s="789">
        <f>IF($X431=0,0,      _xll.qDateNext($X431,AC$12,"M",FRM&lt;&gt;"Calypso",CCY))</f>
        <v>0</v>
      </c>
      <c r="AD431" s="789">
        <f>IF($X431=0,0,      _xll.qDateNext($X431,AD$12,"M",FRM&lt;&gt;"Calypso",CCY))</f>
        <v>0</v>
      </c>
      <c r="AE431" s="789">
        <f>IF($X431=0,0,      _xll.qDateNext($X431,AE$12,"M",FRM&lt;&gt;"Calypso",CCY))</f>
        <v>0</v>
      </c>
      <c r="AF431" s="789">
        <f>IF($X431=0,0,      _xll.qDateNext($X431,AF$12,"M",FRM&lt;&gt;"Calypso",CCY))</f>
        <v>0</v>
      </c>
      <c r="AG431" s="789">
        <f>IF($X431=0,0,      _xll.qDateNext($X431,AG$12,"M",FRM&lt;&gt;"Calypso",CCY))</f>
        <v>0</v>
      </c>
      <c r="AH431" s="789">
        <f>IF($X431=0,0,      _xll.qDateNext($X431,AH$12,"M",FRM&lt;&gt;"Calypso",CCY))</f>
        <v>0</v>
      </c>
      <c r="AI431" s="789">
        <f>IF($X431=0,0,      _xll.qDateNext($X431,AI$12,"M",FRM&lt;&gt;"Calypso",CCY))</f>
        <v>0</v>
      </c>
      <c r="AJ431" s="529" t="str">
        <v/>
      </c>
      <c r="AK431" s="529" t="str">
        <v/>
      </c>
      <c r="AL431" s="529" t="str">
        <v/>
      </c>
      <c r="AM431" s="529" t="str">
        <v/>
      </c>
      <c r="AN431" s="529" t="str">
        <v/>
      </c>
      <c r="AO431" s="529" t="str">
        <v/>
      </c>
      <c r="AP431" s="529" t="str">
        <v/>
      </c>
      <c r="AQ431" s="529" t="str">
        <v/>
      </c>
      <c r="AR431" s="529">
        <v>0</v>
      </c>
      <c r="AS431" s="529">
        <v>0</v>
      </c>
      <c r="AT431" s="529">
        <f t="shared" si="113"/>
        <v>0</v>
      </c>
      <c r="AU431" s="529">
        <v>0</v>
      </c>
      <c r="AV431" s="529">
        <f t="shared" si="114"/>
        <v>0</v>
      </c>
      <c r="AW431" s="529">
        <f t="shared" si="115"/>
        <v>0</v>
      </c>
      <c r="AX431" s="529">
        <v>0</v>
      </c>
      <c r="AY431" s="529">
        <v>0</v>
      </c>
      <c r="AZ431" s="761">
        <f t="shared" si="104"/>
        <v>0</v>
      </c>
      <c r="BA431" s="761">
        <f t="shared" si="105"/>
        <v>0</v>
      </c>
      <c r="BB431" s="761">
        <f t="shared" si="106"/>
        <v>0</v>
      </c>
      <c r="BC431" s="761">
        <f t="shared" si="107"/>
        <v>0</v>
      </c>
      <c r="BD431" s="761">
        <f t="shared" si="108"/>
        <v>0</v>
      </c>
      <c r="BE431" s="761">
        <f t="shared" si="109"/>
        <v>0</v>
      </c>
      <c r="BF431" s="761">
        <f t="shared" si="110"/>
        <v>0</v>
      </c>
      <c r="BG431" s="761">
        <f t="shared" si="111"/>
        <v>0</v>
      </c>
      <c r="BH431" s="777">
        <v>0</v>
      </c>
      <c r="BI431" s="755"/>
      <c r="BJ431" s="778">
        <f>IF(X432=0,0,           IF(ISNUMBER(BI431),BI431,               IF(ISTEXT(BI431),INDEX(AZ431:BG431,MATCH(BI431,$AZ$12:$BG$12,0)),             IF(BH431="INT",_xll.qInterp(X432,AB431:AI431,AZ431:BG431),            INDEX(AZ431:BG431,MATCH(BH431,$AZ$12:$BG$12,0))))))</f>
        <v>0</v>
      </c>
      <c r="BK431" s="408">
        <f t="shared" si="116"/>
        <v>0</v>
      </c>
      <c r="BL431" s="414">
        <f t="shared" si="117"/>
        <v>0</v>
      </c>
      <c r="BM431" s="408">
        <f t="shared" si="118"/>
        <v>0</v>
      </c>
    </row>
    <row r="432" spans="16:65">
      <c r="P432" s="781">
        <v>0</v>
      </c>
      <c r="Q432" s="780">
        <f t="shared" si="102"/>
        <v>0</v>
      </c>
      <c r="R432" s="776">
        <f>IF(P433,_xll.qDateYears(P432,P433,DCCfixed),0)</f>
        <v>0</v>
      </c>
      <c r="S432" s="553">
        <v>0</v>
      </c>
      <c r="T432" s="785"/>
      <c r="U432" s="409">
        <f t="shared" si="112"/>
        <v>0</v>
      </c>
      <c r="X432" s="363">
        <v>0</v>
      </c>
      <c r="Y432" s="775">
        <f t="shared" si="103"/>
        <v>0</v>
      </c>
      <c r="Z432" s="776">
        <f>IF(X433,_xll.qDateYears(X432,X433,DCCfloat),0)</f>
        <v>0</v>
      </c>
      <c r="AA432" s="553">
        <v>0</v>
      </c>
      <c r="AB432" s="789">
        <f>IF($X432=0,0,      _xll.qDateNext($X432,AB$12,"M",FRM&lt;&gt;"Calypso",CCY))</f>
        <v>0</v>
      </c>
      <c r="AC432" s="789">
        <f>IF($X432=0,0,      _xll.qDateNext($X432,AC$12,"M",FRM&lt;&gt;"Calypso",CCY))</f>
        <v>0</v>
      </c>
      <c r="AD432" s="789">
        <f>IF($X432=0,0,      _xll.qDateNext($X432,AD$12,"M",FRM&lt;&gt;"Calypso",CCY))</f>
        <v>0</v>
      </c>
      <c r="AE432" s="789">
        <f>IF($X432=0,0,      _xll.qDateNext($X432,AE$12,"M",FRM&lt;&gt;"Calypso",CCY))</f>
        <v>0</v>
      </c>
      <c r="AF432" s="789">
        <f>IF($X432=0,0,      _xll.qDateNext($X432,AF$12,"M",FRM&lt;&gt;"Calypso",CCY))</f>
        <v>0</v>
      </c>
      <c r="AG432" s="789">
        <f>IF($X432=0,0,      _xll.qDateNext($X432,AG$12,"M",FRM&lt;&gt;"Calypso",CCY))</f>
        <v>0</v>
      </c>
      <c r="AH432" s="789">
        <f>IF($X432=0,0,      _xll.qDateNext($X432,AH$12,"M",FRM&lt;&gt;"Calypso",CCY))</f>
        <v>0</v>
      </c>
      <c r="AI432" s="789">
        <f>IF($X432=0,0,      _xll.qDateNext($X432,AI$12,"M",FRM&lt;&gt;"Calypso",CCY))</f>
        <v>0</v>
      </c>
      <c r="AJ432" s="529" t="str">
        <v/>
      </c>
      <c r="AK432" s="529" t="str">
        <v/>
      </c>
      <c r="AL432" s="529" t="str">
        <v/>
      </c>
      <c r="AM432" s="529" t="str">
        <v/>
      </c>
      <c r="AN432" s="529" t="str">
        <v/>
      </c>
      <c r="AO432" s="529" t="str">
        <v/>
      </c>
      <c r="AP432" s="529" t="str">
        <v/>
      </c>
      <c r="AQ432" s="529" t="str">
        <v/>
      </c>
      <c r="AR432" s="529">
        <v>0</v>
      </c>
      <c r="AS432" s="529">
        <v>0</v>
      </c>
      <c r="AT432" s="529">
        <f t="shared" si="113"/>
        <v>0</v>
      </c>
      <c r="AU432" s="529">
        <v>0</v>
      </c>
      <c r="AV432" s="529">
        <f t="shared" si="114"/>
        <v>0</v>
      </c>
      <c r="AW432" s="529">
        <f t="shared" si="115"/>
        <v>0</v>
      </c>
      <c r="AX432" s="529">
        <v>0</v>
      </c>
      <c r="AY432" s="529">
        <v>0</v>
      </c>
      <c r="AZ432" s="761">
        <f t="shared" si="104"/>
        <v>0</v>
      </c>
      <c r="BA432" s="761">
        <f t="shared" si="105"/>
        <v>0</v>
      </c>
      <c r="BB432" s="761">
        <f t="shared" si="106"/>
        <v>0</v>
      </c>
      <c r="BC432" s="761">
        <f t="shared" si="107"/>
        <v>0</v>
      </c>
      <c r="BD432" s="761">
        <f t="shared" si="108"/>
        <v>0</v>
      </c>
      <c r="BE432" s="761">
        <f t="shared" si="109"/>
        <v>0</v>
      </c>
      <c r="BF432" s="761">
        <f t="shared" si="110"/>
        <v>0</v>
      </c>
      <c r="BG432" s="761">
        <f t="shared" si="111"/>
        <v>0</v>
      </c>
      <c r="BH432" s="777">
        <v>0</v>
      </c>
      <c r="BI432" s="755"/>
      <c r="BJ432" s="778">
        <f>IF(X433=0,0,           IF(ISNUMBER(BI432),BI432,               IF(ISTEXT(BI432),INDEX(AZ432:BG432,MATCH(BI432,$AZ$12:$BG$12,0)),             IF(BH432="INT",_xll.qInterp(X433,AB432:AI432,AZ432:BG432),            INDEX(AZ432:BG432,MATCH(BH432,$AZ$12:$BG$12,0))))))</f>
        <v>0</v>
      </c>
      <c r="BK432" s="408">
        <f t="shared" si="116"/>
        <v>0</v>
      </c>
      <c r="BL432" s="414">
        <f t="shared" si="117"/>
        <v>0</v>
      </c>
      <c r="BM432" s="408">
        <f t="shared" si="118"/>
        <v>0</v>
      </c>
    </row>
    <row r="433" spans="16:65">
      <c r="P433" s="781">
        <v>0</v>
      </c>
      <c r="Q433" s="780">
        <f t="shared" si="102"/>
        <v>0</v>
      </c>
      <c r="R433" s="776">
        <f>IF(P434,_xll.qDateYears(P433,P434,DCCfixed),0)</f>
        <v>0</v>
      </c>
      <c r="S433" s="553">
        <v>0</v>
      </c>
      <c r="T433" s="785"/>
      <c r="U433" s="409">
        <f t="shared" si="112"/>
        <v>0</v>
      </c>
      <c r="X433" s="363">
        <v>0</v>
      </c>
      <c r="Y433" s="775">
        <f t="shared" si="103"/>
        <v>0</v>
      </c>
      <c r="Z433" s="776">
        <f>IF(X434,_xll.qDateYears(X433,X434,DCCfloat),0)</f>
        <v>0</v>
      </c>
      <c r="AA433" s="553">
        <v>0</v>
      </c>
      <c r="AB433" s="789">
        <f>IF($X433=0,0,      _xll.qDateNext($X433,AB$12,"M",FRM&lt;&gt;"Calypso",CCY))</f>
        <v>0</v>
      </c>
      <c r="AC433" s="789">
        <f>IF($X433=0,0,      _xll.qDateNext($X433,AC$12,"M",FRM&lt;&gt;"Calypso",CCY))</f>
        <v>0</v>
      </c>
      <c r="AD433" s="789">
        <f>IF($X433=0,0,      _xll.qDateNext($X433,AD$12,"M",FRM&lt;&gt;"Calypso",CCY))</f>
        <v>0</v>
      </c>
      <c r="AE433" s="789">
        <f>IF($X433=0,0,      _xll.qDateNext($X433,AE$12,"M",FRM&lt;&gt;"Calypso",CCY))</f>
        <v>0</v>
      </c>
      <c r="AF433" s="789">
        <f>IF($X433=0,0,      _xll.qDateNext($X433,AF$12,"M",FRM&lt;&gt;"Calypso",CCY))</f>
        <v>0</v>
      </c>
      <c r="AG433" s="789">
        <f>IF($X433=0,0,      _xll.qDateNext($X433,AG$12,"M",FRM&lt;&gt;"Calypso",CCY))</f>
        <v>0</v>
      </c>
      <c r="AH433" s="789">
        <f>IF($X433=0,0,      _xll.qDateNext($X433,AH$12,"M",FRM&lt;&gt;"Calypso",CCY))</f>
        <v>0</v>
      </c>
      <c r="AI433" s="789">
        <f>IF($X433=0,0,      _xll.qDateNext($X433,AI$12,"M",FRM&lt;&gt;"Calypso",CCY))</f>
        <v>0</v>
      </c>
      <c r="AJ433" s="529" t="str">
        <v/>
      </c>
      <c r="AK433" s="529" t="str">
        <v/>
      </c>
      <c r="AL433" s="529" t="str">
        <v/>
      </c>
      <c r="AM433" s="529" t="str">
        <v/>
      </c>
      <c r="AN433" s="529" t="str">
        <v/>
      </c>
      <c r="AO433" s="529" t="str">
        <v/>
      </c>
      <c r="AP433" s="529" t="str">
        <v/>
      </c>
      <c r="AQ433" s="529" t="str">
        <v/>
      </c>
      <c r="AR433" s="529">
        <v>0</v>
      </c>
      <c r="AS433" s="529">
        <v>0</v>
      </c>
      <c r="AT433" s="529">
        <f t="shared" si="113"/>
        <v>0</v>
      </c>
      <c r="AU433" s="529">
        <v>0</v>
      </c>
      <c r="AV433" s="529">
        <f t="shared" si="114"/>
        <v>0</v>
      </c>
      <c r="AW433" s="529">
        <f t="shared" si="115"/>
        <v>0</v>
      </c>
      <c r="AX433" s="529">
        <v>0</v>
      </c>
      <c r="AY433" s="529">
        <v>0</v>
      </c>
      <c r="AZ433" s="761">
        <f t="shared" si="104"/>
        <v>0</v>
      </c>
      <c r="BA433" s="761">
        <f t="shared" si="105"/>
        <v>0</v>
      </c>
      <c r="BB433" s="761">
        <f t="shared" si="106"/>
        <v>0</v>
      </c>
      <c r="BC433" s="761">
        <f t="shared" si="107"/>
        <v>0</v>
      </c>
      <c r="BD433" s="761">
        <f t="shared" si="108"/>
        <v>0</v>
      </c>
      <c r="BE433" s="761">
        <f t="shared" si="109"/>
        <v>0</v>
      </c>
      <c r="BF433" s="761">
        <f t="shared" si="110"/>
        <v>0</v>
      </c>
      <c r="BG433" s="761">
        <f t="shared" si="111"/>
        <v>0</v>
      </c>
      <c r="BH433" s="777">
        <v>0</v>
      </c>
      <c r="BI433" s="755"/>
      <c r="BJ433" s="778">
        <f>IF(X434=0,0,           IF(ISNUMBER(BI433),BI433,               IF(ISTEXT(BI433),INDEX(AZ433:BG433,MATCH(BI433,$AZ$12:$BG$12,0)),             IF(BH433="INT",_xll.qInterp(X434,AB433:AI433,AZ433:BG433),            INDEX(AZ433:BG433,MATCH(BH433,$AZ$12:$BG$12,0))))))</f>
        <v>0</v>
      </c>
      <c r="BK433" s="408">
        <f t="shared" si="116"/>
        <v>0</v>
      </c>
      <c r="BL433" s="414">
        <f t="shared" si="117"/>
        <v>0</v>
      </c>
      <c r="BM433" s="408">
        <f t="shared" si="118"/>
        <v>0</v>
      </c>
    </row>
    <row r="434" spans="16:65">
      <c r="P434" s="781">
        <v>0</v>
      </c>
      <c r="Q434" s="780">
        <f t="shared" si="102"/>
        <v>0</v>
      </c>
      <c r="R434" s="776">
        <f>IF(P435,_xll.qDateYears(P434,P435,DCCfixed),0)</f>
        <v>0</v>
      </c>
      <c r="S434" s="553">
        <v>0</v>
      </c>
      <c r="T434" s="785"/>
      <c r="U434" s="409">
        <f t="shared" si="112"/>
        <v>0</v>
      </c>
      <c r="X434" s="363">
        <v>0</v>
      </c>
      <c r="Y434" s="775">
        <f t="shared" si="103"/>
        <v>0</v>
      </c>
      <c r="Z434" s="776">
        <f>IF(X435,_xll.qDateYears(X434,X435,DCCfloat),0)</f>
        <v>0</v>
      </c>
      <c r="AA434" s="553">
        <v>0</v>
      </c>
      <c r="AB434" s="789">
        <f>IF($X434=0,0,      _xll.qDateNext($X434,AB$12,"M",FRM&lt;&gt;"Calypso",CCY))</f>
        <v>0</v>
      </c>
      <c r="AC434" s="789">
        <f>IF($X434=0,0,      _xll.qDateNext($X434,AC$12,"M",FRM&lt;&gt;"Calypso",CCY))</f>
        <v>0</v>
      </c>
      <c r="AD434" s="789">
        <f>IF($X434=0,0,      _xll.qDateNext($X434,AD$12,"M",FRM&lt;&gt;"Calypso",CCY))</f>
        <v>0</v>
      </c>
      <c r="AE434" s="789">
        <f>IF($X434=0,0,      _xll.qDateNext($X434,AE$12,"M",FRM&lt;&gt;"Calypso",CCY))</f>
        <v>0</v>
      </c>
      <c r="AF434" s="789">
        <f>IF($X434=0,0,      _xll.qDateNext($X434,AF$12,"M",FRM&lt;&gt;"Calypso",CCY))</f>
        <v>0</v>
      </c>
      <c r="AG434" s="789">
        <f>IF($X434=0,0,      _xll.qDateNext($X434,AG$12,"M",FRM&lt;&gt;"Calypso",CCY))</f>
        <v>0</v>
      </c>
      <c r="AH434" s="789">
        <f>IF($X434=0,0,      _xll.qDateNext($X434,AH$12,"M",FRM&lt;&gt;"Calypso",CCY))</f>
        <v>0</v>
      </c>
      <c r="AI434" s="789">
        <f>IF($X434=0,0,      _xll.qDateNext($X434,AI$12,"M",FRM&lt;&gt;"Calypso",CCY))</f>
        <v>0</v>
      </c>
      <c r="AJ434" s="529" t="str">
        <v/>
      </c>
      <c r="AK434" s="529" t="str">
        <v/>
      </c>
      <c r="AL434" s="529" t="str">
        <v/>
      </c>
      <c r="AM434" s="529" t="str">
        <v/>
      </c>
      <c r="AN434" s="529" t="str">
        <v/>
      </c>
      <c r="AO434" s="529" t="str">
        <v/>
      </c>
      <c r="AP434" s="529" t="str">
        <v/>
      </c>
      <c r="AQ434" s="529" t="str">
        <v/>
      </c>
      <c r="AR434" s="529">
        <v>0</v>
      </c>
      <c r="AS434" s="529">
        <v>0</v>
      </c>
      <c r="AT434" s="529">
        <f t="shared" si="113"/>
        <v>0</v>
      </c>
      <c r="AU434" s="529">
        <v>0</v>
      </c>
      <c r="AV434" s="529">
        <f t="shared" si="114"/>
        <v>0</v>
      </c>
      <c r="AW434" s="529">
        <f t="shared" si="115"/>
        <v>0</v>
      </c>
      <c r="AX434" s="529">
        <v>0</v>
      </c>
      <c r="AY434" s="529">
        <v>0</v>
      </c>
      <c r="AZ434" s="761">
        <f t="shared" si="104"/>
        <v>0</v>
      </c>
      <c r="BA434" s="761">
        <f t="shared" si="105"/>
        <v>0</v>
      </c>
      <c r="BB434" s="761">
        <f t="shared" si="106"/>
        <v>0</v>
      </c>
      <c r="BC434" s="761">
        <f t="shared" si="107"/>
        <v>0</v>
      </c>
      <c r="BD434" s="761">
        <f t="shared" si="108"/>
        <v>0</v>
      </c>
      <c r="BE434" s="761">
        <f t="shared" si="109"/>
        <v>0</v>
      </c>
      <c r="BF434" s="761">
        <f t="shared" si="110"/>
        <v>0</v>
      </c>
      <c r="BG434" s="761">
        <f t="shared" si="111"/>
        <v>0</v>
      </c>
      <c r="BH434" s="777">
        <v>0</v>
      </c>
      <c r="BI434" s="755"/>
      <c r="BJ434" s="778">
        <f>IF(X435=0,0,           IF(ISNUMBER(BI434),BI434,               IF(ISTEXT(BI434),INDEX(AZ434:BG434,MATCH(BI434,$AZ$12:$BG$12,0)),             IF(BH434="INT",_xll.qInterp(X435,AB434:AI434,AZ434:BG434),            INDEX(AZ434:BG434,MATCH(BH434,$AZ$12:$BG$12,0))))))</f>
        <v>0</v>
      </c>
      <c r="BK434" s="408">
        <f t="shared" si="116"/>
        <v>0</v>
      </c>
      <c r="BL434" s="414">
        <f t="shared" si="117"/>
        <v>0</v>
      </c>
      <c r="BM434" s="408">
        <f t="shared" si="118"/>
        <v>0</v>
      </c>
    </row>
    <row r="435" spans="16:65">
      <c r="P435" s="781">
        <v>0</v>
      </c>
      <c r="Q435" s="780">
        <f t="shared" si="102"/>
        <v>0</v>
      </c>
      <c r="R435" s="776">
        <f>IF(P436,_xll.qDateYears(P435,P436,DCCfixed),0)</f>
        <v>0</v>
      </c>
      <c r="S435" s="553">
        <v>0</v>
      </c>
      <c r="T435" s="785"/>
      <c r="U435" s="409">
        <f t="shared" si="112"/>
        <v>0</v>
      </c>
      <c r="X435" s="363">
        <v>0</v>
      </c>
      <c r="Y435" s="775">
        <f t="shared" si="103"/>
        <v>0</v>
      </c>
      <c r="Z435" s="776">
        <f>IF(X436,_xll.qDateYears(X435,X436,DCCfloat),0)</f>
        <v>0</v>
      </c>
      <c r="AA435" s="553">
        <v>0</v>
      </c>
      <c r="AB435" s="789">
        <f>IF($X435=0,0,      _xll.qDateNext($X435,AB$12,"M",FRM&lt;&gt;"Calypso",CCY))</f>
        <v>0</v>
      </c>
      <c r="AC435" s="789">
        <f>IF($X435=0,0,      _xll.qDateNext($X435,AC$12,"M",FRM&lt;&gt;"Calypso",CCY))</f>
        <v>0</v>
      </c>
      <c r="AD435" s="789">
        <f>IF($X435=0,0,      _xll.qDateNext($X435,AD$12,"M",FRM&lt;&gt;"Calypso",CCY))</f>
        <v>0</v>
      </c>
      <c r="AE435" s="789">
        <f>IF($X435=0,0,      _xll.qDateNext($X435,AE$12,"M",FRM&lt;&gt;"Calypso",CCY))</f>
        <v>0</v>
      </c>
      <c r="AF435" s="789">
        <f>IF($X435=0,0,      _xll.qDateNext($X435,AF$12,"M",FRM&lt;&gt;"Calypso",CCY))</f>
        <v>0</v>
      </c>
      <c r="AG435" s="789">
        <f>IF($X435=0,0,      _xll.qDateNext($X435,AG$12,"M",FRM&lt;&gt;"Calypso",CCY))</f>
        <v>0</v>
      </c>
      <c r="AH435" s="789">
        <f>IF($X435=0,0,      _xll.qDateNext($X435,AH$12,"M",FRM&lt;&gt;"Calypso",CCY))</f>
        <v>0</v>
      </c>
      <c r="AI435" s="789">
        <f>IF($X435=0,0,      _xll.qDateNext($X435,AI$12,"M",FRM&lt;&gt;"Calypso",CCY))</f>
        <v>0</v>
      </c>
      <c r="AJ435" s="529" t="str">
        <v/>
      </c>
      <c r="AK435" s="529" t="str">
        <v/>
      </c>
      <c r="AL435" s="529" t="str">
        <v/>
      </c>
      <c r="AM435" s="529" t="str">
        <v/>
      </c>
      <c r="AN435" s="529" t="str">
        <v/>
      </c>
      <c r="AO435" s="529" t="str">
        <v/>
      </c>
      <c r="AP435" s="529" t="str">
        <v/>
      </c>
      <c r="AQ435" s="529" t="str">
        <v/>
      </c>
      <c r="AR435" s="529">
        <v>0</v>
      </c>
      <c r="AS435" s="529">
        <v>0</v>
      </c>
      <c r="AT435" s="529">
        <f t="shared" si="113"/>
        <v>0</v>
      </c>
      <c r="AU435" s="529">
        <v>0</v>
      </c>
      <c r="AV435" s="529">
        <f t="shared" si="114"/>
        <v>0</v>
      </c>
      <c r="AW435" s="529">
        <f t="shared" si="115"/>
        <v>0</v>
      </c>
      <c r="AX435" s="529">
        <v>0</v>
      </c>
      <c r="AY435" s="529">
        <v>0</v>
      </c>
      <c r="AZ435" s="761">
        <f t="shared" si="104"/>
        <v>0</v>
      </c>
      <c r="BA435" s="761">
        <f t="shared" si="105"/>
        <v>0</v>
      </c>
      <c r="BB435" s="761">
        <f t="shared" si="106"/>
        <v>0</v>
      </c>
      <c r="BC435" s="761">
        <f t="shared" si="107"/>
        <v>0</v>
      </c>
      <c r="BD435" s="761">
        <f t="shared" si="108"/>
        <v>0</v>
      </c>
      <c r="BE435" s="761">
        <f t="shared" si="109"/>
        <v>0</v>
      </c>
      <c r="BF435" s="761">
        <f t="shared" si="110"/>
        <v>0</v>
      </c>
      <c r="BG435" s="761">
        <f t="shared" si="111"/>
        <v>0</v>
      </c>
      <c r="BH435" s="777">
        <v>0</v>
      </c>
      <c r="BI435" s="755"/>
      <c r="BJ435" s="778">
        <f>IF(X436=0,0,           IF(ISNUMBER(BI435),BI435,               IF(ISTEXT(BI435),INDEX(AZ435:BG435,MATCH(BI435,$AZ$12:$BG$12,0)),             IF(BH435="INT",_xll.qInterp(X436,AB435:AI435,AZ435:BG435),            INDEX(AZ435:BG435,MATCH(BH435,$AZ$12:$BG$12,0))))))</f>
        <v>0</v>
      </c>
      <c r="BK435" s="408">
        <f t="shared" si="116"/>
        <v>0</v>
      </c>
      <c r="BL435" s="414">
        <f t="shared" si="117"/>
        <v>0</v>
      </c>
      <c r="BM435" s="408">
        <f t="shared" si="118"/>
        <v>0</v>
      </c>
    </row>
    <row r="436" spans="16:65">
      <c r="P436" s="781">
        <v>0</v>
      </c>
      <c r="Q436" s="780">
        <f t="shared" si="102"/>
        <v>0</v>
      </c>
      <c r="R436" s="776">
        <f>IF(P437,_xll.qDateYears(P436,P437,DCCfixed),0)</f>
        <v>0</v>
      </c>
      <c r="S436" s="553">
        <v>0</v>
      </c>
      <c r="T436" s="785"/>
      <c r="U436" s="409">
        <f t="shared" si="112"/>
        <v>0</v>
      </c>
      <c r="X436" s="363">
        <v>0</v>
      </c>
      <c r="Y436" s="775">
        <f t="shared" si="103"/>
        <v>0</v>
      </c>
      <c r="Z436" s="776">
        <f>IF(X437,_xll.qDateYears(X436,X437,DCCfloat),0)</f>
        <v>0</v>
      </c>
      <c r="AA436" s="553">
        <v>0</v>
      </c>
      <c r="AB436" s="789">
        <f>IF($X436=0,0,      _xll.qDateNext($X436,AB$12,"M",FRM&lt;&gt;"Calypso",CCY))</f>
        <v>0</v>
      </c>
      <c r="AC436" s="789">
        <f>IF($X436=0,0,      _xll.qDateNext($X436,AC$12,"M",FRM&lt;&gt;"Calypso",CCY))</f>
        <v>0</v>
      </c>
      <c r="AD436" s="789">
        <f>IF($X436=0,0,      _xll.qDateNext($X436,AD$12,"M",FRM&lt;&gt;"Calypso",CCY))</f>
        <v>0</v>
      </c>
      <c r="AE436" s="789">
        <f>IF($X436=0,0,      _xll.qDateNext($X436,AE$12,"M",FRM&lt;&gt;"Calypso",CCY))</f>
        <v>0</v>
      </c>
      <c r="AF436" s="789">
        <f>IF($X436=0,0,      _xll.qDateNext($X436,AF$12,"M",FRM&lt;&gt;"Calypso",CCY))</f>
        <v>0</v>
      </c>
      <c r="AG436" s="789">
        <f>IF($X436=0,0,      _xll.qDateNext($X436,AG$12,"M",FRM&lt;&gt;"Calypso",CCY))</f>
        <v>0</v>
      </c>
      <c r="AH436" s="789">
        <f>IF($X436=0,0,      _xll.qDateNext($X436,AH$12,"M",FRM&lt;&gt;"Calypso",CCY))</f>
        <v>0</v>
      </c>
      <c r="AI436" s="789">
        <f>IF($X436=0,0,      _xll.qDateNext($X436,AI$12,"M",FRM&lt;&gt;"Calypso",CCY))</f>
        <v>0</v>
      </c>
      <c r="AJ436" s="529" t="str">
        <v/>
      </c>
      <c r="AK436" s="529" t="str">
        <v/>
      </c>
      <c r="AL436" s="529" t="str">
        <v/>
      </c>
      <c r="AM436" s="529" t="str">
        <v/>
      </c>
      <c r="AN436" s="529" t="str">
        <v/>
      </c>
      <c r="AO436" s="529" t="str">
        <v/>
      </c>
      <c r="AP436" s="529" t="str">
        <v/>
      </c>
      <c r="AQ436" s="529" t="str">
        <v/>
      </c>
      <c r="AR436" s="529">
        <v>0</v>
      </c>
      <c r="AS436" s="529">
        <v>0</v>
      </c>
      <c r="AT436" s="529">
        <f t="shared" si="113"/>
        <v>0</v>
      </c>
      <c r="AU436" s="529">
        <v>0</v>
      </c>
      <c r="AV436" s="529">
        <f t="shared" si="114"/>
        <v>0</v>
      </c>
      <c r="AW436" s="529">
        <f t="shared" si="115"/>
        <v>0</v>
      </c>
      <c r="AX436" s="529">
        <v>0</v>
      </c>
      <c r="AY436" s="529">
        <v>0</v>
      </c>
      <c r="AZ436" s="761">
        <f t="shared" si="104"/>
        <v>0</v>
      </c>
      <c r="BA436" s="761">
        <f t="shared" si="105"/>
        <v>0</v>
      </c>
      <c r="BB436" s="761">
        <f t="shared" si="106"/>
        <v>0</v>
      </c>
      <c r="BC436" s="761">
        <f t="shared" si="107"/>
        <v>0</v>
      </c>
      <c r="BD436" s="761">
        <f t="shared" si="108"/>
        <v>0</v>
      </c>
      <c r="BE436" s="761">
        <f t="shared" si="109"/>
        <v>0</v>
      </c>
      <c r="BF436" s="761">
        <f t="shared" si="110"/>
        <v>0</v>
      </c>
      <c r="BG436" s="761">
        <f t="shared" si="111"/>
        <v>0</v>
      </c>
      <c r="BH436" s="777">
        <v>0</v>
      </c>
      <c r="BI436" s="755"/>
      <c r="BJ436" s="778">
        <f>IF(X437=0,0,           IF(ISNUMBER(BI436),BI436,               IF(ISTEXT(BI436),INDEX(AZ436:BG436,MATCH(BI436,$AZ$12:$BG$12,0)),             IF(BH436="INT",_xll.qInterp(X437,AB436:AI436,AZ436:BG436),            INDEX(AZ436:BG436,MATCH(BH436,$AZ$12:$BG$12,0))))))</f>
        <v>0</v>
      </c>
      <c r="BK436" s="408">
        <f t="shared" si="116"/>
        <v>0</v>
      </c>
      <c r="BL436" s="414">
        <f t="shared" si="117"/>
        <v>0</v>
      </c>
      <c r="BM436" s="408">
        <f t="shared" si="118"/>
        <v>0</v>
      </c>
    </row>
    <row r="437" spans="16:65">
      <c r="P437" s="781">
        <v>0</v>
      </c>
      <c r="Q437" s="780">
        <f t="shared" si="102"/>
        <v>0</v>
      </c>
      <c r="R437" s="776">
        <f>IF(P438,_xll.qDateYears(P437,P438,DCCfixed),0)</f>
        <v>0</v>
      </c>
      <c r="S437" s="553">
        <v>0</v>
      </c>
      <c r="T437" s="785"/>
      <c r="U437" s="409">
        <f t="shared" si="112"/>
        <v>0</v>
      </c>
      <c r="X437" s="363">
        <v>0</v>
      </c>
      <c r="Y437" s="775">
        <f t="shared" si="103"/>
        <v>0</v>
      </c>
      <c r="Z437" s="776">
        <f>IF(X438,_xll.qDateYears(X437,X438,DCCfloat),0)</f>
        <v>0</v>
      </c>
      <c r="AA437" s="553">
        <v>0</v>
      </c>
      <c r="AB437" s="789">
        <f>IF($X437=0,0,      _xll.qDateNext($X437,AB$12,"M",FRM&lt;&gt;"Calypso",CCY))</f>
        <v>0</v>
      </c>
      <c r="AC437" s="789">
        <f>IF($X437=0,0,      _xll.qDateNext($X437,AC$12,"M",FRM&lt;&gt;"Calypso",CCY))</f>
        <v>0</v>
      </c>
      <c r="AD437" s="789">
        <f>IF($X437=0,0,      _xll.qDateNext($X437,AD$12,"M",FRM&lt;&gt;"Calypso",CCY))</f>
        <v>0</v>
      </c>
      <c r="AE437" s="789">
        <f>IF($X437=0,0,      _xll.qDateNext($X437,AE$12,"M",FRM&lt;&gt;"Calypso",CCY))</f>
        <v>0</v>
      </c>
      <c r="AF437" s="789">
        <f>IF($X437=0,0,      _xll.qDateNext($X437,AF$12,"M",FRM&lt;&gt;"Calypso",CCY))</f>
        <v>0</v>
      </c>
      <c r="AG437" s="789">
        <f>IF($X437=0,0,      _xll.qDateNext($X437,AG$12,"M",FRM&lt;&gt;"Calypso",CCY))</f>
        <v>0</v>
      </c>
      <c r="AH437" s="789">
        <f>IF($X437=0,0,      _xll.qDateNext($X437,AH$12,"M",FRM&lt;&gt;"Calypso",CCY))</f>
        <v>0</v>
      </c>
      <c r="AI437" s="789">
        <f>IF($X437=0,0,      _xll.qDateNext($X437,AI$12,"M",FRM&lt;&gt;"Calypso",CCY))</f>
        <v>0</v>
      </c>
      <c r="AJ437" s="529" t="str">
        <v/>
      </c>
      <c r="AK437" s="529" t="str">
        <v/>
      </c>
      <c r="AL437" s="529" t="str">
        <v/>
      </c>
      <c r="AM437" s="529" t="str">
        <v/>
      </c>
      <c r="AN437" s="529" t="str">
        <v/>
      </c>
      <c r="AO437" s="529" t="str">
        <v/>
      </c>
      <c r="AP437" s="529" t="str">
        <v/>
      </c>
      <c r="AQ437" s="529" t="str">
        <v/>
      </c>
      <c r="AR437" s="529">
        <v>0</v>
      </c>
      <c r="AS437" s="529">
        <v>0</v>
      </c>
      <c r="AT437" s="529">
        <f t="shared" si="113"/>
        <v>0</v>
      </c>
      <c r="AU437" s="529">
        <v>0</v>
      </c>
      <c r="AV437" s="529">
        <f t="shared" si="114"/>
        <v>0</v>
      </c>
      <c r="AW437" s="529">
        <f t="shared" si="115"/>
        <v>0</v>
      </c>
      <c r="AX437" s="529">
        <v>0</v>
      </c>
      <c r="AY437" s="529">
        <v>0</v>
      </c>
      <c r="AZ437" s="761">
        <f t="shared" si="104"/>
        <v>0</v>
      </c>
      <c r="BA437" s="761">
        <f t="shared" si="105"/>
        <v>0</v>
      </c>
      <c r="BB437" s="761">
        <f t="shared" si="106"/>
        <v>0</v>
      </c>
      <c r="BC437" s="761">
        <f t="shared" si="107"/>
        <v>0</v>
      </c>
      <c r="BD437" s="761">
        <f t="shared" si="108"/>
        <v>0</v>
      </c>
      <c r="BE437" s="761">
        <f t="shared" si="109"/>
        <v>0</v>
      </c>
      <c r="BF437" s="761">
        <f t="shared" si="110"/>
        <v>0</v>
      </c>
      <c r="BG437" s="761">
        <f t="shared" si="111"/>
        <v>0</v>
      </c>
      <c r="BH437" s="777">
        <v>0</v>
      </c>
      <c r="BI437" s="755"/>
      <c r="BJ437" s="778">
        <f>IF(X438=0,0,           IF(ISNUMBER(BI437),BI437,               IF(ISTEXT(BI437),INDEX(AZ437:BG437,MATCH(BI437,$AZ$12:$BG$12,0)),             IF(BH437="INT",_xll.qInterp(X438,AB437:AI437,AZ437:BG437),            INDEX(AZ437:BG437,MATCH(BH437,$AZ$12:$BG$12,0))))))</f>
        <v>0</v>
      </c>
      <c r="BK437" s="408">
        <f t="shared" si="116"/>
        <v>0</v>
      </c>
      <c r="BL437" s="414">
        <f t="shared" si="117"/>
        <v>0</v>
      </c>
      <c r="BM437" s="408">
        <f t="shared" si="118"/>
        <v>0</v>
      </c>
    </row>
    <row r="438" spans="16:65">
      <c r="P438" s="781">
        <v>0</v>
      </c>
      <c r="Q438" s="780">
        <f t="shared" si="102"/>
        <v>0</v>
      </c>
      <c r="R438" s="776">
        <f>IF(P439,_xll.qDateYears(P438,P439,DCCfixed),0)</f>
        <v>0</v>
      </c>
      <c r="S438" s="553">
        <v>0</v>
      </c>
      <c r="T438" s="785"/>
      <c r="U438" s="409">
        <f t="shared" si="112"/>
        <v>0</v>
      </c>
      <c r="X438" s="363">
        <v>0</v>
      </c>
      <c r="Y438" s="775">
        <f t="shared" si="103"/>
        <v>0</v>
      </c>
      <c r="Z438" s="776">
        <f>IF(X439,_xll.qDateYears(X438,X439,DCCfloat),0)</f>
        <v>0</v>
      </c>
      <c r="AA438" s="553">
        <v>0</v>
      </c>
      <c r="AB438" s="789">
        <f>IF($X438=0,0,      _xll.qDateNext($X438,AB$12,"M",FRM&lt;&gt;"Calypso",CCY))</f>
        <v>0</v>
      </c>
      <c r="AC438" s="789">
        <f>IF($X438=0,0,      _xll.qDateNext($X438,AC$12,"M",FRM&lt;&gt;"Calypso",CCY))</f>
        <v>0</v>
      </c>
      <c r="AD438" s="789">
        <f>IF($X438=0,0,      _xll.qDateNext($X438,AD$12,"M",FRM&lt;&gt;"Calypso",CCY))</f>
        <v>0</v>
      </c>
      <c r="AE438" s="789">
        <f>IF($X438=0,0,      _xll.qDateNext($X438,AE$12,"M",FRM&lt;&gt;"Calypso",CCY))</f>
        <v>0</v>
      </c>
      <c r="AF438" s="789">
        <f>IF($X438=0,0,      _xll.qDateNext($X438,AF$12,"M",FRM&lt;&gt;"Calypso",CCY))</f>
        <v>0</v>
      </c>
      <c r="AG438" s="789">
        <f>IF($X438=0,0,      _xll.qDateNext($X438,AG$12,"M",FRM&lt;&gt;"Calypso",CCY))</f>
        <v>0</v>
      </c>
      <c r="AH438" s="789">
        <f>IF($X438=0,0,      _xll.qDateNext($X438,AH$12,"M",FRM&lt;&gt;"Calypso",CCY))</f>
        <v>0</v>
      </c>
      <c r="AI438" s="789">
        <f>IF($X438=0,0,      _xll.qDateNext($X438,AI$12,"M",FRM&lt;&gt;"Calypso",CCY))</f>
        <v>0</v>
      </c>
      <c r="AJ438" s="529" t="str">
        <v/>
      </c>
      <c r="AK438" s="529" t="str">
        <v/>
      </c>
      <c r="AL438" s="529" t="str">
        <v/>
      </c>
      <c r="AM438" s="529" t="str">
        <v/>
      </c>
      <c r="AN438" s="529" t="str">
        <v/>
      </c>
      <c r="AO438" s="529" t="str">
        <v/>
      </c>
      <c r="AP438" s="529" t="str">
        <v/>
      </c>
      <c r="AQ438" s="529" t="str">
        <v/>
      </c>
      <c r="AR438" s="529">
        <v>0</v>
      </c>
      <c r="AS438" s="529">
        <v>0</v>
      </c>
      <c r="AT438" s="529">
        <f t="shared" si="113"/>
        <v>0</v>
      </c>
      <c r="AU438" s="529">
        <v>0</v>
      </c>
      <c r="AV438" s="529">
        <f t="shared" si="114"/>
        <v>0</v>
      </c>
      <c r="AW438" s="529">
        <f t="shared" si="115"/>
        <v>0</v>
      </c>
      <c r="AX438" s="529">
        <v>0</v>
      </c>
      <c r="AY438" s="529">
        <v>0</v>
      </c>
      <c r="AZ438" s="761">
        <f t="shared" si="104"/>
        <v>0</v>
      </c>
      <c r="BA438" s="761">
        <f t="shared" si="105"/>
        <v>0</v>
      </c>
      <c r="BB438" s="761">
        <f t="shared" si="106"/>
        <v>0</v>
      </c>
      <c r="BC438" s="761">
        <f t="shared" si="107"/>
        <v>0</v>
      </c>
      <c r="BD438" s="761">
        <f t="shared" si="108"/>
        <v>0</v>
      </c>
      <c r="BE438" s="761">
        <f t="shared" si="109"/>
        <v>0</v>
      </c>
      <c r="BF438" s="761">
        <f t="shared" si="110"/>
        <v>0</v>
      </c>
      <c r="BG438" s="761">
        <f t="shared" si="111"/>
        <v>0</v>
      </c>
      <c r="BH438" s="777">
        <v>0</v>
      </c>
      <c r="BI438" s="755"/>
      <c r="BJ438" s="778">
        <f>IF(X439=0,0,           IF(ISNUMBER(BI438),BI438,               IF(ISTEXT(BI438),INDEX(AZ438:BG438,MATCH(BI438,$AZ$12:$BG$12,0)),             IF(BH438="INT",_xll.qInterp(X439,AB438:AI438,AZ438:BG438),            INDEX(AZ438:BG438,MATCH(BH438,$AZ$12:$BG$12,0))))))</f>
        <v>0</v>
      </c>
      <c r="BK438" s="408">
        <f t="shared" si="116"/>
        <v>0</v>
      </c>
      <c r="BL438" s="414">
        <f t="shared" si="117"/>
        <v>0</v>
      </c>
      <c r="BM438" s="408">
        <f t="shared" si="118"/>
        <v>0</v>
      </c>
    </row>
    <row r="439" spans="16:65">
      <c r="P439" s="781">
        <v>0</v>
      </c>
      <c r="Q439" s="780">
        <f t="shared" si="102"/>
        <v>0</v>
      </c>
      <c r="R439" s="776">
        <f>IF(P440,_xll.qDateYears(P439,P440,DCCfixed),0)</f>
        <v>0</v>
      </c>
      <c r="S439" s="553">
        <v>0</v>
      </c>
      <c r="T439" s="785"/>
      <c r="U439" s="409">
        <f t="shared" si="112"/>
        <v>0</v>
      </c>
      <c r="X439" s="363">
        <v>0</v>
      </c>
      <c r="Y439" s="775">
        <f t="shared" si="103"/>
        <v>0</v>
      </c>
      <c r="Z439" s="776">
        <f>IF(X440,_xll.qDateYears(X439,X440,DCCfloat),0)</f>
        <v>0</v>
      </c>
      <c r="AA439" s="553">
        <v>0</v>
      </c>
      <c r="AB439" s="789">
        <f>IF($X439=0,0,      _xll.qDateNext($X439,AB$12,"M",FRM&lt;&gt;"Calypso",CCY))</f>
        <v>0</v>
      </c>
      <c r="AC439" s="789">
        <f>IF($X439=0,0,      _xll.qDateNext($X439,AC$12,"M",FRM&lt;&gt;"Calypso",CCY))</f>
        <v>0</v>
      </c>
      <c r="AD439" s="789">
        <f>IF($X439=0,0,      _xll.qDateNext($X439,AD$12,"M",FRM&lt;&gt;"Calypso",CCY))</f>
        <v>0</v>
      </c>
      <c r="AE439" s="789">
        <f>IF($X439=0,0,      _xll.qDateNext($X439,AE$12,"M",FRM&lt;&gt;"Calypso",CCY))</f>
        <v>0</v>
      </c>
      <c r="AF439" s="789">
        <f>IF($X439=0,0,      _xll.qDateNext($X439,AF$12,"M",FRM&lt;&gt;"Calypso",CCY))</f>
        <v>0</v>
      </c>
      <c r="AG439" s="789">
        <f>IF($X439=0,0,      _xll.qDateNext($X439,AG$12,"M",FRM&lt;&gt;"Calypso",CCY))</f>
        <v>0</v>
      </c>
      <c r="AH439" s="789">
        <f>IF($X439=0,0,      _xll.qDateNext($X439,AH$12,"M",FRM&lt;&gt;"Calypso",CCY))</f>
        <v>0</v>
      </c>
      <c r="AI439" s="789">
        <f>IF($X439=0,0,      _xll.qDateNext($X439,AI$12,"M",FRM&lt;&gt;"Calypso",CCY))</f>
        <v>0</v>
      </c>
      <c r="AJ439" s="529" t="str">
        <v/>
      </c>
      <c r="AK439" s="529" t="str">
        <v/>
      </c>
      <c r="AL439" s="529" t="str">
        <v/>
      </c>
      <c r="AM439" s="529" t="str">
        <v/>
      </c>
      <c r="AN439" s="529" t="str">
        <v/>
      </c>
      <c r="AO439" s="529" t="str">
        <v/>
      </c>
      <c r="AP439" s="529" t="str">
        <v/>
      </c>
      <c r="AQ439" s="529" t="str">
        <v/>
      </c>
      <c r="AR439" s="529">
        <v>0</v>
      </c>
      <c r="AS439" s="529">
        <v>0</v>
      </c>
      <c r="AT439" s="529">
        <f t="shared" si="113"/>
        <v>0</v>
      </c>
      <c r="AU439" s="529">
        <v>0</v>
      </c>
      <c r="AV439" s="529">
        <f t="shared" si="114"/>
        <v>0</v>
      </c>
      <c r="AW439" s="529">
        <f t="shared" si="115"/>
        <v>0</v>
      </c>
      <c r="AX439" s="529">
        <v>0</v>
      </c>
      <c r="AY439" s="529">
        <v>0</v>
      </c>
      <c r="AZ439" s="761">
        <f t="shared" si="104"/>
        <v>0</v>
      </c>
      <c r="BA439" s="761">
        <f t="shared" si="105"/>
        <v>0</v>
      </c>
      <c r="BB439" s="761">
        <f t="shared" si="106"/>
        <v>0</v>
      </c>
      <c r="BC439" s="761">
        <f t="shared" si="107"/>
        <v>0</v>
      </c>
      <c r="BD439" s="761">
        <f t="shared" si="108"/>
        <v>0</v>
      </c>
      <c r="BE439" s="761">
        <f t="shared" si="109"/>
        <v>0</v>
      </c>
      <c r="BF439" s="761">
        <f t="shared" si="110"/>
        <v>0</v>
      </c>
      <c r="BG439" s="761">
        <f t="shared" si="111"/>
        <v>0</v>
      </c>
      <c r="BH439" s="777">
        <v>0</v>
      </c>
      <c r="BI439" s="755"/>
      <c r="BJ439" s="778">
        <f>IF(X440=0,0,           IF(ISNUMBER(BI439),BI439,               IF(ISTEXT(BI439),INDEX(AZ439:BG439,MATCH(BI439,$AZ$12:$BG$12,0)),             IF(BH439="INT",_xll.qInterp(X440,AB439:AI439,AZ439:BG439),            INDEX(AZ439:BG439,MATCH(BH439,$AZ$12:$BG$12,0))))))</f>
        <v>0</v>
      </c>
      <c r="BK439" s="408">
        <f t="shared" si="116"/>
        <v>0</v>
      </c>
      <c r="BL439" s="414">
        <f t="shared" si="117"/>
        <v>0</v>
      </c>
      <c r="BM439" s="408">
        <f t="shared" si="118"/>
        <v>0</v>
      </c>
    </row>
    <row r="440" spans="16:65">
      <c r="P440" s="781">
        <v>0</v>
      </c>
      <c r="Q440" s="780">
        <f t="shared" si="102"/>
        <v>0</v>
      </c>
      <c r="R440" s="776">
        <f>IF(P441,_xll.qDateYears(P440,P441,DCCfixed),0)</f>
        <v>0</v>
      </c>
      <c r="S440" s="553">
        <v>0</v>
      </c>
      <c r="T440" s="785"/>
      <c r="U440" s="409">
        <f t="shared" si="112"/>
        <v>0</v>
      </c>
      <c r="X440" s="363">
        <v>0</v>
      </c>
      <c r="Y440" s="775">
        <f t="shared" si="103"/>
        <v>0</v>
      </c>
      <c r="Z440" s="776">
        <f>IF(X441,_xll.qDateYears(X440,X441,DCCfloat),0)</f>
        <v>0</v>
      </c>
      <c r="AA440" s="553">
        <v>0</v>
      </c>
      <c r="AB440" s="789">
        <f>IF($X440=0,0,      _xll.qDateNext($X440,AB$12,"M",FRM&lt;&gt;"Calypso",CCY))</f>
        <v>0</v>
      </c>
      <c r="AC440" s="789">
        <f>IF($X440=0,0,      _xll.qDateNext($X440,AC$12,"M",FRM&lt;&gt;"Calypso",CCY))</f>
        <v>0</v>
      </c>
      <c r="AD440" s="789">
        <f>IF($X440=0,0,      _xll.qDateNext($X440,AD$12,"M",FRM&lt;&gt;"Calypso",CCY))</f>
        <v>0</v>
      </c>
      <c r="AE440" s="789">
        <f>IF($X440=0,0,      _xll.qDateNext($X440,AE$12,"M",FRM&lt;&gt;"Calypso",CCY))</f>
        <v>0</v>
      </c>
      <c r="AF440" s="789">
        <f>IF($X440=0,0,      _xll.qDateNext($X440,AF$12,"M",FRM&lt;&gt;"Calypso",CCY))</f>
        <v>0</v>
      </c>
      <c r="AG440" s="789">
        <f>IF($X440=0,0,      _xll.qDateNext($X440,AG$12,"M",FRM&lt;&gt;"Calypso",CCY))</f>
        <v>0</v>
      </c>
      <c r="AH440" s="789">
        <f>IF($X440=0,0,      _xll.qDateNext($X440,AH$12,"M",FRM&lt;&gt;"Calypso",CCY))</f>
        <v>0</v>
      </c>
      <c r="AI440" s="789">
        <f>IF($X440=0,0,      _xll.qDateNext($X440,AI$12,"M",FRM&lt;&gt;"Calypso",CCY))</f>
        <v>0</v>
      </c>
      <c r="AJ440" s="529" t="str">
        <v/>
      </c>
      <c r="AK440" s="529" t="str">
        <v/>
      </c>
      <c r="AL440" s="529" t="str">
        <v/>
      </c>
      <c r="AM440" s="529" t="str">
        <v/>
      </c>
      <c r="AN440" s="529" t="str">
        <v/>
      </c>
      <c r="AO440" s="529" t="str">
        <v/>
      </c>
      <c r="AP440" s="529" t="str">
        <v/>
      </c>
      <c r="AQ440" s="529" t="str">
        <v/>
      </c>
      <c r="AR440" s="529">
        <v>0</v>
      </c>
      <c r="AS440" s="529">
        <v>0</v>
      </c>
      <c r="AT440" s="529">
        <f t="shared" si="113"/>
        <v>0</v>
      </c>
      <c r="AU440" s="529">
        <v>0</v>
      </c>
      <c r="AV440" s="529">
        <f t="shared" si="114"/>
        <v>0</v>
      </c>
      <c r="AW440" s="529">
        <f t="shared" si="115"/>
        <v>0</v>
      </c>
      <c r="AX440" s="529">
        <v>0</v>
      </c>
      <c r="AY440" s="529">
        <v>0</v>
      </c>
      <c r="AZ440" s="761">
        <f t="shared" si="104"/>
        <v>0</v>
      </c>
      <c r="BA440" s="761">
        <f t="shared" si="105"/>
        <v>0</v>
      </c>
      <c r="BB440" s="761">
        <f t="shared" si="106"/>
        <v>0</v>
      </c>
      <c r="BC440" s="761">
        <f t="shared" si="107"/>
        <v>0</v>
      </c>
      <c r="BD440" s="761">
        <f t="shared" si="108"/>
        <v>0</v>
      </c>
      <c r="BE440" s="761">
        <f t="shared" si="109"/>
        <v>0</v>
      </c>
      <c r="BF440" s="761">
        <f t="shared" si="110"/>
        <v>0</v>
      </c>
      <c r="BG440" s="761">
        <f t="shared" si="111"/>
        <v>0</v>
      </c>
      <c r="BH440" s="777">
        <v>0</v>
      </c>
      <c r="BI440" s="755"/>
      <c r="BJ440" s="778">
        <f>IF(X441=0,0,           IF(ISNUMBER(BI440),BI440,               IF(ISTEXT(BI440),INDEX(AZ440:BG440,MATCH(BI440,$AZ$12:$BG$12,0)),             IF(BH440="INT",_xll.qInterp(X441,AB440:AI440,AZ440:BG440),            INDEX(AZ440:BG440,MATCH(BH440,$AZ$12:$BG$12,0))))))</f>
        <v>0</v>
      </c>
      <c r="BK440" s="408">
        <f t="shared" si="116"/>
        <v>0</v>
      </c>
      <c r="BL440" s="414">
        <f t="shared" si="117"/>
        <v>0</v>
      </c>
      <c r="BM440" s="408">
        <f t="shared" si="118"/>
        <v>0</v>
      </c>
    </row>
    <row r="441" spans="16:65">
      <c r="P441" s="781">
        <v>0</v>
      </c>
      <c r="Q441" s="780">
        <f t="shared" si="102"/>
        <v>0</v>
      </c>
      <c r="R441" s="776">
        <f>IF(P442,_xll.qDateYears(P441,P442,DCCfixed),0)</f>
        <v>0</v>
      </c>
      <c r="S441" s="553">
        <v>0</v>
      </c>
      <c r="T441" s="785"/>
      <c r="U441" s="409">
        <f t="shared" si="112"/>
        <v>0</v>
      </c>
      <c r="X441" s="363">
        <v>0</v>
      </c>
      <c r="Y441" s="775">
        <f t="shared" si="103"/>
        <v>0</v>
      </c>
      <c r="Z441" s="776">
        <f>IF(X442,_xll.qDateYears(X441,X442,DCCfloat),0)</f>
        <v>0</v>
      </c>
      <c r="AA441" s="553">
        <v>0</v>
      </c>
      <c r="AB441" s="789">
        <f>IF($X441=0,0,      _xll.qDateNext($X441,AB$12,"M",FRM&lt;&gt;"Calypso",CCY))</f>
        <v>0</v>
      </c>
      <c r="AC441" s="789">
        <f>IF($X441=0,0,      _xll.qDateNext($X441,AC$12,"M",FRM&lt;&gt;"Calypso",CCY))</f>
        <v>0</v>
      </c>
      <c r="AD441" s="789">
        <f>IF($X441=0,0,      _xll.qDateNext($X441,AD$12,"M",FRM&lt;&gt;"Calypso",CCY))</f>
        <v>0</v>
      </c>
      <c r="AE441" s="789">
        <f>IF($X441=0,0,      _xll.qDateNext($X441,AE$12,"M",FRM&lt;&gt;"Calypso",CCY))</f>
        <v>0</v>
      </c>
      <c r="AF441" s="789">
        <f>IF($X441=0,0,      _xll.qDateNext($X441,AF$12,"M",FRM&lt;&gt;"Calypso",CCY))</f>
        <v>0</v>
      </c>
      <c r="AG441" s="789">
        <f>IF($X441=0,0,      _xll.qDateNext($X441,AG$12,"M",FRM&lt;&gt;"Calypso",CCY))</f>
        <v>0</v>
      </c>
      <c r="AH441" s="789">
        <f>IF($X441=0,0,      _xll.qDateNext($X441,AH$12,"M",FRM&lt;&gt;"Calypso",CCY))</f>
        <v>0</v>
      </c>
      <c r="AI441" s="789">
        <f>IF($X441=0,0,      _xll.qDateNext($X441,AI$12,"M",FRM&lt;&gt;"Calypso",CCY))</f>
        <v>0</v>
      </c>
      <c r="AJ441" s="529" t="str">
        <v/>
      </c>
      <c r="AK441" s="529" t="str">
        <v/>
      </c>
      <c r="AL441" s="529" t="str">
        <v/>
      </c>
      <c r="AM441" s="529" t="str">
        <v/>
      </c>
      <c r="AN441" s="529" t="str">
        <v/>
      </c>
      <c r="AO441" s="529" t="str">
        <v/>
      </c>
      <c r="AP441" s="529" t="str">
        <v/>
      </c>
      <c r="AQ441" s="529" t="str">
        <v/>
      </c>
      <c r="AR441" s="529">
        <v>0</v>
      </c>
      <c r="AS441" s="529">
        <v>0</v>
      </c>
      <c r="AT441" s="529">
        <f t="shared" si="113"/>
        <v>0</v>
      </c>
      <c r="AU441" s="529">
        <v>0</v>
      </c>
      <c r="AV441" s="529">
        <f t="shared" si="114"/>
        <v>0</v>
      </c>
      <c r="AW441" s="529">
        <f t="shared" si="115"/>
        <v>0</v>
      </c>
      <c r="AX441" s="529">
        <v>0</v>
      </c>
      <c r="AY441" s="529">
        <v>0</v>
      </c>
      <c r="AZ441" s="761">
        <f t="shared" si="104"/>
        <v>0</v>
      </c>
      <c r="BA441" s="761">
        <f t="shared" si="105"/>
        <v>0</v>
      </c>
      <c r="BB441" s="761">
        <f t="shared" si="106"/>
        <v>0</v>
      </c>
      <c r="BC441" s="761">
        <f t="shared" si="107"/>
        <v>0</v>
      </c>
      <c r="BD441" s="761">
        <f t="shared" si="108"/>
        <v>0</v>
      </c>
      <c r="BE441" s="761">
        <f t="shared" si="109"/>
        <v>0</v>
      </c>
      <c r="BF441" s="761">
        <f t="shared" si="110"/>
        <v>0</v>
      </c>
      <c r="BG441" s="761">
        <f t="shared" si="111"/>
        <v>0</v>
      </c>
      <c r="BH441" s="777">
        <v>0</v>
      </c>
      <c r="BI441" s="755"/>
      <c r="BJ441" s="778">
        <f>IF(X442=0,0,           IF(ISNUMBER(BI441),BI441,               IF(ISTEXT(BI441),INDEX(AZ441:BG441,MATCH(BI441,$AZ$12:$BG$12,0)),             IF(BH441="INT",_xll.qInterp(X442,AB441:AI441,AZ441:BG441),            INDEX(AZ441:BG441,MATCH(BH441,$AZ$12:$BG$12,0))))))</f>
        <v>0</v>
      </c>
      <c r="BK441" s="408">
        <f t="shared" si="116"/>
        <v>0</v>
      </c>
      <c r="BL441" s="414">
        <f t="shared" si="117"/>
        <v>0</v>
      </c>
      <c r="BM441" s="408">
        <f t="shared" si="118"/>
        <v>0</v>
      </c>
    </row>
    <row r="442" spans="16:65">
      <c r="P442" s="781">
        <v>0</v>
      </c>
      <c r="Q442" s="780">
        <f t="shared" si="102"/>
        <v>0</v>
      </c>
      <c r="R442" s="776">
        <f>IF(P443,_xll.qDateYears(P442,P443,DCCfixed),0)</f>
        <v>0</v>
      </c>
      <c r="S442" s="553">
        <v>0</v>
      </c>
      <c r="T442" s="785"/>
      <c r="U442" s="409">
        <f t="shared" si="112"/>
        <v>0</v>
      </c>
      <c r="X442" s="363">
        <v>0</v>
      </c>
      <c r="Y442" s="775">
        <f t="shared" si="103"/>
        <v>0</v>
      </c>
      <c r="Z442" s="776">
        <f>IF(X443,_xll.qDateYears(X442,X443,DCCfloat),0)</f>
        <v>0</v>
      </c>
      <c r="AA442" s="553">
        <v>0</v>
      </c>
      <c r="AB442" s="789">
        <f>IF($X442=0,0,      _xll.qDateNext($X442,AB$12,"M",FRM&lt;&gt;"Calypso",CCY))</f>
        <v>0</v>
      </c>
      <c r="AC442" s="789">
        <f>IF($X442=0,0,      _xll.qDateNext($X442,AC$12,"M",FRM&lt;&gt;"Calypso",CCY))</f>
        <v>0</v>
      </c>
      <c r="AD442" s="789">
        <f>IF($X442=0,0,      _xll.qDateNext($X442,AD$12,"M",FRM&lt;&gt;"Calypso",CCY))</f>
        <v>0</v>
      </c>
      <c r="AE442" s="789">
        <f>IF($X442=0,0,      _xll.qDateNext($X442,AE$12,"M",FRM&lt;&gt;"Calypso",CCY))</f>
        <v>0</v>
      </c>
      <c r="AF442" s="789">
        <f>IF($X442=0,0,      _xll.qDateNext($X442,AF$12,"M",FRM&lt;&gt;"Calypso",CCY))</f>
        <v>0</v>
      </c>
      <c r="AG442" s="789">
        <f>IF($X442=0,0,      _xll.qDateNext($X442,AG$12,"M",FRM&lt;&gt;"Calypso",CCY))</f>
        <v>0</v>
      </c>
      <c r="AH442" s="789">
        <f>IF($X442=0,0,      _xll.qDateNext($X442,AH$12,"M",FRM&lt;&gt;"Calypso",CCY))</f>
        <v>0</v>
      </c>
      <c r="AI442" s="789">
        <f>IF($X442=0,0,      _xll.qDateNext($X442,AI$12,"M",FRM&lt;&gt;"Calypso",CCY))</f>
        <v>0</v>
      </c>
      <c r="AJ442" s="529" t="str">
        <v/>
      </c>
      <c r="AK442" s="529" t="str">
        <v/>
      </c>
      <c r="AL442" s="529" t="str">
        <v/>
      </c>
      <c r="AM442" s="529" t="str">
        <v/>
      </c>
      <c r="AN442" s="529" t="str">
        <v/>
      </c>
      <c r="AO442" s="529" t="str">
        <v/>
      </c>
      <c r="AP442" s="529" t="str">
        <v/>
      </c>
      <c r="AQ442" s="529" t="str">
        <v/>
      </c>
      <c r="AR442" s="529">
        <v>0</v>
      </c>
      <c r="AS442" s="529">
        <v>0</v>
      </c>
      <c r="AT442" s="529">
        <f t="shared" si="113"/>
        <v>0</v>
      </c>
      <c r="AU442" s="529">
        <v>0</v>
      </c>
      <c r="AV442" s="529">
        <f t="shared" si="114"/>
        <v>0</v>
      </c>
      <c r="AW442" s="529">
        <f t="shared" si="115"/>
        <v>0</v>
      </c>
      <c r="AX442" s="529">
        <v>0</v>
      </c>
      <c r="AY442" s="529">
        <v>0</v>
      </c>
      <c r="AZ442" s="761">
        <f t="shared" si="104"/>
        <v>0</v>
      </c>
      <c r="BA442" s="761">
        <f t="shared" si="105"/>
        <v>0</v>
      </c>
      <c r="BB442" s="761">
        <f t="shared" si="106"/>
        <v>0</v>
      </c>
      <c r="BC442" s="761">
        <f t="shared" si="107"/>
        <v>0</v>
      </c>
      <c r="BD442" s="761">
        <f t="shared" si="108"/>
        <v>0</v>
      </c>
      <c r="BE442" s="761">
        <f t="shared" si="109"/>
        <v>0</v>
      </c>
      <c r="BF442" s="761">
        <f t="shared" si="110"/>
        <v>0</v>
      </c>
      <c r="BG442" s="761">
        <f t="shared" si="111"/>
        <v>0</v>
      </c>
      <c r="BH442" s="777">
        <v>0</v>
      </c>
      <c r="BI442" s="755"/>
      <c r="BJ442" s="778">
        <f>IF(X443=0,0,           IF(ISNUMBER(BI442),BI442,               IF(ISTEXT(BI442),INDEX(AZ442:BG442,MATCH(BI442,$AZ$12:$BG$12,0)),             IF(BH442="INT",_xll.qInterp(X443,AB442:AI442,AZ442:BG442),            INDEX(AZ442:BG442,MATCH(BH442,$AZ$12:$BG$12,0))))))</f>
        <v>0</v>
      </c>
      <c r="BK442" s="408">
        <f t="shared" si="116"/>
        <v>0</v>
      </c>
      <c r="BL442" s="414">
        <f t="shared" si="117"/>
        <v>0</v>
      </c>
      <c r="BM442" s="408">
        <f t="shared" si="118"/>
        <v>0</v>
      </c>
    </row>
    <row r="443" spans="16:65">
      <c r="P443" s="781">
        <v>0</v>
      </c>
      <c r="Q443" s="780">
        <f t="shared" si="102"/>
        <v>0</v>
      </c>
      <c r="R443" s="776">
        <f>IF(P444,_xll.qDateYears(P443,P444,DCCfixed),0)</f>
        <v>0</v>
      </c>
      <c r="S443" s="553">
        <v>0</v>
      </c>
      <c r="T443" s="785"/>
      <c r="U443" s="409">
        <f t="shared" si="112"/>
        <v>0</v>
      </c>
      <c r="X443" s="363">
        <v>0</v>
      </c>
      <c r="Y443" s="775">
        <f t="shared" si="103"/>
        <v>0</v>
      </c>
      <c r="Z443" s="776">
        <f>IF(X444,_xll.qDateYears(X443,X444,DCCfloat),0)</f>
        <v>0</v>
      </c>
      <c r="AA443" s="553">
        <v>0</v>
      </c>
      <c r="AB443" s="789">
        <f>IF($X443=0,0,      _xll.qDateNext($X443,AB$12,"M",FRM&lt;&gt;"Calypso",CCY))</f>
        <v>0</v>
      </c>
      <c r="AC443" s="789">
        <f>IF($X443=0,0,      _xll.qDateNext($X443,AC$12,"M",FRM&lt;&gt;"Calypso",CCY))</f>
        <v>0</v>
      </c>
      <c r="AD443" s="789">
        <f>IF($X443=0,0,      _xll.qDateNext($X443,AD$12,"M",FRM&lt;&gt;"Calypso",CCY))</f>
        <v>0</v>
      </c>
      <c r="AE443" s="789">
        <f>IF($X443=0,0,      _xll.qDateNext($X443,AE$12,"M",FRM&lt;&gt;"Calypso",CCY))</f>
        <v>0</v>
      </c>
      <c r="AF443" s="789">
        <f>IF($X443=0,0,      _xll.qDateNext($X443,AF$12,"M",FRM&lt;&gt;"Calypso",CCY))</f>
        <v>0</v>
      </c>
      <c r="AG443" s="789">
        <f>IF($X443=0,0,      _xll.qDateNext($X443,AG$12,"M",FRM&lt;&gt;"Calypso",CCY))</f>
        <v>0</v>
      </c>
      <c r="AH443" s="789">
        <f>IF($X443=0,0,      _xll.qDateNext($X443,AH$12,"M",FRM&lt;&gt;"Calypso",CCY))</f>
        <v>0</v>
      </c>
      <c r="AI443" s="789">
        <f>IF($X443=0,0,      _xll.qDateNext($X443,AI$12,"M",FRM&lt;&gt;"Calypso",CCY))</f>
        <v>0</v>
      </c>
      <c r="AJ443" s="529" t="str">
        <v/>
      </c>
      <c r="AK443" s="529" t="str">
        <v/>
      </c>
      <c r="AL443" s="529" t="str">
        <v/>
      </c>
      <c r="AM443" s="529" t="str">
        <v/>
      </c>
      <c r="AN443" s="529" t="str">
        <v/>
      </c>
      <c r="AO443" s="529" t="str">
        <v/>
      </c>
      <c r="AP443" s="529" t="str">
        <v/>
      </c>
      <c r="AQ443" s="529" t="str">
        <v/>
      </c>
      <c r="AR443" s="529">
        <v>0</v>
      </c>
      <c r="AS443" s="529">
        <v>0</v>
      </c>
      <c r="AT443" s="529">
        <f t="shared" si="113"/>
        <v>0</v>
      </c>
      <c r="AU443" s="529">
        <v>0</v>
      </c>
      <c r="AV443" s="529">
        <f t="shared" si="114"/>
        <v>0</v>
      </c>
      <c r="AW443" s="529">
        <f t="shared" si="115"/>
        <v>0</v>
      </c>
      <c r="AX443" s="529">
        <v>0</v>
      </c>
      <c r="AY443" s="529">
        <v>0</v>
      </c>
      <c r="AZ443" s="761">
        <f t="shared" si="104"/>
        <v>0</v>
      </c>
      <c r="BA443" s="761">
        <f t="shared" si="105"/>
        <v>0</v>
      </c>
      <c r="BB443" s="761">
        <f t="shared" si="106"/>
        <v>0</v>
      </c>
      <c r="BC443" s="761">
        <f t="shared" si="107"/>
        <v>0</v>
      </c>
      <c r="BD443" s="761">
        <f t="shared" si="108"/>
        <v>0</v>
      </c>
      <c r="BE443" s="761">
        <f t="shared" si="109"/>
        <v>0</v>
      </c>
      <c r="BF443" s="761">
        <f t="shared" si="110"/>
        <v>0</v>
      </c>
      <c r="BG443" s="761">
        <f t="shared" si="111"/>
        <v>0</v>
      </c>
      <c r="BH443" s="777">
        <v>0</v>
      </c>
      <c r="BI443" s="755"/>
      <c r="BJ443" s="778">
        <f>IF(X444=0,0,           IF(ISNUMBER(BI443),BI443,               IF(ISTEXT(BI443),INDEX(AZ443:BG443,MATCH(BI443,$AZ$12:$BG$12,0)),             IF(BH443="INT",_xll.qInterp(X444,AB443:AI443,AZ443:BG443),            INDEX(AZ443:BG443,MATCH(BH443,$AZ$12:$BG$12,0))))))</f>
        <v>0</v>
      </c>
      <c r="BK443" s="408">
        <f t="shared" si="116"/>
        <v>0</v>
      </c>
      <c r="BL443" s="414">
        <f t="shared" si="117"/>
        <v>0</v>
      </c>
      <c r="BM443" s="408">
        <f t="shared" si="118"/>
        <v>0</v>
      </c>
    </row>
    <row r="444" spans="16:65">
      <c r="P444" s="781">
        <v>0</v>
      </c>
      <c r="Q444" s="780">
        <f t="shared" si="102"/>
        <v>0</v>
      </c>
      <c r="R444" s="776">
        <f>IF(P445,_xll.qDateYears(P444,P445,DCCfixed),0)</f>
        <v>0</v>
      </c>
      <c r="S444" s="553">
        <v>0</v>
      </c>
      <c r="T444" s="785"/>
      <c r="U444" s="409">
        <f t="shared" si="112"/>
        <v>0</v>
      </c>
      <c r="X444" s="363">
        <v>0</v>
      </c>
      <c r="Y444" s="775">
        <f t="shared" si="103"/>
        <v>0</v>
      </c>
      <c r="Z444" s="776">
        <f>IF(X445,_xll.qDateYears(X444,X445,DCCfloat),0)</f>
        <v>0</v>
      </c>
      <c r="AA444" s="553">
        <v>0</v>
      </c>
      <c r="AB444" s="789">
        <f>IF($X444=0,0,      _xll.qDateNext($X444,AB$12,"M",FRM&lt;&gt;"Calypso",CCY))</f>
        <v>0</v>
      </c>
      <c r="AC444" s="789">
        <f>IF($X444=0,0,      _xll.qDateNext($X444,AC$12,"M",FRM&lt;&gt;"Calypso",CCY))</f>
        <v>0</v>
      </c>
      <c r="AD444" s="789">
        <f>IF($X444=0,0,      _xll.qDateNext($X444,AD$12,"M",FRM&lt;&gt;"Calypso",CCY))</f>
        <v>0</v>
      </c>
      <c r="AE444" s="789">
        <f>IF($X444=0,0,      _xll.qDateNext($X444,AE$12,"M",FRM&lt;&gt;"Calypso",CCY))</f>
        <v>0</v>
      </c>
      <c r="AF444" s="789">
        <f>IF($X444=0,0,      _xll.qDateNext($X444,AF$12,"M",FRM&lt;&gt;"Calypso",CCY))</f>
        <v>0</v>
      </c>
      <c r="AG444" s="789">
        <f>IF($X444=0,0,      _xll.qDateNext($X444,AG$12,"M",FRM&lt;&gt;"Calypso",CCY))</f>
        <v>0</v>
      </c>
      <c r="AH444" s="789">
        <f>IF($X444=0,0,      _xll.qDateNext($X444,AH$12,"M",FRM&lt;&gt;"Calypso",CCY))</f>
        <v>0</v>
      </c>
      <c r="AI444" s="789">
        <f>IF($X444=0,0,      _xll.qDateNext($X444,AI$12,"M",FRM&lt;&gt;"Calypso",CCY))</f>
        <v>0</v>
      </c>
      <c r="AJ444" s="529" t="str">
        <v/>
      </c>
      <c r="AK444" s="529" t="str">
        <v/>
      </c>
      <c r="AL444" s="529" t="str">
        <v/>
      </c>
      <c r="AM444" s="529" t="str">
        <v/>
      </c>
      <c r="AN444" s="529" t="str">
        <v/>
      </c>
      <c r="AO444" s="529" t="str">
        <v/>
      </c>
      <c r="AP444" s="529" t="str">
        <v/>
      </c>
      <c r="AQ444" s="529" t="str">
        <v/>
      </c>
      <c r="AR444" s="529">
        <v>0</v>
      </c>
      <c r="AS444" s="529">
        <v>0</v>
      </c>
      <c r="AT444" s="529">
        <f t="shared" si="113"/>
        <v>0</v>
      </c>
      <c r="AU444" s="529">
        <v>0</v>
      </c>
      <c r="AV444" s="529">
        <f t="shared" si="114"/>
        <v>0</v>
      </c>
      <c r="AW444" s="529">
        <f t="shared" si="115"/>
        <v>0</v>
      </c>
      <c r="AX444" s="529">
        <v>0</v>
      </c>
      <c r="AY444" s="529">
        <v>0</v>
      </c>
      <c r="AZ444" s="761">
        <f t="shared" si="104"/>
        <v>0</v>
      </c>
      <c r="BA444" s="761">
        <f t="shared" si="105"/>
        <v>0</v>
      </c>
      <c r="BB444" s="761">
        <f t="shared" si="106"/>
        <v>0</v>
      </c>
      <c r="BC444" s="761">
        <f t="shared" si="107"/>
        <v>0</v>
      </c>
      <c r="BD444" s="761">
        <f t="shared" si="108"/>
        <v>0</v>
      </c>
      <c r="BE444" s="761">
        <f t="shared" si="109"/>
        <v>0</v>
      </c>
      <c r="BF444" s="761">
        <f t="shared" si="110"/>
        <v>0</v>
      </c>
      <c r="BG444" s="761">
        <f t="shared" si="111"/>
        <v>0</v>
      </c>
      <c r="BH444" s="777">
        <v>0</v>
      </c>
      <c r="BI444" s="755"/>
      <c r="BJ444" s="778">
        <f>IF(X445=0,0,           IF(ISNUMBER(BI444),BI444,               IF(ISTEXT(BI444),INDEX(AZ444:BG444,MATCH(BI444,$AZ$12:$BG$12,0)),             IF(BH444="INT",_xll.qInterp(X445,AB444:AI444,AZ444:BG444),            INDEX(AZ444:BG444,MATCH(BH444,$AZ$12:$BG$12,0))))))</f>
        <v>0</v>
      </c>
      <c r="BK444" s="408">
        <f t="shared" si="116"/>
        <v>0</v>
      </c>
      <c r="BL444" s="414">
        <f t="shared" si="117"/>
        <v>0</v>
      </c>
      <c r="BM444" s="408">
        <f t="shared" si="118"/>
        <v>0</v>
      </c>
    </row>
    <row r="445" spans="16:65">
      <c r="P445" s="781">
        <v>0</v>
      </c>
      <c r="Q445" s="780">
        <f t="shared" si="102"/>
        <v>0</v>
      </c>
      <c r="R445" s="776">
        <f>IF(P446,_xll.qDateYears(P445,P446,DCCfixed),0)</f>
        <v>0</v>
      </c>
      <c r="S445" s="553">
        <v>0</v>
      </c>
      <c r="T445" s="785"/>
      <c r="U445" s="409">
        <f t="shared" si="112"/>
        <v>0</v>
      </c>
      <c r="X445" s="363">
        <v>0</v>
      </c>
      <c r="Y445" s="775">
        <f t="shared" si="103"/>
        <v>0</v>
      </c>
      <c r="Z445" s="776">
        <f>IF(X446,_xll.qDateYears(X445,X446,DCCfloat),0)</f>
        <v>0</v>
      </c>
      <c r="AA445" s="553">
        <v>0</v>
      </c>
      <c r="AB445" s="789">
        <f>IF($X445=0,0,      _xll.qDateNext($X445,AB$12,"M",FRM&lt;&gt;"Calypso",CCY))</f>
        <v>0</v>
      </c>
      <c r="AC445" s="789">
        <f>IF($X445=0,0,      _xll.qDateNext($X445,AC$12,"M",FRM&lt;&gt;"Calypso",CCY))</f>
        <v>0</v>
      </c>
      <c r="AD445" s="789">
        <f>IF($X445=0,0,      _xll.qDateNext($X445,AD$12,"M",FRM&lt;&gt;"Calypso",CCY))</f>
        <v>0</v>
      </c>
      <c r="AE445" s="789">
        <f>IF($X445=0,0,      _xll.qDateNext($X445,AE$12,"M",FRM&lt;&gt;"Calypso",CCY))</f>
        <v>0</v>
      </c>
      <c r="AF445" s="789">
        <f>IF($X445=0,0,      _xll.qDateNext($X445,AF$12,"M",FRM&lt;&gt;"Calypso",CCY))</f>
        <v>0</v>
      </c>
      <c r="AG445" s="789">
        <f>IF($X445=0,0,      _xll.qDateNext($X445,AG$12,"M",FRM&lt;&gt;"Calypso",CCY))</f>
        <v>0</v>
      </c>
      <c r="AH445" s="789">
        <f>IF($X445=0,0,      _xll.qDateNext($X445,AH$12,"M",FRM&lt;&gt;"Calypso",CCY))</f>
        <v>0</v>
      </c>
      <c r="AI445" s="789">
        <f>IF($X445=0,0,      _xll.qDateNext($X445,AI$12,"M",FRM&lt;&gt;"Calypso",CCY))</f>
        <v>0</v>
      </c>
      <c r="AJ445" s="529" t="str">
        <v/>
      </c>
      <c r="AK445" s="529" t="str">
        <v/>
      </c>
      <c r="AL445" s="529" t="str">
        <v/>
      </c>
      <c r="AM445" s="529" t="str">
        <v/>
      </c>
      <c r="AN445" s="529" t="str">
        <v/>
      </c>
      <c r="AO445" s="529" t="str">
        <v/>
      </c>
      <c r="AP445" s="529" t="str">
        <v/>
      </c>
      <c r="AQ445" s="529" t="str">
        <v/>
      </c>
      <c r="AR445" s="529">
        <v>0</v>
      </c>
      <c r="AS445" s="529">
        <v>0</v>
      </c>
      <c r="AT445" s="529">
        <f t="shared" si="113"/>
        <v>0</v>
      </c>
      <c r="AU445" s="529">
        <v>0</v>
      </c>
      <c r="AV445" s="529">
        <f t="shared" si="114"/>
        <v>0</v>
      </c>
      <c r="AW445" s="529">
        <f t="shared" si="115"/>
        <v>0</v>
      </c>
      <c r="AX445" s="529">
        <v>0</v>
      </c>
      <c r="AY445" s="529">
        <v>0</v>
      </c>
      <c r="AZ445" s="761">
        <f t="shared" si="104"/>
        <v>0</v>
      </c>
      <c r="BA445" s="761">
        <f t="shared" si="105"/>
        <v>0</v>
      </c>
      <c r="BB445" s="761">
        <f t="shared" si="106"/>
        <v>0</v>
      </c>
      <c r="BC445" s="761">
        <f t="shared" si="107"/>
        <v>0</v>
      </c>
      <c r="BD445" s="761">
        <f t="shared" si="108"/>
        <v>0</v>
      </c>
      <c r="BE445" s="761">
        <f t="shared" si="109"/>
        <v>0</v>
      </c>
      <c r="BF445" s="761">
        <f t="shared" si="110"/>
        <v>0</v>
      </c>
      <c r="BG445" s="761">
        <f t="shared" si="111"/>
        <v>0</v>
      </c>
      <c r="BH445" s="777">
        <v>0</v>
      </c>
      <c r="BI445" s="755"/>
      <c r="BJ445" s="778">
        <f>IF(X446=0,0,           IF(ISNUMBER(BI445),BI445,               IF(ISTEXT(BI445),INDEX(AZ445:BG445,MATCH(BI445,$AZ$12:$BG$12,0)),             IF(BH445="INT",_xll.qInterp(X446,AB445:AI445,AZ445:BG445),            INDEX(AZ445:BG445,MATCH(BH445,$AZ$12:$BG$12,0))))))</f>
        <v>0</v>
      </c>
      <c r="BK445" s="408">
        <f t="shared" si="116"/>
        <v>0</v>
      </c>
      <c r="BL445" s="414">
        <f t="shared" si="117"/>
        <v>0</v>
      </c>
      <c r="BM445" s="408">
        <f t="shared" si="118"/>
        <v>0</v>
      </c>
    </row>
    <row r="446" spans="16:65">
      <c r="P446" s="781">
        <v>0</v>
      </c>
      <c r="Q446" s="780">
        <f t="shared" si="102"/>
        <v>0</v>
      </c>
      <c r="R446" s="776">
        <f>IF(P447,_xll.qDateYears(P446,P447,DCCfixed),0)</f>
        <v>0</v>
      </c>
      <c r="S446" s="553">
        <v>0</v>
      </c>
      <c r="T446" s="785"/>
      <c r="U446" s="409">
        <f t="shared" si="112"/>
        <v>0</v>
      </c>
      <c r="X446" s="363">
        <v>0</v>
      </c>
      <c r="Y446" s="775">
        <f t="shared" si="103"/>
        <v>0</v>
      </c>
      <c r="Z446" s="776">
        <f>IF(X447,_xll.qDateYears(X446,X447,DCCfloat),0)</f>
        <v>0</v>
      </c>
      <c r="AA446" s="553">
        <v>0</v>
      </c>
      <c r="AB446" s="789">
        <f>IF($X446=0,0,      _xll.qDateNext($X446,AB$12,"M",FRM&lt;&gt;"Calypso",CCY))</f>
        <v>0</v>
      </c>
      <c r="AC446" s="789">
        <f>IF($X446=0,0,      _xll.qDateNext($X446,AC$12,"M",FRM&lt;&gt;"Calypso",CCY))</f>
        <v>0</v>
      </c>
      <c r="AD446" s="789">
        <f>IF($X446=0,0,      _xll.qDateNext($X446,AD$12,"M",FRM&lt;&gt;"Calypso",CCY))</f>
        <v>0</v>
      </c>
      <c r="AE446" s="789">
        <f>IF($X446=0,0,      _xll.qDateNext($X446,AE$12,"M",FRM&lt;&gt;"Calypso",CCY))</f>
        <v>0</v>
      </c>
      <c r="AF446" s="789">
        <f>IF($X446=0,0,      _xll.qDateNext($X446,AF$12,"M",FRM&lt;&gt;"Calypso",CCY))</f>
        <v>0</v>
      </c>
      <c r="AG446" s="789">
        <f>IF($X446=0,0,      _xll.qDateNext($X446,AG$12,"M",FRM&lt;&gt;"Calypso",CCY))</f>
        <v>0</v>
      </c>
      <c r="AH446" s="789">
        <f>IF($X446=0,0,      _xll.qDateNext($X446,AH$12,"M",FRM&lt;&gt;"Calypso",CCY))</f>
        <v>0</v>
      </c>
      <c r="AI446" s="789">
        <f>IF($X446=0,0,      _xll.qDateNext($X446,AI$12,"M",FRM&lt;&gt;"Calypso",CCY))</f>
        <v>0</v>
      </c>
      <c r="AJ446" s="529" t="str">
        <v/>
      </c>
      <c r="AK446" s="529" t="str">
        <v/>
      </c>
      <c r="AL446" s="529" t="str">
        <v/>
      </c>
      <c r="AM446" s="529" t="str">
        <v/>
      </c>
      <c r="AN446" s="529" t="str">
        <v/>
      </c>
      <c r="AO446" s="529" t="str">
        <v/>
      </c>
      <c r="AP446" s="529" t="str">
        <v/>
      </c>
      <c r="AQ446" s="529" t="str">
        <v/>
      </c>
      <c r="AR446" s="529">
        <v>0</v>
      </c>
      <c r="AS446" s="529">
        <v>0</v>
      </c>
      <c r="AT446" s="529">
        <f t="shared" si="113"/>
        <v>0</v>
      </c>
      <c r="AU446" s="529">
        <v>0</v>
      </c>
      <c r="AV446" s="529">
        <f t="shared" si="114"/>
        <v>0</v>
      </c>
      <c r="AW446" s="529">
        <f t="shared" si="115"/>
        <v>0</v>
      </c>
      <c r="AX446" s="529">
        <v>0</v>
      </c>
      <c r="AY446" s="529">
        <v>0</v>
      </c>
      <c r="AZ446" s="761">
        <f t="shared" si="104"/>
        <v>0</v>
      </c>
      <c r="BA446" s="761">
        <f t="shared" si="105"/>
        <v>0</v>
      </c>
      <c r="BB446" s="761">
        <f t="shared" si="106"/>
        <v>0</v>
      </c>
      <c r="BC446" s="761">
        <f t="shared" si="107"/>
        <v>0</v>
      </c>
      <c r="BD446" s="761">
        <f t="shared" si="108"/>
        <v>0</v>
      </c>
      <c r="BE446" s="761">
        <f t="shared" si="109"/>
        <v>0</v>
      </c>
      <c r="BF446" s="761">
        <f t="shared" si="110"/>
        <v>0</v>
      </c>
      <c r="BG446" s="761">
        <f t="shared" si="111"/>
        <v>0</v>
      </c>
      <c r="BH446" s="777">
        <v>0</v>
      </c>
      <c r="BI446" s="755"/>
      <c r="BJ446" s="778">
        <f>IF(X447=0,0,           IF(ISNUMBER(BI446),BI446,               IF(ISTEXT(BI446),INDEX(AZ446:BG446,MATCH(BI446,$AZ$12:$BG$12,0)),             IF(BH446="INT",_xll.qInterp(X447,AB446:AI446,AZ446:BG446),            INDEX(AZ446:BG446,MATCH(BH446,$AZ$12:$BG$12,0))))))</f>
        <v>0</v>
      </c>
      <c r="BK446" s="408">
        <f t="shared" si="116"/>
        <v>0</v>
      </c>
      <c r="BL446" s="414">
        <f t="shared" si="117"/>
        <v>0</v>
      </c>
      <c r="BM446" s="408">
        <f t="shared" si="118"/>
        <v>0</v>
      </c>
    </row>
    <row r="447" spans="16:65">
      <c r="P447" s="781">
        <v>0</v>
      </c>
      <c r="Q447" s="780">
        <f t="shared" si="102"/>
        <v>0</v>
      </c>
      <c r="R447" s="776">
        <f>IF(P448,_xll.qDateYears(P447,P448,DCCfixed),0)</f>
        <v>0</v>
      </c>
      <c r="S447" s="553">
        <v>0</v>
      </c>
      <c r="T447" s="785"/>
      <c r="U447" s="409">
        <f t="shared" si="112"/>
        <v>0</v>
      </c>
      <c r="X447" s="363">
        <v>0</v>
      </c>
      <c r="Y447" s="775">
        <f t="shared" si="103"/>
        <v>0</v>
      </c>
      <c r="Z447" s="776">
        <f>IF(X448,_xll.qDateYears(X447,X448,DCCfloat),0)</f>
        <v>0</v>
      </c>
      <c r="AA447" s="553">
        <v>0</v>
      </c>
      <c r="AB447" s="789">
        <f>IF($X447=0,0,      _xll.qDateNext($X447,AB$12,"M",FRM&lt;&gt;"Calypso",CCY))</f>
        <v>0</v>
      </c>
      <c r="AC447" s="789">
        <f>IF($X447=0,0,      _xll.qDateNext($X447,AC$12,"M",FRM&lt;&gt;"Calypso",CCY))</f>
        <v>0</v>
      </c>
      <c r="AD447" s="789">
        <f>IF($X447=0,0,      _xll.qDateNext($X447,AD$12,"M",FRM&lt;&gt;"Calypso",CCY))</f>
        <v>0</v>
      </c>
      <c r="AE447" s="789">
        <f>IF($X447=0,0,      _xll.qDateNext($X447,AE$12,"M",FRM&lt;&gt;"Calypso",CCY))</f>
        <v>0</v>
      </c>
      <c r="AF447" s="789">
        <f>IF($X447=0,0,      _xll.qDateNext($X447,AF$12,"M",FRM&lt;&gt;"Calypso",CCY))</f>
        <v>0</v>
      </c>
      <c r="AG447" s="789">
        <f>IF($X447=0,0,      _xll.qDateNext($X447,AG$12,"M",FRM&lt;&gt;"Calypso",CCY))</f>
        <v>0</v>
      </c>
      <c r="AH447" s="789">
        <f>IF($X447=0,0,      _xll.qDateNext($X447,AH$12,"M",FRM&lt;&gt;"Calypso",CCY))</f>
        <v>0</v>
      </c>
      <c r="AI447" s="789">
        <f>IF($X447=0,0,      _xll.qDateNext($X447,AI$12,"M",FRM&lt;&gt;"Calypso",CCY))</f>
        <v>0</v>
      </c>
      <c r="AJ447" s="529" t="str">
        <v/>
      </c>
      <c r="AK447" s="529" t="str">
        <v/>
      </c>
      <c r="AL447" s="529" t="str">
        <v/>
      </c>
      <c r="AM447" s="529" t="str">
        <v/>
      </c>
      <c r="AN447" s="529" t="str">
        <v/>
      </c>
      <c r="AO447" s="529" t="str">
        <v/>
      </c>
      <c r="AP447" s="529" t="str">
        <v/>
      </c>
      <c r="AQ447" s="529" t="str">
        <v/>
      </c>
      <c r="AR447" s="529">
        <v>0</v>
      </c>
      <c r="AS447" s="529">
        <v>0</v>
      </c>
      <c r="AT447" s="529">
        <f t="shared" si="113"/>
        <v>0</v>
      </c>
      <c r="AU447" s="529">
        <v>0</v>
      </c>
      <c r="AV447" s="529">
        <f t="shared" si="114"/>
        <v>0</v>
      </c>
      <c r="AW447" s="529">
        <f t="shared" si="115"/>
        <v>0</v>
      </c>
      <c r="AX447" s="529">
        <v>0</v>
      </c>
      <c r="AY447" s="529">
        <v>0</v>
      </c>
      <c r="AZ447" s="761">
        <f t="shared" si="104"/>
        <v>0</v>
      </c>
      <c r="BA447" s="761">
        <f t="shared" si="105"/>
        <v>0</v>
      </c>
      <c r="BB447" s="761">
        <f t="shared" si="106"/>
        <v>0</v>
      </c>
      <c r="BC447" s="761">
        <f t="shared" si="107"/>
        <v>0</v>
      </c>
      <c r="BD447" s="761">
        <f t="shared" si="108"/>
        <v>0</v>
      </c>
      <c r="BE447" s="761">
        <f t="shared" si="109"/>
        <v>0</v>
      </c>
      <c r="BF447" s="761">
        <f t="shared" si="110"/>
        <v>0</v>
      </c>
      <c r="BG447" s="761">
        <f t="shared" si="111"/>
        <v>0</v>
      </c>
      <c r="BH447" s="777">
        <v>0</v>
      </c>
      <c r="BI447" s="755"/>
      <c r="BJ447" s="778">
        <f>IF(X448=0,0,           IF(ISNUMBER(BI447),BI447,               IF(ISTEXT(BI447),INDEX(AZ447:BG447,MATCH(BI447,$AZ$12:$BG$12,0)),             IF(BH447="INT",_xll.qInterp(X448,AB447:AI447,AZ447:BG447),            INDEX(AZ447:BG447,MATCH(BH447,$AZ$12:$BG$12,0))))))</f>
        <v>0</v>
      </c>
      <c r="BK447" s="408">
        <f t="shared" si="116"/>
        <v>0</v>
      </c>
      <c r="BL447" s="414">
        <f t="shared" si="117"/>
        <v>0</v>
      </c>
      <c r="BM447" s="408">
        <f t="shared" si="118"/>
        <v>0</v>
      </c>
    </row>
    <row r="448" spans="16:65">
      <c r="P448" s="781">
        <v>0</v>
      </c>
      <c r="Q448" s="780">
        <f t="shared" si="102"/>
        <v>0</v>
      </c>
      <c r="R448" s="776">
        <f>IF(P449,_xll.qDateYears(P448,P449,DCCfixed),0)</f>
        <v>0</v>
      </c>
      <c r="S448" s="553">
        <v>0</v>
      </c>
      <c r="T448" s="785"/>
      <c r="U448" s="409">
        <f t="shared" si="112"/>
        <v>0</v>
      </c>
      <c r="X448" s="363">
        <v>0</v>
      </c>
      <c r="Y448" s="775">
        <f t="shared" si="103"/>
        <v>0</v>
      </c>
      <c r="Z448" s="776">
        <f>IF(X449,_xll.qDateYears(X448,X449,DCCfloat),0)</f>
        <v>0</v>
      </c>
      <c r="AA448" s="553">
        <v>0</v>
      </c>
      <c r="AB448" s="789">
        <f>IF($X448=0,0,      _xll.qDateNext($X448,AB$12,"M",FRM&lt;&gt;"Calypso",CCY))</f>
        <v>0</v>
      </c>
      <c r="AC448" s="789">
        <f>IF($X448=0,0,      _xll.qDateNext($X448,AC$12,"M",FRM&lt;&gt;"Calypso",CCY))</f>
        <v>0</v>
      </c>
      <c r="AD448" s="789">
        <f>IF($X448=0,0,      _xll.qDateNext($X448,AD$12,"M",FRM&lt;&gt;"Calypso",CCY))</f>
        <v>0</v>
      </c>
      <c r="AE448" s="789">
        <f>IF($X448=0,0,      _xll.qDateNext($X448,AE$12,"M",FRM&lt;&gt;"Calypso",CCY))</f>
        <v>0</v>
      </c>
      <c r="AF448" s="789">
        <f>IF($X448=0,0,      _xll.qDateNext($X448,AF$12,"M",FRM&lt;&gt;"Calypso",CCY))</f>
        <v>0</v>
      </c>
      <c r="AG448" s="789">
        <f>IF($X448=0,0,      _xll.qDateNext($X448,AG$12,"M",FRM&lt;&gt;"Calypso",CCY))</f>
        <v>0</v>
      </c>
      <c r="AH448" s="789">
        <f>IF($X448=0,0,      _xll.qDateNext($X448,AH$12,"M",FRM&lt;&gt;"Calypso",CCY))</f>
        <v>0</v>
      </c>
      <c r="AI448" s="789">
        <f>IF($X448=0,0,      _xll.qDateNext($X448,AI$12,"M",FRM&lt;&gt;"Calypso",CCY))</f>
        <v>0</v>
      </c>
      <c r="AJ448" s="529" t="str">
        <v/>
      </c>
      <c r="AK448" s="529" t="str">
        <v/>
      </c>
      <c r="AL448" s="529" t="str">
        <v/>
      </c>
      <c r="AM448" s="529" t="str">
        <v/>
      </c>
      <c r="AN448" s="529" t="str">
        <v/>
      </c>
      <c r="AO448" s="529" t="str">
        <v/>
      </c>
      <c r="AP448" s="529" t="str">
        <v/>
      </c>
      <c r="AQ448" s="529" t="str">
        <v/>
      </c>
      <c r="AR448" s="529">
        <v>0</v>
      </c>
      <c r="AS448" s="529">
        <v>0</v>
      </c>
      <c r="AT448" s="529">
        <f t="shared" si="113"/>
        <v>0</v>
      </c>
      <c r="AU448" s="529">
        <v>0</v>
      </c>
      <c r="AV448" s="529">
        <f t="shared" si="114"/>
        <v>0</v>
      </c>
      <c r="AW448" s="529">
        <f t="shared" si="115"/>
        <v>0</v>
      </c>
      <c r="AX448" s="529">
        <v>0</v>
      </c>
      <c r="AY448" s="529">
        <v>0</v>
      </c>
      <c r="AZ448" s="761">
        <f t="shared" si="104"/>
        <v>0</v>
      </c>
      <c r="BA448" s="761">
        <f t="shared" si="105"/>
        <v>0</v>
      </c>
      <c r="BB448" s="761">
        <f t="shared" si="106"/>
        <v>0</v>
      </c>
      <c r="BC448" s="761">
        <f t="shared" si="107"/>
        <v>0</v>
      </c>
      <c r="BD448" s="761">
        <f t="shared" si="108"/>
        <v>0</v>
      </c>
      <c r="BE448" s="761">
        <f t="shared" si="109"/>
        <v>0</v>
      </c>
      <c r="BF448" s="761">
        <f t="shared" si="110"/>
        <v>0</v>
      </c>
      <c r="BG448" s="761">
        <f t="shared" si="111"/>
        <v>0</v>
      </c>
      <c r="BH448" s="777">
        <v>0</v>
      </c>
      <c r="BI448" s="755"/>
      <c r="BJ448" s="778">
        <f>IF(X449=0,0,           IF(ISNUMBER(BI448),BI448,               IF(ISTEXT(BI448),INDEX(AZ448:BG448,MATCH(BI448,$AZ$12:$BG$12,0)),             IF(BH448="INT",_xll.qInterp(X449,AB448:AI448,AZ448:BG448),            INDEX(AZ448:BG448,MATCH(BH448,$AZ$12:$BG$12,0))))))</f>
        <v>0</v>
      </c>
      <c r="BK448" s="408">
        <f t="shared" si="116"/>
        <v>0</v>
      </c>
      <c r="BL448" s="414">
        <f t="shared" si="117"/>
        <v>0</v>
      </c>
      <c r="BM448" s="408">
        <f t="shared" si="118"/>
        <v>0</v>
      </c>
    </row>
    <row r="449" spans="16:65">
      <c r="P449" s="781">
        <v>0</v>
      </c>
      <c r="Q449" s="780">
        <f t="shared" si="102"/>
        <v>0</v>
      </c>
      <c r="R449" s="776">
        <f>IF(P450,_xll.qDateYears(P449,P450,DCCfixed),0)</f>
        <v>0</v>
      </c>
      <c r="S449" s="553">
        <v>0</v>
      </c>
      <c r="T449" s="785"/>
      <c r="U449" s="409">
        <f t="shared" si="112"/>
        <v>0</v>
      </c>
      <c r="X449" s="363">
        <v>0</v>
      </c>
      <c r="Y449" s="775">
        <f t="shared" si="103"/>
        <v>0</v>
      </c>
      <c r="Z449" s="776">
        <f>IF(X450,_xll.qDateYears(X449,X450,DCCfloat),0)</f>
        <v>0</v>
      </c>
      <c r="AA449" s="553">
        <v>0</v>
      </c>
      <c r="AB449" s="789">
        <f>IF($X449=0,0,      _xll.qDateNext($X449,AB$12,"M",FRM&lt;&gt;"Calypso",CCY))</f>
        <v>0</v>
      </c>
      <c r="AC449" s="789">
        <f>IF($X449=0,0,      _xll.qDateNext($X449,AC$12,"M",FRM&lt;&gt;"Calypso",CCY))</f>
        <v>0</v>
      </c>
      <c r="AD449" s="789">
        <f>IF($X449=0,0,      _xll.qDateNext($X449,AD$12,"M",FRM&lt;&gt;"Calypso",CCY))</f>
        <v>0</v>
      </c>
      <c r="AE449" s="789">
        <f>IF($X449=0,0,      _xll.qDateNext($X449,AE$12,"M",FRM&lt;&gt;"Calypso",CCY))</f>
        <v>0</v>
      </c>
      <c r="AF449" s="789">
        <f>IF($X449=0,0,      _xll.qDateNext($X449,AF$12,"M",FRM&lt;&gt;"Calypso",CCY))</f>
        <v>0</v>
      </c>
      <c r="AG449" s="789">
        <f>IF($X449=0,0,      _xll.qDateNext($X449,AG$12,"M",FRM&lt;&gt;"Calypso",CCY))</f>
        <v>0</v>
      </c>
      <c r="AH449" s="789">
        <f>IF($X449=0,0,      _xll.qDateNext($X449,AH$12,"M",FRM&lt;&gt;"Calypso",CCY))</f>
        <v>0</v>
      </c>
      <c r="AI449" s="789">
        <f>IF($X449=0,0,      _xll.qDateNext($X449,AI$12,"M",FRM&lt;&gt;"Calypso",CCY))</f>
        <v>0</v>
      </c>
      <c r="AJ449" s="529" t="str">
        <v/>
      </c>
      <c r="AK449" s="529" t="str">
        <v/>
      </c>
      <c r="AL449" s="529" t="str">
        <v/>
      </c>
      <c r="AM449" s="529" t="str">
        <v/>
      </c>
      <c r="AN449" s="529" t="str">
        <v/>
      </c>
      <c r="AO449" s="529" t="str">
        <v/>
      </c>
      <c r="AP449" s="529" t="str">
        <v/>
      </c>
      <c r="AQ449" s="529" t="str">
        <v/>
      </c>
      <c r="AR449" s="529">
        <v>0</v>
      </c>
      <c r="AS449" s="529">
        <v>0</v>
      </c>
      <c r="AT449" s="529">
        <f t="shared" si="113"/>
        <v>0</v>
      </c>
      <c r="AU449" s="529">
        <v>0</v>
      </c>
      <c r="AV449" s="529">
        <f t="shared" si="114"/>
        <v>0</v>
      </c>
      <c r="AW449" s="529">
        <f t="shared" si="115"/>
        <v>0</v>
      </c>
      <c r="AX449" s="529">
        <v>0</v>
      </c>
      <c r="AY449" s="529">
        <v>0</v>
      </c>
      <c r="AZ449" s="761">
        <f t="shared" si="104"/>
        <v>0</v>
      </c>
      <c r="BA449" s="761">
        <f t="shared" si="105"/>
        <v>0</v>
      </c>
      <c r="BB449" s="761">
        <f t="shared" si="106"/>
        <v>0</v>
      </c>
      <c r="BC449" s="761">
        <f t="shared" si="107"/>
        <v>0</v>
      </c>
      <c r="BD449" s="761">
        <f t="shared" si="108"/>
        <v>0</v>
      </c>
      <c r="BE449" s="761">
        <f t="shared" si="109"/>
        <v>0</v>
      </c>
      <c r="BF449" s="761">
        <f t="shared" si="110"/>
        <v>0</v>
      </c>
      <c r="BG449" s="761">
        <f t="shared" si="111"/>
        <v>0</v>
      </c>
      <c r="BH449" s="777">
        <v>0</v>
      </c>
      <c r="BI449" s="755"/>
      <c r="BJ449" s="778">
        <f>IF(X450=0,0,           IF(ISNUMBER(BI449),BI449,               IF(ISTEXT(BI449),INDEX(AZ449:BG449,MATCH(BI449,$AZ$12:$BG$12,0)),             IF(BH449="INT",_xll.qInterp(X450,AB449:AI449,AZ449:BG449),            INDEX(AZ449:BG449,MATCH(BH449,$AZ$12:$BG$12,0))))))</f>
        <v>0</v>
      </c>
      <c r="BK449" s="408">
        <f t="shared" si="116"/>
        <v>0</v>
      </c>
      <c r="BL449" s="414">
        <f t="shared" si="117"/>
        <v>0</v>
      </c>
      <c r="BM449" s="408">
        <f t="shared" si="118"/>
        <v>0</v>
      </c>
    </row>
    <row r="450" spans="16:65">
      <c r="P450" s="781">
        <v>0</v>
      </c>
      <c r="Q450" s="780">
        <f t="shared" si="102"/>
        <v>0</v>
      </c>
      <c r="R450" s="776">
        <f>IF(P451,_xll.qDateYears(P450,P451,DCCfixed),0)</f>
        <v>0</v>
      </c>
      <c r="S450" s="553">
        <v>0</v>
      </c>
      <c r="T450" s="785"/>
      <c r="U450" s="409">
        <f t="shared" si="112"/>
        <v>0</v>
      </c>
      <c r="X450" s="363">
        <v>0</v>
      </c>
      <c r="Y450" s="775">
        <f t="shared" si="103"/>
        <v>0</v>
      </c>
      <c r="Z450" s="776">
        <f>IF(X451,_xll.qDateYears(X450,X451,DCCfloat),0)</f>
        <v>0</v>
      </c>
      <c r="AA450" s="553">
        <v>0</v>
      </c>
      <c r="AB450" s="789">
        <f>IF($X450=0,0,      _xll.qDateNext($X450,AB$12,"M",FRM&lt;&gt;"Calypso",CCY))</f>
        <v>0</v>
      </c>
      <c r="AC450" s="789">
        <f>IF($X450=0,0,      _xll.qDateNext($X450,AC$12,"M",FRM&lt;&gt;"Calypso",CCY))</f>
        <v>0</v>
      </c>
      <c r="AD450" s="789">
        <f>IF($X450=0,0,      _xll.qDateNext($X450,AD$12,"M",FRM&lt;&gt;"Calypso",CCY))</f>
        <v>0</v>
      </c>
      <c r="AE450" s="789">
        <f>IF($X450=0,0,      _xll.qDateNext($X450,AE$12,"M",FRM&lt;&gt;"Calypso",CCY))</f>
        <v>0</v>
      </c>
      <c r="AF450" s="789">
        <f>IF($X450=0,0,      _xll.qDateNext($X450,AF$12,"M",FRM&lt;&gt;"Calypso",CCY))</f>
        <v>0</v>
      </c>
      <c r="AG450" s="789">
        <f>IF($X450=0,0,      _xll.qDateNext($X450,AG$12,"M",FRM&lt;&gt;"Calypso",CCY))</f>
        <v>0</v>
      </c>
      <c r="AH450" s="789">
        <f>IF($X450=0,0,      _xll.qDateNext($X450,AH$12,"M",FRM&lt;&gt;"Calypso",CCY))</f>
        <v>0</v>
      </c>
      <c r="AI450" s="789">
        <f>IF($X450=0,0,      _xll.qDateNext($X450,AI$12,"M",FRM&lt;&gt;"Calypso",CCY))</f>
        <v>0</v>
      </c>
      <c r="AJ450" s="529" t="str">
        <v/>
      </c>
      <c r="AK450" s="529" t="str">
        <v/>
      </c>
      <c r="AL450" s="529" t="str">
        <v/>
      </c>
      <c r="AM450" s="529" t="str">
        <v/>
      </c>
      <c r="AN450" s="529" t="str">
        <v/>
      </c>
      <c r="AO450" s="529" t="str">
        <v/>
      </c>
      <c r="AP450" s="529" t="str">
        <v/>
      </c>
      <c r="AQ450" s="529" t="str">
        <v/>
      </c>
      <c r="AR450" s="529">
        <v>0</v>
      </c>
      <c r="AS450" s="529">
        <v>0</v>
      </c>
      <c r="AT450" s="529">
        <f t="shared" si="113"/>
        <v>0</v>
      </c>
      <c r="AU450" s="529">
        <v>0</v>
      </c>
      <c r="AV450" s="529">
        <f t="shared" si="114"/>
        <v>0</v>
      </c>
      <c r="AW450" s="529">
        <f t="shared" si="115"/>
        <v>0</v>
      </c>
      <c r="AX450" s="529">
        <v>0</v>
      </c>
      <c r="AY450" s="529">
        <v>0</v>
      </c>
      <c r="AZ450" s="761">
        <f t="shared" si="104"/>
        <v>0</v>
      </c>
      <c r="BA450" s="761">
        <f t="shared" si="105"/>
        <v>0</v>
      </c>
      <c r="BB450" s="761">
        <f t="shared" si="106"/>
        <v>0</v>
      </c>
      <c r="BC450" s="761">
        <f t="shared" si="107"/>
        <v>0</v>
      </c>
      <c r="BD450" s="761">
        <f t="shared" si="108"/>
        <v>0</v>
      </c>
      <c r="BE450" s="761">
        <f t="shared" si="109"/>
        <v>0</v>
      </c>
      <c r="BF450" s="761">
        <f t="shared" si="110"/>
        <v>0</v>
      </c>
      <c r="BG450" s="761">
        <f t="shared" si="111"/>
        <v>0</v>
      </c>
      <c r="BH450" s="777">
        <v>0</v>
      </c>
      <c r="BI450" s="755"/>
      <c r="BJ450" s="778">
        <f>IF(X451=0,0,           IF(ISNUMBER(BI450),BI450,               IF(ISTEXT(BI450),INDEX(AZ450:BG450,MATCH(BI450,$AZ$12:$BG$12,0)),             IF(BH450="INT",_xll.qInterp(X451,AB450:AI450,AZ450:BG450),            INDEX(AZ450:BG450,MATCH(BH450,$AZ$12:$BG$12,0))))))</f>
        <v>0</v>
      </c>
      <c r="BK450" s="408">
        <f t="shared" si="116"/>
        <v>0</v>
      </c>
      <c r="BL450" s="414">
        <f t="shared" si="117"/>
        <v>0</v>
      </c>
      <c r="BM450" s="408">
        <f t="shared" si="118"/>
        <v>0</v>
      </c>
    </row>
    <row r="451" spans="16:65">
      <c r="P451" s="781">
        <v>0</v>
      </c>
      <c r="Q451" s="780">
        <f t="shared" si="102"/>
        <v>0</v>
      </c>
      <c r="R451" s="776">
        <f>IF(P452,_xll.qDateYears(P451,P452,DCCfixed),0)</f>
        <v>0</v>
      </c>
      <c r="S451" s="553">
        <v>0</v>
      </c>
      <c r="T451" s="785"/>
      <c r="U451" s="409">
        <f t="shared" si="112"/>
        <v>0</v>
      </c>
      <c r="X451" s="363">
        <v>0</v>
      </c>
      <c r="Y451" s="775">
        <f t="shared" si="103"/>
        <v>0</v>
      </c>
      <c r="Z451" s="776">
        <f>IF(X452,_xll.qDateYears(X451,X452,DCCfloat),0)</f>
        <v>0</v>
      </c>
      <c r="AA451" s="553">
        <v>0</v>
      </c>
      <c r="AB451" s="789">
        <f>IF($X451=0,0,      _xll.qDateNext($X451,AB$12,"M",FRM&lt;&gt;"Calypso",CCY))</f>
        <v>0</v>
      </c>
      <c r="AC451" s="789">
        <f>IF($X451=0,0,      _xll.qDateNext($X451,AC$12,"M",FRM&lt;&gt;"Calypso",CCY))</f>
        <v>0</v>
      </c>
      <c r="AD451" s="789">
        <f>IF($X451=0,0,      _xll.qDateNext($X451,AD$12,"M",FRM&lt;&gt;"Calypso",CCY))</f>
        <v>0</v>
      </c>
      <c r="AE451" s="789">
        <f>IF($X451=0,0,      _xll.qDateNext($X451,AE$12,"M",FRM&lt;&gt;"Calypso",CCY))</f>
        <v>0</v>
      </c>
      <c r="AF451" s="789">
        <f>IF($X451=0,0,      _xll.qDateNext($X451,AF$12,"M",FRM&lt;&gt;"Calypso",CCY))</f>
        <v>0</v>
      </c>
      <c r="AG451" s="789">
        <f>IF($X451=0,0,      _xll.qDateNext($X451,AG$12,"M",FRM&lt;&gt;"Calypso",CCY))</f>
        <v>0</v>
      </c>
      <c r="AH451" s="789">
        <f>IF($X451=0,0,      _xll.qDateNext($X451,AH$12,"M",FRM&lt;&gt;"Calypso",CCY))</f>
        <v>0</v>
      </c>
      <c r="AI451" s="789">
        <f>IF($X451=0,0,      _xll.qDateNext($X451,AI$12,"M",FRM&lt;&gt;"Calypso",CCY))</f>
        <v>0</v>
      </c>
      <c r="AJ451" s="529" t="str">
        <v/>
      </c>
      <c r="AK451" s="529" t="str">
        <v/>
      </c>
      <c r="AL451" s="529" t="str">
        <v/>
      </c>
      <c r="AM451" s="529" t="str">
        <v/>
      </c>
      <c r="AN451" s="529" t="str">
        <v/>
      </c>
      <c r="AO451" s="529" t="str">
        <v/>
      </c>
      <c r="AP451" s="529" t="str">
        <v/>
      </c>
      <c r="AQ451" s="529" t="str">
        <v/>
      </c>
      <c r="AR451" s="529">
        <v>0</v>
      </c>
      <c r="AS451" s="529">
        <v>0</v>
      </c>
      <c r="AT451" s="529">
        <f t="shared" si="113"/>
        <v>0</v>
      </c>
      <c r="AU451" s="529">
        <v>0</v>
      </c>
      <c r="AV451" s="529">
        <f t="shared" si="114"/>
        <v>0</v>
      </c>
      <c r="AW451" s="529">
        <f t="shared" si="115"/>
        <v>0</v>
      </c>
      <c r="AX451" s="529">
        <v>0</v>
      </c>
      <c r="AY451" s="529">
        <v>0</v>
      </c>
      <c r="AZ451" s="761">
        <f t="shared" si="104"/>
        <v>0</v>
      </c>
      <c r="BA451" s="761">
        <f t="shared" si="105"/>
        <v>0</v>
      </c>
      <c r="BB451" s="761">
        <f t="shared" si="106"/>
        <v>0</v>
      </c>
      <c r="BC451" s="761">
        <f t="shared" si="107"/>
        <v>0</v>
      </c>
      <c r="BD451" s="761">
        <f t="shared" si="108"/>
        <v>0</v>
      </c>
      <c r="BE451" s="761">
        <f t="shared" si="109"/>
        <v>0</v>
      </c>
      <c r="BF451" s="761">
        <f t="shared" si="110"/>
        <v>0</v>
      </c>
      <c r="BG451" s="761">
        <f t="shared" si="111"/>
        <v>0</v>
      </c>
      <c r="BH451" s="777">
        <v>0</v>
      </c>
      <c r="BI451" s="755"/>
      <c r="BJ451" s="778">
        <f>IF(X452=0,0,           IF(ISNUMBER(BI451),BI451,               IF(ISTEXT(BI451),INDEX(AZ451:BG451,MATCH(BI451,$AZ$12:$BG$12,0)),             IF(BH451="INT",_xll.qInterp(X452,AB451:AI451,AZ451:BG451),            INDEX(AZ451:BG451,MATCH(BH451,$AZ$12:$BG$12,0))))))</f>
        <v>0</v>
      </c>
      <c r="BK451" s="408">
        <f t="shared" si="116"/>
        <v>0</v>
      </c>
      <c r="BL451" s="414">
        <f t="shared" si="117"/>
        <v>0</v>
      </c>
      <c r="BM451" s="408">
        <f t="shared" si="118"/>
        <v>0</v>
      </c>
    </row>
    <row r="452" spans="16:65">
      <c r="P452" s="781">
        <v>0</v>
      </c>
      <c r="Q452" s="780">
        <f t="shared" si="102"/>
        <v>0</v>
      </c>
      <c r="R452" s="776">
        <f>IF(P453,_xll.qDateYears(P452,P453,DCCfixed),0)</f>
        <v>0</v>
      </c>
      <c r="S452" s="553">
        <v>0</v>
      </c>
      <c r="T452" s="785"/>
      <c r="U452" s="409">
        <f t="shared" si="112"/>
        <v>0</v>
      </c>
      <c r="X452" s="363">
        <v>0</v>
      </c>
      <c r="Y452" s="775">
        <f t="shared" si="103"/>
        <v>0</v>
      </c>
      <c r="Z452" s="776">
        <f>IF(X453,_xll.qDateYears(X452,X453,DCCfloat),0)</f>
        <v>0</v>
      </c>
      <c r="AA452" s="553">
        <v>0</v>
      </c>
      <c r="AB452" s="789">
        <f>IF($X452=0,0,      _xll.qDateNext($X452,AB$12,"M",FRM&lt;&gt;"Calypso",CCY))</f>
        <v>0</v>
      </c>
      <c r="AC452" s="789">
        <f>IF($X452=0,0,      _xll.qDateNext($X452,AC$12,"M",FRM&lt;&gt;"Calypso",CCY))</f>
        <v>0</v>
      </c>
      <c r="AD452" s="789">
        <f>IF($X452=0,0,      _xll.qDateNext($X452,AD$12,"M",FRM&lt;&gt;"Calypso",CCY))</f>
        <v>0</v>
      </c>
      <c r="AE452" s="789">
        <f>IF($X452=0,0,      _xll.qDateNext($X452,AE$12,"M",FRM&lt;&gt;"Calypso",CCY))</f>
        <v>0</v>
      </c>
      <c r="AF452" s="789">
        <f>IF($X452=0,0,      _xll.qDateNext($X452,AF$12,"M",FRM&lt;&gt;"Calypso",CCY))</f>
        <v>0</v>
      </c>
      <c r="AG452" s="789">
        <f>IF($X452=0,0,      _xll.qDateNext($X452,AG$12,"M",FRM&lt;&gt;"Calypso",CCY))</f>
        <v>0</v>
      </c>
      <c r="AH452" s="789">
        <f>IF($X452=0,0,      _xll.qDateNext($X452,AH$12,"M",FRM&lt;&gt;"Calypso",CCY))</f>
        <v>0</v>
      </c>
      <c r="AI452" s="789">
        <f>IF($X452=0,0,      _xll.qDateNext($X452,AI$12,"M",FRM&lt;&gt;"Calypso",CCY))</f>
        <v>0</v>
      </c>
      <c r="AJ452" s="529" t="str">
        <v/>
      </c>
      <c r="AK452" s="529" t="str">
        <v/>
      </c>
      <c r="AL452" s="529" t="str">
        <v/>
      </c>
      <c r="AM452" s="529" t="str">
        <v/>
      </c>
      <c r="AN452" s="529" t="str">
        <v/>
      </c>
      <c r="AO452" s="529" t="str">
        <v/>
      </c>
      <c r="AP452" s="529" t="str">
        <v/>
      </c>
      <c r="AQ452" s="529" t="str">
        <v/>
      </c>
      <c r="AR452" s="529">
        <v>0</v>
      </c>
      <c r="AS452" s="529">
        <v>0</v>
      </c>
      <c r="AT452" s="529">
        <f t="shared" si="113"/>
        <v>0</v>
      </c>
      <c r="AU452" s="529">
        <v>0</v>
      </c>
      <c r="AV452" s="529">
        <f t="shared" si="114"/>
        <v>0</v>
      </c>
      <c r="AW452" s="529">
        <f t="shared" si="115"/>
        <v>0</v>
      </c>
      <c r="AX452" s="529">
        <v>0</v>
      </c>
      <c r="AY452" s="529">
        <v>0</v>
      </c>
      <c r="AZ452" s="761">
        <f t="shared" si="104"/>
        <v>0</v>
      </c>
      <c r="BA452" s="761">
        <f t="shared" si="105"/>
        <v>0</v>
      </c>
      <c r="BB452" s="761">
        <f t="shared" si="106"/>
        <v>0</v>
      </c>
      <c r="BC452" s="761">
        <f t="shared" si="107"/>
        <v>0</v>
      </c>
      <c r="BD452" s="761">
        <f t="shared" si="108"/>
        <v>0</v>
      </c>
      <c r="BE452" s="761">
        <f t="shared" si="109"/>
        <v>0</v>
      </c>
      <c r="BF452" s="761">
        <f t="shared" si="110"/>
        <v>0</v>
      </c>
      <c r="BG452" s="761">
        <f t="shared" si="111"/>
        <v>0</v>
      </c>
      <c r="BH452" s="777">
        <v>0</v>
      </c>
      <c r="BI452" s="755"/>
      <c r="BJ452" s="778">
        <f>IF(X453=0,0,           IF(ISNUMBER(BI452),BI452,               IF(ISTEXT(BI452),INDEX(AZ452:BG452,MATCH(BI452,$AZ$12:$BG$12,0)),             IF(BH452="INT",_xll.qInterp(X453,AB452:AI452,AZ452:BG452),            INDEX(AZ452:BG452,MATCH(BH452,$AZ$12:$BG$12,0))))))</f>
        <v>0</v>
      </c>
      <c r="BK452" s="408">
        <f t="shared" si="116"/>
        <v>0</v>
      </c>
      <c r="BL452" s="414">
        <f t="shared" si="117"/>
        <v>0</v>
      </c>
      <c r="BM452" s="408">
        <f t="shared" si="118"/>
        <v>0</v>
      </c>
    </row>
    <row r="453" spans="16:65">
      <c r="P453" s="781">
        <v>0</v>
      </c>
      <c r="Q453" s="780">
        <f t="shared" si="102"/>
        <v>0</v>
      </c>
      <c r="R453" s="776">
        <f>IF(P454,_xll.qDateYears(P453,P454,DCCfixed),0)</f>
        <v>0</v>
      </c>
      <c r="S453" s="553">
        <v>0</v>
      </c>
      <c r="T453" s="785"/>
      <c r="U453" s="409">
        <f t="shared" si="112"/>
        <v>0</v>
      </c>
      <c r="X453" s="363">
        <v>0</v>
      </c>
      <c r="Y453" s="775">
        <f t="shared" si="103"/>
        <v>0</v>
      </c>
      <c r="Z453" s="776">
        <f>IF(X454,_xll.qDateYears(X453,X454,DCCfloat),0)</f>
        <v>0</v>
      </c>
      <c r="AA453" s="553">
        <v>0</v>
      </c>
      <c r="AB453" s="789">
        <f>IF($X453=0,0,      _xll.qDateNext($X453,AB$12,"M",FRM&lt;&gt;"Calypso",CCY))</f>
        <v>0</v>
      </c>
      <c r="AC453" s="789">
        <f>IF($X453=0,0,      _xll.qDateNext($X453,AC$12,"M",FRM&lt;&gt;"Calypso",CCY))</f>
        <v>0</v>
      </c>
      <c r="AD453" s="789">
        <f>IF($X453=0,0,      _xll.qDateNext($X453,AD$12,"M",FRM&lt;&gt;"Calypso",CCY))</f>
        <v>0</v>
      </c>
      <c r="AE453" s="789">
        <f>IF($X453=0,0,      _xll.qDateNext($X453,AE$12,"M",FRM&lt;&gt;"Calypso",CCY))</f>
        <v>0</v>
      </c>
      <c r="AF453" s="789">
        <f>IF($X453=0,0,      _xll.qDateNext($X453,AF$12,"M",FRM&lt;&gt;"Calypso",CCY))</f>
        <v>0</v>
      </c>
      <c r="AG453" s="789">
        <f>IF($X453=0,0,      _xll.qDateNext($X453,AG$12,"M",FRM&lt;&gt;"Calypso",CCY))</f>
        <v>0</v>
      </c>
      <c r="AH453" s="789">
        <f>IF($X453=0,0,      _xll.qDateNext($X453,AH$12,"M",FRM&lt;&gt;"Calypso",CCY))</f>
        <v>0</v>
      </c>
      <c r="AI453" s="789">
        <f>IF($X453=0,0,      _xll.qDateNext($X453,AI$12,"M",FRM&lt;&gt;"Calypso",CCY))</f>
        <v>0</v>
      </c>
      <c r="AJ453" s="529" t="str">
        <v/>
      </c>
      <c r="AK453" s="529" t="str">
        <v/>
      </c>
      <c r="AL453" s="529" t="str">
        <v/>
      </c>
      <c r="AM453" s="529" t="str">
        <v/>
      </c>
      <c r="AN453" s="529" t="str">
        <v/>
      </c>
      <c r="AO453" s="529" t="str">
        <v/>
      </c>
      <c r="AP453" s="529" t="str">
        <v/>
      </c>
      <c r="AQ453" s="529" t="str">
        <v/>
      </c>
      <c r="AR453" s="529">
        <v>0</v>
      </c>
      <c r="AS453" s="529">
        <v>0</v>
      </c>
      <c r="AT453" s="529">
        <f t="shared" si="113"/>
        <v>0</v>
      </c>
      <c r="AU453" s="529">
        <v>0</v>
      </c>
      <c r="AV453" s="529">
        <f t="shared" si="114"/>
        <v>0</v>
      </c>
      <c r="AW453" s="529">
        <f t="shared" si="115"/>
        <v>0</v>
      </c>
      <c r="AX453" s="529">
        <v>0</v>
      </c>
      <c r="AY453" s="529">
        <v>0</v>
      </c>
      <c r="AZ453" s="761">
        <f t="shared" si="104"/>
        <v>0</v>
      </c>
      <c r="BA453" s="761">
        <f t="shared" si="105"/>
        <v>0</v>
      </c>
      <c r="BB453" s="761">
        <f t="shared" si="106"/>
        <v>0</v>
      </c>
      <c r="BC453" s="761">
        <f t="shared" si="107"/>
        <v>0</v>
      </c>
      <c r="BD453" s="761">
        <f t="shared" si="108"/>
        <v>0</v>
      </c>
      <c r="BE453" s="761">
        <f t="shared" si="109"/>
        <v>0</v>
      </c>
      <c r="BF453" s="761">
        <f t="shared" si="110"/>
        <v>0</v>
      </c>
      <c r="BG453" s="761">
        <f t="shared" si="111"/>
        <v>0</v>
      </c>
      <c r="BH453" s="777">
        <v>0</v>
      </c>
      <c r="BI453" s="755"/>
      <c r="BJ453" s="778">
        <f>IF(X454=0,0,           IF(ISNUMBER(BI453),BI453,               IF(ISTEXT(BI453),INDEX(AZ453:BG453,MATCH(BI453,$AZ$12:$BG$12,0)),             IF(BH453="INT",_xll.qInterp(X454,AB453:AI453,AZ453:BG453),            INDEX(AZ453:BG453,MATCH(BH453,$AZ$12:$BG$12,0))))))</f>
        <v>0</v>
      </c>
      <c r="BK453" s="408">
        <f t="shared" si="116"/>
        <v>0</v>
      </c>
      <c r="BL453" s="414">
        <f t="shared" si="117"/>
        <v>0</v>
      </c>
      <c r="BM453" s="408">
        <f t="shared" si="118"/>
        <v>0</v>
      </c>
    </row>
    <row r="454" spans="16:65">
      <c r="P454" s="781">
        <v>0</v>
      </c>
      <c r="Q454" s="780">
        <f t="shared" si="102"/>
        <v>0</v>
      </c>
      <c r="R454" s="776">
        <f>IF(P455,_xll.qDateYears(P454,P455,DCCfixed),0)</f>
        <v>0</v>
      </c>
      <c r="S454" s="553">
        <v>0</v>
      </c>
      <c r="T454" s="785"/>
      <c r="U454" s="409">
        <f t="shared" si="112"/>
        <v>0</v>
      </c>
      <c r="X454" s="363">
        <v>0</v>
      </c>
      <c r="Y454" s="775">
        <f t="shared" si="103"/>
        <v>0</v>
      </c>
      <c r="Z454" s="776">
        <f>IF(X455,_xll.qDateYears(X454,X455,DCCfloat),0)</f>
        <v>0</v>
      </c>
      <c r="AA454" s="553">
        <v>0</v>
      </c>
      <c r="AB454" s="789">
        <f>IF($X454=0,0,      _xll.qDateNext($X454,AB$12,"M",FRM&lt;&gt;"Calypso",CCY))</f>
        <v>0</v>
      </c>
      <c r="AC454" s="789">
        <f>IF($X454=0,0,      _xll.qDateNext($X454,AC$12,"M",FRM&lt;&gt;"Calypso",CCY))</f>
        <v>0</v>
      </c>
      <c r="AD454" s="789">
        <f>IF($X454=0,0,      _xll.qDateNext($X454,AD$12,"M",FRM&lt;&gt;"Calypso",CCY))</f>
        <v>0</v>
      </c>
      <c r="AE454" s="789">
        <f>IF($X454=0,0,      _xll.qDateNext($X454,AE$12,"M",FRM&lt;&gt;"Calypso",CCY))</f>
        <v>0</v>
      </c>
      <c r="AF454" s="789">
        <f>IF($X454=0,0,      _xll.qDateNext($X454,AF$12,"M",FRM&lt;&gt;"Calypso",CCY))</f>
        <v>0</v>
      </c>
      <c r="AG454" s="789">
        <f>IF($X454=0,0,      _xll.qDateNext($X454,AG$12,"M",FRM&lt;&gt;"Calypso",CCY))</f>
        <v>0</v>
      </c>
      <c r="AH454" s="789">
        <f>IF($X454=0,0,      _xll.qDateNext($X454,AH$12,"M",FRM&lt;&gt;"Calypso",CCY))</f>
        <v>0</v>
      </c>
      <c r="AI454" s="789">
        <f>IF($X454=0,0,      _xll.qDateNext($X454,AI$12,"M",FRM&lt;&gt;"Calypso",CCY))</f>
        <v>0</v>
      </c>
      <c r="AJ454" s="529" t="str">
        <v/>
      </c>
      <c r="AK454" s="529" t="str">
        <v/>
      </c>
      <c r="AL454" s="529" t="str">
        <v/>
      </c>
      <c r="AM454" s="529" t="str">
        <v/>
      </c>
      <c r="AN454" s="529" t="str">
        <v/>
      </c>
      <c r="AO454" s="529" t="str">
        <v/>
      </c>
      <c r="AP454" s="529" t="str">
        <v/>
      </c>
      <c r="AQ454" s="529" t="str">
        <v/>
      </c>
      <c r="AR454" s="529">
        <v>0</v>
      </c>
      <c r="AS454" s="529">
        <v>0</v>
      </c>
      <c r="AT454" s="529">
        <f t="shared" si="113"/>
        <v>0</v>
      </c>
      <c r="AU454" s="529">
        <v>0</v>
      </c>
      <c r="AV454" s="529">
        <f t="shared" si="114"/>
        <v>0</v>
      </c>
      <c r="AW454" s="529">
        <f t="shared" si="115"/>
        <v>0</v>
      </c>
      <c r="AX454" s="529">
        <v>0</v>
      </c>
      <c r="AY454" s="529">
        <v>0</v>
      </c>
      <c r="AZ454" s="761">
        <f t="shared" si="104"/>
        <v>0</v>
      </c>
      <c r="BA454" s="761">
        <f t="shared" si="105"/>
        <v>0</v>
      </c>
      <c r="BB454" s="761">
        <f t="shared" si="106"/>
        <v>0</v>
      </c>
      <c r="BC454" s="761">
        <f t="shared" si="107"/>
        <v>0</v>
      </c>
      <c r="BD454" s="761">
        <f t="shared" si="108"/>
        <v>0</v>
      </c>
      <c r="BE454" s="761">
        <f t="shared" si="109"/>
        <v>0</v>
      </c>
      <c r="BF454" s="761">
        <f t="shared" si="110"/>
        <v>0</v>
      </c>
      <c r="BG454" s="761">
        <f t="shared" si="111"/>
        <v>0</v>
      </c>
      <c r="BH454" s="777">
        <v>0</v>
      </c>
      <c r="BI454" s="755"/>
      <c r="BJ454" s="778">
        <f>IF(X455=0,0,           IF(ISNUMBER(BI454),BI454,               IF(ISTEXT(BI454),INDEX(AZ454:BG454,MATCH(BI454,$AZ$12:$BG$12,0)),             IF(BH454="INT",_xll.qInterp(X455,AB454:AI454,AZ454:BG454),            INDEX(AZ454:BG454,MATCH(BH454,$AZ$12:$BG$12,0))))))</f>
        <v>0</v>
      </c>
      <c r="BK454" s="408">
        <f t="shared" si="116"/>
        <v>0</v>
      </c>
      <c r="BL454" s="414">
        <f t="shared" si="117"/>
        <v>0</v>
      </c>
      <c r="BM454" s="408">
        <f t="shared" si="118"/>
        <v>0</v>
      </c>
    </row>
    <row r="455" spans="16:65">
      <c r="P455" s="781">
        <v>0</v>
      </c>
      <c r="Q455" s="780">
        <f t="shared" si="102"/>
        <v>0</v>
      </c>
      <c r="R455" s="776">
        <f>IF(P456,_xll.qDateYears(P455,P456,DCCfixed),0)</f>
        <v>0</v>
      </c>
      <c r="S455" s="553">
        <v>0</v>
      </c>
      <c r="T455" s="785"/>
      <c r="U455" s="409">
        <f t="shared" si="112"/>
        <v>0</v>
      </c>
      <c r="X455" s="363">
        <v>0</v>
      </c>
      <c r="Y455" s="775">
        <f t="shared" si="103"/>
        <v>0</v>
      </c>
      <c r="Z455" s="776">
        <f>IF(X456,_xll.qDateYears(X455,X456,DCCfloat),0)</f>
        <v>0</v>
      </c>
      <c r="AA455" s="553">
        <v>0</v>
      </c>
      <c r="AB455" s="789">
        <f>IF($X455=0,0,      _xll.qDateNext($X455,AB$12,"M",FRM&lt;&gt;"Calypso",CCY))</f>
        <v>0</v>
      </c>
      <c r="AC455" s="789">
        <f>IF($X455=0,0,      _xll.qDateNext($X455,AC$12,"M",FRM&lt;&gt;"Calypso",CCY))</f>
        <v>0</v>
      </c>
      <c r="AD455" s="789">
        <f>IF($X455=0,0,      _xll.qDateNext($X455,AD$12,"M",FRM&lt;&gt;"Calypso",CCY))</f>
        <v>0</v>
      </c>
      <c r="AE455" s="789">
        <f>IF($X455=0,0,      _xll.qDateNext($X455,AE$12,"M",FRM&lt;&gt;"Calypso",CCY))</f>
        <v>0</v>
      </c>
      <c r="AF455" s="789">
        <f>IF($X455=0,0,      _xll.qDateNext($X455,AF$12,"M",FRM&lt;&gt;"Calypso",CCY))</f>
        <v>0</v>
      </c>
      <c r="AG455" s="789">
        <f>IF($X455=0,0,      _xll.qDateNext($X455,AG$12,"M",FRM&lt;&gt;"Calypso",CCY))</f>
        <v>0</v>
      </c>
      <c r="AH455" s="789">
        <f>IF($X455=0,0,      _xll.qDateNext($X455,AH$12,"M",FRM&lt;&gt;"Calypso",CCY))</f>
        <v>0</v>
      </c>
      <c r="AI455" s="789">
        <f>IF($X455=0,0,      _xll.qDateNext($X455,AI$12,"M",FRM&lt;&gt;"Calypso",CCY))</f>
        <v>0</v>
      </c>
      <c r="AJ455" s="529" t="str">
        <v/>
      </c>
      <c r="AK455" s="529" t="str">
        <v/>
      </c>
      <c r="AL455" s="529" t="str">
        <v/>
      </c>
      <c r="AM455" s="529" t="str">
        <v/>
      </c>
      <c r="AN455" s="529" t="str">
        <v/>
      </c>
      <c r="AO455" s="529" t="str">
        <v/>
      </c>
      <c r="AP455" s="529" t="str">
        <v/>
      </c>
      <c r="AQ455" s="529" t="str">
        <v/>
      </c>
      <c r="AR455" s="529">
        <v>0</v>
      </c>
      <c r="AS455" s="529">
        <v>0</v>
      </c>
      <c r="AT455" s="529">
        <f t="shared" si="113"/>
        <v>0</v>
      </c>
      <c r="AU455" s="529">
        <v>0</v>
      </c>
      <c r="AV455" s="529">
        <f t="shared" si="114"/>
        <v>0</v>
      </c>
      <c r="AW455" s="529">
        <f t="shared" si="115"/>
        <v>0</v>
      </c>
      <c r="AX455" s="529">
        <v>0</v>
      </c>
      <c r="AY455" s="529">
        <v>0</v>
      </c>
      <c r="AZ455" s="761">
        <f t="shared" si="104"/>
        <v>0</v>
      </c>
      <c r="BA455" s="761">
        <f t="shared" si="105"/>
        <v>0</v>
      </c>
      <c r="BB455" s="761">
        <f t="shared" si="106"/>
        <v>0</v>
      </c>
      <c r="BC455" s="761">
        <f t="shared" si="107"/>
        <v>0</v>
      </c>
      <c r="BD455" s="761">
        <f t="shared" si="108"/>
        <v>0</v>
      </c>
      <c r="BE455" s="761">
        <f t="shared" si="109"/>
        <v>0</v>
      </c>
      <c r="BF455" s="761">
        <f t="shared" si="110"/>
        <v>0</v>
      </c>
      <c r="BG455" s="761">
        <f t="shared" si="111"/>
        <v>0</v>
      </c>
      <c r="BH455" s="777">
        <v>0</v>
      </c>
      <c r="BI455" s="755"/>
      <c r="BJ455" s="778">
        <f>IF(X456=0,0,           IF(ISNUMBER(BI455),BI455,               IF(ISTEXT(BI455),INDEX(AZ455:BG455,MATCH(BI455,$AZ$12:$BG$12,0)),             IF(BH455="INT",_xll.qInterp(X456,AB455:AI455,AZ455:BG455),            INDEX(AZ455:BG455,MATCH(BH455,$AZ$12:$BG$12,0))))))</f>
        <v>0</v>
      </c>
      <c r="BK455" s="408">
        <f t="shared" si="116"/>
        <v>0</v>
      </c>
      <c r="BL455" s="414">
        <f t="shared" si="117"/>
        <v>0</v>
      </c>
      <c r="BM455" s="408">
        <f t="shared" si="118"/>
        <v>0</v>
      </c>
    </row>
    <row r="456" spans="16:65">
      <c r="P456" s="781">
        <v>0</v>
      </c>
      <c r="Q456" s="780">
        <f t="shared" si="102"/>
        <v>0</v>
      </c>
      <c r="R456" s="776">
        <f>IF(P457,_xll.qDateYears(P456,P457,DCCfixed),0)</f>
        <v>0</v>
      </c>
      <c r="S456" s="553">
        <v>0</v>
      </c>
      <c r="T456" s="785"/>
      <c r="U456" s="409">
        <f t="shared" si="112"/>
        <v>0</v>
      </c>
      <c r="X456" s="363">
        <v>0</v>
      </c>
      <c r="Y456" s="775">
        <f t="shared" si="103"/>
        <v>0</v>
      </c>
      <c r="Z456" s="776">
        <f>IF(X457,_xll.qDateYears(X456,X457,DCCfloat),0)</f>
        <v>0</v>
      </c>
      <c r="AA456" s="553">
        <v>0</v>
      </c>
      <c r="AB456" s="789">
        <f>IF($X456=0,0,      _xll.qDateNext($X456,AB$12,"M",FRM&lt;&gt;"Calypso",CCY))</f>
        <v>0</v>
      </c>
      <c r="AC456" s="789">
        <f>IF($X456=0,0,      _xll.qDateNext($X456,AC$12,"M",FRM&lt;&gt;"Calypso",CCY))</f>
        <v>0</v>
      </c>
      <c r="AD456" s="789">
        <f>IF($X456=0,0,      _xll.qDateNext($X456,AD$12,"M",FRM&lt;&gt;"Calypso",CCY))</f>
        <v>0</v>
      </c>
      <c r="AE456" s="789">
        <f>IF($X456=0,0,      _xll.qDateNext($X456,AE$12,"M",FRM&lt;&gt;"Calypso",CCY))</f>
        <v>0</v>
      </c>
      <c r="AF456" s="789">
        <f>IF($X456=0,0,      _xll.qDateNext($X456,AF$12,"M",FRM&lt;&gt;"Calypso",CCY))</f>
        <v>0</v>
      </c>
      <c r="AG456" s="789">
        <f>IF($X456=0,0,      _xll.qDateNext($X456,AG$12,"M",FRM&lt;&gt;"Calypso",CCY))</f>
        <v>0</v>
      </c>
      <c r="AH456" s="789">
        <f>IF($X456=0,0,      _xll.qDateNext($X456,AH$12,"M",FRM&lt;&gt;"Calypso",CCY))</f>
        <v>0</v>
      </c>
      <c r="AI456" s="789">
        <f>IF($X456=0,0,      _xll.qDateNext($X456,AI$12,"M",FRM&lt;&gt;"Calypso",CCY))</f>
        <v>0</v>
      </c>
      <c r="AJ456" s="529" t="str">
        <v/>
      </c>
      <c r="AK456" s="529" t="str">
        <v/>
      </c>
      <c r="AL456" s="529" t="str">
        <v/>
      </c>
      <c r="AM456" s="529" t="str">
        <v/>
      </c>
      <c r="AN456" s="529" t="str">
        <v/>
      </c>
      <c r="AO456" s="529" t="str">
        <v/>
      </c>
      <c r="AP456" s="529" t="str">
        <v/>
      </c>
      <c r="AQ456" s="529" t="str">
        <v/>
      </c>
      <c r="AR456" s="529">
        <v>0</v>
      </c>
      <c r="AS456" s="529">
        <v>0</v>
      </c>
      <c r="AT456" s="529">
        <f t="shared" si="113"/>
        <v>0</v>
      </c>
      <c r="AU456" s="529">
        <v>0</v>
      </c>
      <c r="AV456" s="529">
        <f t="shared" si="114"/>
        <v>0</v>
      </c>
      <c r="AW456" s="529">
        <f t="shared" si="115"/>
        <v>0</v>
      </c>
      <c r="AX456" s="529">
        <v>0</v>
      </c>
      <c r="AY456" s="529">
        <v>0</v>
      </c>
      <c r="AZ456" s="761">
        <f t="shared" si="104"/>
        <v>0</v>
      </c>
      <c r="BA456" s="761">
        <f t="shared" si="105"/>
        <v>0</v>
      </c>
      <c r="BB456" s="761">
        <f t="shared" si="106"/>
        <v>0</v>
      </c>
      <c r="BC456" s="761">
        <f t="shared" si="107"/>
        <v>0</v>
      </c>
      <c r="BD456" s="761">
        <f t="shared" si="108"/>
        <v>0</v>
      </c>
      <c r="BE456" s="761">
        <f t="shared" si="109"/>
        <v>0</v>
      </c>
      <c r="BF456" s="761">
        <f t="shared" si="110"/>
        <v>0</v>
      </c>
      <c r="BG456" s="761">
        <f t="shared" si="111"/>
        <v>0</v>
      </c>
      <c r="BH456" s="777">
        <v>0</v>
      </c>
      <c r="BI456" s="755"/>
      <c r="BJ456" s="778">
        <f>IF(X457=0,0,           IF(ISNUMBER(BI456),BI456,               IF(ISTEXT(BI456),INDEX(AZ456:BG456,MATCH(BI456,$AZ$12:$BG$12,0)),             IF(BH456="INT",_xll.qInterp(X457,AB456:AI456,AZ456:BG456),            INDEX(AZ456:BG456,MATCH(BH456,$AZ$12:$BG$12,0))))))</f>
        <v>0</v>
      </c>
      <c r="BK456" s="408">
        <f t="shared" si="116"/>
        <v>0</v>
      </c>
      <c r="BL456" s="414">
        <f t="shared" si="117"/>
        <v>0</v>
      </c>
      <c r="BM456" s="408">
        <f t="shared" si="118"/>
        <v>0</v>
      </c>
    </row>
    <row r="457" spans="16:65">
      <c r="P457" s="781">
        <v>0</v>
      </c>
      <c r="Q457" s="780">
        <f t="shared" si="102"/>
        <v>0</v>
      </c>
      <c r="R457" s="776">
        <f>IF(P458,_xll.qDateYears(P457,P458,DCCfixed),0)</f>
        <v>0</v>
      </c>
      <c r="S457" s="553">
        <v>0</v>
      </c>
      <c r="T457" s="785"/>
      <c r="U457" s="409">
        <f t="shared" si="112"/>
        <v>0</v>
      </c>
      <c r="X457" s="363">
        <v>0</v>
      </c>
      <c r="Y457" s="775">
        <f t="shared" si="103"/>
        <v>0</v>
      </c>
      <c r="Z457" s="776">
        <f>IF(X458,_xll.qDateYears(X457,X458,DCCfloat),0)</f>
        <v>0</v>
      </c>
      <c r="AA457" s="553">
        <v>0</v>
      </c>
      <c r="AB457" s="789">
        <f>IF($X457=0,0,      _xll.qDateNext($X457,AB$12,"M",FRM&lt;&gt;"Calypso",CCY))</f>
        <v>0</v>
      </c>
      <c r="AC457" s="789">
        <f>IF($X457=0,0,      _xll.qDateNext($X457,AC$12,"M",FRM&lt;&gt;"Calypso",CCY))</f>
        <v>0</v>
      </c>
      <c r="AD457" s="789">
        <f>IF($X457=0,0,      _xll.qDateNext($X457,AD$12,"M",FRM&lt;&gt;"Calypso",CCY))</f>
        <v>0</v>
      </c>
      <c r="AE457" s="789">
        <f>IF($X457=0,0,      _xll.qDateNext($X457,AE$12,"M",FRM&lt;&gt;"Calypso",CCY))</f>
        <v>0</v>
      </c>
      <c r="AF457" s="789">
        <f>IF($X457=0,0,      _xll.qDateNext($X457,AF$12,"M",FRM&lt;&gt;"Calypso",CCY))</f>
        <v>0</v>
      </c>
      <c r="AG457" s="789">
        <f>IF($X457=0,0,      _xll.qDateNext($X457,AG$12,"M",FRM&lt;&gt;"Calypso",CCY))</f>
        <v>0</v>
      </c>
      <c r="AH457" s="789">
        <f>IF($X457=0,0,      _xll.qDateNext($X457,AH$12,"M",FRM&lt;&gt;"Calypso",CCY))</f>
        <v>0</v>
      </c>
      <c r="AI457" s="789">
        <f>IF($X457=0,0,      _xll.qDateNext($X457,AI$12,"M",FRM&lt;&gt;"Calypso",CCY))</f>
        <v>0</v>
      </c>
      <c r="AJ457" s="529" t="str">
        <v/>
      </c>
      <c r="AK457" s="529" t="str">
        <v/>
      </c>
      <c r="AL457" s="529" t="str">
        <v/>
      </c>
      <c r="AM457" s="529" t="str">
        <v/>
      </c>
      <c r="AN457" s="529" t="str">
        <v/>
      </c>
      <c r="AO457" s="529" t="str">
        <v/>
      </c>
      <c r="AP457" s="529" t="str">
        <v/>
      </c>
      <c r="AQ457" s="529" t="str">
        <v/>
      </c>
      <c r="AR457" s="529">
        <v>0</v>
      </c>
      <c r="AS457" s="529">
        <v>0</v>
      </c>
      <c r="AT457" s="529">
        <f t="shared" si="113"/>
        <v>0</v>
      </c>
      <c r="AU457" s="529">
        <v>0</v>
      </c>
      <c r="AV457" s="529">
        <f t="shared" si="114"/>
        <v>0</v>
      </c>
      <c r="AW457" s="529">
        <f t="shared" si="115"/>
        <v>0</v>
      </c>
      <c r="AX457" s="529">
        <v>0</v>
      </c>
      <c r="AY457" s="529">
        <v>0</v>
      </c>
      <c r="AZ457" s="761">
        <f t="shared" si="104"/>
        <v>0</v>
      </c>
      <c r="BA457" s="761">
        <f t="shared" si="105"/>
        <v>0</v>
      </c>
      <c r="BB457" s="761">
        <f t="shared" si="106"/>
        <v>0</v>
      </c>
      <c r="BC457" s="761">
        <f t="shared" si="107"/>
        <v>0</v>
      </c>
      <c r="BD457" s="761">
        <f t="shared" si="108"/>
        <v>0</v>
      </c>
      <c r="BE457" s="761">
        <f t="shared" si="109"/>
        <v>0</v>
      </c>
      <c r="BF457" s="761">
        <f t="shared" si="110"/>
        <v>0</v>
      </c>
      <c r="BG457" s="761">
        <f t="shared" si="111"/>
        <v>0</v>
      </c>
      <c r="BH457" s="777">
        <v>0</v>
      </c>
      <c r="BI457" s="755"/>
      <c r="BJ457" s="778">
        <f>IF(X458=0,0,           IF(ISNUMBER(BI457),BI457,               IF(ISTEXT(BI457),INDEX(AZ457:BG457,MATCH(BI457,$AZ$12:$BG$12,0)),             IF(BH457="INT",_xll.qInterp(X458,AB457:AI457,AZ457:BG457),            INDEX(AZ457:BG457,MATCH(BH457,$AZ$12:$BG$12,0))))))</f>
        <v>0</v>
      </c>
      <c r="BK457" s="408">
        <f t="shared" si="116"/>
        <v>0</v>
      </c>
      <c r="BL457" s="414">
        <f t="shared" si="117"/>
        <v>0</v>
      </c>
      <c r="BM457" s="408">
        <f t="shared" si="118"/>
        <v>0</v>
      </c>
    </row>
    <row r="458" spans="16:65">
      <c r="P458" s="781">
        <v>0</v>
      </c>
      <c r="Q458" s="780">
        <f t="shared" si="102"/>
        <v>0</v>
      </c>
      <c r="R458" s="776">
        <f>IF(P459,_xll.qDateYears(P458,P459,DCCfixed),0)</f>
        <v>0</v>
      </c>
      <c r="S458" s="553">
        <v>0</v>
      </c>
      <c r="T458" s="785"/>
      <c r="U458" s="409">
        <f t="shared" si="112"/>
        <v>0</v>
      </c>
      <c r="X458" s="363">
        <v>0</v>
      </c>
      <c r="Y458" s="775">
        <f t="shared" si="103"/>
        <v>0</v>
      </c>
      <c r="Z458" s="776">
        <f>IF(X459,_xll.qDateYears(X458,X459,DCCfloat),0)</f>
        <v>0</v>
      </c>
      <c r="AA458" s="553">
        <v>0</v>
      </c>
      <c r="AB458" s="789">
        <f>IF($X458=0,0,      _xll.qDateNext($X458,AB$12,"M",FRM&lt;&gt;"Calypso",CCY))</f>
        <v>0</v>
      </c>
      <c r="AC458" s="789">
        <f>IF($X458=0,0,      _xll.qDateNext($X458,AC$12,"M",FRM&lt;&gt;"Calypso",CCY))</f>
        <v>0</v>
      </c>
      <c r="AD458" s="789">
        <f>IF($X458=0,0,      _xll.qDateNext($X458,AD$12,"M",FRM&lt;&gt;"Calypso",CCY))</f>
        <v>0</v>
      </c>
      <c r="AE458" s="789">
        <f>IF($X458=0,0,      _xll.qDateNext($X458,AE$12,"M",FRM&lt;&gt;"Calypso",CCY))</f>
        <v>0</v>
      </c>
      <c r="AF458" s="789">
        <f>IF($X458=0,0,      _xll.qDateNext($X458,AF$12,"M",FRM&lt;&gt;"Calypso",CCY))</f>
        <v>0</v>
      </c>
      <c r="AG458" s="789">
        <f>IF($X458=0,0,      _xll.qDateNext($X458,AG$12,"M",FRM&lt;&gt;"Calypso",CCY))</f>
        <v>0</v>
      </c>
      <c r="AH458" s="789">
        <f>IF($X458=0,0,      _xll.qDateNext($X458,AH$12,"M",FRM&lt;&gt;"Calypso",CCY))</f>
        <v>0</v>
      </c>
      <c r="AI458" s="789">
        <f>IF($X458=0,0,      _xll.qDateNext($X458,AI$12,"M",FRM&lt;&gt;"Calypso",CCY))</f>
        <v>0</v>
      </c>
      <c r="AJ458" s="529" t="str">
        <v/>
      </c>
      <c r="AK458" s="529" t="str">
        <v/>
      </c>
      <c r="AL458" s="529" t="str">
        <v/>
      </c>
      <c r="AM458" s="529" t="str">
        <v/>
      </c>
      <c r="AN458" s="529" t="str">
        <v/>
      </c>
      <c r="AO458" s="529" t="str">
        <v/>
      </c>
      <c r="AP458" s="529" t="str">
        <v/>
      </c>
      <c r="AQ458" s="529" t="str">
        <v/>
      </c>
      <c r="AR458" s="529">
        <v>0</v>
      </c>
      <c r="AS458" s="529">
        <v>0</v>
      </c>
      <c r="AT458" s="529">
        <f t="shared" si="113"/>
        <v>0</v>
      </c>
      <c r="AU458" s="529">
        <v>0</v>
      </c>
      <c r="AV458" s="529">
        <f t="shared" si="114"/>
        <v>0</v>
      </c>
      <c r="AW458" s="529">
        <f t="shared" si="115"/>
        <v>0</v>
      </c>
      <c r="AX458" s="529">
        <v>0</v>
      </c>
      <c r="AY458" s="529">
        <v>0</v>
      </c>
      <c r="AZ458" s="761">
        <f t="shared" si="104"/>
        <v>0</v>
      </c>
      <c r="BA458" s="761">
        <f t="shared" si="105"/>
        <v>0</v>
      </c>
      <c r="BB458" s="761">
        <f t="shared" si="106"/>
        <v>0</v>
      </c>
      <c r="BC458" s="761">
        <f t="shared" si="107"/>
        <v>0</v>
      </c>
      <c r="BD458" s="761">
        <f t="shared" si="108"/>
        <v>0</v>
      </c>
      <c r="BE458" s="761">
        <f t="shared" si="109"/>
        <v>0</v>
      </c>
      <c r="BF458" s="761">
        <f t="shared" si="110"/>
        <v>0</v>
      </c>
      <c r="BG458" s="761">
        <f t="shared" si="111"/>
        <v>0</v>
      </c>
      <c r="BH458" s="777">
        <v>0</v>
      </c>
      <c r="BI458" s="755"/>
      <c r="BJ458" s="778">
        <f>IF(X459=0,0,           IF(ISNUMBER(BI458),BI458,               IF(ISTEXT(BI458),INDEX(AZ458:BG458,MATCH(BI458,$AZ$12:$BG$12,0)),             IF(BH458="INT",_xll.qInterp(X459,AB458:AI458,AZ458:BG458),            INDEX(AZ458:BG458,MATCH(BH458,$AZ$12:$BG$12,0))))))</f>
        <v>0</v>
      </c>
      <c r="BK458" s="408">
        <f t="shared" si="116"/>
        <v>0</v>
      </c>
      <c r="BL458" s="414">
        <f t="shared" si="117"/>
        <v>0</v>
      </c>
      <c r="BM458" s="408">
        <f t="shared" si="118"/>
        <v>0</v>
      </c>
    </row>
    <row r="459" spans="16:65">
      <c r="P459" s="781">
        <v>0</v>
      </c>
      <c r="Q459" s="780">
        <f t="shared" si="102"/>
        <v>0</v>
      </c>
      <c r="R459" s="776">
        <f>IF(P460,_xll.qDateYears(P459,P460,DCCfixed),0)</f>
        <v>0</v>
      </c>
      <c r="S459" s="553">
        <v>0</v>
      </c>
      <c r="T459" s="785"/>
      <c r="U459" s="409">
        <f t="shared" si="112"/>
        <v>0</v>
      </c>
      <c r="X459" s="363">
        <v>0</v>
      </c>
      <c r="Y459" s="775">
        <f t="shared" si="103"/>
        <v>0</v>
      </c>
      <c r="Z459" s="776">
        <f>IF(X460,_xll.qDateYears(X459,X460,DCCfloat),0)</f>
        <v>0</v>
      </c>
      <c r="AA459" s="553">
        <v>0</v>
      </c>
      <c r="AB459" s="789">
        <f>IF($X459=0,0,      _xll.qDateNext($X459,AB$12,"M",FRM&lt;&gt;"Calypso",CCY))</f>
        <v>0</v>
      </c>
      <c r="AC459" s="789">
        <f>IF($X459=0,0,      _xll.qDateNext($X459,AC$12,"M",FRM&lt;&gt;"Calypso",CCY))</f>
        <v>0</v>
      </c>
      <c r="AD459" s="789">
        <f>IF($X459=0,0,      _xll.qDateNext($X459,AD$12,"M",FRM&lt;&gt;"Calypso",CCY))</f>
        <v>0</v>
      </c>
      <c r="AE459" s="789">
        <f>IF($X459=0,0,      _xll.qDateNext($X459,AE$12,"M",FRM&lt;&gt;"Calypso",CCY))</f>
        <v>0</v>
      </c>
      <c r="AF459" s="789">
        <f>IF($X459=0,0,      _xll.qDateNext($X459,AF$12,"M",FRM&lt;&gt;"Calypso",CCY))</f>
        <v>0</v>
      </c>
      <c r="AG459" s="789">
        <f>IF($X459=0,0,      _xll.qDateNext($X459,AG$12,"M",FRM&lt;&gt;"Calypso",CCY))</f>
        <v>0</v>
      </c>
      <c r="AH459" s="789">
        <f>IF($X459=0,0,      _xll.qDateNext($X459,AH$12,"M",FRM&lt;&gt;"Calypso",CCY))</f>
        <v>0</v>
      </c>
      <c r="AI459" s="789">
        <f>IF($X459=0,0,      _xll.qDateNext($X459,AI$12,"M",FRM&lt;&gt;"Calypso",CCY))</f>
        <v>0</v>
      </c>
      <c r="AJ459" s="529" t="str">
        <v/>
      </c>
      <c r="AK459" s="529" t="str">
        <v/>
      </c>
      <c r="AL459" s="529" t="str">
        <v/>
      </c>
      <c r="AM459" s="529" t="str">
        <v/>
      </c>
      <c r="AN459" s="529" t="str">
        <v/>
      </c>
      <c r="AO459" s="529" t="str">
        <v/>
      </c>
      <c r="AP459" s="529" t="str">
        <v/>
      </c>
      <c r="AQ459" s="529" t="str">
        <v/>
      </c>
      <c r="AR459" s="529">
        <v>0</v>
      </c>
      <c r="AS459" s="529">
        <v>0</v>
      </c>
      <c r="AT459" s="529">
        <f t="shared" si="113"/>
        <v>0</v>
      </c>
      <c r="AU459" s="529">
        <v>0</v>
      </c>
      <c r="AV459" s="529">
        <f t="shared" si="114"/>
        <v>0</v>
      </c>
      <c r="AW459" s="529">
        <f t="shared" si="115"/>
        <v>0</v>
      </c>
      <c r="AX459" s="529">
        <v>0</v>
      </c>
      <c r="AY459" s="529">
        <v>0</v>
      </c>
      <c r="AZ459" s="761">
        <f t="shared" si="104"/>
        <v>0</v>
      </c>
      <c r="BA459" s="761">
        <f t="shared" si="105"/>
        <v>0</v>
      </c>
      <c r="BB459" s="761">
        <f t="shared" si="106"/>
        <v>0</v>
      </c>
      <c r="BC459" s="761">
        <f t="shared" si="107"/>
        <v>0</v>
      </c>
      <c r="BD459" s="761">
        <f t="shared" si="108"/>
        <v>0</v>
      </c>
      <c r="BE459" s="761">
        <f t="shared" si="109"/>
        <v>0</v>
      </c>
      <c r="BF459" s="761">
        <f t="shared" si="110"/>
        <v>0</v>
      </c>
      <c r="BG459" s="761">
        <f t="shared" si="111"/>
        <v>0</v>
      </c>
      <c r="BH459" s="777">
        <v>0</v>
      </c>
      <c r="BI459" s="755"/>
      <c r="BJ459" s="778">
        <f>IF(X460=0,0,           IF(ISNUMBER(BI459),BI459,               IF(ISTEXT(BI459),INDEX(AZ459:BG459,MATCH(BI459,$AZ$12:$BG$12,0)),             IF(BH459="INT",_xll.qInterp(X460,AB459:AI459,AZ459:BG459),            INDEX(AZ459:BG459,MATCH(BH459,$AZ$12:$BG$12,0))))))</f>
        <v>0</v>
      </c>
      <c r="BK459" s="408">
        <f t="shared" si="116"/>
        <v>0</v>
      </c>
      <c r="BL459" s="414">
        <f t="shared" si="117"/>
        <v>0</v>
      </c>
      <c r="BM459" s="408">
        <f t="shared" si="118"/>
        <v>0</v>
      </c>
    </row>
    <row r="460" spans="16:65">
      <c r="P460" s="781">
        <v>0</v>
      </c>
      <c r="Q460" s="780">
        <f t="shared" si="102"/>
        <v>0</v>
      </c>
      <c r="R460" s="776">
        <f>IF(P461,_xll.qDateYears(P460,P461,DCCfixed),0)</f>
        <v>0</v>
      </c>
      <c r="S460" s="553">
        <v>0</v>
      </c>
      <c r="T460" s="785"/>
      <c r="U460" s="409">
        <f t="shared" si="112"/>
        <v>0</v>
      </c>
      <c r="X460" s="363">
        <v>0</v>
      </c>
      <c r="Y460" s="775">
        <f t="shared" si="103"/>
        <v>0</v>
      </c>
      <c r="Z460" s="776">
        <f>IF(X461,_xll.qDateYears(X460,X461,DCCfloat),0)</f>
        <v>0</v>
      </c>
      <c r="AA460" s="553">
        <v>0</v>
      </c>
      <c r="AB460" s="789">
        <f>IF($X460=0,0,      _xll.qDateNext($X460,AB$12,"M",FRM&lt;&gt;"Calypso",CCY))</f>
        <v>0</v>
      </c>
      <c r="AC460" s="789">
        <f>IF($X460=0,0,      _xll.qDateNext($X460,AC$12,"M",FRM&lt;&gt;"Calypso",CCY))</f>
        <v>0</v>
      </c>
      <c r="AD460" s="789">
        <f>IF($X460=0,0,      _xll.qDateNext($X460,AD$12,"M",FRM&lt;&gt;"Calypso",CCY))</f>
        <v>0</v>
      </c>
      <c r="AE460" s="789">
        <f>IF($X460=0,0,      _xll.qDateNext($X460,AE$12,"M",FRM&lt;&gt;"Calypso",CCY))</f>
        <v>0</v>
      </c>
      <c r="AF460" s="789">
        <f>IF($X460=0,0,      _xll.qDateNext($X460,AF$12,"M",FRM&lt;&gt;"Calypso",CCY))</f>
        <v>0</v>
      </c>
      <c r="AG460" s="789">
        <f>IF($X460=0,0,      _xll.qDateNext($X460,AG$12,"M",FRM&lt;&gt;"Calypso",CCY))</f>
        <v>0</v>
      </c>
      <c r="AH460" s="789">
        <f>IF($X460=0,0,      _xll.qDateNext($X460,AH$12,"M",FRM&lt;&gt;"Calypso",CCY))</f>
        <v>0</v>
      </c>
      <c r="AI460" s="789">
        <f>IF($X460=0,0,      _xll.qDateNext($X460,AI$12,"M",FRM&lt;&gt;"Calypso",CCY))</f>
        <v>0</v>
      </c>
      <c r="AJ460" s="529" t="str">
        <v/>
      </c>
      <c r="AK460" s="529" t="str">
        <v/>
      </c>
      <c r="AL460" s="529" t="str">
        <v/>
      </c>
      <c r="AM460" s="529" t="str">
        <v/>
      </c>
      <c r="AN460" s="529" t="str">
        <v/>
      </c>
      <c r="AO460" s="529" t="str">
        <v/>
      </c>
      <c r="AP460" s="529" t="str">
        <v/>
      </c>
      <c r="AQ460" s="529" t="str">
        <v/>
      </c>
      <c r="AR460" s="529">
        <v>0</v>
      </c>
      <c r="AS460" s="529">
        <v>0</v>
      </c>
      <c r="AT460" s="529">
        <f t="shared" si="113"/>
        <v>0</v>
      </c>
      <c r="AU460" s="529">
        <v>0</v>
      </c>
      <c r="AV460" s="529">
        <f t="shared" si="114"/>
        <v>0</v>
      </c>
      <c r="AW460" s="529">
        <f t="shared" si="115"/>
        <v>0</v>
      </c>
      <c r="AX460" s="529">
        <v>0</v>
      </c>
      <c r="AY460" s="529">
        <v>0</v>
      </c>
      <c r="AZ460" s="761">
        <f t="shared" si="104"/>
        <v>0</v>
      </c>
      <c r="BA460" s="761">
        <f t="shared" si="105"/>
        <v>0</v>
      </c>
      <c r="BB460" s="761">
        <f t="shared" si="106"/>
        <v>0</v>
      </c>
      <c r="BC460" s="761">
        <f t="shared" si="107"/>
        <v>0</v>
      </c>
      <c r="BD460" s="761">
        <f t="shared" si="108"/>
        <v>0</v>
      </c>
      <c r="BE460" s="761">
        <f t="shared" si="109"/>
        <v>0</v>
      </c>
      <c r="BF460" s="761">
        <f t="shared" si="110"/>
        <v>0</v>
      </c>
      <c r="BG460" s="761">
        <f t="shared" si="111"/>
        <v>0</v>
      </c>
      <c r="BH460" s="777">
        <v>0</v>
      </c>
      <c r="BI460" s="755"/>
      <c r="BJ460" s="778">
        <f>IF(X461=0,0,           IF(ISNUMBER(BI460),BI460,               IF(ISTEXT(BI460),INDEX(AZ460:BG460,MATCH(BI460,$AZ$12:$BG$12,0)),             IF(BH460="INT",_xll.qInterp(X461,AB460:AI460,AZ460:BG460),            INDEX(AZ460:BG460,MATCH(BH460,$AZ$12:$BG$12,0))))))</f>
        <v>0</v>
      </c>
      <c r="BK460" s="408">
        <f t="shared" si="116"/>
        <v>0</v>
      </c>
      <c r="BL460" s="414">
        <f t="shared" si="117"/>
        <v>0</v>
      </c>
      <c r="BM460" s="408">
        <f t="shared" si="118"/>
        <v>0</v>
      </c>
    </row>
    <row r="461" spans="16:65">
      <c r="P461" s="781">
        <v>0</v>
      </c>
      <c r="Q461" s="780">
        <f t="shared" ref="Q461:Q511" si="119">IF(P462,IF(LEFT(DCCfixed,3)="Act",P462-P461,DAYS360(P461,P462)),0)</f>
        <v>0</v>
      </c>
      <c r="R461" s="776">
        <f>IF(P462,_xll.qDateYears(P461,P462,DCCfixed),0)</f>
        <v>0</v>
      </c>
      <c r="S461" s="553">
        <v>0</v>
      </c>
      <c r="T461" s="785"/>
      <c r="U461" s="409">
        <f t="shared" si="112"/>
        <v>0</v>
      </c>
      <c r="X461" s="363">
        <v>0</v>
      </c>
      <c r="Y461" s="775">
        <f t="shared" ref="Y461:Y510" si="120">IF(X462,IF(LEFT(DCCfloat,3)="Act",X462-X461,DAYS360(X461,X462)),0)</f>
        <v>0</v>
      </c>
      <c r="Z461" s="776">
        <f>IF(X462,_xll.qDateYears(X461,X462,DCCfloat),0)</f>
        <v>0</v>
      </c>
      <c r="AA461" s="553">
        <v>0</v>
      </c>
      <c r="AB461" s="789">
        <f>IF($X461=0,0,      _xll.qDateNext($X461,AB$12,"M",FRM&lt;&gt;"Calypso",CCY))</f>
        <v>0</v>
      </c>
      <c r="AC461" s="789">
        <f>IF($X461=0,0,      _xll.qDateNext($X461,AC$12,"M",FRM&lt;&gt;"Calypso",CCY))</f>
        <v>0</v>
      </c>
      <c r="AD461" s="789">
        <f>IF($X461=0,0,      _xll.qDateNext($X461,AD$12,"M",FRM&lt;&gt;"Calypso",CCY))</f>
        <v>0</v>
      </c>
      <c r="AE461" s="789">
        <f>IF($X461=0,0,      _xll.qDateNext($X461,AE$12,"M",FRM&lt;&gt;"Calypso",CCY))</f>
        <v>0</v>
      </c>
      <c r="AF461" s="789">
        <f>IF($X461=0,0,      _xll.qDateNext($X461,AF$12,"M",FRM&lt;&gt;"Calypso",CCY))</f>
        <v>0</v>
      </c>
      <c r="AG461" s="789">
        <f>IF($X461=0,0,      _xll.qDateNext($X461,AG$12,"M",FRM&lt;&gt;"Calypso",CCY))</f>
        <v>0</v>
      </c>
      <c r="AH461" s="789">
        <f>IF($X461=0,0,      _xll.qDateNext($X461,AH$12,"M",FRM&lt;&gt;"Calypso",CCY))</f>
        <v>0</v>
      </c>
      <c r="AI461" s="789">
        <f>IF($X461=0,0,      _xll.qDateNext($X461,AI$12,"M",FRM&lt;&gt;"Calypso",CCY))</f>
        <v>0</v>
      </c>
      <c r="AJ461" s="529" t="str">
        <v/>
      </c>
      <c r="AK461" s="529" t="str">
        <v/>
      </c>
      <c r="AL461" s="529" t="str">
        <v/>
      </c>
      <c r="AM461" s="529" t="str">
        <v/>
      </c>
      <c r="AN461" s="529" t="str">
        <v/>
      </c>
      <c r="AO461" s="529" t="str">
        <v/>
      </c>
      <c r="AP461" s="529" t="str">
        <v/>
      </c>
      <c r="AQ461" s="529" t="str">
        <v/>
      </c>
      <c r="AR461" s="529">
        <v>0</v>
      </c>
      <c r="AS461" s="529">
        <v>0</v>
      </c>
      <c r="AT461" s="529">
        <f t="shared" si="113"/>
        <v>0</v>
      </c>
      <c r="AU461" s="529">
        <v>0</v>
      </c>
      <c r="AV461" s="529">
        <f t="shared" si="114"/>
        <v>0</v>
      </c>
      <c r="AW461" s="529">
        <f t="shared" si="115"/>
        <v>0</v>
      </c>
      <c r="AX461" s="529">
        <v>0</v>
      </c>
      <c r="AY461" s="529">
        <v>0</v>
      </c>
      <c r="AZ461" s="761">
        <f t="shared" ref="AZ461:AZ512" si="121">IF($X461=0,0,   IF(ISNUMBER(AJ461),AJ461,AR461))</f>
        <v>0</v>
      </c>
      <c r="BA461" s="761">
        <f t="shared" ref="BA461:BA512" si="122">IF($X461=0,0,   IF(ISNUMBER(AK461),AK461,AS461))</f>
        <v>0</v>
      </c>
      <c r="BB461" s="761">
        <f t="shared" ref="BB461:BB512" si="123">IF($X461=0,0,   IF(ISNUMBER(AL461),AL461,AT461))</f>
        <v>0</v>
      </c>
      <c r="BC461" s="761">
        <f t="shared" ref="BC461:BC512" si="124">IF($X461=0,0,   IF(ISNUMBER(AM461),AM461,AU461))</f>
        <v>0</v>
      </c>
      <c r="BD461" s="761">
        <f t="shared" ref="BD461:BD512" si="125">IF($X461=0,0,   IF(ISNUMBER(AN461),AN461,AV461))</f>
        <v>0</v>
      </c>
      <c r="BE461" s="761">
        <f t="shared" ref="BE461:BE512" si="126">IF($X461=0,0,   IF(ISNUMBER(AO461),AO461,AW461))</f>
        <v>0</v>
      </c>
      <c r="BF461" s="761">
        <f t="shared" ref="BF461:BF512" si="127">IF($X461=0,0,   IF(ISNUMBER(AP461),AP461,AX461))</f>
        <v>0</v>
      </c>
      <c r="BG461" s="761">
        <f t="shared" ref="BG461:BG512" si="128">IF($X461=0,0,   IF(ISNUMBER(AQ461),AQ461,AY461))</f>
        <v>0</v>
      </c>
      <c r="BH461" s="777">
        <v>0</v>
      </c>
      <c r="BI461" s="755"/>
      <c r="BJ461" s="778">
        <f>IF(X462=0,0,           IF(ISNUMBER(BI461),BI461,               IF(ISTEXT(BI461),INDEX(AZ461:BG461,MATCH(BI461,$AZ$12:$BG$12,0)),             IF(BH461="INT",_xll.qInterp(X462,AB461:AI461,AZ461:BG461),            INDEX(AZ461:BG461,MATCH(BH461,$AZ$12:$BG$12,0))))))</f>
        <v>0</v>
      </c>
      <c r="BK461" s="408">
        <f t="shared" si="116"/>
        <v>0</v>
      </c>
      <c r="BL461" s="414">
        <f t="shared" si="117"/>
        <v>0</v>
      </c>
      <c r="BM461" s="408">
        <f t="shared" si="118"/>
        <v>0</v>
      </c>
    </row>
    <row r="462" spans="16:65">
      <c r="P462" s="781">
        <v>0</v>
      </c>
      <c r="Q462" s="780">
        <f t="shared" si="119"/>
        <v>0</v>
      </c>
      <c r="R462" s="776">
        <f>IF(P463,_xll.qDateYears(P462,P463,DCCfixed),0)</f>
        <v>0</v>
      </c>
      <c r="S462" s="553">
        <v>0</v>
      </c>
      <c r="T462" s="785"/>
      <c r="U462" s="409">
        <f t="shared" ref="U462:U512" si="129">IF(P462,$U$5%*R461*Face,0) + IF(AND(IncludePrincipals,P462&gt;0,P463=0),Face,0) + IF(P462,T462,0)</f>
        <v>0</v>
      </c>
      <c r="X462" s="363">
        <v>0</v>
      </c>
      <c r="Y462" s="775">
        <f t="shared" si="120"/>
        <v>0</v>
      </c>
      <c r="Z462" s="776">
        <f>IF(X463,_xll.qDateYears(X462,X463,DCCfloat),0)</f>
        <v>0</v>
      </c>
      <c r="AA462" s="553">
        <v>0</v>
      </c>
      <c r="AB462" s="789">
        <f>IF($X462=0,0,      _xll.qDateNext($X462,AB$12,"M",FRM&lt;&gt;"Calypso",CCY))</f>
        <v>0</v>
      </c>
      <c r="AC462" s="789">
        <f>IF($X462=0,0,      _xll.qDateNext($X462,AC$12,"M",FRM&lt;&gt;"Calypso",CCY))</f>
        <v>0</v>
      </c>
      <c r="AD462" s="789">
        <f>IF($X462=0,0,      _xll.qDateNext($X462,AD$12,"M",FRM&lt;&gt;"Calypso",CCY))</f>
        <v>0</v>
      </c>
      <c r="AE462" s="789">
        <f>IF($X462=0,0,      _xll.qDateNext($X462,AE$12,"M",FRM&lt;&gt;"Calypso",CCY))</f>
        <v>0</v>
      </c>
      <c r="AF462" s="789">
        <f>IF($X462=0,0,      _xll.qDateNext($X462,AF$12,"M",FRM&lt;&gt;"Calypso",CCY))</f>
        <v>0</v>
      </c>
      <c r="AG462" s="789">
        <f>IF($X462=0,0,      _xll.qDateNext($X462,AG$12,"M",FRM&lt;&gt;"Calypso",CCY))</f>
        <v>0</v>
      </c>
      <c r="AH462" s="789">
        <f>IF($X462=0,0,      _xll.qDateNext($X462,AH$12,"M",FRM&lt;&gt;"Calypso",CCY))</f>
        <v>0</v>
      </c>
      <c r="AI462" s="789">
        <f>IF($X462=0,0,      _xll.qDateNext($X462,AI$12,"M",FRM&lt;&gt;"Calypso",CCY))</f>
        <v>0</v>
      </c>
      <c r="AJ462" s="529" t="str">
        <v/>
      </c>
      <c r="AK462" s="529" t="str">
        <v/>
      </c>
      <c r="AL462" s="529" t="str">
        <v/>
      </c>
      <c r="AM462" s="529" t="str">
        <v/>
      </c>
      <c r="AN462" s="529" t="str">
        <v/>
      </c>
      <c r="AO462" s="529" t="str">
        <v/>
      </c>
      <c r="AP462" s="529" t="str">
        <v/>
      </c>
      <c r="AQ462" s="529" t="str">
        <v/>
      </c>
      <c r="AR462" s="529">
        <v>0</v>
      </c>
      <c r="AS462" s="529">
        <v>0</v>
      </c>
      <c r="AT462" s="529">
        <f t="shared" ref="AT462:AT512" si="130">IF($X462,AVERAGE(AS462,AU462),0)</f>
        <v>0</v>
      </c>
      <c r="AU462" s="529">
        <v>0</v>
      </c>
      <c r="AV462" s="529">
        <f t="shared" ref="AV462:AV511" si="131">IF($X462,AU462+(AX462-AU462)/3,0)</f>
        <v>0</v>
      </c>
      <c r="AW462" s="529">
        <f t="shared" ref="AW462:AW512" si="132">IF($X462,AVERAGE(AV462,AX462),0)</f>
        <v>0</v>
      </c>
      <c r="AX462" s="529">
        <v>0</v>
      </c>
      <c r="AY462" s="529">
        <v>0</v>
      </c>
      <c r="AZ462" s="761">
        <f t="shared" si="121"/>
        <v>0</v>
      </c>
      <c r="BA462" s="761">
        <f t="shared" si="122"/>
        <v>0</v>
      </c>
      <c r="BB462" s="761">
        <f t="shared" si="123"/>
        <v>0</v>
      </c>
      <c r="BC462" s="761">
        <f t="shared" si="124"/>
        <v>0</v>
      </c>
      <c r="BD462" s="761">
        <f t="shared" si="125"/>
        <v>0</v>
      </c>
      <c r="BE462" s="761">
        <f t="shared" si="126"/>
        <v>0</v>
      </c>
      <c r="BF462" s="761">
        <f t="shared" si="127"/>
        <v>0</v>
      </c>
      <c r="BG462" s="761">
        <f t="shared" si="128"/>
        <v>0</v>
      </c>
      <c r="BH462" s="777">
        <v>0</v>
      </c>
      <c r="BI462" s="755"/>
      <c r="BJ462" s="778">
        <f>IF(X463=0,0,           IF(ISNUMBER(BI462),BI462,               IF(ISTEXT(BI462),INDEX(AZ462:BG462,MATCH(BI462,$AZ$12:$BG$12,0)),             IF(BH462="INT",_xll.qInterp(X463,AB462:AI462,AZ462:BG462),            INDEX(AZ462:BG462,MATCH(BH462,$AZ$12:$BG$12,0))))))</f>
        <v>0</v>
      </c>
      <c r="BK462" s="408">
        <f t="shared" ref="BK462:BK512" si="133">IF(X462,-BJ461%*Face*Z461,0)</f>
        <v>0</v>
      </c>
      <c r="BL462" s="414">
        <f t="shared" ref="BL462:BL512" si="134">IF(X462,-Margin%%*Z461*Face,0)</f>
        <v>0</v>
      </c>
      <c r="BM462" s="408">
        <f t="shared" ref="BM462:BM512" si="135">SUM(BK462:BL462)+IF(AND(IncludePrincipals,X462&lt;&gt;0,X463=0),-Face,0)</f>
        <v>0</v>
      </c>
    </row>
    <row r="463" spans="16:65">
      <c r="P463" s="781">
        <v>0</v>
      </c>
      <c r="Q463" s="780">
        <f t="shared" si="119"/>
        <v>0</v>
      </c>
      <c r="R463" s="776">
        <f>IF(P464,_xll.qDateYears(P463,P464,DCCfixed),0)</f>
        <v>0</v>
      </c>
      <c r="S463" s="553">
        <v>0</v>
      </c>
      <c r="T463" s="785"/>
      <c r="U463" s="409">
        <f t="shared" si="129"/>
        <v>0</v>
      </c>
      <c r="X463" s="363">
        <v>0</v>
      </c>
      <c r="Y463" s="775">
        <f t="shared" si="120"/>
        <v>0</v>
      </c>
      <c r="Z463" s="776">
        <f>IF(X464,_xll.qDateYears(X463,X464,DCCfloat),0)</f>
        <v>0</v>
      </c>
      <c r="AA463" s="553">
        <v>0</v>
      </c>
      <c r="AB463" s="789">
        <f>IF($X463=0,0,      _xll.qDateNext($X463,AB$12,"M",FRM&lt;&gt;"Calypso",CCY))</f>
        <v>0</v>
      </c>
      <c r="AC463" s="789">
        <f>IF($X463=0,0,      _xll.qDateNext($X463,AC$12,"M",FRM&lt;&gt;"Calypso",CCY))</f>
        <v>0</v>
      </c>
      <c r="AD463" s="789">
        <f>IF($X463=0,0,      _xll.qDateNext($X463,AD$12,"M",FRM&lt;&gt;"Calypso",CCY))</f>
        <v>0</v>
      </c>
      <c r="AE463" s="789">
        <f>IF($X463=0,0,      _xll.qDateNext($X463,AE$12,"M",FRM&lt;&gt;"Calypso",CCY))</f>
        <v>0</v>
      </c>
      <c r="AF463" s="789">
        <f>IF($X463=0,0,      _xll.qDateNext($X463,AF$12,"M",FRM&lt;&gt;"Calypso",CCY))</f>
        <v>0</v>
      </c>
      <c r="AG463" s="789">
        <f>IF($X463=0,0,      _xll.qDateNext($X463,AG$12,"M",FRM&lt;&gt;"Calypso",CCY))</f>
        <v>0</v>
      </c>
      <c r="AH463" s="789">
        <f>IF($X463=0,0,      _xll.qDateNext($X463,AH$12,"M",FRM&lt;&gt;"Calypso",CCY))</f>
        <v>0</v>
      </c>
      <c r="AI463" s="789">
        <f>IF($X463=0,0,      _xll.qDateNext($X463,AI$12,"M",FRM&lt;&gt;"Calypso",CCY))</f>
        <v>0</v>
      </c>
      <c r="AJ463" s="529" t="str">
        <v/>
      </c>
      <c r="AK463" s="529" t="str">
        <v/>
      </c>
      <c r="AL463" s="529" t="str">
        <v/>
      </c>
      <c r="AM463" s="529" t="str">
        <v/>
      </c>
      <c r="AN463" s="529" t="str">
        <v/>
      </c>
      <c r="AO463" s="529" t="str">
        <v/>
      </c>
      <c r="AP463" s="529" t="str">
        <v/>
      </c>
      <c r="AQ463" s="529" t="str">
        <v/>
      </c>
      <c r="AR463" s="529">
        <v>0</v>
      </c>
      <c r="AS463" s="529">
        <v>0</v>
      </c>
      <c r="AT463" s="529">
        <f t="shared" si="130"/>
        <v>0</v>
      </c>
      <c r="AU463" s="529">
        <v>0</v>
      </c>
      <c r="AV463" s="529">
        <f t="shared" si="131"/>
        <v>0</v>
      </c>
      <c r="AW463" s="529">
        <f t="shared" si="132"/>
        <v>0</v>
      </c>
      <c r="AX463" s="529">
        <v>0</v>
      </c>
      <c r="AY463" s="529">
        <v>0</v>
      </c>
      <c r="AZ463" s="761">
        <f t="shared" si="121"/>
        <v>0</v>
      </c>
      <c r="BA463" s="761">
        <f t="shared" si="122"/>
        <v>0</v>
      </c>
      <c r="BB463" s="761">
        <f t="shared" si="123"/>
        <v>0</v>
      </c>
      <c r="BC463" s="761">
        <f t="shared" si="124"/>
        <v>0</v>
      </c>
      <c r="BD463" s="761">
        <f t="shared" si="125"/>
        <v>0</v>
      </c>
      <c r="BE463" s="761">
        <f t="shared" si="126"/>
        <v>0</v>
      </c>
      <c r="BF463" s="761">
        <f t="shared" si="127"/>
        <v>0</v>
      </c>
      <c r="BG463" s="761">
        <f t="shared" si="128"/>
        <v>0</v>
      </c>
      <c r="BH463" s="777">
        <v>0</v>
      </c>
      <c r="BI463" s="755"/>
      <c r="BJ463" s="778">
        <f>IF(X464=0,0,           IF(ISNUMBER(BI463),BI463,               IF(ISTEXT(BI463),INDEX(AZ463:BG463,MATCH(BI463,$AZ$12:$BG$12,0)),             IF(BH463="INT",_xll.qInterp(X464,AB463:AI463,AZ463:BG463),            INDEX(AZ463:BG463,MATCH(BH463,$AZ$12:$BG$12,0))))))</f>
        <v>0</v>
      </c>
      <c r="BK463" s="408">
        <f t="shared" si="133"/>
        <v>0</v>
      </c>
      <c r="BL463" s="414">
        <f t="shared" si="134"/>
        <v>0</v>
      </c>
      <c r="BM463" s="408">
        <f t="shared" si="135"/>
        <v>0</v>
      </c>
    </row>
    <row r="464" spans="16:65">
      <c r="P464" s="781">
        <v>0</v>
      </c>
      <c r="Q464" s="780">
        <f t="shared" si="119"/>
        <v>0</v>
      </c>
      <c r="R464" s="776">
        <f>IF(P465,_xll.qDateYears(P464,P465,DCCfixed),0)</f>
        <v>0</v>
      </c>
      <c r="S464" s="553">
        <v>0</v>
      </c>
      <c r="T464" s="785"/>
      <c r="U464" s="409">
        <f t="shared" si="129"/>
        <v>0</v>
      </c>
      <c r="X464" s="363">
        <v>0</v>
      </c>
      <c r="Y464" s="775">
        <f t="shared" si="120"/>
        <v>0</v>
      </c>
      <c r="Z464" s="776">
        <f>IF(X465,_xll.qDateYears(X464,X465,DCCfloat),0)</f>
        <v>0</v>
      </c>
      <c r="AA464" s="553">
        <v>0</v>
      </c>
      <c r="AB464" s="789">
        <f>IF($X464=0,0,      _xll.qDateNext($X464,AB$12,"M",FRM&lt;&gt;"Calypso",CCY))</f>
        <v>0</v>
      </c>
      <c r="AC464" s="789">
        <f>IF($X464=0,0,      _xll.qDateNext($X464,AC$12,"M",FRM&lt;&gt;"Calypso",CCY))</f>
        <v>0</v>
      </c>
      <c r="AD464" s="789">
        <f>IF($X464=0,0,      _xll.qDateNext($X464,AD$12,"M",FRM&lt;&gt;"Calypso",CCY))</f>
        <v>0</v>
      </c>
      <c r="AE464" s="789">
        <f>IF($X464=0,0,      _xll.qDateNext($X464,AE$12,"M",FRM&lt;&gt;"Calypso",CCY))</f>
        <v>0</v>
      </c>
      <c r="AF464" s="789">
        <f>IF($X464=0,0,      _xll.qDateNext($X464,AF$12,"M",FRM&lt;&gt;"Calypso",CCY))</f>
        <v>0</v>
      </c>
      <c r="AG464" s="789">
        <f>IF($X464=0,0,      _xll.qDateNext($X464,AG$12,"M",FRM&lt;&gt;"Calypso",CCY))</f>
        <v>0</v>
      </c>
      <c r="AH464" s="789">
        <f>IF($X464=0,0,      _xll.qDateNext($X464,AH$12,"M",FRM&lt;&gt;"Calypso",CCY))</f>
        <v>0</v>
      </c>
      <c r="AI464" s="789">
        <f>IF($X464=0,0,      _xll.qDateNext($X464,AI$12,"M",FRM&lt;&gt;"Calypso",CCY))</f>
        <v>0</v>
      </c>
      <c r="AJ464" s="529" t="str">
        <v/>
      </c>
      <c r="AK464" s="529" t="str">
        <v/>
      </c>
      <c r="AL464" s="529" t="str">
        <v/>
      </c>
      <c r="AM464" s="529" t="str">
        <v/>
      </c>
      <c r="AN464" s="529" t="str">
        <v/>
      </c>
      <c r="AO464" s="529" t="str">
        <v/>
      </c>
      <c r="AP464" s="529" t="str">
        <v/>
      </c>
      <c r="AQ464" s="529" t="str">
        <v/>
      </c>
      <c r="AR464" s="529">
        <v>0</v>
      </c>
      <c r="AS464" s="529">
        <v>0</v>
      </c>
      <c r="AT464" s="529">
        <f t="shared" si="130"/>
        <v>0</v>
      </c>
      <c r="AU464" s="529">
        <v>0</v>
      </c>
      <c r="AV464" s="529">
        <f t="shared" si="131"/>
        <v>0</v>
      </c>
      <c r="AW464" s="529">
        <f t="shared" si="132"/>
        <v>0</v>
      </c>
      <c r="AX464" s="529">
        <v>0</v>
      </c>
      <c r="AY464" s="529">
        <v>0</v>
      </c>
      <c r="AZ464" s="761">
        <f t="shared" si="121"/>
        <v>0</v>
      </c>
      <c r="BA464" s="761">
        <f t="shared" si="122"/>
        <v>0</v>
      </c>
      <c r="BB464" s="761">
        <f t="shared" si="123"/>
        <v>0</v>
      </c>
      <c r="BC464" s="761">
        <f t="shared" si="124"/>
        <v>0</v>
      </c>
      <c r="BD464" s="761">
        <f t="shared" si="125"/>
        <v>0</v>
      </c>
      <c r="BE464" s="761">
        <f t="shared" si="126"/>
        <v>0</v>
      </c>
      <c r="BF464" s="761">
        <f t="shared" si="127"/>
        <v>0</v>
      </c>
      <c r="BG464" s="761">
        <f t="shared" si="128"/>
        <v>0</v>
      </c>
      <c r="BH464" s="777">
        <v>0</v>
      </c>
      <c r="BI464" s="755"/>
      <c r="BJ464" s="778">
        <f>IF(X465=0,0,           IF(ISNUMBER(BI464),BI464,               IF(ISTEXT(BI464),INDEX(AZ464:BG464,MATCH(BI464,$AZ$12:$BG$12,0)),             IF(BH464="INT",_xll.qInterp(X465,AB464:AI464,AZ464:BG464),            INDEX(AZ464:BG464,MATCH(BH464,$AZ$12:$BG$12,0))))))</f>
        <v>0</v>
      </c>
      <c r="BK464" s="408">
        <f t="shared" si="133"/>
        <v>0</v>
      </c>
      <c r="BL464" s="414">
        <f t="shared" si="134"/>
        <v>0</v>
      </c>
      <c r="BM464" s="408">
        <f t="shared" si="135"/>
        <v>0</v>
      </c>
    </row>
    <row r="465" spans="16:65">
      <c r="P465" s="781">
        <v>0</v>
      </c>
      <c r="Q465" s="780">
        <f t="shared" si="119"/>
        <v>0</v>
      </c>
      <c r="R465" s="776">
        <f>IF(P466,_xll.qDateYears(P465,P466,DCCfixed),0)</f>
        <v>0</v>
      </c>
      <c r="S465" s="553">
        <v>0</v>
      </c>
      <c r="T465" s="785"/>
      <c r="U465" s="409">
        <f t="shared" si="129"/>
        <v>0</v>
      </c>
      <c r="X465" s="363">
        <v>0</v>
      </c>
      <c r="Y465" s="775">
        <f t="shared" si="120"/>
        <v>0</v>
      </c>
      <c r="Z465" s="776">
        <f>IF(X466,_xll.qDateYears(X465,X466,DCCfloat),0)</f>
        <v>0</v>
      </c>
      <c r="AA465" s="553">
        <v>0</v>
      </c>
      <c r="AB465" s="789">
        <f>IF($X465=0,0,      _xll.qDateNext($X465,AB$12,"M",FRM&lt;&gt;"Calypso",CCY))</f>
        <v>0</v>
      </c>
      <c r="AC465" s="789">
        <f>IF($X465=0,0,      _xll.qDateNext($X465,AC$12,"M",FRM&lt;&gt;"Calypso",CCY))</f>
        <v>0</v>
      </c>
      <c r="AD465" s="789">
        <f>IF($X465=0,0,      _xll.qDateNext($X465,AD$12,"M",FRM&lt;&gt;"Calypso",CCY))</f>
        <v>0</v>
      </c>
      <c r="AE465" s="789">
        <f>IF($X465=0,0,      _xll.qDateNext($X465,AE$12,"M",FRM&lt;&gt;"Calypso",CCY))</f>
        <v>0</v>
      </c>
      <c r="AF465" s="789">
        <f>IF($X465=0,0,      _xll.qDateNext($X465,AF$12,"M",FRM&lt;&gt;"Calypso",CCY))</f>
        <v>0</v>
      </c>
      <c r="AG465" s="789">
        <f>IF($X465=0,0,      _xll.qDateNext($X465,AG$12,"M",FRM&lt;&gt;"Calypso",CCY))</f>
        <v>0</v>
      </c>
      <c r="AH465" s="789">
        <f>IF($X465=0,0,      _xll.qDateNext($X465,AH$12,"M",FRM&lt;&gt;"Calypso",CCY))</f>
        <v>0</v>
      </c>
      <c r="AI465" s="789">
        <f>IF($X465=0,0,      _xll.qDateNext($X465,AI$12,"M",FRM&lt;&gt;"Calypso",CCY))</f>
        <v>0</v>
      </c>
      <c r="AJ465" s="529" t="str">
        <v/>
      </c>
      <c r="AK465" s="529" t="str">
        <v/>
      </c>
      <c r="AL465" s="529" t="str">
        <v/>
      </c>
      <c r="AM465" s="529" t="str">
        <v/>
      </c>
      <c r="AN465" s="529" t="str">
        <v/>
      </c>
      <c r="AO465" s="529" t="str">
        <v/>
      </c>
      <c r="AP465" s="529" t="str">
        <v/>
      </c>
      <c r="AQ465" s="529" t="str">
        <v/>
      </c>
      <c r="AR465" s="529">
        <v>0</v>
      </c>
      <c r="AS465" s="529">
        <v>0</v>
      </c>
      <c r="AT465" s="529">
        <f t="shared" si="130"/>
        <v>0</v>
      </c>
      <c r="AU465" s="529">
        <v>0</v>
      </c>
      <c r="AV465" s="529">
        <f t="shared" si="131"/>
        <v>0</v>
      </c>
      <c r="AW465" s="529">
        <f t="shared" si="132"/>
        <v>0</v>
      </c>
      <c r="AX465" s="529">
        <v>0</v>
      </c>
      <c r="AY465" s="529">
        <v>0</v>
      </c>
      <c r="AZ465" s="761">
        <f t="shared" si="121"/>
        <v>0</v>
      </c>
      <c r="BA465" s="761">
        <f t="shared" si="122"/>
        <v>0</v>
      </c>
      <c r="BB465" s="761">
        <f t="shared" si="123"/>
        <v>0</v>
      </c>
      <c r="BC465" s="761">
        <f t="shared" si="124"/>
        <v>0</v>
      </c>
      <c r="BD465" s="761">
        <f t="shared" si="125"/>
        <v>0</v>
      </c>
      <c r="BE465" s="761">
        <f t="shared" si="126"/>
        <v>0</v>
      </c>
      <c r="BF465" s="761">
        <f t="shared" si="127"/>
        <v>0</v>
      </c>
      <c r="BG465" s="761">
        <f t="shared" si="128"/>
        <v>0</v>
      </c>
      <c r="BH465" s="777">
        <v>0</v>
      </c>
      <c r="BI465" s="755"/>
      <c r="BJ465" s="778">
        <f>IF(X466=0,0,           IF(ISNUMBER(BI465),BI465,               IF(ISTEXT(BI465),INDEX(AZ465:BG465,MATCH(BI465,$AZ$12:$BG$12,0)),             IF(BH465="INT",_xll.qInterp(X466,AB465:AI465,AZ465:BG465),            INDEX(AZ465:BG465,MATCH(BH465,$AZ$12:$BG$12,0))))))</f>
        <v>0</v>
      </c>
      <c r="BK465" s="408">
        <f t="shared" si="133"/>
        <v>0</v>
      </c>
      <c r="BL465" s="414">
        <f t="shared" si="134"/>
        <v>0</v>
      </c>
      <c r="BM465" s="408">
        <f t="shared" si="135"/>
        <v>0</v>
      </c>
    </row>
    <row r="466" spans="16:65">
      <c r="P466" s="781">
        <v>0</v>
      </c>
      <c r="Q466" s="780">
        <f t="shared" si="119"/>
        <v>0</v>
      </c>
      <c r="R466" s="776">
        <f>IF(P467,_xll.qDateYears(P466,P467,DCCfixed),0)</f>
        <v>0</v>
      </c>
      <c r="S466" s="553">
        <v>0</v>
      </c>
      <c r="T466" s="785"/>
      <c r="U466" s="409">
        <f t="shared" si="129"/>
        <v>0</v>
      </c>
      <c r="X466" s="363">
        <v>0</v>
      </c>
      <c r="Y466" s="775">
        <f t="shared" si="120"/>
        <v>0</v>
      </c>
      <c r="Z466" s="776">
        <f>IF(X467,_xll.qDateYears(X466,X467,DCCfloat),0)</f>
        <v>0</v>
      </c>
      <c r="AA466" s="553">
        <v>0</v>
      </c>
      <c r="AB466" s="789">
        <f>IF($X466=0,0,      _xll.qDateNext($X466,AB$12,"M",FRM&lt;&gt;"Calypso",CCY))</f>
        <v>0</v>
      </c>
      <c r="AC466" s="789">
        <f>IF($X466=0,0,      _xll.qDateNext($X466,AC$12,"M",FRM&lt;&gt;"Calypso",CCY))</f>
        <v>0</v>
      </c>
      <c r="AD466" s="789">
        <f>IF($X466=0,0,      _xll.qDateNext($X466,AD$12,"M",FRM&lt;&gt;"Calypso",CCY))</f>
        <v>0</v>
      </c>
      <c r="AE466" s="789">
        <f>IF($X466=0,0,      _xll.qDateNext($X466,AE$12,"M",FRM&lt;&gt;"Calypso",CCY))</f>
        <v>0</v>
      </c>
      <c r="AF466" s="789">
        <f>IF($X466=0,0,      _xll.qDateNext($X466,AF$12,"M",FRM&lt;&gt;"Calypso",CCY))</f>
        <v>0</v>
      </c>
      <c r="AG466" s="789">
        <f>IF($X466=0,0,      _xll.qDateNext($X466,AG$12,"M",FRM&lt;&gt;"Calypso",CCY))</f>
        <v>0</v>
      </c>
      <c r="AH466" s="789">
        <f>IF($X466=0,0,      _xll.qDateNext($X466,AH$12,"M",FRM&lt;&gt;"Calypso",CCY))</f>
        <v>0</v>
      </c>
      <c r="AI466" s="789">
        <f>IF($X466=0,0,      _xll.qDateNext($X466,AI$12,"M",FRM&lt;&gt;"Calypso",CCY))</f>
        <v>0</v>
      </c>
      <c r="AJ466" s="529" t="str">
        <v/>
      </c>
      <c r="AK466" s="529" t="str">
        <v/>
      </c>
      <c r="AL466" s="529" t="str">
        <v/>
      </c>
      <c r="AM466" s="529" t="str">
        <v/>
      </c>
      <c r="AN466" s="529" t="str">
        <v/>
      </c>
      <c r="AO466" s="529" t="str">
        <v/>
      </c>
      <c r="AP466" s="529" t="str">
        <v/>
      </c>
      <c r="AQ466" s="529" t="str">
        <v/>
      </c>
      <c r="AR466" s="529">
        <v>0</v>
      </c>
      <c r="AS466" s="529">
        <v>0</v>
      </c>
      <c r="AT466" s="529">
        <f t="shared" si="130"/>
        <v>0</v>
      </c>
      <c r="AU466" s="529">
        <v>0</v>
      </c>
      <c r="AV466" s="529">
        <f t="shared" si="131"/>
        <v>0</v>
      </c>
      <c r="AW466" s="529">
        <f t="shared" si="132"/>
        <v>0</v>
      </c>
      <c r="AX466" s="529">
        <v>0</v>
      </c>
      <c r="AY466" s="529">
        <v>0</v>
      </c>
      <c r="AZ466" s="761">
        <f t="shared" si="121"/>
        <v>0</v>
      </c>
      <c r="BA466" s="761">
        <f t="shared" si="122"/>
        <v>0</v>
      </c>
      <c r="BB466" s="761">
        <f t="shared" si="123"/>
        <v>0</v>
      </c>
      <c r="BC466" s="761">
        <f t="shared" si="124"/>
        <v>0</v>
      </c>
      <c r="BD466" s="761">
        <f t="shared" si="125"/>
        <v>0</v>
      </c>
      <c r="BE466" s="761">
        <f t="shared" si="126"/>
        <v>0</v>
      </c>
      <c r="BF466" s="761">
        <f t="shared" si="127"/>
        <v>0</v>
      </c>
      <c r="BG466" s="761">
        <f t="shared" si="128"/>
        <v>0</v>
      </c>
      <c r="BH466" s="777">
        <v>0</v>
      </c>
      <c r="BI466" s="755"/>
      <c r="BJ466" s="778">
        <f>IF(X467=0,0,           IF(ISNUMBER(BI466),BI466,               IF(ISTEXT(BI466),INDEX(AZ466:BG466,MATCH(BI466,$AZ$12:$BG$12,0)),             IF(BH466="INT",_xll.qInterp(X467,AB466:AI466,AZ466:BG466),            INDEX(AZ466:BG466,MATCH(BH466,$AZ$12:$BG$12,0))))))</f>
        <v>0</v>
      </c>
      <c r="BK466" s="408">
        <f t="shared" si="133"/>
        <v>0</v>
      </c>
      <c r="BL466" s="414">
        <f t="shared" si="134"/>
        <v>0</v>
      </c>
      <c r="BM466" s="408">
        <f t="shared" si="135"/>
        <v>0</v>
      </c>
    </row>
    <row r="467" spans="16:65">
      <c r="P467" s="781">
        <v>0</v>
      </c>
      <c r="Q467" s="780">
        <f t="shared" si="119"/>
        <v>0</v>
      </c>
      <c r="R467" s="776">
        <f>IF(P468,_xll.qDateYears(P467,P468,DCCfixed),0)</f>
        <v>0</v>
      </c>
      <c r="S467" s="553">
        <v>0</v>
      </c>
      <c r="T467" s="785"/>
      <c r="U467" s="409">
        <f t="shared" si="129"/>
        <v>0</v>
      </c>
      <c r="X467" s="363">
        <v>0</v>
      </c>
      <c r="Y467" s="775">
        <f t="shared" si="120"/>
        <v>0</v>
      </c>
      <c r="Z467" s="776">
        <f>IF(X468,_xll.qDateYears(X467,X468,DCCfloat),0)</f>
        <v>0</v>
      </c>
      <c r="AA467" s="553">
        <v>0</v>
      </c>
      <c r="AB467" s="789">
        <f>IF($X467=0,0,      _xll.qDateNext($X467,AB$12,"M",FRM&lt;&gt;"Calypso",CCY))</f>
        <v>0</v>
      </c>
      <c r="AC467" s="789">
        <f>IF($X467=0,0,      _xll.qDateNext($X467,AC$12,"M",FRM&lt;&gt;"Calypso",CCY))</f>
        <v>0</v>
      </c>
      <c r="AD467" s="789">
        <f>IF($X467=0,0,      _xll.qDateNext($X467,AD$12,"M",FRM&lt;&gt;"Calypso",CCY))</f>
        <v>0</v>
      </c>
      <c r="AE467" s="789">
        <f>IF($X467=0,0,      _xll.qDateNext($X467,AE$12,"M",FRM&lt;&gt;"Calypso",CCY))</f>
        <v>0</v>
      </c>
      <c r="AF467" s="789">
        <f>IF($X467=0,0,      _xll.qDateNext($X467,AF$12,"M",FRM&lt;&gt;"Calypso",CCY))</f>
        <v>0</v>
      </c>
      <c r="AG467" s="789">
        <f>IF($X467=0,0,      _xll.qDateNext($X467,AG$12,"M",FRM&lt;&gt;"Calypso",CCY))</f>
        <v>0</v>
      </c>
      <c r="AH467" s="789">
        <f>IF($X467=0,0,      _xll.qDateNext($X467,AH$12,"M",FRM&lt;&gt;"Calypso",CCY))</f>
        <v>0</v>
      </c>
      <c r="AI467" s="789">
        <f>IF($X467=0,0,      _xll.qDateNext($X467,AI$12,"M",FRM&lt;&gt;"Calypso",CCY))</f>
        <v>0</v>
      </c>
      <c r="AJ467" s="529" t="str">
        <v/>
      </c>
      <c r="AK467" s="529" t="str">
        <v/>
      </c>
      <c r="AL467" s="529" t="str">
        <v/>
      </c>
      <c r="AM467" s="529" t="str">
        <v/>
      </c>
      <c r="AN467" s="529" t="str">
        <v/>
      </c>
      <c r="AO467" s="529" t="str">
        <v/>
      </c>
      <c r="AP467" s="529" t="str">
        <v/>
      </c>
      <c r="AQ467" s="529" t="str">
        <v/>
      </c>
      <c r="AR467" s="529">
        <v>0</v>
      </c>
      <c r="AS467" s="529">
        <v>0</v>
      </c>
      <c r="AT467" s="529">
        <f t="shared" si="130"/>
        <v>0</v>
      </c>
      <c r="AU467" s="529">
        <v>0</v>
      </c>
      <c r="AV467" s="529">
        <f t="shared" si="131"/>
        <v>0</v>
      </c>
      <c r="AW467" s="529">
        <f t="shared" si="132"/>
        <v>0</v>
      </c>
      <c r="AX467" s="529">
        <v>0</v>
      </c>
      <c r="AY467" s="529">
        <v>0</v>
      </c>
      <c r="AZ467" s="761">
        <f t="shared" si="121"/>
        <v>0</v>
      </c>
      <c r="BA467" s="761">
        <f t="shared" si="122"/>
        <v>0</v>
      </c>
      <c r="BB467" s="761">
        <f t="shared" si="123"/>
        <v>0</v>
      </c>
      <c r="BC467" s="761">
        <f t="shared" si="124"/>
        <v>0</v>
      </c>
      <c r="BD467" s="761">
        <f t="shared" si="125"/>
        <v>0</v>
      </c>
      <c r="BE467" s="761">
        <f t="shared" si="126"/>
        <v>0</v>
      </c>
      <c r="BF467" s="761">
        <f t="shared" si="127"/>
        <v>0</v>
      </c>
      <c r="BG467" s="761">
        <f t="shared" si="128"/>
        <v>0</v>
      </c>
      <c r="BH467" s="777">
        <v>0</v>
      </c>
      <c r="BI467" s="755"/>
      <c r="BJ467" s="778">
        <f>IF(X468=0,0,           IF(ISNUMBER(BI467),BI467,               IF(ISTEXT(BI467),INDEX(AZ467:BG467,MATCH(BI467,$AZ$12:$BG$12,0)),             IF(BH467="INT",_xll.qInterp(X468,AB467:AI467,AZ467:BG467),            INDEX(AZ467:BG467,MATCH(BH467,$AZ$12:$BG$12,0))))))</f>
        <v>0</v>
      </c>
      <c r="BK467" s="408">
        <f t="shared" si="133"/>
        <v>0</v>
      </c>
      <c r="BL467" s="414">
        <f t="shared" si="134"/>
        <v>0</v>
      </c>
      <c r="BM467" s="408">
        <f t="shared" si="135"/>
        <v>0</v>
      </c>
    </row>
    <row r="468" spans="16:65">
      <c r="P468" s="781">
        <v>0</v>
      </c>
      <c r="Q468" s="780">
        <f t="shared" si="119"/>
        <v>0</v>
      </c>
      <c r="R468" s="776">
        <f>IF(P469,_xll.qDateYears(P468,P469,DCCfixed),0)</f>
        <v>0</v>
      </c>
      <c r="S468" s="553">
        <v>0</v>
      </c>
      <c r="T468" s="785"/>
      <c r="U468" s="409">
        <f t="shared" si="129"/>
        <v>0</v>
      </c>
      <c r="X468" s="363">
        <v>0</v>
      </c>
      <c r="Y468" s="775">
        <f t="shared" si="120"/>
        <v>0</v>
      </c>
      <c r="Z468" s="776">
        <f>IF(X469,_xll.qDateYears(X468,X469,DCCfloat),0)</f>
        <v>0</v>
      </c>
      <c r="AA468" s="553">
        <v>0</v>
      </c>
      <c r="AB468" s="789">
        <f>IF($X468=0,0,      _xll.qDateNext($X468,AB$12,"M",FRM&lt;&gt;"Calypso",CCY))</f>
        <v>0</v>
      </c>
      <c r="AC468" s="789">
        <f>IF($X468=0,0,      _xll.qDateNext($X468,AC$12,"M",FRM&lt;&gt;"Calypso",CCY))</f>
        <v>0</v>
      </c>
      <c r="AD468" s="789">
        <f>IF($X468=0,0,      _xll.qDateNext($X468,AD$12,"M",FRM&lt;&gt;"Calypso",CCY))</f>
        <v>0</v>
      </c>
      <c r="AE468" s="789">
        <f>IF($X468=0,0,      _xll.qDateNext($X468,AE$12,"M",FRM&lt;&gt;"Calypso",CCY))</f>
        <v>0</v>
      </c>
      <c r="AF468" s="789">
        <f>IF($X468=0,0,      _xll.qDateNext($X468,AF$12,"M",FRM&lt;&gt;"Calypso",CCY))</f>
        <v>0</v>
      </c>
      <c r="AG468" s="789">
        <f>IF($X468=0,0,      _xll.qDateNext($X468,AG$12,"M",FRM&lt;&gt;"Calypso",CCY))</f>
        <v>0</v>
      </c>
      <c r="AH468" s="789">
        <f>IF($X468=0,0,      _xll.qDateNext($X468,AH$12,"M",FRM&lt;&gt;"Calypso",CCY))</f>
        <v>0</v>
      </c>
      <c r="AI468" s="789">
        <f>IF($X468=0,0,      _xll.qDateNext($X468,AI$12,"M",FRM&lt;&gt;"Calypso",CCY))</f>
        <v>0</v>
      </c>
      <c r="AJ468" s="529" t="str">
        <v/>
      </c>
      <c r="AK468" s="529" t="str">
        <v/>
      </c>
      <c r="AL468" s="529" t="str">
        <v/>
      </c>
      <c r="AM468" s="529" t="str">
        <v/>
      </c>
      <c r="AN468" s="529" t="str">
        <v/>
      </c>
      <c r="AO468" s="529" t="str">
        <v/>
      </c>
      <c r="AP468" s="529" t="str">
        <v/>
      </c>
      <c r="AQ468" s="529" t="str">
        <v/>
      </c>
      <c r="AR468" s="529">
        <v>0</v>
      </c>
      <c r="AS468" s="529">
        <v>0</v>
      </c>
      <c r="AT468" s="529">
        <f t="shared" si="130"/>
        <v>0</v>
      </c>
      <c r="AU468" s="529">
        <v>0</v>
      </c>
      <c r="AV468" s="529">
        <f t="shared" si="131"/>
        <v>0</v>
      </c>
      <c r="AW468" s="529">
        <f t="shared" si="132"/>
        <v>0</v>
      </c>
      <c r="AX468" s="529">
        <v>0</v>
      </c>
      <c r="AY468" s="529">
        <v>0</v>
      </c>
      <c r="AZ468" s="761">
        <f t="shared" si="121"/>
        <v>0</v>
      </c>
      <c r="BA468" s="761">
        <f t="shared" si="122"/>
        <v>0</v>
      </c>
      <c r="BB468" s="761">
        <f t="shared" si="123"/>
        <v>0</v>
      </c>
      <c r="BC468" s="761">
        <f t="shared" si="124"/>
        <v>0</v>
      </c>
      <c r="BD468" s="761">
        <f t="shared" si="125"/>
        <v>0</v>
      </c>
      <c r="BE468" s="761">
        <f t="shared" si="126"/>
        <v>0</v>
      </c>
      <c r="BF468" s="761">
        <f t="shared" si="127"/>
        <v>0</v>
      </c>
      <c r="BG468" s="761">
        <f t="shared" si="128"/>
        <v>0</v>
      </c>
      <c r="BH468" s="777">
        <v>0</v>
      </c>
      <c r="BI468" s="755"/>
      <c r="BJ468" s="778">
        <f>IF(X469=0,0,           IF(ISNUMBER(BI468),BI468,               IF(ISTEXT(BI468),INDEX(AZ468:BG468,MATCH(BI468,$AZ$12:$BG$12,0)),             IF(BH468="INT",_xll.qInterp(X469,AB468:AI468,AZ468:BG468),            INDEX(AZ468:BG468,MATCH(BH468,$AZ$12:$BG$12,0))))))</f>
        <v>0</v>
      </c>
      <c r="BK468" s="408">
        <f t="shared" si="133"/>
        <v>0</v>
      </c>
      <c r="BL468" s="414">
        <f t="shared" si="134"/>
        <v>0</v>
      </c>
      <c r="BM468" s="408">
        <f t="shared" si="135"/>
        <v>0</v>
      </c>
    </row>
    <row r="469" spans="16:65">
      <c r="P469" s="781">
        <v>0</v>
      </c>
      <c r="Q469" s="780">
        <f t="shared" si="119"/>
        <v>0</v>
      </c>
      <c r="R469" s="776">
        <f>IF(P470,_xll.qDateYears(P469,P470,DCCfixed),0)</f>
        <v>0</v>
      </c>
      <c r="S469" s="553">
        <v>0</v>
      </c>
      <c r="T469" s="785"/>
      <c r="U469" s="409">
        <f t="shared" si="129"/>
        <v>0</v>
      </c>
      <c r="X469" s="363">
        <v>0</v>
      </c>
      <c r="Y469" s="775">
        <f t="shared" si="120"/>
        <v>0</v>
      </c>
      <c r="Z469" s="776">
        <f>IF(X470,_xll.qDateYears(X469,X470,DCCfloat),0)</f>
        <v>0</v>
      </c>
      <c r="AA469" s="553">
        <v>0</v>
      </c>
      <c r="AB469" s="789">
        <f>IF($X469=0,0,      _xll.qDateNext($X469,AB$12,"M",FRM&lt;&gt;"Calypso",CCY))</f>
        <v>0</v>
      </c>
      <c r="AC469" s="789">
        <f>IF($X469=0,0,      _xll.qDateNext($X469,AC$12,"M",FRM&lt;&gt;"Calypso",CCY))</f>
        <v>0</v>
      </c>
      <c r="AD469" s="789">
        <f>IF($X469=0,0,      _xll.qDateNext($X469,AD$12,"M",FRM&lt;&gt;"Calypso",CCY))</f>
        <v>0</v>
      </c>
      <c r="AE469" s="789">
        <f>IF($X469=0,0,      _xll.qDateNext($X469,AE$12,"M",FRM&lt;&gt;"Calypso",CCY))</f>
        <v>0</v>
      </c>
      <c r="AF469" s="789">
        <f>IF($X469=0,0,      _xll.qDateNext($X469,AF$12,"M",FRM&lt;&gt;"Calypso",CCY))</f>
        <v>0</v>
      </c>
      <c r="AG469" s="789">
        <f>IF($X469=0,0,      _xll.qDateNext($X469,AG$12,"M",FRM&lt;&gt;"Calypso",CCY))</f>
        <v>0</v>
      </c>
      <c r="AH469" s="789">
        <f>IF($X469=0,0,      _xll.qDateNext($X469,AH$12,"M",FRM&lt;&gt;"Calypso",CCY))</f>
        <v>0</v>
      </c>
      <c r="AI469" s="789">
        <f>IF($X469=0,0,      _xll.qDateNext($X469,AI$12,"M",FRM&lt;&gt;"Calypso",CCY))</f>
        <v>0</v>
      </c>
      <c r="AJ469" s="529" t="str">
        <v/>
      </c>
      <c r="AK469" s="529" t="str">
        <v/>
      </c>
      <c r="AL469" s="529" t="str">
        <v/>
      </c>
      <c r="AM469" s="529" t="str">
        <v/>
      </c>
      <c r="AN469" s="529" t="str">
        <v/>
      </c>
      <c r="AO469" s="529" t="str">
        <v/>
      </c>
      <c r="AP469" s="529" t="str">
        <v/>
      </c>
      <c r="AQ469" s="529" t="str">
        <v/>
      </c>
      <c r="AR469" s="529">
        <v>0</v>
      </c>
      <c r="AS469" s="529">
        <v>0</v>
      </c>
      <c r="AT469" s="529">
        <f t="shared" si="130"/>
        <v>0</v>
      </c>
      <c r="AU469" s="529">
        <v>0</v>
      </c>
      <c r="AV469" s="529">
        <f t="shared" si="131"/>
        <v>0</v>
      </c>
      <c r="AW469" s="529">
        <f t="shared" si="132"/>
        <v>0</v>
      </c>
      <c r="AX469" s="529">
        <v>0</v>
      </c>
      <c r="AY469" s="529">
        <v>0</v>
      </c>
      <c r="AZ469" s="761">
        <f t="shared" si="121"/>
        <v>0</v>
      </c>
      <c r="BA469" s="761">
        <f t="shared" si="122"/>
        <v>0</v>
      </c>
      <c r="BB469" s="761">
        <f t="shared" si="123"/>
        <v>0</v>
      </c>
      <c r="BC469" s="761">
        <f t="shared" si="124"/>
        <v>0</v>
      </c>
      <c r="BD469" s="761">
        <f t="shared" si="125"/>
        <v>0</v>
      </c>
      <c r="BE469" s="761">
        <f t="shared" si="126"/>
        <v>0</v>
      </c>
      <c r="BF469" s="761">
        <f t="shared" si="127"/>
        <v>0</v>
      </c>
      <c r="BG469" s="761">
        <f t="shared" si="128"/>
        <v>0</v>
      </c>
      <c r="BH469" s="777">
        <v>0</v>
      </c>
      <c r="BI469" s="755"/>
      <c r="BJ469" s="778">
        <f>IF(X470=0,0,           IF(ISNUMBER(BI469),BI469,               IF(ISTEXT(BI469),INDEX(AZ469:BG469,MATCH(BI469,$AZ$12:$BG$12,0)),             IF(BH469="INT",_xll.qInterp(X470,AB469:AI469,AZ469:BG469),            INDEX(AZ469:BG469,MATCH(BH469,$AZ$12:$BG$12,0))))))</f>
        <v>0</v>
      </c>
      <c r="BK469" s="408">
        <f t="shared" si="133"/>
        <v>0</v>
      </c>
      <c r="BL469" s="414">
        <f t="shared" si="134"/>
        <v>0</v>
      </c>
      <c r="BM469" s="408">
        <f t="shared" si="135"/>
        <v>0</v>
      </c>
    </row>
    <row r="470" spans="16:65">
      <c r="P470" s="781">
        <v>0</v>
      </c>
      <c r="Q470" s="780">
        <f t="shared" si="119"/>
        <v>0</v>
      </c>
      <c r="R470" s="776">
        <f>IF(P471,_xll.qDateYears(P470,P471,DCCfixed),0)</f>
        <v>0</v>
      </c>
      <c r="S470" s="553">
        <v>0</v>
      </c>
      <c r="T470" s="785"/>
      <c r="U470" s="409">
        <f t="shared" si="129"/>
        <v>0</v>
      </c>
      <c r="X470" s="363">
        <v>0</v>
      </c>
      <c r="Y470" s="775">
        <f t="shared" si="120"/>
        <v>0</v>
      </c>
      <c r="Z470" s="776">
        <f>IF(X471,_xll.qDateYears(X470,X471,DCCfloat),0)</f>
        <v>0</v>
      </c>
      <c r="AA470" s="553">
        <v>0</v>
      </c>
      <c r="AB470" s="789">
        <f>IF($X470=0,0,      _xll.qDateNext($X470,AB$12,"M",FRM&lt;&gt;"Calypso",CCY))</f>
        <v>0</v>
      </c>
      <c r="AC470" s="789">
        <f>IF($X470=0,0,      _xll.qDateNext($X470,AC$12,"M",FRM&lt;&gt;"Calypso",CCY))</f>
        <v>0</v>
      </c>
      <c r="AD470" s="789">
        <f>IF($X470=0,0,      _xll.qDateNext($X470,AD$12,"M",FRM&lt;&gt;"Calypso",CCY))</f>
        <v>0</v>
      </c>
      <c r="AE470" s="789">
        <f>IF($X470=0,0,      _xll.qDateNext($X470,AE$12,"M",FRM&lt;&gt;"Calypso",CCY))</f>
        <v>0</v>
      </c>
      <c r="AF470" s="789">
        <f>IF($X470=0,0,      _xll.qDateNext($X470,AF$12,"M",FRM&lt;&gt;"Calypso",CCY))</f>
        <v>0</v>
      </c>
      <c r="AG470" s="789">
        <f>IF($X470=0,0,      _xll.qDateNext($X470,AG$12,"M",FRM&lt;&gt;"Calypso",CCY))</f>
        <v>0</v>
      </c>
      <c r="AH470" s="789">
        <f>IF($X470=0,0,      _xll.qDateNext($X470,AH$12,"M",FRM&lt;&gt;"Calypso",CCY))</f>
        <v>0</v>
      </c>
      <c r="AI470" s="789">
        <f>IF($X470=0,0,      _xll.qDateNext($X470,AI$12,"M",FRM&lt;&gt;"Calypso",CCY))</f>
        <v>0</v>
      </c>
      <c r="AJ470" s="529" t="str">
        <v/>
      </c>
      <c r="AK470" s="529" t="str">
        <v/>
      </c>
      <c r="AL470" s="529" t="str">
        <v/>
      </c>
      <c r="AM470" s="529" t="str">
        <v/>
      </c>
      <c r="AN470" s="529" t="str">
        <v/>
      </c>
      <c r="AO470" s="529" t="str">
        <v/>
      </c>
      <c r="AP470" s="529" t="str">
        <v/>
      </c>
      <c r="AQ470" s="529" t="str">
        <v/>
      </c>
      <c r="AR470" s="529">
        <v>0</v>
      </c>
      <c r="AS470" s="529">
        <v>0</v>
      </c>
      <c r="AT470" s="529">
        <f t="shared" si="130"/>
        <v>0</v>
      </c>
      <c r="AU470" s="529">
        <v>0</v>
      </c>
      <c r="AV470" s="529">
        <f t="shared" si="131"/>
        <v>0</v>
      </c>
      <c r="AW470" s="529">
        <f t="shared" si="132"/>
        <v>0</v>
      </c>
      <c r="AX470" s="529">
        <v>0</v>
      </c>
      <c r="AY470" s="529">
        <v>0</v>
      </c>
      <c r="AZ470" s="761">
        <f t="shared" si="121"/>
        <v>0</v>
      </c>
      <c r="BA470" s="761">
        <f t="shared" si="122"/>
        <v>0</v>
      </c>
      <c r="BB470" s="761">
        <f t="shared" si="123"/>
        <v>0</v>
      </c>
      <c r="BC470" s="761">
        <f t="shared" si="124"/>
        <v>0</v>
      </c>
      <c r="BD470" s="761">
        <f t="shared" si="125"/>
        <v>0</v>
      </c>
      <c r="BE470" s="761">
        <f t="shared" si="126"/>
        <v>0</v>
      </c>
      <c r="BF470" s="761">
        <f t="shared" si="127"/>
        <v>0</v>
      </c>
      <c r="BG470" s="761">
        <f t="shared" si="128"/>
        <v>0</v>
      </c>
      <c r="BH470" s="777">
        <v>0</v>
      </c>
      <c r="BI470" s="755"/>
      <c r="BJ470" s="778">
        <f>IF(X471=0,0,           IF(ISNUMBER(BI470),BI470,               IF(ISTEXT(BI470),INDEX(AZ470:BG470,MATCH(BI470,$AZ$12:$BG$12,0)),             IF(BH470="INT",_xll.qInterp(X471,AB470:AI470,AZ470:BG470),            INDEX(AZ470:BG470,MATCH(BH470,$AZ$12:$BG$12,0))))))</f>
        <v>0</v>
      </c>
      <c r="BK470" s="408">
        <f t="shared" si="133"/>
        <v>0</v>
      </c>
      <c r="BL470" s="414">
        <f t="shared" si="134"/>
        <v>0</v>
      </c>
      <c r="BM470" s="408">
        <f t="shared" si="135"/>
        <v>0</v>
      </c>
    </row>
    <row r="471" spans="16:65">
      <c r="P471" s="781">
        <v>0</v>
      </c>
      <c r="Q471" s="780">
        <f t="shared" si="119"/>
        <v>0</v>
      </c>
      <c r="R471" s="776">
        <f>IF(P472,_xll.qDateYears(P471,P472,DCCfixed),0)</f>
        <v>0</v>
      </c>
      <c r="S471" s="553">
        <v>0</v>
      </c>
      <c r="T471" s="785"/>
      <c r="U471" s="409">
        <f t="shared" si="129"/>
        <v>0</v>
      </c>
      <c r="X471" s="363">
        <v>0</v>
      </c>
      <c r="Y471" s="775">
        <f t="shared" si="120"/>
        <v>0</v>
      </c>
      <c r="Z471" s="776">
        <f>IF(X472,_xll.qDateYears(X471,X472,DCCfloat),0)</f>
        <v>0</v>
      </c>
      <c r="AA471" s="553">
        <v>0</v>
      </c>
      <c r="AB471" s="789">
        <f>IF($X471=0,0,      _xll.qDateNext($X471,AB$12,"M",FRM&lt;&gt;"Calypso",CCY))</f>
        <v>0</v>
      </c>
      <c r="AC471" s="789">
        <f>IF($X471=0,0,      _xll.qDateNext($X471,AC$12,"M",FRM&lt;&gt;"Calypso",CCY))</f>
        <v>0</v>
      </c>
      <c r="AD471" s="789">
        <f>IF($X471=0,0,      _xll.qDateNext($X471,AD$12,"M",FRM&lt;&gt;"Calypso",CCY))</f>
        <v>0</v>
      </c>
      <c r="AE471" s="789">
        <f>IF($X471=0,0,      _xll.qDateNext($X471,AE$12,"M",FRM&lt;&gt;"Calypso",CCY))</f>
        <v>0</v>
      </c>
      <c r="AF471" s="789">
        <f>IF($X471=0,0,      _xll.qDateNext($X471,AF$12,"M",FRM&lt;&gt;"Calypso",CCY))</f>
        <v>0</v>
      </c>
      <c r="AG471" s="789">
        <f>IF($X471=0,0,      _xll.qDateNext($X471,AG$12,"M",FRM&lt;&gt;"Calypso",CCY))</f>
        <v>0</v>
      </c>
      <c r="AH471" s="789">
        <f>IF($X471=0,0,      _xll.qDateNext($X471,AH$12,"M",FRM&lt;&gt;"Calypso",CCY))</f>
        <v>0</v>
      </c>
      <c r="AI471" s="789">
        <f>IF($X471=0,0,      _xll.qDateNext($X471,AI$12,"M",FRM&lt;&gt;"Calypso",CCY))</f>
        <v>0</v>
      </c>
      <c r="AJ471" s="529" t="str">
        <v/>
      </c>
      <c r="AK471" s="529" t="str">
        <v/>
      </c>
      <c r="AL471" s="529" t="str">
        <v/>
      </c>
      <c r="AM471" s="529" t="str">
        <v/>
      </c>
      <c r="AN471" s="529" t="str">
        <v/>
      </c>
      <c r="AO471" s="529" t="str">
        <v/>
      </c>
      <c r="AP471" s="529" t="str">
        <v/>
      </c>
      <c r="AQ471" s="529" t="str">
        <v/>
      </c>
      <c r="AR471" s="529">
        <v>0</v>
      </c>
      <c r="AS471" s="529">
        <v>0</v>
      </c>
      <c r="AT471" s="529">
        <f t="shared" si="130"/>
        <v>0</v>
      </c>
      <c r="AU471" s="529">
        <v>0</v>
      </c>
      <c r="AV471" s="529">
        <f t="shared" si="131"/>
        <v>0</v>
      </c>
      <c r="AW471" s="529">
        <f t="shared" si="132"/>
        <v>0</v>
      </c>
      <c r="AX471" s="529">
        <v>0</v>
      </c>
      <c r="AY471" s="529">
        <v>0</v>
      </c>
      <c r="AZ471" s="761">
        <f t="shared" si="121"/>
        <v>0</v>
      </c>
      <c r="BA471" s="761">
        <f t="shared" si="122"/>
        <v>0</v>
      </c>
      <c r="BB471" s="761">
        <f t="shared" si="123"/>
        <v>0</v>
      </c>
      <c r="BC471" s="761">
        <f t="shared" si="124"/>
        <v>0</v>
      </c>
      <c r="BD471" s="761">
        <f t="shared" si="125"/>
        <v>0</v>
      </c>
      <c r="BE471" s="761">
        <f t="shared" si="126"/>
        <v>0</v>
      </c>
      <c r="BF471" s="761">
        <f t="shared" si="127"/>
        <v>0</v>
      </c>
      <c r="BG471" s="761">
        <f t="shared" si="128"/>
        <v>0</v>
      </c>
      <c r="BH471" s="777">
        <v>0</v>
      </c>
      <c r="BI471" s="755"/>
      <c r="BJ471" s="778">
        <f>IF(X472=0,0,           IF(ISNUMBER(BI471),BI471,               IF(ISTEXT(BI471),INDEX(AZ471:BG471,MATCH(BI471,$AZ$12:$BG$12,0)),             IF(BH471="INT",_xll.qInterp(X472,AB471:AI471,AZ471:BG471),            INDEX(AZ471:BG471,MATCH(BH471,$AZ$12:$BG$12,0))))))</f>
        <v>0</v>
      </c>
      <c r="BK471" s="408">
        <f t="shared" si="133"/>
        <v>0</v>
      </c>
      <c r="BL471" s="414">
        <f t="shared" si="134"/>
        <v>0</v>
      </c>
      <c r="BM471" s="408">
        <f t="shared" si="135"/>
        <v>0</v>
      </c>
    </row>
    <row r="472" spans="16:65">
      <c r="P472" s="781">
        <v>0</v>
      </c>
      <c r="Q472" s="780">
        <f t="shared" si="119"/>
        <v>0</v>
      </c>
      <c r="R472" s="776">
        <f>IF(P473,_xll.qDateYears(P472,P473,DCCfixed),0)</f>
        <v>0</v>
      </c>
      <c r="S472" s="553">
        <v>0</v>
      </c>
      <c r="T472" s="785"/>
      <c r="U472" s="409">
        <f t="shared" si="129"/>
        <v>0</v>
      </c>
      <c r="X472" s="363">
        <v>0</v>
      </c>
      <c r="Y472" s="775">
        <f t="shared" si="120"/>
        <v>0</v>
      </c>
      <c r="Z472" s="776">
        <f>IF(X473,_xll.qDateYears(X472,X473,DCCfloat),0)</f>
        <v>0</v>
      </c>
      <c r="AA472" s="553">
        <v>0</v>
      </c>
      <c r="AB472" s="789">
        <f>IF($X472=0,0,      _xll.qDateNext($X472,AB$12,"M",FRM&lt;&gt;"Calypso",CCY))</f>
        <v>0</v>
      </c>
      <c r="AC472" s="789">
        <f>IF($X472=0,0,      _xll.qDateNext($X472,AC$12,"M",FRM&lt;&gt;"Calypso",CCY))</f>
        <v>0</v>
      </c>
      <c r="AD472" s="789">
        <f>IF($X472=0,0,      _xll.qDateNext($X472,AD$12,"M",FRM&lt;&gt;"Calypso",CCY))</f>
        <v>0</v>
      </c>
      <c r="AE472" s="789">
        <f>IF($X472=0,0,      _xll.qDateNext($X472,AE$12,"M",FRM&lt;&gt;"Calypso",CCY))</f>
        <v>0</v>
      </c>
      <c r="AF472" s="789">
        <f>IF($X472=0,0,      _xll.qDateNext($X472,AF$12,"M",FRM&lt;&gt;"Calypso",CCY))</f>
        <v>0</v>
      </c>
      <c r="AG472" s="789">
        <f>IF($X472=0,0,      _xll.qDateNext($X472,AG$12,"M",FRM&lt;&gt;"Calypso",CCY))</f>
        <v>0</v>
      </c>
      <c r="AH472" s="789">
        <f>IF($X472=0,0,      _xll.qDateNext($X472,AH$12,"M",FRM&lt;&gt;"Calypso",CCY))</f>
        <v>0</v>
      </c>
      <c r="AI472" s="789">
        <f>IF($X472=0,0,      _xll.qDateNext($X472,AI$12,"M",FRM&lt;&gt;"Calypso",CCY))</f>
        <v>0</v>
      </c>
      <c r="AJ472" s="529" t="str">
        <v/>
      </c>
      <c r="AK472" s="529" t="str">
        <v/>
      </c>
      <c r="AL472" s="529" t="str">
        <v/>
      </c>
      <c r="AM472" s="529" t="str">
        <v/>
      </c>
      <c r="AN472" s="529" t="str">
        <v/>
      </c>
      <c r="AO472" s="529" t="str">
        <v/>
      </c>
      <c r="AP472" s="529" t="str">
        <v/>
      </c>
      <c r="AQ472" s="529" t="str">
        <v/>
      </c>
      <c r="AR472" s="529">
        <v>0</v>
      </c>
      <c r="AS472" s="529">
        <v>0</v>
      </c>
      <c r="AT472" s="529">
        <f t="shared" si="130"/>
        <v>0</v>
      </c>
      <c r="AU472" s="529">
        <v>0</v>
      </c>
      <c r="AV472" s="529">
        <f t="shared" si="131"/>
        <v>0</v>
      </c>
      <c r="AW472" s="529">
        <f t="shared" si="132"/>
        <v>0</v>
      </c>
      <c r="AX472" s="529">
        <v>0</v>
      </c>
      <c r="AY472" s="529">
        <v>0</v>
      </c>
      <c r="AZ472" s="761">
        <f t="shared" si="121"/>
        <v>0</v>
      </c>
      <c r="BA472" s="761">
        <f t="shared" si="122"/>
        <v>0</v>
      </c>
      <c r="BB472" s="761">
        <f t="shared" si="123"/>
        <v>0</v>
      </c>
      <c r="BC472" s="761">
        <f t="shared" si="124"/>
        <v>0</v>
      </c>
      <c r="BD472" s="761">
        <f t="shared" si="125"/>
        <v>0</v>
      </c>
      <c r="BE472" s="761">
        <f t="shared" si="126"/>
        <v>0</v>
      </c>
      <c r="BF472" s="761">
        <f t="shared" si="127"/>
        <v>0</v>
      </c>
      <c r="BG472" s="761">
        <f t="shared" si="128"/>
        <v>0</v>
      </c>
      <c r="BH472" s="777">
        <v>0</v>
      </c>
      <c r="BI472" s="755"/>
      <c r="BJ472" s="778">
        <f>IF(X473=0,0,           IF(ISNUMBER(BI472),BI472,               IF(ISTEXT(BI472),INDEX(AZ472:BG472,MATCH(BI472,$AZ$12:$BG$12,0)),             IF(BH472="INT",_xll.qInterp(X473,AB472:AI472,AZ472:BG472),            INDEX(AZ472:BG472,MATCH(BH472,$AZ$12:$BG$12,0))))))</f>
        <v>0</v>
      </c>
      <c r="BK472" s="408">
        <f t="shared" si="133"/>
        <v>0</v>
      </c>
      <c r="BL472" s="414">
        <f t="shared" si="134"/>
        <v>0</v>
      </c>
      <c r="BM472" s="408">
        <f t="shared" si="135"/>
        <v>0</v>
      </c>
    </row>
    <row r="473" spans="16:65">
      <c r="P473" s="781">
        <v>0</v>
      </c>
      <c r="Q473" s="780">
        <f t="shared" si="119"/>
        <v>0</v>
      </c>
      <c r="R473" s="776">
        <f>IF(P474,_xll.qDateYears(P473,P474,DCCfixed),0)</f>
        <v>0</v>
      </c>
      <c r="S473" s="553">
        <v>0</v>
      </c>
      <c r="T473" s="785"/>
      <c r="U473" s="409">
        <f t="shared" si="129"/>
        <v>0</v>
      </c>
      <c r="X473" s="363">
        <v>0</v>
      </c>
      <c r="Y473" s="775">
        <f t="shared" si="120"/>
        <v>0</v>
      </c>
      <c r="Z473" s="776">
        <f>IF(X474,_xll.qDateYears(X473,X474,DCCfloat),0)</f>
        <v>0</v>
      </c>
      <c r="AA473" s="553">
        <v>0</v>
      </c>
      <c r="AB473" s="789">
        <f>IF($X473=0,0,      _xll.qDateNext($X473,AB$12,"M",FRM&lt;&gt;"Calypso",CCY))</f>
        <v>0</v>
      </c>
      <c r="AC473" s="789">
        <f>IF($X473=0,0,      _xll.qDateNext($X473,AC$12,"M",FRM&lt;&gt;"Calypso",CCY))</f>
        <v>0</v>
      </c>
      <c r="AD473" s="789">
        <f>IF($X473=0,0,      _xll.qDateNext($X473,AD$12,"M",FRM&lt;&gt;"Calypso",CCY))</f>
        <v>0</v>
      </c>
      <c r="AE473" s="789">
        <f>IF($X473=0,0,      _xll.qDateNext($X473,AE$12,"M",FRM&lt;&gt;"Calypso",CCY))</f>
        <v>0</v>
      </c>
      <c r="AF473" s="789">
        <f>IF($X473=0,0,      _xll.qDateNext($X473,AF$12,"M",FRM&lt;&gt;"Calypso",CCY))</f>
        <v>0</v>
      </c>
      <c r="AG473" s="789">
        <f>IF($X473=0,0,      _xll.qDateNext($X473,AG$12,"M",FRM&lt;&gt;"Calypso",CCY))</f>
        <v>0</v>
      </c>
      <c r="AH473" s="789">
        <f>IF($X473=0,0,      _xll.qDateNext($X473,AH$12,"M",FRM&lt;&gt;"Calypso",CCY))</f>
        <v>0</v>
      </c>
      <c r="AI473" s="789">
        <f>IF($X473=0,0,      _xll.qDateNext($X473,AI$12,"M",FRM&lt;&gt;"Calypso",CCY))</f>
        <v>0</v>
      </c>
      <c r="AJ473" s="529" t="str">
        <v/>
      </c>
      <c r="AK473" s="529" t="str">
        <v/>
      </c>
      <c r="AL473" s="529" t="str">
        <v/>
      </c>
      <c r="AM473" s="529" t="str">
        <v/>
      </c>
      <c r="AN473" s="529" t="str">
        <v/>
      </c>
      <c r="AO473" s="529" t="str">
        <v/>
      </c>
      <c r="AP473" s="529" t="str">
        <v/>
      </c>
      <c r="AQ473" s="529" t="str">
        <v/>
      </c>
      <c r="AR473" s="529">
        <v>0</v>
      </c>
      <c r="AS473" s="529">
        <v>0</v>
      </c>
      <c r="AT473" s="529">
        <f t="shared" si="130"/>
        <v>0</v>
      </c>
      <c r="AU473" s="529">
        <v>0</v>
      </c>
      <c r="AV473" s="529">
        <f t="shared" si="131"/>
        <v>0</v>
      </c>
      <c r="AW473" s="529">
        <f t="shared" si="132"/>
        <v>0</v>
      </c>
      <c r="AX473" s="529">
        <v>0</v>
      </c>
      <c r="AY473" s="529">
        <v>0</v>
      </c>
      <c r="AZ473" s="761">
        <f t="shared" si="121"/>
        <v>0</v>
      </c>
      <c r="BA473" s="761">
        <f t="shared" si="122"/>
        <v>0</v>
      </c>
      <c r="BB473" s="761">
        <f t="shared" si="123"/>
        <v>0</v>
      </c>
      <c r="BC473" s="761">
        <f t="shared" si="124"/>
        <v>0</v>
      </c>
      <c r="BD473" s="761">
        <f t="shared" si="125"/>
        <v>0</v>
      </c>
      <c r="BE473" s="761">
        <f t="shared" si="126"/>
        <v>0</v>
      </c>
      <c r="BF473" s="761">
        <f t="shared" si="127"/>
        <v>0</v>
      </c>
      <c r="BG473" s="761">
        <f t="shared" si="128"/>
        <v>0</v>
      </c>
      <c r="BH473" s="777">
        <v>0</v>
      </c>
      <c r="BI473" s="755"/>
      <c r="BJ473" s="778">
        <f>IF(X474=0,0,           IF(ISNUMBER(BI473),BI473,               IF(ISTEXT(BI473),INDEX(AZ473:BG473,MATCH(BI473,$AZ$12:$BG$12,0)),             IF(BH473="INT",_xll.qInterp(X474,AB473:AI473,AZ473:BG473),            INDEX(AZ473:BG473,MATCH(BH473,$AZ$12:$BG$12,0))))))</f>
        <v>0</v>
      </c>
      <c r="BK473" s="408">
        <f t="shared" si="133"/>
        <v>0</v>
      </c>
      <c r="BL473" s="414">
        <f t="shared" si="134"/>
        <v>0</v>
      </c>
      <c r="BM473" s="408">
        <f t="shared" si="135"/>
        <v>0</v>
      </c>
    </row>
    <row r="474" spans="16:65">
      <c r="P474" s="781">
        <v>0</v>
      </c>
      <c r="Q474" s="780">
        <f t="shared" si="119"/>
        <v>0</v>
      </c>
      <c r="R474" s="776">
        <f>IF(P475,_xll.qDateYears(P474,P475,DCCfixed),0)</f>
        <v>0</v>
      </c>
      <c r="S474" s="553">
        <v>0</v>
      </c>
      <c r="T474" s="785"/>
      <c r="U474" s="409">
        <f t="shared" si="129"/>
        <v>0</v>
      </c>
      <c r="X474" s="363">
        <v>0</v>
      </c>
      <c r="Y474" s="775">
        <f t="shared" si="120"/>
        <v>0</v>
      </c>
      <c r="Z474" s="776">
        <f>IF(X475,_xll.qDateYears(X474,X475,DCCfloat),0)</f>
        <v>0</v>
      </c>
      <c r="AA474" s="553">
        <v>0</v>
      </c>
      <c r="AB474" s="789">
        <f>IF($X474=0,0,      _xll.qDateNext($X474,AB$12,"M",FRM&lt;&gt;"Calypso",CCY))</f>
        <v>0</v>
      </c>
      <c r="AC474" s="789">
        <f>IF($X474=0,0,      _xll.qDateNext($X474,AC$12,"M",FRM&lt;&gt;"Calypso",CCY))</f>
        <v>0</v>
      </c>
      <c r="AD474" s="789">
        <f>IF($X474=0,0,      _xll.qDateNext($X474,AD$12,"M",FRM&lt;&gt;"Calypso",CCY))</f>
        <v>0</v>
      </c>
      <c r="AE474" s="789">
        <f>IF($X474=0,0,      _xll.qDateNext($X474,AE$12,"M",FRM&lt;&gt;"Calypso",CCY))</f>
        <v>0</v>
      </c>
      <c r="AF474" s="789">
        <f>IF($X474=0,0,      _xll.qDateNext($X474,AF$12,"M",FRM&lt;&gt;"Calypso",CCY))</f>
        <v>0</v>
      </c>
      <c r="AG474" s="789">
        <f>IF($X474=0,0,      _xll.qDateNext($X474,AG$12,"M",FRM&lt;&gt;"Calypso",CCY))</f>
        <v>0</v>
      </c>
      <c r="AH474" s="789">
        <f>IF($X474=0,0,      _xll.qDateNext($X474,AH$12,"M",FRM&lt;&gt;"Calypso",CCY))</f>
        <v>0</v>
      </c>
      <c r="AI474" s="789">
        <f>IF($X474=0,0,      _xll.qDateNext($X474,AI$12,"M",FRM&lt;&gt;"Calypso",CCY))</f>
        <v>0</v>
      </c>
      <c r="AJ474" s="529" t="str">
        <v/>
      </c>
      <c r="AK474" s="529" t="str">
        <v/>
      </c>
      <c r="AL474" s="529" t="str">
        <v/>
      </c>
      <c r="AM474" s="529" t="str">
        <v/>
      </c>
      <c r="AN474" s="529" t="str">
        <v/>
      </c>
      <c r="AO474" s="529" t="str">
        <v/>
      </c>
      <c r="AP474" s="529" t="str">
        <v/>
      </c>
      <c r="AQ474" s="529" t="str">
        <v/>
      </c>
      <c r="AR474" s="529">
        <v>0</v>
      </c>
      <c r="AS474" s="529">
        <v>0</v>
      </c>
      <c r="AT474" s="529">
        <f t="shared" si="130"/>
        <v>0</v>
      </c>
      <c r="AU474" s="529">
        <v>0</v>
      </c>
      <c r="AV474" s="529">
        <f t="shared" si="131"/>
        <v>0</v>
      </c>
      <c r="AW474" s="529">
        <f t="shared" si="132"/>
        <v>0</v>
      </c>
      <c r="AX474" s="529">
        <v>0</v>
      </c>
      <c r="AY474" s="529">
        <v>0</v>
      </c>
      <c r="AZ474" s="761">
        <f t="shared" si="121"/>
        <v>0</v>
      </c>
      <c r="BA474" s="761">
        <f t="shared" si="122"/>
        <v>0</v>
      </c>
      <c r="BB474" s="761">
        <f t="shared" si="123"/>
        <v>0</v>
      </c>
      <c r="BC474" s="761">
        <f t="shared" si="124"/>
        <v>0</v>
      </c>
      <c r="BD474" s="761">
        <f t="shared" si="125"/>
        <v>0</v>
      </c>
      <c r="BE474" s="761">
        <f t="shared" si="126"/>
        <v>0</v>
      </c>
      <c r="BF474" s="761">
        <f t="shared" si="127"/>
        <v>0</v>
      </c>
      <c r="BG474" s="761">
        <f t="shared" si="128"/>
        <v>0</v>
      </c>
      <c r="BH474" s="777">
        <v>0</v>
      </c>
      <c r="BI474" s="755"/>
      <c r="BJ474" s="778">
        <f>IF(X475=0,0,           IF(ISNUMBER(BI474),BI474,               IF(ISTEXT(BI474),INDEX(AZ474:BG474,MATCH(BI474,$AZ$12:$BG$12,0)),             IF(BH474="INT",_xll.qInterp(X475,AB474:AI474,AZ474:BG474),            INDEX(AZ474:BG474,MATCH(BH474,$AZ$12:$BG$12,0))))))</f>
        <v>0</v>
      </c>
      <c r="BK474" s="408">
        <f t="shared" si="133"/>
        <v>0</v>
      </c>
      <c r="BL474" s="414">
        <f t="shared" si="134"/>
        <v>0</v>
      </c>
      <c r="BM474" s="408">
        <f t="shared" si="135"/>
        <v>0</v>
      </c>
    </row>
    <row r="475" spans="16:65">
      <c r="P475" s="781">
        <v>0</v>
      </c>
      <c r="Q475" s="780">
        <f t="shared" si="119"/>
        <v>0</v>
      </c>
      <c r="R475" s="776">
        <f>IF(P476,_xll.qDateYears(P475,P476,DCCfixed),0)</f>
        <v>0</v>
      </c>
      <c r="S475" s="553">
        <v>0</v>
      </c>
      <c r="T475" s="785"/>
      <c r="U475" s="409">
        <f t="shared" si="129"/>
        <v>0</v>
      </c>
      <c r="X475" s="363">
        <v>0</v>
      </c>
      <c r="Y475" s="775">
        <f t="shared" si="120"/>
        <v>0</v>
      </c>
      <c r="Z475" s="776">
        <f>IF(X476,_xll.qDateYears(X475,X476,DCCfloat),0)</f>
        <v>0</v>
      </c>
      <c r="AA475" s="553">
        <v>0</v>
      </c>
      <c r="AB475" s="789">
        <f>IF($X475=0,0,      _xll.qDateNext($X475,AB$12,"M",FRM&lt;&gt;"Calypso",CCY))</f>
        <v>0</v>
      </c>
      <c r="AC475" s="789">
        <f>IF($X475=0,0,      _xll.qDateNext($X475,AC$12,"M",FRM&lt;&gt;"Calypso",CCY))</f>
        <v>0</v>
      </c>
      <c r="AD475" s="789">
        <f>IF($X475=0,0,      _xll.qDateNext($X475,AD$12,"M",FRM&lt;&gt;"Calypso",CCY))</f>
        <v>0</v>
      </c>
      <c r="AE475" s="789">
        <f>IF($X475=0,0,      _xll.qDateNext($X475,AE$12,"M",FRM&lt;&gt;"Calypso",CCY))</f>
        <v>0</v>
      </c>
      <c r="AF475" s="789">
        <f>IF($X475=0,0,      _xll.qDateNext($X475,AF$12,"M",FRM&lt;&gt;"Calypso",CCY))</f>
        <v>0</v>
      </c>
      <c r="AG475" s="789">
        <f>IF($X475=0,0,      _xll.qDateNext($X475,AG$12,"M",FRM&lt;&gt;"Calypso",CCY))</f>
        <v>0</v>
      </c>
      <c r="AH475" s="789">
        <f>IF($X475=0,0,      _xll.qDateNext($X475,AH$12,"M",FRM&lt;&gt;"Calypso",CCY))</f>
        <v>0</v>
      </c>
      <c r="AI475" s="789">
        <f>IF($X475=0,0,      _xll.qDateNext($X475,AI$12,"M",FRM&lt;&gt;"Calypso",CCY))</f>
        <v>0</v>
      </c>
      <c r="AJ475" s="529" t="str">
        <v/>
      </c>
      <c r="AK475" s="529" t="str">
        <v/>
      </c>
      <c r="AL475" s="529" t="str">
        <v/>
      </c>
      <c r="AM475" s="529" t="str">
        <v/>
      </c>
      <c r="AN475" s="529" t="str">
        <v/>
      </c>
      <c r="AO475" s="529" t="str">
        <v/>
      </c>
      <c r="AP475" s="529" t="str">
        <v/>
      </c>
      <c r="AQ475" s="529" t="str">
        <v/>
      </c>
      <c r="AR475" s="529">
        <v>0</v>
      </c>
      <c r="AS475" s="529">
        <v>0</v>
      </c>
      <c r="AT475" s="529">
        <f t="shared" si="130"/>
        <v>0</v>
      </c>
      <c r="AU475" s="529">
        <v>0</v>
      </c>
      <c r="AV475" s="529">
        <f t="shared" si="131"/>
        <v>0</v>
      </c>
      <c r="AW475" s="529">
        <f t="shared" si="132"/>
        <v>0</v>
      </c>
      <c r="AX475" s="529">
        <v>0</v>
      </c>
      <c r="AY475" s="529">
        <v>0</v>
      </c>
      <c r="AZ475" s="761">
        <f t="shared" si="121"/>
        <v>0</v>
      </c>
      <c r="BA475" s="761">
        <f t="shared" si="122"/>
        <v>0</v>
      </c>
      <c r="BB475" s="761">
        <f t="shared" si="123"/>
        <v>0</v>
      </c>
      <c r="BC475" s="761">
        <f t="shared" si="124"/>
        <v>0</v>
      </c>
      <c r="BD475" s="761">
        <f t="shared" si="125"/>
        <v>0</v>
      </c>
      <c r="BE475" s="761">
        <f t="shared" si="126"/>
        <v>0</v>
      </c>
      <c r="BF475" s="761">
        <f t="shared" si="127"/>
        <v>0</v>
      </c>
      <c r="BG475" s="761">
        <f t="shared" si="128"/>
        <v>0</v>
      </c>
      <c r="BH475" s="777">
        <v>0</v>
      </c>
      <c r="BI475" s="755"/>
      <c r="BJ475" s="778">
        <f>IF(X476=0,0,           IF(ISNUMBER(BI475),BI475,               IF(ISTEXT(BI475),INDEX(AZ475:BG475,MATCH(BI475,$AZ$12:$BG$12,0)),             IF(BH475="INT",_xll.qInterp(X476,AB475:AI475,AZ475:BG475),            INDEX(AZ475:BG475,MATCH(BH475,$AZ$12:$BG$12,0))))))</f>
        <v>0</v>
      </c>
      <c r="BK475" s="408">
        <f t="shared" si="133"/>
        <v>0</v>
      </c>
      <c r="BL475" s="414">
        <f t="shared" si="134"/>
        <v>0</v>
      </c>
      <c r="BM475" s="408">
        <f t="shared" si="135"/>
        <v>0</v>
      </c>
    </row>
    <row r="476" spans="16:65">
      <c r="P476" s="781">
        <v>0</v>
      </c>
      <c r="Q476" s="780">
        <f t="shared" si="119"/>
        <v>0</v>
      </c>
      <c r="R476" s="776">
        <f>IF(P477,_xll.qDateYears(P476,P477,DCCfixed),0)</f>
        <v>0</v>
      </c>
      <c r="S476" s="553">
        <v>0</v>
      </c>
      <c r="T476" s="785"/>
      <c r="U476" s="409">
        <f t="shared" si="129"/>
        <v>0</v>
      </c>
      <c r="X476" s="363">
        <v>0</v>
      </c>
      <c r="Y476" s="775">
        <f t="shared" si="120"/>
        <v>0</v>
      </c>
      <c r="Z476" s="776">
        <f>IF(X477,_xll.qDateYears(X476,X477,DCCfloat),0)</f>
        <v>0</v>
      </c>
      <c r="AA476" s="553">
        <v>0</v>
      </c>
      <c r="AB476" s="789">
        <f>IF($X476=0,0,      _xll.qDateNext($X476,AB$12,"M",FRM&lt;&gt;"Calypso",CCY))</f>
        <v>0</v>
      </c>
      <c r="AC476" s="789">
        <f>IF($X476=0,0,      _xll.qDateNext($X476,AC$12,"M",FRM&lt;&gt;"Calypso",CCY))</f>
        <v>0</v>
      </c>
      <c r="AD476" s="789">
        <f>IF($X476=0,0,      _xll.qDateNext($X476,AD$12,"M",FRM&lt;&gt;"Calypso",CCY))</f>
        <v>0</v>
      </c>
      <c r="AE476" s="789">
        <f>IF($X476=0,0,      _xll.qDateNext($X476,AE$12,"M",FRM&lt;&gt;"Calypso",CCY))</f>
        <v>0</v>
      </c>
      <c r="AF476" s="789">
        <f>IF($X476=0,0,      _xll.qDateNext($X476,AF$12,"M",FRM&lt;&gt;"Calypso",CCY))</f>
        <v>0</v>
      </c>
      <c r="AG476" s="789">
        <f>IF($X476=0,0,      _xll.qDateNext($X476,AG$12,"M",FRM&lt;&gt;"Calypso",CCY))</f>
        <v>0</v>
      </c>
      <c r="AH476" s="789">
        <f>IF($X476=0,0,      _xll.qDateNext($X476,AH$12,"M",FRM&lt;&gt;"Calypso",CCY))</f>
        <v>0</v>
      </c>
      <c r="AI476" s="789">
        <f>IF($X476=0,0,      _xll.qDateNext($X476,AI$12,"M",FRM&lt;&gt;"Calypso",CCY))</f>
        <v>0</v>
      </c>
      <c r="AJ476" s="529" t="str">
        <v/>
      </c>
      <c r="AK476" s="529" t="str">
        <v/>
      </c>
      <c r="AL476" s="529" t="str">
        <v/>
      </c>
      <c r="AM476" s="529" t="str">
        <v/>
      </c>
      <c r="AN476" s="529" t="str">
        <v/>
      </c>
      <c r="AO476" s="529" t="str">
        <v/>
      </c>
      <c r="AP476" s="529" t="str">
        <v/>
      </c>
      <c r="AQ476" s="529" t="str">
        <v/>
      </c>
      <c r="AR476" s="529">
        <v>0</v>
      </c>
      <c r="AS476" s="529">
        <v>0</v>
      </c>
      <c r="AT476" s="529">
        <f t="shared" si="130"/>
        <v>0</v>
      </c>
      <c r="AU476" s="529">
        <v>0</v>
      </c>
      <c r="AV476" s="529">
        <f t="shared" si="131"/>
        <v>0</v>
      </c>
      <c r="AW476" s="529">
        <f t="shared" si="132"/>
        <v>0</v>
      </c>
      <c r="AX476" s="529">
        <v>0</v>
      </c>
      <c r="AY476" s="529">
        <v>0</v>
      </c>
      <c r="AZ476" s="761">
        <f t="shared" si="121"/>
        <v>0</v>
      </c>
      <c r="BA476" s="761">
        <f t="shared" si="122"/>
        <v>0</v>
      </c>
      <c r="BB476" s="761">
        <f t="shared" si="123"/>
        <v>0</v>
      </c>
      <c r="BC476" s="761">
        <f t="shared" si="124"/>
        <v>0</v>
      </c>
      <c r="BD476" s="761">
        <f t="shared" si="125"/>
        <v>0</v>
      </c>
      <c r="BE476" s="761">
        <f t="shared" si="126"/>
        <v>0</v>
      </c>
      <c r="BF476" s="761">
        <f t="shared" si="127"/>
        <v>0</v>
      </c>
      <c r="BG476" s="761">
        <f t="shared" si="128"/>
        <v>0</v>
      </c>
      <c r="BH476" s="777">
        <v>0</v>
      </c>
      <c r="BI476" s="755"/>
      <c r="BJ476" s="778">
        <f>IF(X477=0,0,           IF(ISNUMBER(BI476),BI476,               IF(ISTEXT(BI476),INDEX(AZ476:BG476,MATCH(BI476,$AZ$12:$BG$12,0)),             IF(BH476="INT",_xll.qInterp(X477,AB476:AI476,AZ476:BG476),            INDEX(AZ476:BG476,MATCH(BH476,$AZ$12:$BG$12,0))))))</f>
        <v>0</v>
      </c>
      <c r="BK476" s="408">
        <f t="shared" si="133"/>
        <v>0</v>
      </c>
      <c r="BL476" s="414">
        <f t="shared" si="134"/>
        <v>0</v>
      </c>
      <c r="BM476" s="408">
        <f t="shared" si="135"/>
        <v>0</v>
      </c>
    </row>
    <row r="477" spans="16:65">
      <c r="P477" s="781">
        <v>0</v>
      </c>
      <c r="Q477" s="780">
        <f t="shared" si="119"/>
        <v>0</v>
      </c>
      <c r="R477" s="776">
        <f>IF(P478,_xll.qDateYears(P477,P478,DCCfixed),0)</f>
        <v>0</v>
      </c>
      <c r="S477" s="553">
        <v>0</v>
      </c>
      <c r="T477" s="785"/>
      <c r="U477" s="409">
        <f t="shared" si="129"/>
        <v>0</v>
      </c>
      <c r="X477" s="363">
        <v>0</v>
      </c>
      <c r="Y477" s="775">
        <f t="shared" si="120"/>
        <v>0</v>
      </c>
      <c r="Z477" s="776">
        <f>IF(X478,_xll.qDateYears(X477,X478,DCCfloat),0)</f>
        <v>0</v>
      </c>
      <c r="AA477" s="553">
        <v>0</v>
      </c>
      <c r="AB477" s="789">
        <f>IF($X477=0,0,      _xll.qDateNext($X477,AB$12,"M",FRM&lt;&gt;"Calypso",CCY))</f>
        <v>0</v>
      </c>
      <c r="AC477" s="789">
        <f>IF($X477=0,0,      _xll.qDateNext($X477,AC$12,"M",FRM&lt;&gt;"Calypso",CCY))</f>
        <v>0</v>
      </c>
      <c r="AD477" s="789">
        <f>IF($X477=0,0,      _xll.qDateNext($X477,AD$12,"M",FRM&lt;&gt;"Calypso",CCY))</f>
        <v>0</v>
      </c>
      <c r="AE477" s="789">
        <f>IF($X477=0,0,      _xll.qDateNext($X477,AE$12,"M",FRM&lt;&gt;"Calypso",CCY))</f>
        <v>0</v>
      </c>
      <c r="AF477" s="789">
        <f>IF($X477=0,0,      _xll.qDateNext($X477,AF$12,"M",FRM&lt;&gt;"Calypso",CCY))</f>
        <v>0</v>
      </c>
      <c r="AG477" s="789">
        <f>IF($X477=0,0,      _xll.qDateNext($X477,AG$12,"M",FRM&lt;&gt;"Calypso",CCY))</f>
        <v>0</v>
      </c>
      <c r="AH477" s="789">
        <f>IF($X477=0,0,      _xll.qDateNext($X477,AH$12,"M",FRM&lt;&gt;"Calypso",CCY))</f>
        <v>0</v>
      </c>
      <c r="AI477" s="789">
        <f>IF($X477=0,0,      _xll.qDateNext($X477,AI$12,"M",FRM&lt;&gt;"Calypso",CCY))</f>
        <v>0</v>
      </c>
      <c r="AJ477" s="529" t="str">
        <v/>
      </c>
      <c r="AK477" s="529" t="str">
        <v/>
      </c>
      <c r="AL477" s="529" t="str">
        <v/>
      </c>
      <c r="AM477" s="529" t="str">
        <v/>
      </c>
      <c r="AN477" s="529" t="str">
        <v/>
      </c>
      <c r="AO477" s="529" t="str">
        <v/>
      </c>
      <c r="AP477" s="529" t="str">
        <v/>
      </c>
      <c r="AQ477" s="529" t="str">
        <v/>
      </c>
      <c r="AR477" s="529">
        <v>0</v>
      </c>
      <c r="AS477" s="529">
        <v>0</v>
      </c>
      <c r="AT477" s="529">
        <f t="shared" si="130"/>
        <v>0</v>
      </c>
      <c r="AU477" s="529">
        <v>0</v>
      </c>
      <c r="AV477" s="529">
        <f t="shared" si="131"/>
        <v>0</v>
      </c>
      <c r="AW477" s="529">
        <f t="shared" si="132"/>
        <v>0</v>
      </c>
      <c r="AX477" s="529">
        <v>0</v>
      </c>
      <c r="AY477" s="529">
        <v>0</v>
      </c>
      <c r="AZ477" s="761">
        <f t="shared" si="121"/>
        <v>0</v>
      </c>
      <c r="BA477" s="761">
        <f t="shared" si="122"/>
        <v>0</v>
      </c>
      <c r="BB477" s="761">
        <f t="shared" si="123"/>
        <v>0</v>
      </c>
      <c r="BC477" s="761">
        <f t="shared" si="124"/>
        <v>0</v>
      </c>
      <c r="BD477" s="761">
        <f t="shared" si="125"/>
        <v>0</v>
      </c>
      <c r="BE477" s="761">
        <f t="shared" si="126"/>
        <v>0</v>
      </c>
      <c r="BF477" s="761">
        <f t="shared" si="127"/>
        <v>0</v>
      </c>
      <c r="BG477" s="761">
        <f t="shared" si="128"/>
        <v>0</v>
      </c>
      <c r="BH477" s="777">
        <v>0</v>
      </c>
      <c r="BI477" s="755"/>
      <c r="BJ477" s="778">
        <f>IF(X478=0,0,           IF(ISNUMBER(BI477),BI477,               IF(ISTEXT(BI477),INDEX(AZ477:BG477,MATCH(BI477,$AZ$12:$BG$12,0)),             IF(BH477="INT",_xll.qInterp(X478,AB477:AI477,AZ477:BG477),            INDEX(AZ477:BG477,MATCH(BH477,$AZ$12:$BG$12,0))))))</f>
        <v>0</v>
      </c>
      <c r="BK477" s="408">
        <f t="shared" si="133"/>
        <v>0</v>
      </c>
      <c r="BL477" s="414">
        <f t="shared" si="134"/>
        <v>0</v>
      </c>
      <c r="BM477" s="408">
        <f t="shared" si="135"/>
        <v>0</v>
      </c>
    </row>
    <row r="478" spans="16:65">
      <c r="P478" s="781">
        <v>0</v>
      </c>
      <c r="Q478" s="780">
        <f t="shared" si="119"/>
        <v>0</v>
      </c>
      <c r="R478" s="776">
        <f>IF(P479,_xll.qDateYears(P478,P479,DCCfixed),0)</f>
        <v>0</v>
      </c>
      <c r="S478" s="553">
        <v>0</v>
      </c>
      <c r="T478" s="785"/>
      <c r="U478" s="409">
        <f t="shared" si="129"/>
        <v>0</v>
      </c>
      <c r="X478" s="363">
        <v>0</v>
      </c>
      <c r="Y478" s="775">
        <f t="shared" si="120"/>
        <v>0</v>
      </c>
      <c r="Z478" s="776">
        <f>IF(X479,_xll.qDateYears(X478,X479,DCCfloat),0)</f>
        <v>0</v>
      </c>
      <c r="AA478" s="553">
        <v>0</v>
      </c>
      <c r="AB478" s="789">
        <f>IF($X478=0,0,      _xll.qDateNext($X478,AB$12,"M",FRM&lt;&gt;"Calypso",CCY))</f>
        <v>0</v>
      </c>
      <c r="AC478" s="789">
        <f>IF($X478=0,0,      _xll.qDateNext($X478,AC$12,"M",FRM&lt;&gt;"Calypso",CCY))</f>
        <v>0</v>
      </c>
      <c r="AD478" s="789">
        <f>IF($X478=0,0,      _xll.qDateNext($X478,AD$12,"M",FRM&lt;&gt;"Calypso",CCY))</f>
        <v>0</v>
      </c>
      <c r="AE478" s="789">
        <f>IF($X478=0,0,      _xll.qDateNext($X478,AE$12,"M",FRM&lt;&gt;"Calypso",CCY))</f>
        <v>0</v>
      </c>
      <c r="AF478" s="789">
        <f>IF($X478=0,0,      _xll.qDateNext($X478,AF$12,"M",FRM&lt;&gt;"Calypso",CCY))</f>
        <v>0</v>
      </c>
      <c r="AG478" s="789">
        <f>IF($X478=0,0,      _xll.qDateNext($X478,AG$12,"M",FRM&lt;&gt;"Calypso",CCY))</f>
        <v>0</v>
      </c>
      <c r="AH478" s="789">
        <f>IF($X478=0,0,      _xll.qDateNext($X478,AH$12,"M",FRM&lt;&gt;"Calypso",CCY))</f>
        <v>0</v>
      </c>
      <c r="AI478" s="789">
        <f>IF($X478=0,0,      _xll.qDateNext($X478,AI$12,"M",FRM&lt;&gt;"Calypso",CCY))</f>
        <v>0</v>
      </c>
      <c r="AJ478" s="529" t="str">
        <v/>
      </c>
      <c r="AK478" s="529" t="str">
        <v/>
      </c>
      <c r="AL478" s="529" t="str">
        <v/>
      </c>
      <c r="AM478" s="529" t="str">
        <v/>
      </c>
      <c r="AN478" s="529" t="str">
        <v/>
      </c>
      <c r="AO478" s="529" t="str">
        <v/>
      </c>
      <c r="AP478" s="529" t="str">
        <v/>
      </c>
      <c r="AQ478" s="529" t="str">
        <v/>
      </c>
      <c r="AR478" s="529">
        <v>0</v>
      </c>
      <c r="AS478" s="529">
        <v>0</v>
      </c>
      <c r="AT478" s="529">
        <f t="shared" si="130"/>
        <v>0</v>
      </c>
      <c r="AU478" s="529">
        <v>0</v>
      </c>
      <c r="AV478" s="529">
        <f t="shared" si="131"/>
        <v>0</v>
      </c>
      <c r="AW478" s="529">
        <f t="shared" si="132"/>
        <v>0</v>
      </c>
      <c r="AX478" s="529">
        <v>0</v>
      </c>
      <c r="AY478" s="529">
        <v>0</v>
      </c>
      <c r="AZ478" s="761">
        <f t="shared" si="121"/>
        <v>0</v>
      </c>
      <c r="BA478" s="761">
        <f t="shared" si="122"/>
        <v>0</v>
      </c>
      <c r="BB478" s="761">
        <f t="shared" si="123"/>
        <v>0</v>
      </c>
      <c r="BC478" s="761">
        <f t="shared" si="124"/>
        <v>0</v>
      </c>
      <c r="BD478" s="761">
        <f t="shared" si="125"/>
        <v>0</v>
      </c>
      <c r="BE478" s="761">
        <f t="shared" si="126"/>
        <v>0</v>
      </c>
      <c r="BF478" s="761">
        <f t="shared" si="127"/>
        <v>0</v>
      </c>
      <c r="BG478" s="761">
        <f t="shared" si="128"/>
        <v>0</v>
      </c>
      <c r="BH478" s="777">
        <v>0</v>
      </c>
      <c r="BI478" s="755"/>
      <c r="BJ478" s="778">
        <f>IF(X479=0,0,           IF(ISNUMBER(BI478),BI478,               IF(ISTEXT(BI478),INDEX(AZ478:BG478,MATCH(BI478,$AZ$12:$BG$12,0)),             IF(BH478="INT",_xll.qInterp(X479,AB478:AI478,AZ478:BG478),            INDEX(AZ478:BG478,MATCH(BH478,$AZ$12:$BG$12,0))))))</f>
        <v>0</v>
      </c>
      <c r="BK478" s="408">
        <f t="shared" si="133"/>
        <v>0</v>
      </c>
      <c r="BL478" s="414">
        <f t="shared" si="134"/>
        <v>0</v>
      </c>
      <c r="BM478" s="408">
        <f t="shared" si="135"/>
        <v>0</v>
      </c>
    </row>
    <row r="479" spans="16:65">
      <c r="P479" s="781">
        <v>0</v>
      </c>
      <c r="Q479" s="780">
        <f t="shared" si="119"/>
        <v>0</v>
      </c>
      <c r="R479" s="776">
        <f>IF(P480,_xll.qDateYears(P479,P480,DCCfixed),0)</f>
        <v>0</v>
      </c>
      <c r="S479" s="553">
        <v>0</v>
      </c>
      <c r="T479" s="785"/>
      <c r="U479" s="409">
        <f t="shared" si="129"/>
        <v>0</v>
      </c>
      <c r="X479" s="363">
        <v>0</v>
      </c>
      <c r="Y479" s="775">
        <f t="shared" si="120"/>
        <v>0</v>
      </c>
      <c r="Z479" s="776">
        <f>IF(X480,_xll.qDateYears(X479,X480,DCCfloat),0)</f>
        <v>0</v>
      </c>
      <c r="AA479" s="553">
        <v>0</v>
      </c>
      <c r="AB479" s="789">
        <f>IF($X479=0,0,      _xll.qDateNext($X479,AB$12,"M",FRM&lt;&gt;"Calypso",CCY))</f>
        <v>0</v>
      </c>
      <c r="AC479" s="789">
        <f>IF($X479=0,0,      _xll.qDateNext($X479,AC$12,"M",FRM&lt;&gt;"Calypso",CCY))</f>
        <v>0</v>
      </c>
      <c r="AD479" s="789">
        <f>IF($X479=0,0,      _xll.qDateNext($X479,AD$12,"M",FRM&lt;&gt;"Calypso",CCY))</f>
        <v>0</v>
      </c>
      <c r="AE479" s="789">
        <f>IF($X479=0,0,      _xll.qDateNext($X479,AE$12,"M",FRM&lt;&gt;"Calypso",CCY))</f>
        <v>0</v>
      </c>
      <c r="AF479" s="789">
        <f>IF($X479=0,0,      _xll.qDateNext($X479,AF$12,"M",FRM&lt;&gt;"Calypso",CCY))</f>
        <v>0</v>
      </c>
      <c r="AG479" s="789">
        <f>IF($X479=0,0,      _xll.qDateNext($X479,AG$12,"M",FRM&lt;&gt;"Calypso",CCY))</f>
        <v>0</v>
      </c>
      <c r="AH479" s="789">
        <f>IF($X479=0,0,      _xll.qDateNext($X479,AH$12,"M",FRM&lt;&gt;"Calypso",CCY))</f>
        <v>0</v>
      </c>
      <c r="AI479" s="789">
        <f>IF($X479=0,0,      _xll.qDateNext($X479,AI$12,"M",FRM&lt;&gt;"Calypso",CCY))</f>
        <v>0</v>
      </c>
      <c r="AJ479" s="529" t="str">
        <v/>
      </c>
      <c r="AK479" s="529" t="str">
        <v/>
      </c>
      <c r="AL479" s="529" t="str">
        <v/>
      </c>
      <c r="AM479" s="529" t="str">
        <v/>
      </c>
      <c r="AN479" s="529" t="str">
        <v/>
      </c>
      <c r="AO479" s="529" t="str">
        <v/>
      </c>
      <c r="AP479" s="529" t="str">
        <v/>
      </c>
      <c r="AQ479" s="529" t="str">
        <v/>
      </c>
      <c r="AR479" s="529">
        <v>0</v>
      </c>
      <c r="AS479" s="529">
        <v>0</v>
      </c>
      <c r="AT479" s="529">
        <f t="shared" si="130"/>
        <v>0</v>
      </c>
      <c r="AU479" s="529">
        <v>0</v>
      </c>
      <c r="AV479" s="529">
        <f t="shared" si="131"/>
        <v>0</v>
      </c>
      <c r="AW479" s="529">
        <f t="shared" si="132"/>
        <v>0</v>
      </c>
      <c r="AX479" s="529">
        <v>0</v>
      </c>
      <c r="AY479" s="529">
        <v>0</v>
      </c>
      <c r="AZ479" s="761">
        <f t="shared" si="121"/>
        <v>0</v>
      </c>
      <c r="BA479" s="761">
        <f t="shared" si="122"/>
        <v>0</v>
      </c>
      <c r="BB479" s="761">
        <f t="shared" si="123"/>
        <v>0</v>
      </c>
      <c r="BC479" s="761">
        <f t="shared" si="124"/>
        <v>0</v>
      </c>
      <c r="BD479" s="761">
        <f t="shared" si="125"/>
        <v>0</v>
      </c>
      <c r="BE479" s="761">
        <f t="shared" si="126"/>
        <v>0</v>
      </c>
      <c r="BF479" s="761">
        <f t="shared" si="127"/>
        <v>0</v>
      </c>
      <c r="BG479" s="761">
        <f t="shared" si="128"/>
        <v>0</v>
      </c>
      <c r="BH479" s="777">
        <v>0</v>
      </c>
      <c r="BI479" s="755"/>
      <c r="BJ479" s="778">
        <f>IF(X480=0,0,           IF(ISNUMBER(BI479),BI479,               IF(ISTEXT(BI479),INDEX(AZ479:BG479,MATCH(BI479,$AZ$12:$BG$12,0)),             IF(BH479="INT",_xll.qInterp(X480,AB479:AI479,AZ479:BG479),            INDEX(AZ479:BG479,MATCH(BH479,$AZ$12:$BG$12,0))))))</f>
        <v>0</v>
      </c>
      <c r="BK479" s="408">
        <f t="shared" si="133"/>
        <v>0</v>
      </c>
      <c r="BL479" s="414">
        <f t="shared" si="134"/>
        <v>0</v>
      </c>
      <c r="BM479" s="408">
        <f t="shared" si="135"/>
        <v>0</v>
      </c>
    </row>
    <row r="480" spans="16:65">
      <c r="P480" s="781">
        <v>0</v>
      </c>
      <c r="Q480" s="780">
        <f t="shared" si="119"/>
        <v>0</v>
      </c>
      <c r="R480" s="776">
        <f>IF(P481,_xll.qDateYears(P480,P481,DCCfixed),0)</f>
        <v>0</v>
      </c>
      <c r="S480" s="553">
        <v>0</v>
      </c>
      <c r="T480" s="785"/>
      <c r="U480" s="409">
        <f t="shared" si="129"/>
        <v>0</v>
      </c>
      <c r="X480" s="363">
        <v>0</v>
      </c>
      <c r="Y480" s="775">
        <f t="shared" si="120"/>
        <v>0</v>
      </c>
      <c r="Z480" s="776">
        <f>IF(X481,_xll.qDateYears(X480,X481,DCCfloat),0)</f>
        <v>0</v>
      </c>
      <c r="AA480" s="553">
        <v>0</v>
      </c>
      <c r="AB480" s="789">
        <f>IF($X480=0,0,      _xll.qDateNext($X480,AB$12,"M",FRM&lt;&gt;"Calypso",CCY))</f>
        <v>0</v>
      </c>
      <c r="AC480" s="789">
        <f>IF($X480=0,0,      _xll.qDateNext($X480,AC$12,"M",FRM&lt;&gt;"Calypso",CCY))</f>
        <v>0</v>
      </c>
      <c r="AD480" s="789">
        <f>IF($X480=0,0,      _xll.qDateNext($X480,AD$12,"M",FRM&lt;&gt;"Calypso",CCY))</f>
        <v>0</v>
      </c>
      <c r="AE480" s="789">
        <f>IF($X480=0,0,      _xll.qDateNext($X480,AE$12,"M",FRM&lt;&gt;"Calypso",CCY))</f>
        <v>0</v>
      </c>
      <c r="AF480" s="789">
        <f>IF($X480=0,0,      _xll.qDateNext($X480,AF$12,"M",FRM&lt;&gt;"Calypso",CCY))</f>
        <v>0</v>
      </c>
      <c r="AG480" s="789">
        <f>IF($X480=0,0,      _xll.qDateNext($X480,AG$12,"M",FRM&lt;&gt;"Calypso",CCY))</f>
        <v>0</v>
      </c>
      <c r="AH480" s="789">
        <f>IF($X480=0,0,      _xll.qDateNext($X480,AH$12,"M",FRM&lt;&gt;"Calypso",CCY))</f>
        <v>0</v>
      </c>
      <c r="AI480" s="789">
        <f>IF($X480=0,0,      _xll.qDateNext($X480,AI$12,"M",FRM&lt;&gt;"Calypso",CCY))</f>
        <v>0</v>
      </c>
      <c r="AJ480" s="529" t="str">
        <v/>
      </c>
      <c r="AK480" s="529" t="str">
        <v/>
      </c>
      <c r="AL480" s="529" t="str">
        <v/>
      </c>
      <c r="AM480" s="529" t="str">
        <v/>
      </c>
      <c r="AN480" s="529" t="str">
        <v/>
      </c>
      <c r="AO480" s="529" t="str">
        <v/>
      </c>
      <c r="AP480" s="529" t="str">
        <v/>
      </c>
      <c r="AQ480" s="529" t="str">
        <v/>
      </c>
      <c r="AR480" s="529">
        <v>0</v>
      </c>
      <c r="AS480" s="529">
        <v>0</v>
      </c>
      <c r="AT480" s="529">
        <f t="shared" si="130"/>
        <v>0</v>
      </c>
      <c r="AU480" s="529">
        <v>0</v>
      </c>
      <c r="AV480" s="529">
        <f t="shared" si="131"/>
        <v>0</v>
      </c>
      <c r="AW480" s="529">
        <f t="shared" si="132"/>
        <v>0</v>
      </c>
      <c r="AX480" s="529">
        <v>0</v>
      </c>
      <c r="AY480" s="529">
        <v>0</v>
      </c>
      <c r="AZ480" s="761">
        <f t="shared" si="121"/>
        <v>0</v>
      </c>
      <c r="BA480" s="761">
        <f t="shared" si="122"/>
        <v>0</v>
      </c>
      <c r="BB480" s="761">
        <f t="shared" si="123"/>
        <v>0</v>
      </c>
      <c r="BC480" s="761">
        <f t="shared" si="124"/>
        <v>0</v>
      </c>
      <c r="BD480" s="761">
        <f t="shared" si="125"/>
        <v>0</v>
      </c>
      <c r="BE480" s="761">
        <f t="shared" si="126"/>
        <v>0</v>
      </c>
      <c r="BF480" s="761">
        <f t="shared" si="127"/>
        <v>0</v>
      </c>
      <c r="BG480" s="761">
        <f t="shared" si="128"/>
        <v>0</v>
      </c>
      <c r="BH480" s="777">
        <v>0</v>
      </c>
      <c r="BI480" s="755"/>
      <c r="BJ480" s="778">
        <f>IF(X481=0,0,           IF(ISNUMBER(BI480),BI480,               IF(ISTEXT(BI480),INDEX(AZ480:BG480,MATCH(BI480,$AZ$12:$BG$12,0)),             IF(BH480="INT",_xll.qInterp(X481,AB480:AI480,AZ480:BG480),            INDEX(AZ480:BG480,MATCH(BH480,$AZ$12:$BG$12,0))))))</f>
        <v>0</v>
      </c>
      <c r="BK480" s="408">
        <f t="shared" si="133"/>
        <v>0</v>
      </c>
      <c r="BL480" s="414">
        <f t="shared" si="134"/>
        <v>0</v>
      </c>
      <c r="BM480" s="408">
        <f t="shared" si="135"/>
        <v>0</v>
      </c>
    </row>
    <row r="481" spans="16:65">
      <c r="P481" s="781">
        <v>0</v>
      </c>
      <c r="Q481" s="780">
        <f t="shared" si="119"/>
        <v>0</v>
      </c>
      <c r="R481" s="776">
        <f>IF(P482,_xll.qDateYears(P481,P482,DCCfixed),0)</f>
        <v>0</v>
      </c>
      <c r="S481" s="553">
        <v>0</v>
      </c>
      <c r="T481" s="785"/>
      <c r="U481" s="409">
        <f t="shared" si="129"/>
        <v>0</v>
      </c>
      <c r="X481" s="363">
        <v>0</v>
      </c>
      <c r="Y481" s="775">
        <f t="shared" si="120"/>
        <v>0</v>
      </c>
      <c r="Z481" s="776">
        <f>IF(X482,_xll.qDateYears(X481,X482,DCCfloat),0)</f>
        <v>0</v>
      </c>
      <c r="AA481" s="553">
        <v>0</v>
      </c>
      <c r="AB481" s="789">
        <f>IF($X481=0,0,      _xll.qDateNext($X481,AB$12,"M",FRM&lt;&gt;"Calypso",CCY))</f>
        <v>0</v>
      </c>
      <c r="AC481" s="789">
        <f>IF($X481=0,0,      _xll.qDateNext($X481,AC$12,"M",FRM&lt;&gt;"Calypso",CCY))</f>
        <v>0</v>
      </c>
      <c r="AD481" s="789">
        <f>IF($X481=0,0,      _xll.qDateNext($X481,AD$12,"M",FRM&lt;&gt;"Calypso",CCY))</f>
        <v>0</v>
      </c>
      <c r="AE481" s="789">
        <f>IF($X481=0,0,      _xll.qDateNext($X481,AE$12,"M",FRM&lt;&gt;"Calypso",CCY))</f>
        <v>0</v>
      </c>
      <c r="AF481" s="789">
        <f>IF($X481=0,0,      _xll.qDateNext($X481,AF$12,"M",FRM&lt;&gt;"Calypso",CCY))</f>
        <v>0</v>
      </c>
      <c r="AG481" s="789">
        <f>IF($X481=0,0,      _xll.qDateNext($X481,AG$12,"M",FRM&lt;&gt;"Calypso",CCY))</f>
        <v>0</v>
      </c>
      <c r="AH481" s="789">
        <f>IF($X481=0,0,      _xll.qDateNext($X481,AH$12,"M",FRM&lt;&gt;"Calypso",CCY))</f>
        <v>0</v>
      </c>
      <c r="AI481" s="789">
        <f>IF($X481=0,0,      _xll.qDateNext($X481,AI$12,"M",FRM&lt;&gt;"Calypso",CCY))</f>
        <v>0</v>
      </c>
      <c r="AJ481" s="529" t="str">
        <v/>
      </c>
      <c r="AK481" s="529" t="str">
        <v/>
      </c>
      <c r="AL481" s="529" t="str">
        <v/>
      </c>
      <c r="AM481" s="529" t="str">
        <v/>
      </c>
      <c r="AN481" s="529" t="str">
        <v/>
      </c>
      <c r="AO481" s="529" t="str">
        <v/>
      </c>
      <c r="AP481" s="529" t="str">
        <v/>
      </c>
      <c r="AQ481" s="529" t="str">
        <v/>
      </c>
      <c r="AR481" s="529">
        <v>0</v>
      </c>
      <c r="AS481" s="529">
        <v>0</v>
      </c>
      <c r="AT481" s="529">
        <f t="shared" si="130"/>
        <v>0</v>
      </c>
      <c r="AU481" s="529">
        <v>0</v>
      </c>
      <c r="AV481" s="529">
        <f t="shared" si="131"/>
        <v>0</v>
      </c>
      <c r="AW481" s="529">
        <f t="shared" si="132"/>
        <v>0</v>
      </c>
      <c r="AX481" s="529">
        <v>0</v>
      </c>
      <c r="AY481" s="529">
        <v>0</v>
      </c>
      <c r="AZ481" s="761">
        <f t="shared" si="121"/>
        <v>0</v>
      </c>
      <c r="BA481" s="761">
        <f t="shared" si="122"/>
        <v>0</v>
      </c>
      <c r="BB481" s="761">
        <f t="shared" si="123"/>
        <v>0</v>
      </c>
      <c r="BC481" s="761">
        <f t="shared" si="124"/>
        <v>0</v>
      </c>
      <c r="BD481" s="761">
        <f t="shared" si="125"/>
        <v>0</v>
      </c>
      <c r="BE481" s="761">
        <f t="shared" si="126"/>
        <v>0</v>
      </c>
      <c r="BF481" s="761">
        <f t="shared" si="127"/>
        <v>0</v>
      </c>
      <c r="BG481" s="761">
        <f t="shared" si="128"/>
        <v>0</v>
      </c>
      <c r="BH481" s="777">
        <v>0</v>
      </c>
      <c r="BI481" s="755"/>
      <c r="BJ481" s="778">
        <f>IF(X482=0,0,           IF(ISNUMBER(BI481),BI481,               IF(ISTEXT(BI481),INDEX(AZ481:BG481,MATCH(BI481,$AZ$12:$BG$12,0)),             IF(BH481="INT",_xll.qInterp(X482,AB481:AI481,AZ481:BG481),            INDEX(AZ481:BG481,MATCH(BH481,$AZ$12:$BG$12,0))))))</f>
        <v>0</v>
      </c>
      <c r="BK481" s="408">
        <f t="shared" si="133"/>
        <v>0</v>
      </c>
      <c r="BL481" s="414">
        <f t="shared" si="134"/>
        <v>0</v>
      </c>
      <c r="BM481" s="408">
        <f t="shared" si="135"/>
        <v>0</v>
      </c>
    </row>
    <row r="482" spans="16:65">
      <c r="P482" s="781">
        <v>0</v>
      </c>
      <c r="Q482" s="780">
        <f t="shared" si="119"/>
        <v>0</v>
      </c>
      <c r="R482" s="776">
        <f>IF(P483,_xll.qDateYears(P482,P483,DCCfixed),0)</f>
        <v>0</v>
      </c>
      <c r="S482" s="553">
        <v>0</v>
      </c>
      <c r="T482" s="785"/>
      <c r="U482" s="409">
        <f t="shared" si="129"/>
        <v>0</v>
      </c>
      <c r="X482" s="363">
        <v>0</v>
      </c>
      <c r="Y482" s="775">
        <f t="shared" si="120"/>
        <v>0</v>
      </c>
      <c r="Z482" s="776">
        <f>IF(X483,_xll.qDateYears(X482,X483,DCCfloat),0)</f>
        <v>0</v>
      </c>
      <c r="AA482" s="553">
        <v>0</v>
      </c>
      <c r="AB482" s="789">
        <f>IF($X482=0,0,      _xll.qDateNext($X482,AB$12,"M",FRM&lt;&gt;"Calypso",CCY))</f>
        <v>0</v>
      </c>
      <c r="AC482" s="789">
        <f>IF($X482=0,0,      _xll.qDateNext($X482,AC$12,"M",FRM&lt;&gt;"Calypso",CCY))</f>
        <v>0</v>
      </c>
      <c r="AD482" s="789">
        <f>IF($X482=0,0,      _xll.qDateNext($X482,AD$12,"M",FRM&lt;&gt;"Calypso",CCY))</f>
        <v>0</v>
      </c>
      <c r="AE482" s="789">
        <f>IF($X482=0,0,      _xll.qDateNext($X482,AE$12,"M",FRM&lt;&gt;"Calypso",CCY))</f>
        <v>0</v>
      </c>
      <c r="AF482" s="789">
        <f>IF($X482=0,0,      _xll.qDateNext($X482,AF$12,"M",FRM&lt;&gt;"Calypso",CCY))</f>
        <v>0</v>
      </c>
      <c r="AG482" s="789">
        <f>IF($X482=0,0,      _xll.qDateNext($X482,AG$12,"M",FRM&lt;&gt;"Calypso",CCY))</f>
        <v>0</v>
      </c>
      <c r="AH482" s="789">
        <f>IF($X482=0,0,      _xll.qDateNext($X482,AH$12,"M",FRM&lt;&gt;"Calypso",CCY))</f>
        <v>0</v>
      </c>
      <c r="AI482" s="789">
        <f>IF($X482=0,0,      _xll.qDateNext($X482,AI$12,"M",FRM&lt;&gt;"Calypso",CCY))</f>
        <v>0</v>
      </c>
      <c r="AJ482" s="529" t="str">
        <v/>
      </c>
      <c r="AK482" s="529" t="str">
        <v/>
      </c>
      <c r="AL482" s="529" t="str">
        <v/>
      </c>
      <c r="AM482" s="529" t="str">
        <v/>
      </c>
      <c r="AN482" s="529" t="str">
        <v/>
      </c>
      <c r="AO482" s="529" t="str">
        <v/>
      </c>
      <c r="AP482" s="529" t="str">
        <v/>
      </c>
      <c r="AQ482" s="529" t="str">
        <v/>
      </c>
      <c r="AR482" s="529">
        <v>0</v>
      </c>
      <c r="AS482" s="529">
        <v>0</v>
      </c>
      <c r="AT482" s="529">
        <f t="shared" si="130"/>
        <v>0</v>
      </c>
      <c r="AU482" s="529">
        <v>0</v>
      </c>
      <c r="AV482" s="529">
        <f t="shared" si="131"/>
        <v>0</v>
      </c>
      <c r="AW482" s="529">
        <f t="shared" si="132"/>
        <v>0</v>
      </c>
      <c r="AX482" s="529">
        <v>0</v>
      </c>
      <c r="AY482" s="529">
        <v>0</v>
      </c>
      <c r="AZ482" s="761">
        <f t="shared" si="121"/>
        <v>0</v>
      </c>
      <c r="BA482" s="761">
        <f t="shared" si="122"/>
        <v>0</v>
      </c>
      <c r="BB482" s="761">
        <f t="shared" si="123"/>
        <v>0</v>
      </c>
      <c r="BC482" s="761">
        <f t="shared" si="124"/>
        <v>0</v>
      </c>
      <c r="BD482" s="761">
        <f t="shared" si="125"/>
        <v>0</v>
      </c>
      <c r="BE482" s="761">
        <f t="shared" si="126"/>
        <v>0</v>
      </c>
      <c r="BF482" s="761">
        <f t="shared" si="127"/>
        <v>0</v>
      </c>
      <c r="BG482" s="761">
        <f t="shared" si="128"/>
        <v>0</v>
      </c>
      <c r="BH482" s="777">
        <v>0</v>
      </c>
      <c r="BI482" s="755"/>
      <c r="BJ482" s="778">
        <f>IF(X483=0,0,           IF(ISNUMBER(BI482),BI482,               IF(ISTEXT(BI482),INDEX(AZ482:BG482,MATCH(BI482,$AZ$12:$BG$12,0)),             IF(BH482="INT",_xll.qInterp(X483,AB482:AI482,AZ482:BG482),            INDEX(AZ482:BG482,MATCH(BH482,$AZ$12:$BG$12,0))))))</f>
        <v>0</v>
      </c>
      <c r="BK482" s="408">
        <f t="shared" si="133"/>
        <v>0</v>
      </c>
      <c r="BL482" s="414">
        <f t="shared" si="134"/>
        <v>0</v>
      </c>
      <c r="BM482" s="408">
        <f t="shared" si="135"/>
        <v>0</v>
      </c>
    </row>
    <row r="483" spans="16:65">
      <c r="P483" s="781">
        <v>0</v>
      </c>
      <c r="Q483" s="780">
        <f t="shared" si="119"/>
        <v>0</v>
      </c>
      <c r="R483" s="776">
        <f>IF(P484,_xll.qDateYears(P483,P484,DCCfixed),0)</f>
        <v>0</v>
      </c>
      <c r="S483" s="553">
        <v>0</v>
      </c>
      <c r="T483" s="785"/>
      <c r="U483" s="409">
        <f t="shared" si="129"/>
        <v>0</v>
      </c>
      <c r="X483" s="363">
        <v>0</v>
      </c>
      <c r="Y483" s="775">
        <f t="shared" si="120"/>
        <v>0</v>
      </c>
      <c r="Z483" s="776">
        <f>IF(X484,_xll.qDateYears(X483,X484,DCCfloat),0)</f>
        <v>0</v>
      </c>
      <c r="AA483" s="553">
        <v>0</v>
      </c>
      <c r="AB483" s="789">
        <f>IF($X483=0,0,      _xll.qDateNext($X483,AB$12,"M",FRM&lt;&gt;"Calypso",CCY))</f>
        <v>0</v>
      </c>
      <c r="AC483" s="789">
        <f>IF($X483=0,0,      _xll.qDateNext($X483,AC$12,"M",FRM&lt;&gt;"Calypso",CCY))</f>
        <v>0</v>
      </c>
      <c r="AD483" s="789">
        <f>IF($X483=0,0,      _xll.qDateNext($X483,AD$12,"M",FRM&lt;&gt;"Calypso",CCY))</f>
        <v>0</v>
      </c>
      <c r="AE483" s="789">
        <f>IF($X483=0,0,      _xll.qDateNext($X483,AE$12,"M",FRM&lt;&gt;"Calypso",CCY))</f>
        <v>0</v>
      </c>
      <c r="AF483" s="789">
        <f>IF($X483=0,0,      _xll.qDateNext($X483,AF$12,"M",FRM&lt;&gt;"Calypso",CCY))</f>
        <v>0</v>
      </c>
      <c r="AG483" s="789">
        <f>IF($X483=0,0,      _xll.qDateNext($X483,AG$12,"M",FRM&lt;&gt;"Calypso",CCY))</f>
        <v>0</v>
      </c>
      <c r="AH483" s="789">
        <f>IF($X483=0,0,      _xll.qDateNext($X483,AH$12,"M",FRM&lt;&gt;"Calypso",CCY))</f>
        <v>0</v>
      </c>
      <c r="AI483" s="789">
        <f>IF($X483=0,0,      _xll.qDateNext($X483,AI$12,"M",FRM&lt;&gt;"Calypso",CCY))</f>
        <v>0</v>
      </c>
      <c r="AJ483" s="529" t="str">
        <v/>
      </c>
      <c r="AK483" s="529" t="str">
        <v/>
      </c>
      <c r="AL483" s="529" t="str">
        <v/>
      </c>
      <c r="AM483" s="529" t="str">
        <v/>
      </c>
      <c r="AN483" s="529" t="str">
        <v/>
      </c>
      <c r="AO483" s="529" t="str">
        <v/>
      </c>
      <c r="AP483" s="529" t="str">
        <v/>
      </c>
      <c r="AQ483" s="529" t="str">
        <v/>
      </c>
      <c r="AR483" s="529">
        <v>0</v>
      </c>
      <c r="AS483" s="529">
        <v>0</v>
      </c>
      <c r="AT483" s="529">
        <f t="shared" si="130"/>
        <v>0</v>
      </c>
      <c r="AU483" s="529">
        <v>0</v>
      </c>
      <c r="AV483" s="529">
        <f t="shared" si="131"/>
        <v>0</v>
      </c>
      <c r="AW483" s="529">
        <f t="shared" si="132"/>
        <v>0</v>
      </c>
      <c r="AX483" s="529">
        <v>0</v>
      </c>
      <c r="AY483" s="529">
        <v>0</v>
      </c>
      <c r="AZ483" s="761">
        <f t="shared" si="121"/>
        <v>0</v>
      </c>
      <c r="BA483" s="761">
        <f t="shared" si="122"/>
        <v>0</v>
      </c>
      <c r="BB483" s="761">
        <f t="shared" si="123"/>
        <v>0</v>
      </c>
      <c r="BC483" s="761">
        <f t="shared" si="124"/>
        <v>0</v>
      </c>
      <c r="BD483" s="761">
        <f t="shared" si="125"/>
        <v>0</v>
      </c>
      <c r="BE483" s="761">
        <f t="shared" si="126"/>
        <v>0</v>
      </c>
      <c r="BF483" s="761">
        <f t="shared" si="127"/>
        <v>0</v>
      </c>
      <c r="BG483" s="761">
        <f t="shared" si="128"/>
        <v>0</v>
      </c>
      <c r="BH483" s="777">
        <v>0</v>
      </c>
      <c r="BI483" s="755"/>
      <c r="BJ483" s="778">
        <f>IF(X484=0,0,           IF(ISNUMBER(BI483),BI483,               IF(ISTEXT(BI483),INDEX(AZ483:BG483,MATCH(BI483,$AZ$12:$BG$12,0)),             IF(BH483="INT",_xll.qInterp(X484,AB483:AI483,AZ483:BG483),            INDEX(AZ483:BG483,MATCH(BH483,$AZ$12:$BG$12,0))))))</f>
        <v>0</v>
      </c>
      <c r="BK483" s="408">
        <f t="shared" si="133"/>
        <v>0</v>
      </c>
      <c r="BL483" s="414">
        <f t="shared" si="134"/>
        <v>0</v>
      </c>
      <c r="BM483" s="408">
        <f t="shared" si="135"/>
        <v>0</v>
      </c>
    </row>
    <row r="484" spans="16:65">
      <c r="P484" s="781">
        <v>0</v>
      </c>
      <c r="Q484" s="780">
        <f t="shared" si="119"/>
        <v>0</v>
      </c>
      <c r="R484" s="776">
        <f>IF(P485,_xll.qDateYears(P484,P485,DCCfixed),0)</f>
        <v>0</v>
      </c>
      <c r="S484" s="553">
        <v>0</v>
      </c>
      <c r="T484" s="785"/>
      <c r="U484" s="409">
        <f t="shared" si="129"/>
        <v>0</v>
      </c>
      <c r="X484" s="363">
        <v>0</v>
      </c>
      <c r="Y484" s="775">
        <f t="shared" si="120"/>
        <v>0</v>
      </c>
      <c r="Z484" s="776">
        <f>IF(X485,_xll.qDateYears(X484,X485,DCCfloat),0)</f>
        <v>0</v>
      </c>
      <c r="AA484" s="553">
        <v>0</v>
      </c>
      <c r="AB484" s="789">
        <f>IF($X484=0,0,      _xll.qDateNext($X484,AB$12,"M",FRM&lt;&gt;"Calypso",CCY))</f>
        <v>0</v>
      </c>
      <c r="AC484" s="789">
        <f>IF($X484=0,0,      _xll.qDateNext($X484,AC$12,"M",FRM&lt;&gt;"Calypso",CCY))</f>
        <v>0</v>
      </c>
      <c r="AD484" s="789">
        <f>IF($X484=0,0,      _xll.qDateNext($X484,AD$12,"M",FRM&lt;&gt;"Calypso",CCY))</f>
        <v>0</v>
      </c>
      <c r="AE484" s="789">
        <f>IF($X484=0,0,      _xll.qDateNext($X484,AE$12,"M",FRM&lt;&gt;"Calypso",CCY))</f>
        <v>0</v>
      </c>
      <c r="AF484" s="789">
        <f>IF($X484=0,0,      _xll.qDateNext($X484,AF$12,"M",FRM&lt;&gt;"Calypso",CCY))</f>
        <v>0</v>
      </c>
      <c r="AG484" s="789">
        <f>IF($X484=0,0,      _xll.qDateNext($X484,AG$12,"M",FRM&lt;&gt;"Calypso",CCY))</f>
        <v>0</v>
      </c>
      <c r="AH484" s="789">
        <f>IF($X484=0,0,      _xll.qDateNext($X484,AH$12,"M",FRM&lt;&gt;"Calypso",CCY))</f>
        <v>0</v>
      </c>
      <c r="AI484" s="789">
        <f>IF($X484=0,0,      _xll.qDateNext($X484,AI$12,"M",FRM&lt;&gt;"Calypso",CCY))</f>
        <v>0</v>
      </c>
      <c r="AJ484" s="529" t="str">
        <v/>
      </c>
      <c r="AK484" s="529" t="str">
        <v/>
      </c>
      <c r="AL484" s="529" t="str">
        <v/>
      </c>
      <c r="AM484" s="529" t="str">
        <v/>
      </c>
      <c r="AN484" s="529" t="str">
        <v/>
      </c>
      <c r="AO484" s="529" t="str">
        <v/>
      </c>
      <c r="AP484" s="529" t="str">
        <v/>
      </c>
      <c r="AQ484" s="529" t="str">
        <v/>
      </c>
      <c r="AR484" s="529">
        <v>0</v>
      </c>
      <c r="AS484" s="529">
        <v>0</v>
      </c>
      <c r="AT484" s="529">
        <f t="shared" si="130"/>
        <v>0</v>
      </c>
      <c r="AU484" s="529">
        <v>0</v>
      </c>
      <c r="AV484" s="529">
        <f t="shared" si="131"/>
        <v>0</v>
      </c>
      <c r="AW484" s="529">
        <f t="shared" si="132"/>
        <v>0</v>
      </c>
      <c r="AX484" s="529">
        <v>0</v>
      </c>
      <c r="AY484" s="529">
        <v>0</v>
      </c>
      <c r="AZ484" s="761">
        <f t="shared" si="121"/>
        <v>0</v>
      </c>
      <c r="BA484" s="761">
        <f t="shared" si="122"/>
        <v>0</v>
      </c>
      <c r="BB484" s="761">
        <f t="shared" si="123"/>
        <v>0</v>
      </c>
      <c r="BC484" s="761">
        <f t="shared" si="124"/>
        <v>0</v>
      </c>
      <c r="BD484" s="761">
        <f t="shared" si="125"/>
        <v>0</v>
      </c>
      <c r="BE484" s="761">
        <f t="shared" si="126"/>
        <v>0</v>
      </c>
      <c r="BF484" s="761">
        <f t="shared" si="127"/>
        <v>0</v>
      </c>
      <c r="BG484" s="761">
        <f t="shared" si="128"/>
        <v>0</v>
      </c>
      <c r="BH484" s="777">
        <v>0</v>
      </c>
      <c r="BI484" s="755"/>
      <c r="BJ484" s="778">
        <f>IF(X485=0,0,           IF(ISNUMBER(BI484),BI484,               IF(ISTEXT(BI484),INDEX(AZ484:BG484,MATCH(BI484,$AZ$12:$BG$12,0)),             IF(BH484="INT",_xll.qInterp(X485,AB484:AI484,AZ484:BG484),            INDEX(AZ484:BG484,MATCH(BH484,$AZ$12:$BG$12,0))))))</f>
        <v>0</v>
      </c>
      <c r="BK484" s="408">
        <f t="shared" si="133"/>
        <v>0</v>
      </c>
      <c r="BL484" s="414">
        <f t="shared" si="134"/>
        <v>0</v>
      </c>
      <c r="BM484" s="408">
        <f t="shared" si="135"/>
        <v>0</v>
      </c>
    </row>
    <row r="485" spans="16:65">
      <c r="P485" s="781">
        <v>0</v>
      </c>
      <c r="Q485" s="780">
        <f t="shared" si="119"/>
        <v>0</v>
      </c>
      <c r="R485" s="776">
        <f>IF(P486,_xll.qDateYears(P485,P486,DCCfixed),0)</f>
        <v>0</v>
      </c>
      <c r="S485" s="553">
        <v>0</v>
      </c>
      <c r="T485" s="785"/>
      <c r="U485" s="409">
        <f t="shared" si="129"/>
        <v>0</v>
      </c>
      <c r="X485" s="363">
        <v>0</v>
      </c>
      <c r="Y485" s="775">
        <f t="shared" si="120"/>
        <v>0</v>
      </c>
      <c r="Z485" s="776">
        <f>IF(X486,_xll.qDateYears(X485,X486,DCCfloat),0)</f>
        <v>0</v>
      </c>
      <c r="AA485" s="553">
        <v>0</v>
      </c>
      <c r="AB485" s="789">
        <f>IF($X485=0,0,      _xll.qDateNext($X485,AB$12,"M",FRM&lt;&gt;"Calypso",CCY))</f>
        <v>0</v>
      </c>
      <c r="AC485" s="789">
        <f>IF($X485=0,0,      _xll.qDateNext($X485,AC$12,"M",FRM&lt;&gt;"Calypso",CCY))</f>
        <v>0</v>
      </c>
      <c r="AD485" s="789">
        <f>IF($X485=0,0,      _xll.qDateNext($X485,AD$12,"M",FRM&lt;&gt;"Calypso",CCY))</f>
        <v>0</v>
      </c>
      <c r="AE485" s="789">
        <f>IF($X485=0,0,      _xll.qDateNext($X485,AE$12,"M",FRM&lt;&gt;"Calypso",CCY))</f>
        <v>0</v>
      </c>
      <c r="AF485" s="789">
        <f>IF($X485=0,0,      _xll.qDateNext($X485,AF$12,"M",FRM&lt;&gt;"Calypso",CCY))</f>
        <v>0</v>
      </c>
      <c r="AG485" s="789">
        <f>IF($X485=0,0,      _xll.qDateNext($X485,AG$12,"M",FRM&lt;&gt;"Calypso",CCY))</f>
        <v>0</v>
      </c>
      <c r="AH485" s="789">
        <f>IF($X485=0,0,      _xll.qDateNext($X485,AH$12,"M",FRM&lt;&gt;"Calypso",CCY))</f>
        <v>0</v>
      </c>
      <c r="AI485" s="789">
        <f>IF($X485=0,0,      _xll.qDateNext($X485,AI$12,"M",FRM&lt;&gt;"Calypso",CCY))</f>
        <v>0</v>
      </c>
      <c r="AJ485" s="529" t="str">
        <v/>
      </c>
      <c r="AK485" s="529" t="str">
        <v/>
      </c>
      <c r="AL485" s="529" t="str">
        <v/>
      </c>
      <c r="AM485" s="529" t="str">
        <v/>
      </c>
      <c r="AN485" s="529" t="str">
        <v/>
      </c>
      <c r="AO485" s="529" t="str">
        <v/>
      </c>
      <c r="AP485" s="529" t="str">
        <v/>
      </c>
      <c r="AQ485" s="529" t="str">
        <v/>
      </c>
      <c r="AR485" s="529">
        <v>0</v>
      </c>
      <c r="AS485" s="529">
        <v>0</v>
      </c>
      <c r="AT485" s="529">
        <f t="shared" si="130"/>
        <v>0</v>
      </c>
      <c r="AU485" s="529">
        <v>0</v>
      </c>
      <c r="AV485" s="529">
        <f t="shared" si="131"/>
        <v>0</v>
      </c>
      <c r="AW485" s="529">
        <f t="shared" si="132"/>
        <v>0</v>
      </c>
      <c r="AX485" s="529">
        <v>0</v>
      </c>
      <c r="AY485" s="529">
        <v>0</v>
      </c>
      <c r="AZ485" s="761">
        <f t="shared" si="121"/>
        <v>0</v>
      </c>
      <c r="BA485" s="761">
        <f t="shared" si="122"/>
        <v>0</v>
      </c>
      <c r="BB485" s="761">
        <f t="shared" si="123"/>
        <v>0</v>
      </c>
      <c r="BC485" s="761">
        <f t="shared" si="124"/>
        <v>0</v>
      </c>
      <c r="BD485" s="761">
        <f t="shared" si="125"/>
        <v>0</v>
      </c>
      <c r="BE485" s="761">
        <f t="shared" si="126"/>
        <v>0</v>
      </c>
      <c r="BF485" s="761">
        <f t="shared" si="127"/>
        <v>0</v>
      </c>
      <c r="BG485" s="761">
        <f t="shared" si="128"/>
        <v>0</v>
      </c>
      <c r="BH485" s="777">
        <v>0</v>
      </c>
      <c r="BI485" s="755"/>
      <c r="BJ485" s="778">
        <f>IF(X486=0,0,           IF(ISNUMBER(BI485),BI485,               IF(ISTEXT(BI485),INDEX(AZ485:BG485,MATCH(BI485,$AZ$12:$BG$12,0)),             IF(BH485="INT",_xll.qInterp(X486,AB485:AI485,AZ485:BG485),            INDEX(AZ485:BG485,MATCH(BH485,$AZ$12:$BG$12,0))))))</f>
        <v>0</v>
      </c>
      <c r="BK485" s="408">
        <f t="shared" si="133"/>
        <v>0</v>
      </c>
      <c r="BL485" s="414">
        <f t="shared" si="134"/>
        <v>0</v>
      </c>
      <c r="BM485" s="408">
        <f t="shared" si="135"/>
        <v>0</v>
      </c>
    </row>
    <row r="486" spans="16:65">
      <c r="P486" s="781">
        <v>0</v>
      </c>
      <c r="Q486" s="780">
        <f t="shared" si="119"/>
        <v>0</v>
      </c>
      <c r="R486" s="776">
        <f>IF(P487,_xll.qDateYears(P486,P487,DCCfixed),0)</f>
        <v>0</v>
      </c>
      <c r="S486" s="553">
        <v>0</v>
      </c>
      <c r="T486" s="785"/>
      <c r="U486" s="409">
        <f t="shared" si="129"/>
        <v>0</v>
      </c>
      <c r="X486" s="363">
        <v>0</v>
      </c>
      <c r="Y486" s="775">
        <f t="shared" si="120"/>
        <v>0</v>
      </c>
      <c r="Z486" s="776">
        <f>IF(X487,_xll.qDateYears(X486,X487,DCCfloat),0)</f>
        <v>0</v>
      </c>
      <c r="AA486" s="553">
        <v>0</v>
      </c>
      <c r="AB486" s="789">
        <f>IF($X486=0,0,      _xll.qDateNext($X486,AB$12,"M",FRM&lt;&gt;"Calypso",CCY))</f>
        <v>0</v>
      </c>
      <c r="AC486" s="789">
        <f>IF($X486=0,0,      _xll.qDateNext($X486,AC$12,"M",FRM&lt;&gt;"Calypso",CCY))</f>
        <v>0</v>
      </c>
      <c r="AD486" s="789">
        <f>IF($X486=0,0,      _xll.qDateNext($X486,AD$12,"M",FRM&lt;&gt;"Calypso",CCY))</f>
        <v>0</v>
      </c>
      <c r="AE486" s="789">
        <f>IF($X486=0,0,      _xll.qDateNext($X486,AE$12,"M",FRM&lt;&gt;"Calypso",CCY))</f>
        <v>0</v>
      </c>
      <c r="AF486" s="789">
        <f>IF($X486=0,0,      _xll.qDateNext($X486,AF$12,"M",FRM&lt;&gt;"Calypso",CCY))</f>
        <v>0</v>
      </c>
      <c r="AG486" s="789">
        <f>IF($X486=0,0,      _xll.qDateNext($X486,AG$12,"M",FRM&lt;&gt;"Calypso",CCY))</f>
        <v>0</v>
      </c>
      <c r="AH486" s="789">
        <f>IF($X486=0,0,      _xll.qDateNext($X486,AH$12,"M",FRM&lt;&gt;"Calypso",CCY))</f>
        <v>0</v>
      </c>
      <c r="AI486" s="789">
        <f>IF($X486=0,0,      _xll.qDateNext($X486,AI$12,"M",FRM&lt;&gt;"Calypso",CCY))</f>
        <v>0</v>
      </c>
      <c r="AJ486" s="529" t="str">
        <v/>
      </c>
      <c r="AK486" s="529" t="str">
        <v/>
      </c>
      <c r="AL486" s="529" t="str">
        <v/>
      </c>
      <c r="AM486" s="529" t="str">
        <v/>
      </c>
      <c r="AN486" s="529" t="str">
        <v/>
      </c>
      <c r="AO486" s="529" t="str">
        <v/>
      </c>
      <c r="AP486" s="529" t="str">
        <v/>
      </c>
      <c r="AQ486" s="529" t="str">
        <v/>
      </c>
      <c r="AR486" s="529">
        <v>0</v>
      </c>
      <c r="AS486" s="529">
        <v>0</v>
      </c>
      <c r="AT486" s="529">
        <f t="shared" si="130"/>
        <v>0</v>
      </c>
      <c r="AU486" s="529">
        <v>0</v>
      </c>
      <c r="AV486" s="529">
        <f t="shared" si="131"/>
        <v>0</v>
      </c>
      <c r="AW486" s="529">
        <f t="shared" si="132"/>
        <v>0</v>
      </c>
      <c r="AX486" s="529">
        <v>0</v>
      </c>
      <c r="AY486" s="529">
        <v>0</v>
      </c>
      <c r="AZ486" s="761">
        <f t="shared" si="121"/>
        <v>0</v>
      </c>
      <c r="BA486" s="761">
        <f t="shared" si="122"/>
        <v>0</v>
      </c>
      <c r="BB486" s="761">
        <f t="shared" si="123"/>
        <v>0</v>
      </c>
      <c r="BC486" s="761">
        <f t="shared" si="124"/>
        <v>0</v>
      </c>
      <c r="BD486" s="761">
        <f t="shared" si="125"/>
        <v>0</v>
      </c>
      <c r="BE486" s="761">
        <f t="shared" si="126"/>
        <v>0</v>
      </c>
      <c r="BF486" s="761">
        <f t="shared" si="127"/>
        <v>0</v>
      </c>
      <c r="BG486" s="761">
        <f t="shared" si="128"/>
        <v>0</v>
      </c>
      <c r="BH486" s="777">
        <v>0</v>
      </c>
      <c r="BI486" s="755"/>
      <c r="BJ486" s="778">
        <f>IF(X487=0,0,           IF(ISNUMBER(BI486),BI486,               IF(ISTEXT(BI486),INDEX(AZ486:BG486,MATCH(BI486,$AZ$12:$BG$12,0)),             IF(BH486="INT",_xll.qInterp(X487,AB486:AI486,AZ486:BG486),            INDEX(AZ486:BG486,MATCH(BH486,$AZ$12:$BG$12,0))))))</f>
        <v>0</v>
      </c>
      <c r="BK486" s="408">
        <f t="shared" si="133"/>
        <v>0</v>
      </c>
      <c r="BL486" s="414">
        <f t="shared" si="134"/>
        <v>0</v>
      </c>
      <c r="BM486" s="408">
        <f t="shared" si="135"/>
        <v>0</v>
      </c>
    </row>
    <row r="487" spans="16:65">
      <c r="P487" s="781">
        <v>0</v>
      </c>
      <c r="Q487" s="780">
        <f t="shared" si="119"/>
        <v>0</v>
      </c>
      <c r="R487" s="776">
        <f>IF(P488,_xll.qDateYears(P487,P488,DCCfixed),0)</f>
        <v>0</v>
      </c>
      <c r="S487" s="553">
        <v>0</v>
      </c>
      <c r="T487" s="785"/>
      <c r="U487" s="409">
        <f t="shared" si="129"/>
        <v>0</v>
      </c>
      <c r="X487" s="363">
        <v>0</v>
      </c>
      <c r="Y487" s="775">
        <f t="shared" si="120"/>
        <v>0</v>
      </c>
      <c r="Z487" s="776">
        <f>IF(X488,_xll.qDateYears(X487,X488,DCCfloat),0)</f>
        <v>0</v>
      </c>
      <c r="AA487" s="553">
        <v>0</v>
      </c>
      <c r="AB487" s="789">
        <f>IF($X487=0,0,      _xll.qDateNext($X487,AB$12,"M",FRM&lt;&gt;"Calypso",CCY))</f>
        <v>0</v>
      </c>
      <c r="AC487" s="789">
        <f>IF($X487=0,0,      _xll.qDateNext($X487,AC$12,"M",FRM&lt;&gt;"Calypso",CCY))</f>
        <v>0</v>
      </c>
      <c r="AD487" s="789">
        <f>IF($X487=0,0,      _xll.qDateNext($X487,AD$12,"M",FRM&lt;&gt;"Calypso",CCY))</f>
        <v>0</v>
      </c>
      <c r="AE487" s="789">
        <f>IF($X487=0,0,      _xll.qDateNext($X487,AE$12,"M",FRM&lt;&gt;"Calypso",CCY))</f>
        <v>0</v>
      </c>
      <c r="AF487" s="789">
        <f>IF($X487=0,0,      _xll.qDateNext($X487,AF$12,"M",FRM&lt;&gt;"Calypso",CCY))</f>
        <v>0</v>
      </c>
      <c r="AG487" s="789">
        <f>IF($X487=0,0,      _xll.qDateNext($X487,AG$12,"M",FRM&lt;&gt;"Calypso",CCY))</f>
        <v>0</v>
      </c>
      <c r="AH487" s="789">
        <f>IF($X487=0,0,      _xll.qDateNext($X487,AH$12,"M",FRM&lt;&gt;"Calypso",CCY))</f>
        <v>0</v>
      </c>
      <c r="AI487" s="789">
        <f>IF($X487=0,0,      _xll.qDateNext($X487,AI$12,"M",FRM&lt;&gt;"Calypso",CCY))</f>
        <v>0</v>
      </c>
      <c r="AJ487" s="529" t="str">
        <v/>
      </c>
      <c r="AK487" s="529" t="str">
        <v/>
      </c>
      <c r="AL487" s="529" t="str">
        <v/>
      </c>
      <c r="AM487" s="529" t="str">
        <v/>
      </c>
      <c r="AN487" s="529" t="str">
        <v/>
      </c>
      <c r="AO487" s="529" t="str">
        <v/>
      </c>
      <c r="AP487" s="529" t="str">
        <v/>
      </c>
      <c r="AQ487" s="529" t="str">
        <v/>
      </c>
      <c r="AR487" s="529">
        <v>0</v>
      </c>
      <c r="AS487" s="529">
        <v>0</v>
      </c>
      <c r="AT487" s="529">
        <f t="shared" si="130"/>
        <v>0</v>
      </c>
      <c r="AU487" s="529">
        <v>0</v>
      </c>
      <c r="AV487" s="529">
        <f t="shared" si="131"/>
        <v>0</v>
      </c>
      <c r="AW487" s="529">
        <f t="shared" si="132"/>
        <v>0</v>
      </c>
      <c r="AX487" s="529">
        <v>0</v>
      </c>
      <c r="AY487" s="529">
        <v>0</v>
      </c>
      <c r="AZ487" s="761">
        <f t="shared" si="121"/>
        <v>0</v>
      </c>
      <c r="BA487" s="761">
        <f t="shared" si="122"/>
        <v>0</v>
      </c>
      <c r="BB487" s="761">
        <f t="shared" si="123"/>
        <v>0</v>
      </c>
      <c r="BC487" s="761">
        <f t="shared" si="124"/>
        <v>0</v>
      </c>
      <c r="BD487" s="761">
        <f t="shared" si="125"/>
        <v>0</v>
      </c>
      <c r="BE487" s="761">
        <f t="shared" si="126"/>
        <v>0</v>
      </c>
      <c r="BF487" s="761">
        <f t="shared" si="127"/>
        <v>0</v>
      </c>
      <c r="BG487" s="761">
        <f t="shared" si="128"/>
        <v>0</v>
      </c>
      <c r="BH487" s="777">
        <v>0</v>
      </c>
      <c r="BI487" s="755"/>
      <c r="BJ487" s="778">
        <f>IF(X488=0,0,           IF(ISNUMBER(BI487),BI487,               IF(ISTEXT(BI487),INDEX(AZ487:BG487,MATCH(BI487,$AZ$12:$BG$12,0)),             IF(BH487="INT",_xll.qInterp(X488,AB487:AI487,AZ487:BG487),            INDEX(AZ487:BG487,MATCH(BH487,$AZ$12:$BG$12,0))))))</f>
        <v>0</v>
      </c>
      <c r="BK487" s="408">
        <f t="shared" si="133"/>
        <v>0</v>
      </c>
      <c r="BL487" s="414">
        <f t="shared" si="134"/>
        <v>0</v>
      </c>
      <c r="BM487" s="408">
        <f t="shared" si="135"/>
        <v>0</v>
      </c>
    </row>
    <row r="488" spans="16:65">
      <c r="P488" s="781">
        <v>0</v>
      </c>
      <c r="Q488" s="780">
        <f t="shared" si="119"/>
        <v>0</v>
      </c>
      <c r="R488" s="776">
        <f>IF(P489,_xll.qDateYears(P488,P489,DCCfixed),0)</f>
        <v>0</v>
      </c>
      <c r="S488" s="553">
        <v>0</v>
      </c>
      <c r="T488" s="785"/>
      <c r="U488" s="409">
        <f t="shared" si="129"/>
        <v>0</v>
      </c>
      <c r="X488" s="363">
        <v>0</v>
      </c>
      <c r="Y488" s="775">
        <f t="shared" si="120"/>
        <v>0</v>
      </c>
      <c r="Z488" s="776">
        <f>IF(X489,_xll.qDateYears(X488,X489,DCCfloat),0)</f>
        <v>0</v>
      </c>
      <c r="AA488" s="553">
        <v>0</v>
      </c>
      <c r="AB488" s="789">
        <f>IF($X488=0,0,      _xll.qDateNext($X488,AB$12,"M",FRM&lt;&gt;"Calypso",CCY))</f>
        <v>0</v>
      </c>
      <c r="AC488" s="789">
        <f>IF($X488=0,0,      _xll.qDateNext($X488,AC$12,"M",FRM&lt;&gt;"Calypso",CCY))</f>
        <v>0</v>
      </c>
      <c r="AD488" s="789">
        <f>IF($X488=0,0,      _xll.qDateNext($X488,AD$12,"M",FRM&lt;&gt;"Calypso",CCY))</f>
        <v>0</v>
      </c>
      <c r="AE488" s="789">
        <f>IF($X488=0,0,      _xll.qDateNext($X488,AE$12,"M",FRM&lt;&gt;"Calypso",CCY))</f>
        <v>0</v>
      </c>
      <c r="AF488" s="789">
        <f>IF($X488=0,0,      _xll.qDateNext($X488,AF$12,"M",FRM&lt;&gt;"Calypso",CCY))</f>
        <v>0</v>
      </c>
      <c r="AG488" s="789">
        <f>IF($X488=0,0,      _xll.qDateNext($X488,AG$12,"M",FRM&lt;&gt;"Calypso",CCY))</f>
        <v>0</v>
      </c>
      <c r="AH488" s="789">
        <f>IF($X488=0,0,      _xll.qDateNext($X488,AH$12,"M",FRM&lt;&gt;"Calypso",CCY))</f>
        <v>0</v>
      </c>
      <c r="AI488" s="789">
        <f>IF($X488=0,0,      _xll.qDateNext($X488,AI$12,"M",FRM&lt;&gt;"Calypso",CCY))</f>
        <v>0</v>
      </c>
      <c r="AJ488" s="529" t="str">
        <v/>
      </c>
      <c r="AK488" s="529" t="str">
        <v/>
      </c>
      <c r="AL488" s="529" t="str">
        <v/>
      </c>
      <c r="AM488" s="529" t="str">
        <v/>
      </c>
      <c r="AN488" s="529" t="str">
        <v/>
      </c>
      <c r="AO488" s="529" t="str">
        <v/>
      </c>
      <c r="AP488" s="529" t="str">
        <v/>
      </c>
      <c r="AQ488" s="529" t="str">
        <v/>
      </c>
      <c r="AR488" s="529">
        <v>0</v>
      </c>
      <c r="AS488" s="529">
        <v>0</v>
      </c>
      <c r="AT488" s="529">
        <f t="shared" si="130"/>
        <v>0</v>
      </c>
      <c r="AU488" s="529">
        <v>0</v>
      </c>
      <c r="AV488" s="529">
        <f t="shared" si="131"/>
        <v>0</v>
      </c>
      <c r="AW488" s="529">
        <f t="shared" si="132"/>
        <v>0</v>
      </c>
      <c r="AX488" s="529">
        <v>0</v>
      </c>
      <c r="AY488" s="529">
        <v>0</v>
      </c>
      <c r="AZ488" s="761">
        <f t="shared" si="121"/>
        <v>0</v>
      </c>
      <c r="BA488" s="761">
        <f t="shared" si="122"/>
        <v>0</v>
      </c>
      <c r="BB488" s="761">
        <f t="shared" si="123"/>
        <v>0</v>
      </c>
      <c r="BC488" s="761">
        <f t="shared" si="124"/>
        <v>0</v>
      </c>
      <c r="BD488" s="761">
        <f t="shared" si="125"/>
        <v>0</v>
      </c>
      <c r="BE488" s="761">
        <f t="shared" si="126"/>
        <v>0</v>
      </c>
      <c r="BF488" s="761">
        <f t="shared" si="127"/>
        <v>0</v>
      </c>
      <c r="BG488" s="761">
        <f t="shared" si="128"/>
        <v>0</v>
      </c>
      <c r="BH488" s="777">
        <v>0</v>
      </c>
      <c r="BI488" s="755"/>
      <c r="BJ488" s="778">
        <f>IF(X489=0,0,           IF(ISNUMBER(BI488),BI488,               IF(ISTEXT(BI488),INDEX(AZ488:BG488,MATCH(BI488,$AZ$12:$BG$12,0)),             IF(BH488="INT",_xll.qInterp(X489,AB488:AI488,AZ488:BG488),            INDEX(AZ488:BG488,MATCH(BH488,$AZ$12:$BG$12,0))))))</f>
        <v>0</v>
      </c>
      <c r="BK488" s="408">
        <f t="shared" si="133"/>
        <v>0</v>
      </c>
      <c r="BL488" s="414">
        <f t="shared" si="134"/>
        <v>0</v>
      </c>
      <c r="BM488" s="408">
        <f t="shared" si="135"/>
        <v>0</v>
      </c>
    </row>
    <row r="489" spans="16:65">
      <c r="P489" s="781">
        <v>0</v>
      </c>
      <c r="Q489" s="780">
        <f t="shared" si="119"/>
        <v>0</v>
      </c>
      <c r="R489" s="776">
        <f>IF(P490,_xll.qDateYears(P489,P490,DCCfixed),0)</f>
        <v>0</v>
      </c>
      <c r="S489" s="553">
        <v>0</v>
      </c>
      <c r="T489" s="785"/>
      <c r="U489" s="409">
        <f t="shared" si="129"/>
        <v>0</v>
      </c>
      <c r="X489" s="363">
        <v>0</v>
      </c>
      <c r="Y489" s="775">
        <f t="shared" si="120"/>
        <v>0</v>
      </c>
      <c r="Z489" s="776">
        <f>IF(X490,_xll.qDateYears(X489,X490,DCCfloat),0)</f>
        <v>0</v>
      </c>
      <c r="AA489" s="553">
        <v>0</v>
      </c>
      <c r="AB489" s="789">
        <f>IF($X489=0,0,      _xll.qDateNext($X489,AB$12,"M",FRM&lt;&gt;"Calypso",CCY))</f>
        <v>0</v>
      </c>
      <c r="AC489" s="789">
        <f>IF($X489=0,0,      _xll.qDateNext($X489,AC$12,"M",FRM&lt;&gt;"Calypso",CCY))</f>
        <v>0</v>
      </c>
      <c r="AD489" s="789">
        <f>IF($X489=0,0,      _xll.qDateNext($X489,AD$12,"M",FRM&lt;&gt;"Calypso",CCY))</f>
        <v>0</v>
      </c>
      <c r="AE489" s="789">
        <f>IF($X489=0,0,      _xll.qDateNext($X489,AE$12,"M",FRM&lt;&gt;"Calypso",CCY))</f>
        <v>0</v>
      </c>
      <c r="AF489" s="789">
        <f>IF($X489=0,0,      _xll.qDateNext($X489,AF$12,"M",FRM&lt;&gt;"Calypso",CCY))</f>
        <v>0</v>
      </c>
      <c r="AG489" s="789">
        <f>IF($X489=0,0,      _xll.qDateNext($X489,AG$12,"M",FRM&lt;&gt;"Calypso",CCY))</f>
        <v>0</v>
      </c>
      <c r="AH489" s="789">
        <f>IF($X489=0,0,      _xll.qDateNext($X489,AH$12,"M",FRM&lt;&gt;"Calypso",CCY))</f>
        <v>0</v>
      </c>
      <c r="AI489" s="789">
        <f>IF($X489=0,0,      _xll.qDateNext($X489,AI$12,"M",FRM&lt;&gt;"Calypso",CCY))</f>
        <v>0</v>
      </c>
      <c r="AJ489" s="529" t="str">
        <v/>
      </c>
      <c r="AK489" s="529" t="str">
        <v/>
      </c>
      <c r="AL489" s="529" t="str">
        <v/>
      </c>
      <c r="AM489" s="529" t="str">
        <v/>
      </c>
      <c r="AN489" s="529" t="str">
        <v/>
      </c>
      <c r="AO489" s="529" t="str">
        <v/>
      </c>
      <c r="AP489" s="529" t="str">
        <v/>
      </c>
      <c r="AQ489" s="529" t="str">
        <v/>
      </c>
      <c r="AR489" s="529">
        <v>0</v>
      </c>
      <c r="AS489" s="529">
        <v>0</v>
      </c>
      <c r="AT489" s="529">
        <f t="shared" si="130"/>
        <v>0</v>
      </c>
      <c r="AU489" s="529">
        <v>0</v>
      </c>
      <c r="AV489" s="529">
        <f t="shared" si="131"/>
        <v>0</v>
      </c>
      <c r="AW489" s="529">
        <f t="shared" si="132"/>
        <v>0</v>
      </c>
      <c r="AX489" s="529">
        <v>0</v>
      </c>
      <c r="AY489" s="529">
        <v>0</v>
      </c>
      <c r="AZ489" s="761">
        <f t="shared" si="121"/>
        <v>0</v>
      </c>
      <c r="BA489" s="761">
        <f t="shared" si="122"/>
        <v>0</v>
      </c>
      <c r="BB489" s="761">
        <f t="shared" si="123"/>
        <v>0</v>
      </c>
      <c r="BC489" s="761">
        <f t="shared" si="124"/>
        <v>0</v>
      </c>
      <c r="BD489" s="761">
        <f t="shared" si="125"/>
        <v>0</v>
      </c>
      <c r="BE489" s="761">
        <f t="shared" si="126"/>
        <v>0</v>
      </c>
      <c r="BF489" s="761">
        <f t="shared" si="127"/>
        <v>0</v>
      </c>
      <c r="BG489" s="761">
        <f t="shared" si="128"/>
        <v>0</v>
      </c>
      <c r="BH489" s="777">
        <v>0</v>
      </c>
      <c r="BI489" s="755"/>
      <c r="BJ489" s="778">
        <f>IF(X490=0,0,           IF(ISNUMBER(BI489),BI489,               IF(ISTEXT(BI489),INDEX(AZ489:BG489,MATCH(BI489,$AZ$12:$BG$12,0)),             IF(BH489="INT",_xll.qInterp(X490,AB489:AI489,AZ489:BG489),            INDEX(AZ489:BG489,MATCH(BH489,$AZ$12:$BG$12,0))))))</f>
        <v>0</v>
      </c>
      <c r="BK489" s="408">
        <f t="shared" si="133"/>
        <v>0</v>
      </c>
      <c r="BL489" s="414">
        <f t="shared" si="134"/>
        <v>0</v>
      </c>
      <c r="BM489" s="408">
        <f t="shared" si="135"/>
        <v>0</v>
      </c>
    </row>
    <row r="490" spans="16:65">
      <c r="P490" s="781">
        <v>0</v>
      </c>
      <c r="Q490" s="780">
        <f t="shared" si="119"/>
        <v>0</v>
      </c>
      <c r="R490" s="776">
        <f>IF(P491,_xll.qDateYears(P490,P491,DCCfixed),0)</f>
        <v>0</v>
      </c>
      <c r="S490" s="553">
        <v>0</v>
      </c>
      <c r="T490" s="785"/>
      <c r="U490" s="409">
        <f t="shared" si="129"/>
        <v>0</v>
      </c>
      <c r="X490" s="363">
        <v>0</v>
      </c>
      <c r="Y490" s="775">
        <f t="shared" si="120"/>
        <v>0</v>
      </c>
      <c r="Z490" s="776">
        <f>IF(X491,_xll.qDateYears(X490,X491,DCCfloat),0)</f>
        <v>0</v>
      </c>
      <c r="AA490" s="553">
        <v>0</v>
      </c>
      <c r="AB490" s="789">
        <f>IF($X490=0,0,      _xll.qDateNext($X490,AB$12,"M",FRM&lt;&gt;"Calypso",CCY))</f>
        <v>0</v>
      </c>
      <c r="AC490" s="789">
        <f>IF($X490=0,0,      _xll.qDateNext($X490,AC$12,"M",FRM&lt;&gt;"Calypso",CCY))</f>
        <v>0</v>
      </c>
      <c r="AD490" s="789">
        <f>IF($X490=0,0,      _xll.qDateNext($X490,AD$12,"M",FRM&lt;&gt;"Calypso",CCY))</f>
        <v>0</v>
      </c>
      <c r="AE490" s="789">
        <f>IF($X490=0,0,      _xll.qDateNext($X490,AE$12,"M",FRM&lt;&gt;"Calypso",CCY))</f>
        <v>0</v>
      </c>
      <c r="AF490" s="789">
        <f>IF($X490=0,0,      _xll.qDateNext($X490,AF$12,"M",FRM&lt;&gt;"Calypso",CCY))</f>
        <v>0</v>
      </c>
      <c r="AG490" s="789">
        <f>IF($X490=0,0,      _xll.qDateNext($X490,AG$12,"M",FRM&lt;&gt;"Calypso",CCY))</f>
        <v>0</v>
      </c>
      <c r="AH490" s="789">
        <f>IF($X490=0,0,      _xll.qDateNext($X490,AH$12,"M",FRM&lt;&gt;"Calypso",CCY))</f>
        <v>0</v>
      </c>
      <c r="AI490" s="789">
        <f>IF($X490=0,0,      _xll.qDateNext($X490,AI$12,"M",FRM&lt;&gt;"Calypso",CCY))</f>
        <v>0</v>
      </c>
      <c r="AJ490" s="529" t="str">
        <v/>
      </c>
      <c r="AK490" s="529" t="str">
        <v/>
      </c>
      <c r="AL490" s="529" t="str">
        <v/>
      </c>
      <c r="AM490" s="529" t="str">
        <v/>
      </c>
      <c r="AN490" s="529" t="str">
        <v/>
      </c>
      <c r="AO490" s="529" t="str">
        <v/>
      </c>
      <c r="AP490" s="529" t="str">
        <v/>
      </c>
      <c r="AQ490" s="529" t="str">
        <v/>
      </c>
      <c r="AR490" s="529">
        <v>0</v>
      </c>
      <c r="AS490" s="529">
        <v>0</v>
      </c>
      <c r="AT490" s="529">
        <f t="shared" si="130"/>
        <v>0</v>
      </c>
      <c r="AU490" s="529">
        <v>0</v>
      </c>
      <c r="AV490" s="529">
        <f t="shared" si="131"/>
        <v>0</v>
      </c>
      <c r="AW490" s="529">
        <f t="shared" si="132"/>
        <v>0</v>
      </c>
      <c r="AX490" s="529">
        <v>0</v>
      </c>
      <c r="AY490" s="529">
        <v>0</v>
      </c>
      <c r="AZ490" s="761">
        <f t="shared" si="121"/>
        <v>0</v>
      </c>
      <c r="BA490" s="761">
        <f t="shared" si="122"/>
        <v>0</v>
      </c>
      <c r="BB490" s="761">
        <f t="shared" si="123"/>
        <v>0</v>
      </c>
      <c r="BC490" s="761">
        <f t="shared" si="124"/>
        <v>0</v>
      </c>
      <c r="BD490" s="761">
        <f t="shared" si="125"/>
        <v>0</v>
      </c>
      <c r="BE490" s="761">
        <f t="shared" si="126"/>
        <v>0</v>
      </c>
      <c r="BF490" s="761">
        <f t="shared" si="127"/>
        <v>0</v>
      </c>
      <c r="BG490" s="761">
        <f t="shared" si="128"/>
        <v>0</v>
      </c>
      <c r="BH490" s="777">
        <v>0</v>
      </c>
      <c r="BI490" s="755"/>
      <c r="BJ490" s="778">
        <f>IF(X491=0,0,           IF(ISNUMBER(BI490),BI490,               IF(ISTEXT(BI490),INDEX(AZ490:BG490,MATCH(BI490,$AZ$12:$BG$12,0)),             IF(BH490="INT",_xll.qInterp(X491,AB490:AI490,AZ490:BG490),            INDEX(AZ490:BG490,MATCH(BH490,$AZ$12:$BG$12,0))))))</f>
        <v>0</v>
      </c>
      <c r="BK490" s="408">
        <f t="shared" si="133"/>
        <v>0</v>
      </c>
      <c r="BL490" s="414">
        <f t="shared" si="134"/>
        <v>0</v>
      </c>
      <c r="BM490" s="408">
        <f t="shared" si="135"/>
        <v>0</v>
      </c>
    </row>
    <row r="491" spans="16:65">
      <c r="P491" s="781">
        <v>0</v>
      </c>
      <c r="Q491" s="780">
        <f t="shared" si="119"/>
        <v>0</v>
      </c>
      <c r="R491" s="776">
        <f>IF(P492,_xll.qDateYears(P491,P492,DCCfixed),0)</f>
        <v>0</v>
      </c>
      <c r="S491" s="553">
        <v>0</v>
      </c>
      <c r="T491" s="785"/>
      <c r="U491" s="409">
        <f t="shared" si="129"/>
        <v>0</v>
      </c>
      <c r="X491" s="363">
        <v>0</v>
      </c>
      <c r="Y491" s="775">
        <f t="shared" si="120"/>
        <v>0</v>
      </c>
      <c r="Z491" s="776">
        <f>IF(X492,_xll.qDateYears(X491,X492,DCCfloat),0)</f>
        <v>0</v>
      </c>
      <c r="AA491" s="553">
        <v>0</v>
      </c>
      <c r="AB491" s="789">
        <f>IF($X491=0,0,      _xll.qDateNext($X491,AB$12,"M",FRM&lt;&gt;"Calypso",CCY))</f>
        <v>0</v>
      </c>
      <c r="AC491" s="789">
        <f>IF($X491=0,0,      _xll.qDateNext($X491,AC$12,"M",FRM&lt;&gt;"Calypso",CCY))</f>
        <v>0</v>
      </c>
      <c r="AD491" s="789">
        <f>IF($X491=0,0,      _xll.qDateNext($X491,AD$12,"M",FRM&lt;&gt;"Calypso",CCY))</f>
        <v>0</v>
      </c>
      <c r="AE491" s="789">
        <f>IF($X491=0,0,      _xll.qDateNext($X491,AE$12,"M",FRM&lt;&gt;"Calypso",CCY))</f>
        <v>0</v>
      </c>
      <c r="AF491" s="789">
        <f>IF($X491=0,0,      _xll.qDateNext($X491,AF$12,"M",FRM&lt;&gt;"Calypso",CCY))</f>
        <v>0</v>
      </c>
      <c r="AG491" s="789">
        <f>IF($X491=0,0,      _xll.qDateNext($X491,AG$12,"M",FRM&lt;&gt;"Calypso",CCY))</f>
        <v>0</v>
      </c>
      <c r="AH491" s="789">
        <f>IF($X491=0,0,      _xll.qDateNext($X491,AH$12,"M",FRM&lt;&gt;"Calypso",CCY))</f>
        <v>0</v>
      </c>
      <c r="AI491" s="789">
        <f>IF($X491=0,0,      _xll.qDateNext($X491,AI$12,"M",FRM&lt;&gt;"Calypso",CCY))</f>
        <v>0</v>
      </c>
      <c r="AJ491" s="529" t="str">
        <v/>
      </c>
      <c r="AK491" s="529" t="str">
        <v/>
      </c>
      <c r="AL491" s="529" t="str">
        <v/>
      </c>
      <c r="AM491" s="529" t="str">
        <v/>
      </c>
      <c r="AN491" s="529" t="str">
        <v/>
      </c>
      <c r="AO491" s="529" t="str">
        <v/>
      </c>
      <c r="AP491" s="529" t="str">
        <v/>
      </c>
      <c r="AQ491" s="529" t="str">
        <v/>
      </c>
      <c r="AR491" s="529">
        <v>0</v>
      </c>
      <c r="AS491" s="529">
        <v>0</v>
      </c>
      <c r="AT491" s="529">
        <f t="shared" si="130"/>
        <v>0</v>
      </c>
      <c r="AU491" s="529">
        <v>0</v>
      </c>
      <c r="AV491" s="529">
        <f t="shared" si="131"/>
        <v>0</v>
      </c>
      <c r="AW491" s="529">
        <f t="shared" si="132"/>
        <v>0</v>
      </c>
      <c r="AX491" s="529">
        <v>0</v>
      </c>
      <c r="AY491" s="529">
        <v>0</v>
      </c>
      <c r="AZ491" s="761">
        <f t="shared" si="121"/>
        <v>0</v>
      </c>
      <c r="BA491" s="761">
        <f t="shared" si="122"/>
        <v>0</v>
      </c>
      <c r="BB491" s="761">
        <f t="shared" si="123"/>
        <v>0</v>
      </c>
      <c r="BC491" s="761">
        <f t="shared" si="124"/>
        <v>0</v>
      </c>
      <c r="BD491" s="761">
        <f t="shared" si="125"/>
        <v>0</v>
      </c>
      <c r="BE491" s="761">
        <f t="shared" si="126"/>
        <v>0</v>
      </c>
      <c r="BF491" s="761">
        <f t="shared" si="127"/>
        <v>0</v>
      </c>
      <c r="BG491" s="761">
        <f t="shared" si="128"/>
        <v>0</v>
      </c>
      <c r="BH491" s="777">
        <v>0</v>
      </c>
      <c r="BI491" s="755"/>
      <c r="BJ491" s="778">
        <f>IF(X492=0,0,           IF(ISNUMBER(BI491),BI491,               IF(ISTEXT(BI491),INDEX(AZ491:BG491,MATCH(BI491,$AZ$12:$BG$12,0)),             IF(BH491="INT",_xll.qInterp(X492,AB491:AI491,AZ491:BG491),            INDEX(AZ491:BG491,MATCH(BH491,$AZ$12:$BG$12,0))))))</f>
        <v>0</v>
      </c>
      <c r="BK491" s="408">
        <f t="shared" si="133"/>
        <v>0</v>
      </c>
      <c r="BL491" s="414">
        <f t="shared" si="134"/>
        <v>0</v>
      </c>
      <c r="BM491" s="408">
        <f t="shared" si="135"/>
        <v>0</v>
      </c>
    </row>
    <row r="492" spans="16:65">
      <c r="P492" s="781">
        <v>0</v>
      </c>
      <c r="Q492" s="780">
        <f t="shared" si="119"/>
        <v>0</v>
      </c>
      <c r="R492" s="776">
        <f>IF(P493,_xll.qDateYears(P492,P493,DCCfixed),0)</f>
        <v>0</v>
      </c>
      <c r="S492" s="553">
        <v>0</v>
      </c>
      <c r="T492" s="785"/>
      <c r="U492" s="409">
        <f t="shared" si="129"/>
        <v>0</v>
      </c>
      <c r="X492" s="363">
        <v>0</v>
      </c>
      <c r="Y492" s="775">
        <f t="shared" si="120"/>
        <v>0</v>
      </c>
      <c r="Z492" s="776">
        <f>IF(X493,_xll.qDateYears(X492,X493,DCCfloat),0)</f>
        <v>0</v>
      </c>
      <c r="AA492" s="553">
        <v>0</v>
      </c>
      <c r="AB492" s="789">
        <f>IF($X492=0,0,      _xll.qDateNext($X492,AB$12,"M",FRM&lt;&gt;"Calypso",CCY))</f>
        <v>0</v>
      </c>
      <c r="AC492" s="789">
        <f>IF($X492=0,0,      _xll.qDateNext($X492,AC$12,"M",FRM&lt;&gt;"Calypso",CCY))</f>
        <v>0</v>
      </c>
      <c r="AD492" s="789">
        <f>IF($X492=0,0,      _xll.qDateNext($X492,AD$12,"M",FRM&lt;&gt;"Calypso",CCY))</f>
        <v>0</v>
      </c>
      <c r="AE492" s="789">
        <f>IF($X492=0,0,      _xll.qDateNext($X492,AE$12,"M",FRM&lt;&gt;"Calypso",CCY))</f>
        <v>0</v>
      </c>
      <c r="AF492" s="789">
        <f>IF($X492=0,0,      _xll.qDateNext($X492,AF$12,"M",FRM&lt;&gt;"Calypso",CCY))</f>
        <v>0</v>
      </c>
      <c r="AG492" s="789">
        <f>IF($X492=0,0,      _xll.qDateNext($X492,AG$12,"M",FRM&lt;&gt;"Calypso",CCY))</f>
        <v>0</v>
      </c>
      <c r="AH492" s="789">
        <f>IF($X492=0,0,      _xll.qDateNext($X492,AH$12,"M",FRM&lt;&gt;"Calypso",CCY))</f>
        <v>0</v>
      </c>
      <c r="AI492" s="789">
        <f>IF($X492=0,0,      _xll.qDateNext($X492,AI$12,"M",FRM&lt;&gt;"Calypso",CCY))</f>
        <v>0</v>
      </c>
      <c r="AJ492" s="529" t="str">
        <v/>
      </c>
      <c r="AK492" s="529" t="str">
        <v/>
      </c>
      <c r="AL492" s="529" t="str">
        <v/>
      </c>
      <c r="AM492" s="529" t="str">
        <v/>
      </c>
      <c r="AN492" s="529" t="str">
        <v/>
      </c>
      <c r="AO492" s="529" t="str">
        <v/>
      </c>
      <c r="AP492" s="529" t="str">
        <v/>
      </c>
      <c r="AQ492" s="529" t="str">
        <v/>
      </c>
      <c r="AR492" s="529">
        <v>0</v>
      </c>
      <c r="AS492" s="529">
        <v>0</v>
      </c>
      <c r="AT492" s="529">
        <f t="shared" si="130"/>
        <v>0</v>
      </c>
      <c r="AU492" s="529">
        <v>0</v>
      </c>
      <c r="AV492" s="529">
        <f t="shared" si="131"/>
        <v>0</v>
      </c>
      <c r="AW492" s="529">
        <f t="shared" si="132"/>
        <v>0</v>
      </c>
      <c r="AX492" s="529">
        <v>0</v>
      </c>
      <c r="AY492" s="529">
        <v>0</v>
      </c>
      <c r="AZ492" s="761">
        <f t="shared" si="121"/>
        <v>0</v>
      </c>
      <c r="BA492" s="761">
        <f t="shared" si="122"/>
        <v>0</v>
      </c>
      <c r="BB492" s="761">
        <f t="shared" si="123"/>
        <v>0</v>
      </c>
      <c r="BC492" s="761">
        <f t="shared" si="124"/>
        <v>0</v>
      </c>
      <c r="BD492" s="761">
        <f t="shared" si="125"/>
        <v>0</v>
      </c>
      <c r="BE492" s="761">
        <f t="shared" si="126"/>
        <v>0</v>
      </c>
      <c r="BF492" s="761">
        <f t="shared" si="127"/>
        <v>0</v>
      </c>
      <c r="BG492" s="761">
        <f t="shared" si="128"/>
        <v>0</v>
      </c>
      <c r="BH492" s="777">
        <v>0</v>
      </c>
      <c r="BI492" s="755"/>
      <c r="BJ492" s="778">
        <f>IF(X493=0,0,           IF(ISNUMBER(BI492),BI492,               IF(ISTEXT(BI492),INDEX(AZ492:BG492,MATCH(BI492,$AZ$12:$BG$12,0)),             IF(BH492="INT",_xll.qInterp(X493,AB492:AI492,AZ492:BG492),            INDEX(AZ492:BG492,MATCH(BH492,$AZ$12:$BG$12,0))))))</f>
        <v>0</v>
      </c>
      <c r="BK492" s="408">
        <f t="shared" si="133"/>
        <v>0</v>
      </c>
      <c r="BL492" s="414">
        <f t="shared" si="134"/>
        <v>0</v>
      </c>
      <c r="BM492" s="408">
        <f t="shared" si="135"/>
        <v>0</v>
      </c>
    </row>
    <row r="493" spans="16:65">
      <c r="P493" s="781">
        <v>0</v>
      </c>
      <c r="Q493" s="780">
        <f t="shared" si="119"/>
        <v>0</v>
      </c>
      <c r="R493" s="776">
        <f>IF(P494,_xll.qDateYears(P493,P494,DCCfixed),0)</f>
        <v>0</v>
      </c>
      <c r="S493" s="553">
        <v>0</v>
      </c>
      <c r="T493" s="785"/>
      <c r="U493" s="409">
        <f t="shared" si="129"/>
        <v>0</v>
      </c>
      <c r="X493" s="363">
        <v>0</v>
      </c>
      <c r="Y493" s="775">
        <f t="shared" si="120"/>
        <v>0</v>
      </c>
      <c r="Z493" s="776">
        <f>IF(X494,_xll.qDateYears(X493,X494,DCCfloat),0)</f>
        <v>0</v>
      </c>
      <c r="AA493" s="553">
        <v>0</v>
      </c>
      <c r="AB493" s="789">
        <f>IF($X493=0,0,      _xll.qDateNext($X493,AB$12,"M",FRM&lt;&gt;"Calypso",CCY))</f>
        <v>0</v>
      </c>
      <c r="AC493" s="789">
        <f>IF($X493=0,0,      _xll.qDateNext($X493,AC$12,"M",FRM&lt;&gt;"Calypso",CCY))</f>
        <v>0</v>
      </c>
      <c r="AD493" s="789">
        <f>IF($X493=0,0,      _xll.qDateNext($X493,AD$12,"M",FRM&lt;&gt;"Calypso",CCY))</f>
        <v>0</v>
      </c>
      <c r="AE493" s="789">
        <f>IF($X493=0,0,      _xll.qDateNext($X493,AE$12,"M",FRM&lt;&gt;"Calypso",CCY))</f>
        <v>0</v>
      </c>
      <c r="AF493" s="789">
        <f>IF($X493=0,0,      _xll.qDateNext($X493,AF$12,"M",FRM&lt;&gt;"Calypso",CCY))</f>
        <v>0</v>
      </c>
      <c r="AG493" s="789">
        <f>IF($X493=0,0,      _xll.qDateNext($X493,AG$12,"M",FRM&lt;&gt;"Calypso",CCY))</f>
        <v>0</v>
      </c>
      <c r="AH493" s="789">
        <f>IF($X493=0,0,      _xll.qDateNext($X493,AH$12,"M",FRM&lt;&gt;"Calypso",CCY))</f>
        <v>0</v>
      </c>
      <c r="AI493" s="789">
        <f>IF($X493=0,0,      _xll.qDateNext($X493,AI$12,"M",FRM&lt;&gt;"Calypso",CCY))</f>
        <v>0</v>
      </c>
      <c r="AJ493" s="529" t="str">
        <v/>
      </c>
      <c r="AK493" s="529" t="str">
        <v/>
      </c>
      <c r="AL493" s="529" t="str">
        <v/>
      </c>
      <c r="AM493" s="529" t="str">
        <v/>
      </c>
      <c r="AN493" s="529" t="str">
        <v/>
      </c>
      <c r="AO493" s="529" t="str">
        <v/>
      </c>
      <c r="AP493" s="529" t="str">
        <v/>
      </c>
      <c r="AQ493" s="529" t="str">
        <v/>
      </c>
      <c r="AR493" s="529">
        <v>0</v>
      </c>
      <c r="AS493" s="529">
        <v>0</v>
      </c>
      <c r="AT493" s="529">
        <f t="shared" si="130"/>
        <v>0</v>
      </c>
      <c r="AU493" s="529">
        <v>0</v>
      </c>
      <c r="AV493" s="529">
        <f t="shared" si="131"/>
        <v>0</v>
      </c>
      <c r="AW493" s="529">
        <f t="shared" si="132"/>
        <v>0</v>
      </c>
      <c r="AX493" s="529">
        <v>0</v>
      </c>
      <c r="AY493" s="529">
        <v>0</v>
      </c>
      <c r="AZ493" s="761">
        <f t="shared" si="121"/>
        <v>0</v>
      </c>
      <c r="BA493" s="761">
        <f t="shared" si="122"/>
        <v>0</v>
      </c>
      <c r="BB493" s="761">
        <f t="shared" si="123"/>
        <v>0</v>
      </c>
      <c r="BC493" s="761">
        <f t="shared" si="124"/>
        <v>0</v>
      </c>
      <c r="BD493" s="761">
        <f t="shared" si="125"/>
        <v>0</v>
      </c>
      <c r="BE493" s="761">
        <f t="shared" si="126"/>
        <v>0</v>
      </c>
      <c r="BF493" s="761">
        <f t="shared" si="127"/>
        <v>0</v>
      </c>
      <c r="BG493" s="761">
        <f t="shared" si="128"/>
        <v>0</v>
      </c>
      <c r="BH493" s="777">
        <v>0</v>
      </c>
      <c r="BI493" s="755"/>
      <c r="BJ493" s="778">
        <f>IF(X494=0,0,           IF(ISNUMBER(BI493),BI493,               IF(ISTEXT(BI493),INDEX(AZ493:BG493,MATCH(BI493,$AZ$12:$BG$12,0)),             IF(BH493="INT",_xll.qInterp(X494,AB493:AI493,AZ493:BG493),            INDEX(AZ493:BG493,MATCH(BH493,$AZ$12:$BG$12,0))))))</f>
        <v>0</v>
      </c>
      <c r="BK493" s="408">
        <f t="shared" si="133"/>
        <v>0</v>
      </c>
      <c r="BL493" s="414">
        <f t="shared" si="134"/>
        <v>0</v>
      </c>
      <c r="BM493" s="408">
        <f t="shared" si="135"/>
        <v>0</v>
      </c>
    </row>
    <row r="494" spans="16:65">
      <c r="P494" s="781">
        <v>0</v>
      </c>
      <c r="Q494" s="780">
        <f t="shared" si="119"/>
        <v>0</v>
      </c>
      <c r="R494" s="776">
        <f>IF(P495,_xll.qDateYears(P494,P495,DCCfixed),0)</f>
        <v>0</v>
      </c>
      <c r="S494" s="553">
        <v>0</v>
      </c>
      <c r="T494" s="785"/>
      <c r="U494" s="409">
        <f t="shared" si="129"/>
        <v>0</v>
      </c>
      <c r="X494" s="363">
        <v>0</v>
      </c>
      <c r="Y494" s="775">
        <f t="shared" si="120"/>
        <v>0</v>
      </c>
      <c r="Z494" s="776">
        <f>IF(X495,_xll.qDateYears(X494,X495,DCCfloat),0)</f>
        <v>0</v>
      </c>
      <c r="AA494" s="553">
        <v>0</v>
      </c>
      <c r="AB494" s="789">
        <f>IF($X494=0,0,      _xll.qDateNext($X494,AB$12,"M",FRM&lt;&gt;"Calypso",CCY))</f>
        <v>0</v>
      </c>
      <c r="AC494" s="789">
        <f>IF($X494=0,0,      _xll.qDateNext($X494,AC$12,"M",FRM&lt;&gt;"Calypso",CCY))</f>
        <v>0</v>
      </c>
      <c r="AD494" s="789">
        <f>IF($X494=0,0,      _xll.qDateNext($X494,AD$12,"M",FRM&lt;&gt;"Calypso",CCY))</f>
        <v>0</v>
      </c>
      <c r="AE494" s="789">
        <f>IF($X494=0,0,      _xll.qDateNext($X494,AE$12,"M",FRM&lt;&gt;"Calypso",CCY))</f>
        <v>0</v>
      </c>
      <c r="AF494" s="789">
        <f>IF($X494=0,0,      _xll.qDateNext($X494,AF$12,"M",FRM&lt;&gt;"Calypso",CCY))</f>
        <v>0</v>
      </c>
      <c r="AG494" s="789">
        <f>IF($X494=0,0,      _xll.qDateNext($X494,AG$12,"M",FRM&lt;&gt;"Calypso",CCY))</f>
        <v>0</v>
      </c>
      <c r="AH494" s="789">
        <f>IF($X494=0,0,      _xll.qDateNext($X494,AH$12,"M",FRM&lt;&gt;"Calypso",CCY))</f>
        <v>0</v>
      </c>
      <c r="AI494" s="789">
        <f>IF($X494=0,0,      _xll.qDateNext($X494,AI$12,"M",FRM&lt;&gt;"Calypso",CCY))</f>
        <v>0</v>
      </c>
      <c r="AJ494" s="529" t="str">
        <v/>
      </c>
      <c r="AK494" s="529" t="str">
        <v/>
      </c>
      <c r="AL494" s="529" t="str">
        <v/>
      </c>
      <c r="AM494" s="529" t="str">
        <v/>
      </c>
      <c r="AN494" s="529" t="str">
        <v/>
      </c>
      <c r="AO494" s="529" t="str">
        <v/>
      </c>
      <c r="AP494" s="529" t="str">
        <v/>
      </c>
      <c r="AQ494" s="529" t="str">
        <v/>
      </c>
      <c r="AR494" s="529">
        <v>0</v>
      </c>
      <c r="AS494" s="529">
        <v>0</v>
      </c>
      <c r="AT494" s="529">
        <f t="shared" si="130"/>
        <v>0</v>
      </c>
      <c r="AU494" s="529">
        <v>0</v>
      </c>
      <c r="AV494" s="529">
        <f t="shared" si="131"/>
        <v>0</v>
      </c>
      <c r="AW494" s="529">
        <f t="shared" si="132"/>
        <v>0</v>
      </c>
      <c r="AX494" s="529">
        <v>0</v>
      </c>
      <c r="AY494" s="529">
        <v>0</v>
      </c>
      <c r="AZ494" s="761">
        <f t="shared" si="121"/>
        <v>0</v>
      </c>
      <c r="BA494" s="761">
        <f t="shared" si="122"/>
        <v>0</v>
      </c>
      <c r="BB494" s="761">
        <f t="shared" si="123"/>
        <v>0</v>
      </c>
      <c r="BC494" s="761">
        <f t="shared" si="124"/>
        <v>0</v>
      </c>
      <c r="BD494" s="761">
        <f t="shared" si="125"/>
        <v>0</v>
      </c>
      <c r="BE494" s="761">
        <f t="shared" si="126"/>
        <v>0</v>
      </c>
      <c r="BF494" s="761">
        <f t="shared" si="127"/>
        <v>0</v>
      </c>
      <c r="BG494" s="761">
        <f t="shared" si="128"/>
        <v>0</v>
      </c>
      <c r="BH494" s="777">
        <v>0</v>
      </c>
      <c r="BI494" s="755"/>
      <c r="BJ494" s="778">
        <f>IF(X495=0,0,           IF(ISNUMBER(BI494),BI494,               IF(ISTEXT(BI494),INDEX(AZ494:BG494,MATCH(BI494,$AZ$12:$BG$12,0)),             IF(BH494="INT",_xll.qInterp(X495,AB494:AI494,AZ494:BG494),            INDEX(AZ494:BG494,MATCH(BH494,$AZ$12:$BG$12,0))))))</f>
        <v>0</v>
      </c>
      <c r="BK494" s="408">
        <f t="shared" si="133"/>
        <v>0</v>
      </c>
      <c r="BL494" s="414">
        <f t="shared" si="134"/>
        <v>0</v>
      </c>
      <c r="BM494" s="408">
        <f t="shared" si="135"/>
        <v>0</v>
      </c>
    </row>
    <row r="495" spans="16:65">
      <c r="P495" s="781">
        <v>0</v>
      </c>
      <c r="Q495" s="780">
        <f t="shared" si="119"/>
        <v>0</v>
      </c>
      <c r="R495" s="776">
        <f>IF(P496,_xll.qDateYears(P495,P496,DCCfixed),0)</f>
        <v>0</v>
      </c>
      <c r="S495" s="553">
        <v>0</v>
      </c>
      <c r="T495" s="785"/>
      <c r="U495" s="409">
        <f t="shared" si="129"/>
        <v>0</v>
      </c>
      <c r="X495" s="363">
        <v>0</v>
      </c>
      <c r="Y495" s="775">
        <f t="shared" si="120"/>
        <v>0</v>
      </c>
      <c r="Z495" s="776">
        <f>IF(X496,_xll.qDateYears(X495,X496,DCCfloat),0)</f>
        <v>0</v>
      </c>
      <c r="AA495" s="553">
        <v>0</v>
      </c>
      <c r="AB495" s="789">
        <f>IF($X495=0,0,      _xll.qDateNext($X495,AB$12,"M",FRM&lt;&gt;"Calypso",CCY))</f>
        <v>0</v>
      </c>
      <c r="AC495" s="789">
        <f>IF($X495=0,0,      _xll.qDateNext($X495,AC$12,"M",FRM&lt;&gt;"Calypso",CCY))</f>
        <v>0</v>
      </c>
      <c r="AD495" s="789">
        <f>IF($X495=0,0,      _xll.qDateNext($X495,AD$12,"M",FRM&lt;&gt;"Calypso",CCY))</f>
        <v>0</v>
      </c>
      <c r="AE495" s="789">
        <f>IF($X495=0,0,      _xll.qDateNext($X495,AE$12,"M",FRM&lt;&gt;"Calypso",CCY))</f>
        <v>0</v>
      </c>
      <c r="AF495" s="789">
        <f>IF($X495=0,0,      _xll.qDateNext($X495,AF$12,"M",FRM&lt;&gt;"Calypso",CCY))</f>
        <v>0</v>
      </c>
      <c r="AG495" s="789">
        <f>IF($X495=0,0,      _xll.qDateNext($X495,AG$12,"M",FRM&lt;&gt;"Calypso",CCY))</f>
        <v>0</v>
      </c>
      <c r="AH495" s="789">
        <f>IF($X495=0,0,      _xll.qDateNext($X495,AH$12,"M",FRM&lt;&gt;"Calypso",CCY))</f>
        <v>0</v>
      </c>
      <c r="AI495" s="789">
        <f>IF($X495=0,0,      _xll.qDateNext($X495,AI$12,"M",FRM&lt;&gt;"Calypso",CCY))</f>
        <v>0</v>
      </c>
      <c r="AJ495" s="529" t="str">
        <v/>
      </c>
      <c r="AK495" s="529" t="str">
        <v/>
      </c>
      <c r="AL495" s="529" t="str">
        <v/>
      </c>
      <c r="AM495" s="529" t="str">
        <v/>
      </c>
      <c r="AN495" s="529" t="str">
        <v/>
      </c>
      <c r="AO495" s="529" t="str">
        <v/>
      </c>
      <c r="AP495" s="529" t="str">
        <v/>
      </c>
      <c r="AQ495" s="529" t="str">
        <v/>
      </c>
      <c r="AR495" s="529">
        <v>0</v>
      </c>
      <c r="AS495" s="529">
        <v>0</v>
      </c>
      <c r="AT495" s="529">
        <f t="shared" si="130"/>
        <v>0</v>
      </c>
      <c r="AU495" s="529">
        <v>0</v>
      </c>
      <c r="AV495" s="529">
        <f t="shared" si="131"/>
        <v>0</v>
      </c>
      <c r="AW495" s="529">
        <f t="shared" si="132"/>
        <v>0</v>
      </c>
      <c r="AX495" s="529">
        <v>0</v>
      </c>
      <c r="AY495" s="529">
        <v>0</v>
      </c>
      <c r="AZ495" s="761">
        <f t="shared" si="121"/>
        <v>0</v>
      </c>
      <c r="BA495" s="761">
        <f t="shared" si="122"/>
        <v>0</v>
      </c>
      <c r="BB495" s="761">
        <f t="shared" si="123"/>
        <v>0</v>
      </c>
      <c r="BC495" s="761">
        <f t="shared" si="124"/>
        <v>0</v>
      </c>
      <c r="BD495" s="761">
        <f t="shared" si="125"/>
        <v>0</v>
      </c>
      <c r="BE495" s="761">
        <f t="shared" si="126"/>
        <v>0</v>
      </c>
      <c r="BF495" s="761">
        <f t="shared" si="127"/>
        <v>0</v>
      </c>
      <c r="BG495" s="761">
        <f t="shared" si="128"/>
        <v>0</v>
      </c>
      <c r="BH495" s="777">
        <v>0</v>
      </c>
      <c r="BI495" s="755"/>
      <c r="BJ495" s="778">
        <f>IF(X496=0,0,           IF(ISNUMBER(BI495),BI495,               IF(ISTEXT(BI495),INDEX(AZ495:BG495,MATCH(BI495,$AZ$12:$BG$12,0)),             IF(BH495="INT",_xll.qInterp(X496,AB495:AI495,AZ495:BG495),            INDEX(AZ495:BG495,MATCH(BH495,$AZ$12:$BG$12,0))))))</f>
        <v>0</v>
      </c>
      <c r="BK495" s="408">
        <f t="shared" si="133"/>
        <v>0</v>
      </c>
      <c r="BL495" s="414">
        <f t="shared" si="134"/>
        <v>0</v>
      </c>
      <c r="BM495" s="408">
        <f t="shared" si="135"/>
        <v>0</v>
      </c>
    </row>
    <row r="496" spans="16:65">
      <c r="P496" s="781">
        <v>0</v>
      </c>
      <c r="Q496" s="780">
        <f t="shared" si="119"/>
        <v>0</v>
      </c>
      <c r="R496" s="776">
        <f>IF(P497,_xll.qDateYears(P496,P497,DCCfixed),0)</f>
        <v>0</v>
      </c>
      <c r="S496" s="553">
        <v>0</v>
      </c>
      <c r="T496" s="785"/>
      <c r="U496" s="409">
        <f t="shared" si="129"/>
        <v>0</v>
      </c>
      <c r="X496" s="363">
        <v>0</v>
      </c>
      <c r="Y496" s="775">
        <f t="shared" si="120"/>
        <v>0</v>
      </c>
      <c r="Z496" s="776">
        <f>IF(X497,_xll.qDateYears(X496,X497,DCCfloat),0)</f>
        <v>0</v>
      </c>
      <c r="AA496" s="553">
        <v>0</v>
      </c>
      <c r="AB496" s="789">
        <f>IF($X496=0,0,      _xll.qDateNext($X496,AB$12,"M",FRM&lt;&gt;"Calypso",CCY))</f>
        <v>0</v>
      </c>
      <c r="AC496" s="789">
        <f>IF($X496=0,0,      _xll.qDateNext($X496,AC$12,"M",FRM&lt;&gt;"Calypso",CCY))</f>
        <v>0</v>
      </c>
      <c r="AD496" s="789">
        <f>IF($X496=0,0,      _xll.qDateNext($X496,AD$12,"M",FRM&lt;&gt;"Calypso",CCY))</f>
        <v>0</v>
      </c>
      <c r="AE496" s="789">
        <f>IF($X496=0,0,      _xll.qDateNext($X496,AE$12,"M",FRM&lt;&gt;"Calypso",CCY))</f>
        <v>0</v>
      </c>
      <c r="AF496" s="789">
        <f>IF($X496=0,0,      _xll.qDateNext($X496,AF$12,"M",FRM&lt;&gt;"Calypso",CCY))</f>
        <v>0</v>
      </c>
      <c r="AG496" s="789">
        <f>IF($X496=0,0,      _xll.qDateNext($X496,AG$12,"M",FRM&lt;&gt;"Calypso",CCY))</f>
        <v>0</v>
      </c>
      <c r="AH496" s="789">
        <f>IF($X496=0,0,      _xll.qDateNext($X496,AH$12,"M",FRM&lt;&gt;"Calypso",CCY))</f>
        <v>0</v>
      </c>
      <c r="AI496" s="789">
        <f>IF($X496=0,0,      _xll.qDateNext($X496,AI$12,"M",FRM&lt;&gt;"Calypso",CCY))</f>
        <v>0</v>
      </c>
      <c r="AJ496" s="529" t="str">
        <v/>
      </c>
      <c r="AK496" s="529" t="str">
        <v/>
      </c>
      <c r="AL496" s="529" t="str">
        <v/>
      </c>
      <c r="AM496" s="529" t="str">
        <v/>
      </c>
      <c r="AN496" s="529" t="str">
        <v/>
      </c>
      <c r="AO496" s="529" t="str">
        <v/>
      </c>
      <c r="AP496" s="529" t="str">
        <v/>
      </c>
      <c r="AQ496" s="529" t="str">
        <v/>
      </c>
      <c r="AR496" s="529">
        <v>0</v>
      </c>
      <c r="AS496" s="529">
        <v>0</v>
      </c>
      <c r="AT496" s="529">
        <f t="shared" si="130"/>
        <v>0</v>
      </c>
      <c r="AU496" s="529">
        <v>0</v>
      </c>
      <c r="AV496" s="529">
        <f t="shared" si="131"/>
        <v>0</v>
      </c>
      <c r="AW496" s="529">
        <f t="shared" si="132"/>
        <v>0</v>
      </c>
      <c r="AX496" s="529">
        <v>0</v>
      </c>
      <c r="AY496" s="529">
        <v>0</v>
      </c>
      <c r="AZ496" s="761">
        <f t="shared" si="121"/>
        <v>0</v>
      </c>
      <c r="BA496" s="761">
        <f t="shared" si="122"/>
        <v>0</v>
      </c>
      <c r="BB496" s="761">
        <f t="shared" si="123"/>
        <v>0</v>
      </c>
      <c r="BC496" s="761">
        <f t="shared" si="124"/>
        <v>0</v>
      </c>
      <c r="BD496" s="761">
        <f t="shared" si="125"/>
        <v>0</v>
      </c>
      <c r="BE496" s="761">
        <f t="shared" si="126"/>
        <v>0</v>
      </c>
      <c r="BF496" s="761">
        <f t="shared" si="127"/>
        <v>0</v>
      </c>
      <c r="BG496" s="761">
        <f t="shared" si="128"/>
        <v>0</v>
      </c>
      <c r="BH496" s="777">
        <v>0</v>
      </c>
      <c r="BI496" s="755"/>
      <c r="BJ496" s="778">
        <f>IF(X497=0,0,           IF(ISNUMBER(BI496),BI496,               IF(ISTEXT(BI496),INDEX(AZ496:BG496,MATCH(BI496,$AZ$12:$BG$12,0)),             IF(BH496="INT",_xll.qInterp(X497,AB496:AI496,AZ496:BG496),            INDEX(AZ496:BG496,MATCH(BH496,$AZ$12:$BG$12,0))))))</f>
        <v>0</v>
      </c>
      <c r="BK496" s="408">
        <f t="shared" si="133"/>
        <v>0</v>
      </c>
      <c r="BL496" s="414">
        <f t="shared" si="134"/>
        <v>0</v>
      </c>
      <c r="BM496" s="408">
        <f t="shared" si="135"/>
        <v>0</v>
      </c>
    </row>
    <row r="497" spans="16:65">
      <c r="P497" s="781">
        <v>0</v>
      </c>
      <c r="Q497" s="780">
        <f t="shared" si="119"/>
        <v>0</v>
      </c>
      <c r="R497" s="776">
        <f>IF(P498,_xll.qDateYears(P497,P498,DCCfixed),0)</f>
        <v>0</v>
      </c>
      <c r="S497" s="553">
        <v>0</v>
      </c>
      <c r="T497" s="785"/>
      <c r="U497" s="409">
        <f t="shared" si="129"/>
        <v>0</v>
      </c>
      <c r="X497" s="363">
        <v>0</v>
      </c>
      <c r="Y497" s="775">
        <f t="shared" si="120"/>
        <v>0</v>
      </c>
      <c r="Z497" s="776">
        <f>IF(X498,_xll.qDateYears(X497,X498,DCCfloat),0)</f>
        <v>0</v>
      </c>
      <c r="AA497" s="553">
        <v>0</v>
      </c>
      <c r="AB497" s="789">
        <f>IF($X497=0,0,      _xll.qDateNext($X497,AB$12,"M",FRM&lt;&gt;"Calypso",CCY))</f>
        <v>0</v>
      </c>
      <c r="AC497" s="789">
        <f>IF($X497=0,0,      _xll.qDateNext($X497,AC$12,"M",FRM&lt;&gt;"Calypso",CCY))</f>
        <v>0</v>
      </c>
      <c r="AD497" s="789">
        <f>IF($X497=0,0,      _xll.qDateNext($X497,AD$12,"M",FRM&lt;&gt;"Calypso",CCY))</f>
        <v>0</v>
      </c>
      <c r="AE497" s="789">
        <f>IF($X497=0,0,      _xll.qDateNext($X497,AE$12,"M",FRM&lt;&gt;"Calypso",CCY))</f>
        <v>0</v>
      </c>
      <c r="AF497" s="789">
        <f>IF($X497=0,0,      _xll.qDateNext($X497,AF$12,"M",FRM&lt;&gt;"Calypso",CCY))</f>
        <v>0</v>
      </c>
      <c r="AG497" s="789">
        <f>IF($X497=0,0,      _xll.qDateNext($X497,AG$12,"M",FRM&lt;&gt;"Calypso",CCY))</f>
        <v>0</v>
      </c>
      <c r="AH497" s="789">
        <f>IF($X497=0,0,      _xll.qDateNext($X497,AH$12,"M",FRM&lt;&gt;"Calypso",CCY))</f>
        <v>0</v>
      </c>
      <c r="AI497" s="789">
        <f>IF($X497=0,0,      _xll.qDateNext($X497,AI$12,"M",FRM&lt;&gt;"Calypso",CCY))</f>
        <v>0</v>
      </c>
      <c r="AJ497" s="529" t="str">
        <v/>
      </c>
      <c r="AK497" s="529" t="str">
        <v/>
      </c>
      <c r="AL497" s="529" t="str">
        <v/>
      </c>
      <c r="AM497" s="529" t="str">
        <v/>
      </c>
      <c r="AN497" s="529" t="str">
        <v/>
      </c>
      <c r="AO497" s="529" t="str">
        <v/>
      </c>
      <c r="AP497" s="529" t="str">
        <v/>
      </c>
      <c r="AQ497" s="529" t="str">
        <v/>
      </c>
      <c r="AR497" s="529">
        <v>0</v>
      </c>
      <c r="AS497" s="529">
        <v>0</v>
      </c>
      <c r="AT497" s="529">
        <f t="shared" si="130"/>
        <v>0</v>
      </c>
      <c r="AU497" s="529">
        <v>0</v>
      </c>
      <c r="AV497" s="529">
        <f t="shared" si="131"/>
        <v>0</v>
      </c>
      <c r="AW497" s="529">
        <f t="shared" si="132"/>
        <v>0</v>
      </c>
      <c r="AX497" s="529">
        <v>0</v>
      </c>
      <c r="AY497" s="529">
        <v>0</v>
      </c>
      <c r="AZ497" s="761">
        <f t="shared" si="121"/>
        <v>0</v>
      </c>
      <c r="BA497" s="761">
        <f t="shared" si="122"/>
        <v>0</v>
      </c>
      <c r="BB497" s="761">
        <f t="shared" si="123"/>
        <v>0</v>
      </c>
      <c r="BC497" s="761">
        <f t="shared" si="124"/>
        <v>0</v>
      </c>
      <c r="BD497" s="761">
        <f t="shared" si="125"/>
        <v>0</v>
      </c>
      <c r="BE497" s="761">
        <f t="shared" si="126"/>
        <v>0</v>
      </c>
      <c r="BF497" s="761">
        <f t="shared" si="127"/>
        <v>0</v>
      </c>
      <c r="BG497" s="761">
        <f t="shared" si="128"/>
        <v>0</v>
      </c>
      <c r="BH497" s="777">
        <v>0</v>
      </c>
      <c r="BI497" s="755"/>
      <c r="BJ497" s="778">
        <f>IF(X498=0,0,           IF(ISNUMBER(BI497),BI497,               IF(ISTEXT(BI497),INDEX(AZ497:BG497,MATCH(BI497,$AZ$12:$BG$12,0)),             IF(BH497="INT",_xll.qInterp(X498,AB497:AI497,AZ497:BG497),            INDEX(AZ497:BG497,MATCH(BH497,$AZ$12:$BG$12,0))))))</f>
        <v>0</v>
      </c>
      <c r="BK497" s="408">
        <f t="shared" si="133"/>
        <v>0</v>
      </c>
      <c r="BL497" s="414">
        <f t="shared" si="134"/>
        <v>0</v>
      </c>
      <c r="BM497" s="408">
        <f t="shared" si="135"/>
        <v>0</v>
      </c>
    </row>
    <row r="498" spans="16:65">
      <c r="P498" s="781">
        <v>0</v>
      </c>
      <c r="Q498" s="780">
        <f t="shared" si="119"/>
        <v>0</v>
      </c>
      <c r="R498" s="776">
        <f>IF(P499,_xll.qDateYears(P498,P499,DCCfixed),0)</f>
        <v>0</v>
      </c>
      <c r="S498" s="553">
        <v>0</v>
      </c>
      <c r="T498" s="785"/>
      <c r="U498" s="409">
        <f t="shared" si="129"/>
        <v>0</v>
      </c>
      <c r="X498" s="363">
        <v>0</v>
      </c>
      <c r="Y498" s="775">
        <f t="shared" si="120"/>
        <v>0</v>
      </c>
      <c r="Z498" s="776">
        <f>IF(X499,_xll.qDateYears(X498,X499,DCCfloat),0)</f>
        <v>0</v>
      </c>
      <c r="AA498" s="553">
        <v>0</v>
      </c>
      <c r="AB498" s="789">
        <f>IF($X498=0,0,      _xll.qDateNext($X498,AB$12,"M",FRM&lt;&gt;"Calypso",CCY))</f>
        <v>0</v>
      </c>
      <c r="AC498" s="789">
        <f>IF($X498=0,0,      _xll.qDateNext($X498,AC$12,"M",FRM&lt;&gt;"Calypso",CCY))</f>
        <v>0</v>
      </c>
      <c r="AD498" s="789">
        <f>IF($X498=0,0,      _xll.qDateNext($X498,AD$12,"M",FRM&lt;&gt;"Calypso",CCY))</f>
        <v>0</v>
      </c>
      <c r="AE498" s="789">
        <f>IF($X498=0,0,      _xll.qDateNext($X498,AE$12,"M",FRM&lt;&gt;"Calypso",CCY))</f>
        <v>0</v>
      </c>
      <c r="AF498" s="789">
        <f>IF($X498=0,0,      _xll.qDateNext($X498,AF$12,"M",FRM&lt;&gt;"Calypso",CCY))</f>
        <v>0</v>
      </c>
      <c r="AG498" s="789">
        <f>IF($X498=0,0,      _xll.qDateNext($X498,AG$12,"M",FRM&lt;&gt;"Calypso",CCY))</f>
        <v>0</v>
      </c>
      <c r="AH498" s="789">
        <f>IF($X498=0,0,      _xll.qDateNext($X498,AH$12,"M",FRM&lt;&gt;"Calypso",CCY))</f>
        <v>0</v>
      </c>
      <c r="AI498" s="789">
        <f>IF($X498=0,0,      _xll.qDateNext($X498,AI$12,"M",FRM&lt;&gt;"Calypso",CCY))</f>
        <v>0</v>
      </c>
      <c r="AJ498" s="529" t="str">
        <v/>
      </c>
      <c r="AK498" s="529" t="str">
        <v/>
      </c>
      <c r="AL498" s="529" t="str">
        <v/>
      </c>
      <c r="AM498" s="529" t="str">
        <v/>
      </c>
      <c r="AN498" s="529" t="str">
        <v/>
      </c>
      <c r="AO498" s="529" t="str">
        <v/>
      </c>
      <c r="AP498" s="529" t="str">
        <v/>
      </c>
      <c r="AQ498" s="529" t="str">
        <v/>
      </c>
      <c r="AR498" s="529">
        <v>0</v>
      </c>
      <c r="AS498" s="529">
        <v>0</v>
      </c>
      <c r="AT498" s="529">
        <f t="shared" si="130"/>
        <v>0</v>
      </c>
      <c r="AU498" s="529">
        <v>0</v>
      </c>
      <c r="AV498" s="529">
        <f t="shared" si="131"/>
        <v>0</v>
      </c>
      <c r="AW498" s="529">
        <f t="shared" si="132"/>
        <v>0</v>
      </c>
      <c r="AX498" s="529">
        <v>0</v>
      </c>
      <c r="AY498" s="529">
        <v>0</v>
      </c>
      <c r="AZ498" s="761">
        <f t="shared" si="121"/>
        <v>0</v>
      </c>
      <c r="BA498" s="761">
        <f t="shared" si="122"/>
        <v>0</v>
      </c>
      <c r="BB498" s="761">
        <f t="shared" si="123"/>
        <v>0</v>
      </c>
      <c r="BC498" s="761">
        <f t="shared" si="124"/>
        <v>0</v>
      </c>
      <c r="BD498" s="761">
        <f t="shared" si="125"/>
        <v>0</v>
      </c>
      <c r="BE498" s="761">
        <f t="shared" si="126"/>
        <v>0</v>
      </c>
      <c r="BF498" s="761">
        <f t="shared" si="127"/>
        <v>0</v>
      </c>
      <c r="BG498" s="761">
        <f t="shared" si="128"/>
        <v>0</v>
      </c>
      <c r="BH498" s="777">
        <v>0</v>
      </c>
      <c r="BI498" s="755"/>
      <c r="BJ498" s="778">
        <f>IF(X499=0,0,           IF(ISNUMBER(BI498),BI498,               IF(ISTEXT(BI498),INDEX(AZ498:BG498,MATCH(BI498,$AZ$12:$BG$12,0)),             IF(BH498="INT",_xll.qInterp(X499,AB498:AI498,AZ498:BG498),            INDEX(AZ498:BG498,MATCH(BH498,$AZ$12:$BG$12,0))))))</f>
        <v>0</v>
      </c>
      <c r="BK498" s="408">
        <f t="shared" si="133"/>
        <v>0</v>
      </c>
      <c r="BL498" s="414">
        <f t="shared" si="134"/>
        <v>0</v>
      </c>
      <c r="BM498" s="408">
        <f t="shared" si="135"/>
        <v>0</v>
      </c>
    </row>
    <row r="499" spans="16:65">
      <c r="P499" s="781">
        <v>0</v>
      </c>
      <c r="Q499" s="780">
        <f t="shared" si="119"/>
        <v>0</v>
      </c>
      <c r="R499" s="776">
        <f>IF(P500,_xll.qDateYears(P499,P500,DCCfixed),0)</f>
        <v>0</v>
      </c>
      <c r="S499" s="553">
        <v>0</v>
      </c>
      <c r="T499" s="785"/>
      <c r="U499" s="409">
        <f t="shared" si="129"/>
        <v>0</v>
      </c>
      <c r="X499" s="363">
        <v>0</v>
      </c>
      <c r="Y499" s="775">
        <f t="shared" si="120"/>
        <v>0</v>
      </c>
      <c r="Z499" s="776">
        <f>IF(X500,_xll.qDateYears(X499,X500,DCCfloat),0)</f>
        <v>0</v>
      </c>
      <c r="AA499" s="553">
        <v>0</v>
      </c>
      <c r="AB499" s="789">
        <f>IF($X499=0,0,      _xll.qDateNext($X499,AB$12,"M",FRM&lt;&gt;"Calypso",CCY))</f>
        <v>0</v>
      </c>
      <c r="AC499" s="789">
        <f>IF($X499=0,0,      _xll.qDateNext($X499,AC$12,"M",FRM&lt;&gt;"Calypso",CCY))</f>
        <v>0</v>
      </c>
      <c r="AD499" s="789">
        <f>IF($X499=0,0,      _xll.qDateNext($X499,AD$12,"M",FRM&lt;&gt;"Calypso",CCY))</f>
        <v>0</v>
      </c>
      <c r="AE499" s="789">
        <f>IF($X499=0,0,      _xll.qDateNext($X499,AE$12,"M",FRM&lt;&gt;"Calypso",CCY))</f>
        <v>0</v>
      </c>
      <c r="AF499" s="789">
        <f>IF($X499=0,0,      _xll.qDateNext($X499,AF$12,"M",FRM&lt;&gt;"Calypso",CCY))</f>
        <v>0</v>
      </c>
      <c r="AG499" s="789">
        <f>IF($X499=0,0,      _xll.qDateNext($X499,AG$12,"M",FRM&lt;&gt;"Calypso",CCY))</f>
        <v>0</v>
      </c>
      <c r="AH499" s="789">
        <f>IF($X499=0,0,      _xll.qDateNext($X499,AH$12,"M",FRM&lt;&gt;"Calypso",CCY))</f>
        <v>0</v>
      </c>
      <c r="AI499" s="789">
        <f>IF($X499=0,0,      _xll.qDateNext($X499,AI$12,"M",FRM&lt;&gt;"Calypso",CCY))</f>
        <v>0</v>
      </c>
      <c r="AJ499" s="529" t="str">
        <v/>
      </c>
      <c r="AK499" s="529" t="str">
        <v/>
      </c>
      <c r="AL499" s="529" t="str">
        <v/>
      </c>
      <c r="AM499" s="529" t="str">
        <v/>
      </c>
      <c r="AN499" s="529" t="str">
        <v/>
      </c>
      <c r="AO499" s="529" t="str">
        <v/>
      </c>
      <c r="AP499" s="529" t="str">
        <v/>
      </c>
      <c r="AQ499" s="529" t="str">
        <v/>
      </c>
      <c r="AR499" s="529">
        <v>0</v>
      </c>
      <c r="AS499" s="529">
        <v>0</v>
      </c>
      <c r="AT499" s="529">
        <f t="shared" si="130"/>
        <v>0</v>
      </c>
      <c r="AU499" s="529">
        <v>0</v>
      </c>
      <c r="AV499" s="529">
        <f t="shared" si="131"/>
        <v>0</v>
      </c>
      <c r="AW499" s="529">
        <f t="shared" si="132"/>
        <v>0</v>
      </c>
      <c r="AX499" s="529">
        <v>0</v>
      </c>
      <c r="AY499" s="529">
        <v>0</v>
      </c>
      <c r="AZ499" s="761">
        <f t="shared" si="121"/>
        <v>0</v>
      </c>
      <c r="BA499" s="761">
        <f t="shared" si="122"/>
        <v>0</v>
      </c>
      <c r="BB499" s="761">
        <f t="shared" si="123"/>
        <v>0</v>
      </c>
      <c r="BC499" s="761">
        <f t="shared" si="124"/>
        <v>0</v>
      </c>
      <c r="BD499" s="761">
        <f t="shared" si="125"/>
        <v>0</v>
      </c>
      <c r="BE499" s="761">
        <f t="shared" si="126"/>
        <v>0</v>
      </c>
      <c r="BF499" s="761">
        <f t="shared" si="127"/>
        <v>0</v>
      </c>
      <c r="BG499" s="761">
        <f t="shared" si="128"/>
        <v>0</v>
      </c>
      <c r="BH499" s="777">
        <v>0</v>
      </c>
      <c r="BI499" s="755"/>
      <c r="BJ499" s="778">
        <f>IF(X500=0,0,           IF(ISNUMBER(BI499),BI499,               IF(ISTEXT(BI499),INDEX(AZ499:BG499,MATCH(BI499,$AZ$12:$BG$12,0)),             IF(BH499="INT",_xll.qInterp(X500,AB499:AI499,AZ499:BG499),            INDEX(AZ499:BG499,MATCH(BH499,$AZ$12:$BG$12,0))))))</f>
        <v>0</v>
      </c>
      <c r="BK499" s="408">
        <f t="shared" si="133"/>
        <v>0</v>
      </c>
      <c r="BL499" s="414">
        <f t="shared" si="134"/>
        <v>0</v>
      </c>
      <c r="BM499" s="408">
        <f t="shared" si="135"/>
        <v>0</v>
      </c>
    </row>
    <row r="500" spans="16:65">
      <c r="P500" s="781">
        <v>0</v>
      </c>
      <c r="Q500" s="780">
        <f t="shared" si="119"/>
        <v>0</v>
      </c>
      <c r="R500" s="776">
        <f>IF(P501,_xll.qDateYears(P500,P501,DCCfixed),0)</f>
        <v>0</v>
      </c>
      <c r="S500" s="553">
        <v>0</v>
      </c>
      <c r="T500" s="785"/>
      <c r="U500" s="409">
        <f t="shared" si="129"/>
        <v>0</v>
      </c>
      <c r="X500" s="363">
        <v>0</v>
      </c>
      <c r="Y500" s="775">
        <f t="shared" si="120"/>
        <v>0</v>
      </c>
      <c r="Z500" s="776">
        <f>IF(X501,_xll.qDateYears(X500,X501,DCCfloat),0)</f>
        <v>0</v>
      </c>
      <c r="AA500" s="553">
        <v>0</v>
      </c>
      <c r="AB500" s="789">
        <f>IF($X500=0,0,      _xll.qDateNext($X500,AB$12,"M",FRM&lt;&gt;"Calypso",CCY))</f>
        <v>0</v>
      </c>
      <c r="AC500" s="789">
        <f>IF($X500=0,0,      _xll.qDateNext($X500,AC$12,"M",FRM&lt;&gt;"Calypso",CCY))</f>
        <v>0</v>
      </c>
      <c r="AD500" s="789">
        <f>IF($X500=0,0,      _xll.qDateNext($X500,AD$12,"M",FRM&lt;&gt;"Calypso",CCY))</f>
        <v>0</v>
      </c>
      <c r="AE500" s="789">
        <f>IF($X500=0,0,      _xll.qDateNext($X500,AE$12,"M",FRM&lt;&gt;"Calypso",CCY))</f>
        <v>0</v>
      </c>
      <c r="AF500" s="789">
        <f>IF($X500=0,0,      _xll.qDateNext($X500,AF$12,"M",FRM&lt;&gt;"Calypso",CCY))</f>
        <v>0</v>
      </c>
      <c r="AG500" s="789">
        <f>IF($X500=0,0,      _xll.qDateNext($X500,AG$12,"M",FRM&lt;&gt;"Calypso",CCY))</f>
        <v>0</v>
      </c>
      <c r="AH500" s="789">
        <f>IF($X500=0,0,      _xll.qDateNext($X500,AH$12,"M",FRM&lt;&gt;"Calypso",CCY))</f>
        <v>0</v>
      </c>
      <c r="AI500" s="789">
        <f>IF($X500=0,0,      _xll.qDateNext($X500,AI$12,"M",FRM&lt;&gt;"Calypso",CCY))</f>
        <v>0</v>
      </c>
      <c r="AJ500" s="529" t="str">
        <v/>
      </c>
      <c r="AK500" s="529" t="str">
        <v/>
      </c>
      <c r="AL500" s="529" t="str">
        <v/>
      </c>
      <c r="AM500" s="529" t="str">
        <v/>
      </c>
      <c r="AN500" s="529" t="str">
        <v/>
      </c>
      <c r="AO500" s="529" t="str">
        <v/>
      </c>
      <c r="AP500" s="529" t="str">
        <v/>
      </c>
      <c r="AQ500" s="529" t="str">
        <v/>
      </c>
      <c r="AR500" s="529">
        <v>0</v>
      </c>
      <c r="AS500" s="529">
        <v>0</v>
      </c>
      <c r="AT500" s="529">
        <f t="shared" si="130"/>
        <v>0</v>
      </c>
      <c r="AU500" s="529">
        <v>0</v>
      </c>
      <c r="AV500" s="529">
        <f t="shared" si="131"/>
        <v>0</v>
      </c>
      <c r="AW500" s="529">
        <f t="shared" si="132"/>
        <v>0</v>
      </c>
      <c r="AX500" s="529">
        <v>0</v>
      </c>
      <c r="AY500" s="529">
        <v>0</v>
      </c>
      <c r="AZ500" s="761">
        <f t="shared" si="121"/>
        <v>0</v>
      </c>
      <c r="BA500" s="761">
        <f t="shared" si="122"/>
        <v>0</v>
      </c>
      <c r="BB500" s="761">
        <f t="shared" si="123"/>
        <v>0</v>
      </c>
      <c r="BC500" s="761">
        <f t="shared" si="124"/>
        <v>0</v>
      </c>
      <c r="BD500" s="761">
        <f t="shared" si="125"/>
        <v>0</v>
      </c>
      <c r="BE500" s="761">
        <f t="shared" si="126"/>
        <v>0</v>
      </c>
      <c r="BF500" s="761">
        <f t="shared" si="127"/>
        <v>0</v>
      </c>
      <c r="BG500" s="761">
        <f t="shared" si="128"/>
        <v>0</v>
      </c>
      <c r="BH500" s="777">
        <v>0</v>
      </c>
      <c r="BI500" s="755"/>
      <c r="BJ500" s="778">
        <f>IF(X501=0,0,           IF(ISNUMBER(BI500),BI500,               IF(ISTEXT(BI500),INDEX(AZ500:BG500,MATCH(BI500,$AZ$12:$BG$12,0)),             IF(BH500="INT",_xll.qInterp(X501,AB500:AI500,AZ500:BG500),            INDEX(AZ500:BG500,MATCH(BH500,$AZ$12:$BG$12,0))))))</f>
        <v>0</v>
      </c>
      <c r="BK500" s="408">
        <f t="shared" si="133"/>
        <v>0</v>
      </c>
      <c r="BL500" s="414">
        <f t="shared" si="134"/>
        <v>0</v>
      </c>
      <c r="BM500" s="408">
        <f t="shared" si="135"/>
        <v>0</v>
      </c>
    </row>
    <row r="501" spans="16:65">
      <c r="P501" s="781">
        <v>0</v>
      </c>
      <c r="Q501" s="780">
        <f t="shared" si="119"/>
        <v>0</v>
      </c>
      <c r="R501" s="776">
        <f>IF(P502,_xll.qDateYears(P501,P502,DCCfixed),0)</f>
        <v>0</v>
      </c>
      <c r="S501" s="553">
        <v>0</v>
      </c>
      <c r="T501" s="785"/>
      <c r="U501" s="409">
        <f t="shared" si="129"/>
        <v>0</v>
      </c>
      <c r="X501" s="363">
        <v>0</v>
      </c>
      <c r="Y501" s="775">
        <f t="shared" si="120"/>
        <v>0</v>
      </c>
      <c r="Z501" s="776">
        <f>IF(X502,_xll.qDateYears(X501,X502,DCCfloat),0)</f>
        <v>0</v>
      </c>
      <c r="AA501" s="553">
        <v>0</v>
      </c>
      <c r="AB501" s="789">
        <f>IF($X501=0,0,      _xll.qDateNext($X501,AB$12,"M",FRM&lt;&gt;"Calypso",CCY))</f>
        <v>0</v>
      </c>
      <c r="AC501" s="789">
        <f>IF($X501=0,0,      _xll.qDateNext($X501,AC$12,"M",FRM&lt;&gt;"Calypso",CCY))</f>
        <v>0</v>
      </c>
      <c r="AD501" s="789">
        <f>IF($X501=0,0,      _xll.qDateNext($X501,AD$12,"M",FRM&lt;&gt;"Calypso",CCY))</f>
        <v>0</v>
      </c>
      <c r="AE501" s="789">
        <f>IF($X501=0,0,      _xll.qDateNext($X501,AE$12,"M",FRM&lt;&gt;"Calypso",CCY))</f>
        <v>0</v>
      </c>
      <c r="AF501" s="789">
        <f>IF($X501=0,0,      _xll.qDateNext($X501,AF$12,"M",FRM&lt;&gt;"Calypso",CCY))</f>
        <v>0</v>
      </c>
      <c r="AG501" s="789">
        <f>IF($X501=0,0,      _xll.qDateNext($X501,AG$12,"M",FRM&lt;&gt;"Calypso",CCY))</f>
        <v>0</v>
      </c>
      <c r="AH501" s="789">
        <f>IF($X501=0,0,      _xll.qDateNext($X501,AH$12,"M",FRM&lt;&gt;"Calypso",CCY))</f>
        <v>0</v>
      </c>
      <c r="AI501" s="789">
        <f>IF($X501=0,0,      _xll.qDateNext($X501,AI$12,"M",FRM&lt;&gt;"Calypso",CCY))</f>
        <v>0</v>
      </c>
      <c r="AJ501" s="529" t="str">
        <v/>
      </c>
      <c r="AK501" s="529" t="str">
        <v/>
      </c>
      <c r="AL501" s="529" t="str">
        <v/>
      </c>
      <c r="AM501" s="529" t="str">
        <v/>
      </c>
      <c r="AN501" s="529" t="str">
        <v/>
      </c>
      <c r="AO501" s="529" t="str">
        <v/>
      </c>
      <c r="AP501" s="529" t="str">
        <v/>
      </c>
      <c r="AQ501" s="529" t="str">
        <v/>
      </c>
      <c r="AR501" s="529">
        <v>0</v>
      </c>
      <c r="AS501" s="529">
        <v>0</v>
      </c>
      <c r="AT501" s="529">
        <f t="shared" si="130"/>
        <v>0</v>
      </c>
      <c r="AU501" s="529">
        <v>0</v>
      </c>
      <c r="AV501" s="529">
        <f t="shared" si="131"/>
        <v>0</v>
      </c>
      <c r="AW501" s="529">
        <f t="shared" si="132"/>
        <v>0</v>
      </c>
      <c r="AX501" s="529">
        <v>0</v>
      </c>
      <c r="AY501" s="529">
        <v>0</v>
      </c>
      <c r="AZ501" s="761">
        <f t="shared" si="121"/>
        <v>0</v>
      </c>
      <c r="BA501" s="761">
        <f t="shared" si="122"/>
        <v>0</v>
      </c>
      <c r="BB501" s="761">
        <f t="shared" si="123"/>
        <v>0</v>
      </c>
      <c r="BC501" s="761">
        <f t="shared" si="124"/>
        <v>0</v>
      </c>
      <c r="BD501" s="761">
        <f t="shared" si="125"/>
        <v>0</v>
      </c>
      <c r="BE501" s="761">
        <f t="shared" si="126"/>
        <v>0</v>
      </c>
      <c r="BF501" s="761">
        <f t="shared" si="127"/>
        <v>0</v>
      </c>
      <c r="BG501" s="761">
        <f t="shared" si="128"/>
        <v>0</v>
      </c>
      <c r="BH501" s="777">
        <v>0</v>
      </c>
      <c r="BI501" s="755"/>
      <c r="BJ501" s="778">
        <f>IF(X502=0,0,           IF(ISNUMBER(BI501),BI501,               IF(ISTEXT(BI501),INDEX(AZ501:BG501,MATCH(BI501,$AZ$12:$BG$12,0)),             IF(BH501="INT",_xll.qInterp(X502,AB501:AI501,AZ501:BG501),            INDEX(AZ501:BG501,MATCH(BH501,$AZ$12:$BG$12,0))))))</f>
        <v>0</v>
      </c>
      <c r="BK501" s="408">
        <f t="shared" si="133"/>
        <v>0</v>
      </c>
      <c r="BL501" s="414">
        <f t="shared" si="134"/>
        <v>0</v>
      </c>
      <c r="BM501" s="408">
        <f t="shared" si="135"/>
        <v>0</v>
      </c>
    </row>
    <row r="502" spans="16:65">
      <c r="P502" s="781">
        <v>0</v>
      </c>
      <c r="Q502" s="780">
        <f t="shared" si="119"/>
        <v>0</v>
      </c>
      <c r="R502" s="776">
        <f>IF(P503,_xll.qDateYears(P502,P503,DCCfixed),0)</f>
        <v>0</v>
      </c>
      <c r="S502" s="553">
        <v>0</v>
      </c>
      <c r="T502" s="785"/>
      <c r="U502" s="409">
        <f t="shared" si="129"/>
        <v>0</v>
      </c>
      <c r="X502" s="363">
        <v>0</v>
      </c>
      <c r="Y502" s="775">
        <f t="shared" si="120"/>
        <v>0</v>
      </c>
      <c r="Z502" s="776">
        <f>IF(X503,_xll.qDateYears(X502,X503,DCCfloat),0)</f>
        <v>0</v>
      </c>
      <c r="AA502" s="553">
        <v>0</v>
      </c>
      <c r="AB502" s="789">
        <f>IF($X502=0,0,      _xll.qDateNext($X502,AB$12,"M",FRM&lt;&gt;"Calypso",CCY))</f>
        <v>0</v>
      </c>
      <c r="AC502" s="789">
        <f>IF($X502=0,0,      _xll.qDateNext($X502,AC$12,"M",FRM&lt;&gt;"Calypso",CCY))</f>
        <v>0</v>
      </c>
      <c r="AD502" s="789">
        <f>IF($X502=0,0,      _xll.qDateNext($X502,AD$12,"M",FRM&lt;&gt;"Calypso",CCY))</f>
        <v>0</v>
      </c>
      <c r="AE502" s="789">
        <f>IF($X502=0,0,      _xll.qDateNext($X502,AE$12,"M",FRM&lt;&gt;"Calypso",CCY))</f>
        <v>0</v>
      </c>
      <c r="AF502" s="789">
        <f>IF($X502=0,0,      _xll.qDateNext($X502,AF$12,"M",FRM&lt;&gt;"Calypso",CCY))</f>
        <v>0</v>
      </c>
      <c r="AG502" s="789">
        <f>IF($X502=0,0,      _xll.qDateNext($X502,AG$12,"M",FRM&lt;&gt;"Calypso",CCY))</f>
        <v>0</v>
      </c>
      <c r="AH502" s="789">
        <f>IF($X502=0,0,      _xll.qDateNext($X502,AH$12,"M",FRM&lt;&gt;"Calypso",CCY))</f>
        <v>0</v>
      </c>
      <c r="AI502" s="789">
        <f>IF($X502=0,0,      _xll.qDateNext($X502,AI$12,"M",FRM&lt;&gt;"Calypso",CCY))</f>
        <v>0</v>
      </c>
      <c r="AJ502" s="529" t="str">
        <v/>
      </c>
      <c r="AK502" s="529" t="str">
        <v/>
      </c>
      <c r="AL502" s="529" t="str">
        <v/>
      </c>
      <c r="AM502" s="529" t="str">
        <v/>
      </c>
      <c r="AN502" s="529" t="str">
        <v/>
      </c>
      <c r="AO502" s="529" t="str">
        <v/>
      </c>
      <c r="AP502" s="529" t="str">
        <v/>
      </c>
      <c r="AQ502" s="529" t="str">
        <v/>
      </c>
      <c r="AR502" s="529">
        <v>0</v>
      </c>
      <c r="AS502" s="529">
        <v>0</v>
      </c>
      <c r="AT502" s="529">
        <f t="shared" si="130"/>
        <v>0</v>
      </c>
      <c r="AU502" s="529">
        <v>0</v>
      </c>
      <c r="AV502" s="529">
        <f t="shared" si="131"/>
        <v>0</v>
      </c>
      <c r="AW502" s="529">
        <f t="shared" si="132"/>
        <v>0</v>
      </c>
      <c r="AX502" s="529">
        <v>0</v>
      </c>
      <c r="AY502" s="529">
        <v>0</v>
      </c>
      <c r="AZ502" s="761">
        <f t="shared" si="121"/>
        <v>0</v>
      </c>
      <c r="BA502" s="761">
        <f t="shared" si="122"/>
        <v>0</v>
      </c>
      <c r="BB502" s="761">
        <f t="shared" si="123"/>
        <v>0</v>
      </c>
      <c r="BC502" s="761">
        <f t="shared" si="124"/>
        <v>0</v>
      </c>
      <c r="BD502" s="761">
        <f t="shared" si="125"/>
        <v>0</v>
      </c>
      <c r="BE502" s="761">
        <f t="shared" si="126"/>
        <v>0</v>
      </c>
      <c r="BF502" s="761">
        <f t="shared" si="127"/>
        <v>0</v>
      </c>
      <c r="BG502" s="761">
        <f t="shared" si="128"/>
        <v>0</v>
      </c>
      <c r="BH502" s="777">
        <v>0</v>
      </c>
      <c r="BI502" s="755"/>
      <c r="BJ502" s="778">
        <f>IF(X503=0,0,           IF(ISNUMBER(BI502),BI502,               IF(ISTEXT(BI502),INDEX(AZ502:BG502,MATCH(BI502,$AZ$12:$BG$12,0)),             IF(BH502="INT",_xll.qInterp(X503,AB502:AI502,AZ502:BG502),            INDEX(AZ502:BG502,MATCH(BH502,$AZ$12:$BG$12,0))))))</f>
        <v>0</v>
      </c>
      <c r="BK502" s="408">
        <f t="shared" si="133"/>
        <v>0</v>
      </c>
      <c r="BL502" s="414">
        <f t="shared" si="134"/>
        <v>0</v>
      </c>
      <c r="BM502" s="408">
        <f t="shared" si="135"/>
        <v>0</v>
      </c>
    </row>
    <row r="503" spans="16:65">
      <c r="P503" s="781">
        <v>0</v>
      </c>
      <c r="Q503" s="780">
        <f t="shared" si="119"/>
        <v>0</v>
      </c>
      <c r="R503" s="776">
        <f>IF(P504,_xll.qDateYears(P503,P504,DCCfixed),0)</f>
        <v>0</v>
      </c>
      <c r="S503" s="553">
        <v>0</v>
      </c>
      <c r="T503" s="785"/>
      <c r="U503" s="409">
        <f t="shared" si="129"/>
        <v>0</v>
      </c>
      <c r="X503" s="363">
        <v>0</v>
      </c>
      <c r="Y503" s="775">
        <f t="shared" si="120"/>
        <v>0</v>
      </c>
      <c r="Z503" s="776">
        <f>IF(X504,_xll.qDateYears(X503,X504,DCCfloat),0)</f>
        <v>0</v>
      </c>
      <c r="AA503" s="553">
        <v>0</v>
      </c>
      <c r="AB503" s="789">
        <f>IF($X503=0,0,      _xll.qDateNext($X503,AB$12,"M",FRM&lt;&gt;"Calypso",CCY))</f>
        <v>0</v>
      </c>
      <c r="AC503" s="789">
        <f>IF($X503=0,0,      _xll.qDateNext($X503,AC$12,"M",FRM&lt;&gt;"Calypso",CCY))</f>
        <v>0</v>
      </c>
      <c r="AD503" s="789">
        <f>IF($X503=0,0,      _xll.qDateNext($X503,AD$12,"M",FRM&lt;&gt;"Calypso",CCY))</f>
        <v>0</v>
      </c>
      <c r="AE503" s="789">
        <f>IF($X503=0,0,      _xll.qDateNext($X503,AE$12,"M",FRM&lt;&gt;"Calypso",CCY))</f>
        <v>0</v>
      </c>
      <c r="AF503" s="789">
        <f>IF($X503=0,0,      _xll.qDateNext($X503,AF$12,"M",FRM&lt;&gt;"Calypso",CCY))</f>
        <v>0</v>
      </c>
      <c r="AG503" s="789">
        <f>IF($X503=0,0,      _xll.qDateNext($X503,AG$12,"M",FRM&lt;&gt;"Calypso",CCY))</f>
        <v>0</v>
      </c>
      <c r="AH503" s="789">
        <f>IF($X503=0,0,      _xll.qDateNext($X503,AH$12,"M",FRM&lt;&gt;"Calypso",CCY))</f>
        <v>0</v>
      </c>
      <c r="AI503" s="789">
        <f>IF($X503=0,0,      _xll.qDateNext($X503,AI$12,"M",FRM&lt;&gt;"Calypso",CCY))</f>
        <v>0</v>
      </c>
      <c r="AJ503" s="529" t="str">
        <v/>
      </c>
      <c r="AK503" s="529" t="str">
        <v/>
      </c>
      <c r="AL503" s="529" t="str">
        <v/>
      </c>
      <c r="AM503" s="529" t="str">
        <v/>
      </c>
      <c r="AN503" s="529" t="str">
        <v/>
      </c>
      <c r="AO503" s="529" t="str">
        <v/>
      </c>
      <c r="AP503" s="529" t="str">
        <v/>
      </c>
      <c r="AQ503" s="529" t="str">
        <v/>
      </c>
      <c r="AR503" s="529">
        <v>0</v>
      </c>
      <c r="AS503" s="529">
        <v>0</v>
      </c>
      <c r="AT503" s="529">
        <f t="shared" si="130"/>
        <v>0</v>
      </c>
      <c r="AU503" s="529">
        <v>0</v>
      </c>
      <c r="AV503" s="529">
        <f t="shared" si="131"/>
        <v>0</v>
      </c>
      <c r="AW503" s="529">
        <f t="shared" si="132"/>
        <v>0</v>
      </c>
      <c r="AX503" s="529">
        <v>0</v>
      </c>
      <c r="AY503" s="529">
        <v>0</v>
      </c>
      <c r="AZ503" s="761">
        <f t="shared" si="121"/>
        <v>0</v>
      </c>
      <c r="BA503" s="761">
        <f t="shared" si="122"/>
        <v>0</v>
      </c>
      <c r="BB503" s="761">
        <f t="shared" si="123"/>
        <v>0</v>
      </c>
      <c r="BC503" s="761">
        <f t="shared" si="124"/>
        <v>0</v>
      </c>
      <c r="BD503" s="761">
        <f t="shared" si="125"/>
        <v>0</v>
      </c>
      <c r="BE503" s="761">
        <f t="shared" si="126"/>
        <v>0</v>
      </c>
      <c r="BF503" s="761">
        <f t="shared" si="127"/>
        <v>0</v>
      </c>
      <c r="BG503" s="761">
        <f t="shared" si="128"/>
        <v>0</v>
      </c>
      <c r="BH503" s="777">
        <v>0</v>
      </c>
      <c r="BI503" s="755"/>
      <c r="BJ503" s="778">
        <f>IF(X504=0,0,           IF(ISNUMBER(BI503),BI503,               IF(ISTEXT(BI503),INDEX(AZ503:BG503,MATCH(BI503,$AZ$12:$BG$12,0)),             IF(BH503="INT",_xll.qInterp(X504,AB503:AI503,AZ503:BG503),            INDEX(AZ503:BG503,MATCH(BH503,$AZ$12:$BG$12,0))))))</f>
        <v>0</v>
      </c>
      <c r="BK503" s="408">
        <f t="shared" si="133"/>
        <v>0</v>
      </c>
      <c r="BL503" s="414">
        <f t="shared" si="134"/>
        <v>0</v>
      </c>
      <c r="BM503" s="408">
        <f t="shared" si="135"/>
        <v>0</v>
      </c>
    </row>
    <row r="504" spans="16:65">
      <c r="P504" s="781">
        <v>0</v>
      </c>
      <c r="Q504" s="780">
        <f t="shared" si="119"/>
        <v>0</v>
      </c>
      <c r="R504" s="776">
        <f>IF(P505,_xll.qDateYears(P504,P505,DCCfixed),0)</f>
        <v>0</v>
      </c>
      <c r="S504" s="553">
        <v>0</v>
      </c>
      <c r="T504" s="785"/>
      <c r="U504" s="409">
        <f t="shared" si="129"/>
        <v>0</v>
      </c>
      <c r="X504" s="363">
        <v>0</v>
      </c>
      <c r="Y504" s="775">
        <f t="shared" si="120"/>
        <v>0</v>
      </c>
      <c r="Z504" s="776">
        <f>IF(X505,_xll.qDateYears(X504,X505,DCCfloat),0)</f>
        <v>0</v>
      </c>
      <c r="AA504" s="553">
        <v>0</v>
      </c>
      <c r="AB504" s="789">
        <f>IF($X504=0,0,      _xll.qDateNext($X504,AB$12,"M",FRM&lt;&gt;"Calypso",CCY))</f>
        <v>0</v>
      </c>
      <c r="AC504" s="789">
        <f>IF($X504=0,0,      _xll.qDateNext($X504,AC$12,"M",FRM&lt;&gt;"Calypso",CCY))</f>
        <v>0</v>
      </c>
      <c r="AD504" s="789">
        <f>IF($X504=0,0,      _xll.qDateNext($X504,AD$12,"M",FRM&lt;&gt;"Calypso",CCY))</f>
        <v>0</v>
      </c>
      <c r="AE504" s="789">
        <f>IF($X504=0,0,      _xll.qDateNext($X504,AE$12,"M",FRM&lt;&gt;"Calypso",CCY))</f>
        <v>0</v>
      </c>
      <c r="AF504" s="789">
        <f>IF($X504=0,0,      _xll.qDateNext($X504,AF$12,"M",FRM&lt;&gt;"Calypso",CCY))</f>
        <v>0</v>
      </c>
      <c r="AG504" s="789">
        <f>IF($X504=0,0,      _xll.qDateNext($X504,AG$12,"M",FRM&lt;&gt;"Calypso",CCY))</f>
        <v>0</v>
      </c>
      <c r="AH504" s="789">
        <f>IF($X504=0,0,      _xll.qDateNext($X504,AH$12,"M",FRM&lt;&gt;"Calypso",CCY))</f>
        <v>0</v>
      </c>
      <c r="AI504" s="789">
        <f>IF($X504=0,0,      _xll.qDateNext($X504,AI$12,"M",FRM&lt;&gt;"Calypso",CCY))</f>
        <v>0</v>
      </c>
      <c r="AJ504" s="529" t="str">
        <v/>
      </c>
      <c r="AK504" s="529" t="str">
        <v/>
      </c>
      <c r="AL504" s="529" t="str">
        <v/>
      </c>
      <c r="AM504" s="529" t="str">
        <v/>
      </c>
      <c r="AN504" s="529" t="str">
        <v/>
      </c>
      <c r="AO504" s="529" t="str">
        <v/>
      </c>
      <c r="AP504" s="529" t="str">
        <v/>
      </c>
      <c r="AQ504" s="529" t="str">
        <v/>
      </c>
      <c r="AR504" s="529">
        <v>0</v>
      </c>
      <c r="AS504" s="529">
        <v>0</v>
      </c>
      <c r="AT504" s="529">
        <f t="shared" si="130"/>
        <v>0</v>
      </c>
      <c r="AU504" s="529">
        <v>0</v>
      </c>
      <c r="AV504" s="529">
        <f t="shared" si="131"/>
        <v>0</v>
      </c>
      <c r="AW504" s="529">
        <f t="shared" si="132"/>
        <v>0</v>
      </c>
      <c r="AX504" s="529">
        <v>0</v>
      </c>
      <c r="AY504" s="529">
        <v>0</v>
      </c>
      <c r="AZ504" s="761">
        <f t="shared" si="121"/>
        <v>0</v>
      </c>
      <c r="BA504" s="761">
        <f t="shared" si="122"/>
        <v>0</v>
      </c>
      <c r="BB504" s="761">
        <f t="shared" si="123"/>
        <v>0</v>
      </c>
      <c r="BC504" s="761">
        <f t="shared" si="124"/>
        <v>0</v>
      </c>
      <c r="BD504" s="761">
        <f t="shared" si="125"/>
        <v>0</v>
      </c>
      <c r="BE504" s="761">
        <f t="shared" si="126"/>
        <v>0</v>
      </c>
      <c r="BF504" s="761">
        <f t="shared" si="127"/>
        <v>0</v>
      </c>
      <c r="BG504" s="761">
        <f t="shared" si="128"/>
        <v>0</v>
      </c>
      <c r="BH504" s="777">
        <v>0</v>
      </c>
      <c r="BI504" s="755"/>
      <c r="BJ504" s="778">
        <f>IF(X505=0,0,           IF(ISNUMBER(BI504),BI504,               IF(ISTEXT(BI504),INDEX(AZ504:BG504,MATCH(BI504,$AZ$12:$BG$12,0)),             IF(BH504="INT",_xll.qInterp(X505,AB504:AI504,AZ504:BG504),            INDEX(AZ504:BG504,MATCH(BH504,$AZ$12:$BG$12,0))))))</f>
        <v>0</v>
      </c>
      <c r="BK504" s="408">
        <f t="shared" si="133"/>
        <v>0</v>
      </c>
      <c r="BL504" s="414">
        <f t="shared" si="134"/>
        <v>0</v>
      </c>
      <c r="BM504" s="408">
        <f t="shared" si="135"/>
        <v>0</v>
      </c>
    </row>
    <row r="505" spans="16:65">
      <c r="P505" s="781">
        <v>0</v>
      </c>
      <c r="Q505" s="780">
        <f t="shared" si="119"/>
        <v>0</v>
      </c>
      <c r="R505" s="776">
        <f>IF(P506,_xll.qDateYears(P505,P506,DCCfixed),0)</f>
        <v>0</v>
      </c>
      <c r="S505" s="553">
        <v>0</v>
      </c>
      <c r="T505" s="785"/>
      <c r="U505" s="409">
        <f t="shared" si="129"/>
        <v>0</v>
      </c>
      <c r="X505" s="363">
        <v>0</v>
      </c>
      <c r="Y505" s="775">
        <f t="shared" si="120"/>
        <v>0</v>
      </c>
      <c r="Z505" s="776">
        <f>IF(X506,_xll.qDateYears(X505,X506,DCCfloat),0)</f>
        <v>0</v>
      </c>
      <c r="AA505" s="553">
        <v>0</v>
      </c>
      <c r="AB505" s="789">
        <f>IF($X505=0,0,      _xll.qDateNext($X505,AB$12,"M",FRM&lt;&gt;"Calypso",CCY))</f>
        <v>0</v>
      </c>
      <c r="AC505" s="789">
        <f>IF($X505=0,0,      _xll.qDateNext($X505,AC$12,"M",FRM&lt;&gt;"Calypso",CCY))</f>
        <v>0</v>
      </c>
      <c r="AD505" s="789">
        <f>IF($X505=0,0,      _xll.qDateNext($X505,AD$12,"M",FRM&lt;&gt;"Calypso",CCY))</f>
        <v>0</v>
      </c>
      <c r="AE505" s="789">
        <f>IF($X505=0,0,      _xll.qDateNext($X505,AE$12,"M",FRM&lt;&gt;"Calypso",CCY))</f>
        <v>0</v>
      </c>
      <c r="AF505" s="789">
        <f>IF($X505=0,0,      _xll.qDateNext($X505,AF$12,"M",FRM&lt;&gt;"Calypso",CCY))</f>
        <v>0</v>
      </c>
      <c r="AG505" s="789">
        <f>IF($X505=0,0,      _xll.qDateNext($X505,AG$12,"M",FRM&lt;&gt;"Calypso",CCY))</f>
        <v>0</v>
      </c>
      <c r="AH505" s="789">
        <f>IF($X505=0,0,      _xll.qDateNext($X505,AH$12,"M",FRM&lt;&gt;"Calypso",CCY))</f>
        <v>0</v>
      </c>
      <c r="AI505" s="789">
        <f>IF($X505=0,0,      _xll.qDateNext($X505,AI$12,"M",FRM&lt;&gt;"Calypso",CCY))</f>
        <v>0</v>
      </c>
      <c r="AJ505" s="529" t="str">
        <v/>
      </c>
      <c r="AK505" s="529" t="str">
        <v/>
      </c>
      <c r="AL505" s="529" t="str">
        <v/>
      </c>
      <c r="AM505" s="529" t="str">
        <v/>
      </c>
      <c r="AN505" s="529" t="str">
        <v/>
      </c>
      <c r="AO505" s="529" t="str">
        <v/>
      </c>
      <c r="AP505" s="529" t="str">
        <v/>
      </c>
      <c r="AQ505" s="529" t="str">
        <v/>
      </c>
      <c r="AR505" s="529">
        <v>0</v>
      </c>
      <c r="AS505" s="529">
        <v>0</v>
      </c>
      <c r="AT505" s="529">
        <f t="shared" si="130"/>
        <v>0</v>
      </c>
      <c r="AU505" s="529">
        <v>0</v>
      </c>
      <c r="AV505" s="529">
        <f t="shared" si="131"/>
        <v>0</v>
      </c>
      <c r="AW505" s="529">
        <f t="shared" si="132"/>
        <v>0</v>
      </c>
      <c r="AX505" s="529">
        <v>0</v>
      </c>
      <c r="AY505" s="529">
        <v>0</v>
      </c>
      <c r="AZ505" s="761">
        <f t="shared" si="121"/>
        <v>0</v>
      </c>
      <c r="BA505" s="761">
        <f t="shared" si="122"/>
        <v>0</v>
      </c>
      <c r="BB505" s="761">
        <f t="shared" si="123"/>
        <v>0</v>
      </c>
      <c r="BC505" s="761">
        <f t="shared" si="124"/>
        <v>0</v>
      </c>
      <c r="BD505" s="761">
        <f t="shared" si="125"/>
        <v>0</v>
      </c>
      <c r="BE505" s="761">
        <f t="shared" si="126"/>
        <v>0</v>
      </c>
      <c r="BF505" s="761">
        <f t="shared" si="127"/>
        <v>0</v>
      </c>
      <c r="BG505" s="761">
        <f t="shared" si="128"/>
        <v>0</v>
      </c>
      <c r="BH505" s="777">
        <v>0</v>
      </c>
      <c r="BI505" s="755"/>
      <c r="BJ505" s="778">
        <f>IF(X506=0,0,           IF(ISNUMBER(BI505),BI505,               IF(ISTEXT(BI505),INDEX(AZ505:BG505,MATCH(BI505,$AZ$12:$BG$12,0)),             IF(BH505="INT",_xll.qInterp(X506,AB505:AI505,AZ505:BG505),            INDEX(AZ505:BG505,MATCH(BH505,$AZ$12:$BG$12,0))))))</f>
        <v>0</v>
      </c>
      <c r="BK505" s="408">
        <f t="shared" si="133"/>
        <v>0</v>
      </c>
      <c r="BL505" s="414">
        <f t="shared" si="134"/>
        <v>0</v>
      </c>
      <c r="BM505" s="408">
        <f t="shared" si="135"/>
        <v>0</v>
      </c>
    </row>
    <row r="506" spans="16:65">
      <c r="P506" s="781">
        <v>0</v>
      </c>
      <c r="Q506" s="780">
        <f t="shared" si="119"/>
        <v>0</v>
      </c>
      <c r="R506" s="776">
        <f>IF(P507,_xll.qDateYears(P506,P507,DCCfixed),0)</f>
        <v>0</v>
      </c>
      <c r="S506" s="553">
        <v>0</v>
      </c>
      <c r="T506" s="785"/>
      <c r="U506" s="409">
        <f t="shared" si="129"/>
        <v>0</v>
      </c>
      <c r="X506" s="363">
        <v>0</v>
      </c>
      <c r="Y506" s="775">
        <f t="shared" si="120"/>
        <v>0</v>
      </c>
      <c r="Z506" s="776">
        <f>IF(X507,_xll.qDateYears(X506,X507,DCCfloat),0)</f>
        <v>0</v>
      </c>
      <c r="AA506" s="553">
        <v>0</v>
      </c>
      <c r="AB506" s="789">
        <f>IF($X506=0,0,      _xll.qDateNext($X506,AB$12,"M",FRM&lt;&gt;"Calypso",CCY))</f>
        <v>0</v>
      </c>
      <c r="AC506" s="789">
        <f>IF($X506=0,0,      _xll.qDateNext($X506,AC$12,"M",FRM&lt;&gt;"Calypso",CCY))</f>
        <v>0</v>
      </c>
      <c r="AD506" s="789">
        <f>IF($X506=0,0,      _xll.qDateNext($X506,AD$12,"M",FRM&lt;&gt;"Calypso",CCY))</f>
        <v>0</v>
      </c>
      <c r="AE506" s="789">
        <f>IF($X506=0,0,      _xll.qDateNext($X506,AE$12,"M",FRM&lt;&gt;"Calypso",CCY))</f>
        <v>0</v>
      </c>
      <c r="AF506" s="789">
        <f>IF($X506=0,0,      _xll.qDateNext($X506,AF$12,"M",FRM&lt;&gt;"Calypso",CCY))</f>
        <v>0</v>
      </c>
      <c r="AG506" s="789">
        <f>IF($X506=0,0,      _xll.qDateNext($X506,AG$12,"M",FRM&lt;&gt;"Calypso",CCY))</f>
        <v>0</v>
      </c>
      <c r="AH506" s="789">
        <f>IF($X506=0,0,      _xll.qDateNext($X506,AH$12,"M",FRM&lt;&gt;"Calypso",CCY))</f>
        <v>0</v>
      </c>
      <c r="AI506" s="789">
        <f>IF($X506=0,0,      _xll.qDateNext($X506,AI$12,"M",FRM&lt;&gt;"Calypso",CCY))</f>
        <v>0</v>
      </c>
      <c r="AJ506" s="529" t="str">
        <v/>
      </c>
      <c r="AK506" s="529" t="str">
        <v/>
      </c>
      <c r="AL506" s="529" t="str">
        <v/>
      </c>
      <c r="AM506" s="529" t="str">
        <v/>
      </c>
      <c r="AN506" s="529" t="str">
        <v/>
      </c>
      <c r="AO506" s="529" t="str">
        <v/>
      </c>
      <c r="AP506" s="529" t="str">
        <v/>
      </c>
      <c r="AQ506" s="529" t="str">
        <v/>
      </c>
      <c r="AR506" s="529">
        <v>0</v>
      </c>
      <c r="AS506" s="529">
        <v>0</v>
      </c>
      <c r="AT506" s="529">
        <f t="shared" si="130"/>
        <v>0</v>
      </c>
      <c r="AU506" s="529">
        <v>0</v>
      </c>
      <c r="AV506" s="529">
        <f t="shared" si="131"/>
        <v>0</v>
      </c>
      <c r="AW506" s="529">
        <f t="shared" si="132"/>
        <v>0</v>
      </c>
      <c r="AX506" s="529">
        <v>0</v>
      </c>
      <c r="AY506" s="529">
        <v>0</v>
      </c>
      <c r="AZ506" s="761">
        <f t="shared" si="121"/>
        <v>0</v>
      </c>
      <c r="BA506" s="761">
        <f t="shared" si="122"/>
        <v>0</v>
      </c>
      <c r="BB506" s="761">
        <f t="shared" si="123"/>
        <v>0</v>
      </c>
      <c r="BC506" s="761">
        <f t="shared" si="124"/>
        <v>0</v>
      </c>
      <c r="BD506" s="761">
        <f t="shared" si="125"/>
        <v>0</v>
      </c>
      <c r="BE506" s="761">
        <f t="shared" si="126"/>
        <v>0</v>
      </c>
      <c r="BF506" s="761">
        <f t="shared" si="127"/>
        <v>0</v>
      </c>
      <c r="BG506" s="761">
        <f t="shared" si="128"/>
        <v>0</v>
      </c>
      <c r="BH506" s="777">
        <v>0</v>
      </c>
      <c r="BI506" s="755"/>
      <c r="BJ506" s="778">
        <f>IF(X507=0,0,           IF(ISNUMBER(BI506),BI506,               IF(ISTEXT(BI506),INDEX(AZ506:BG506,MATCH(BI506,$AZ$12:$BG$12,0)),             IF(BH506="INT",_xll.qInterp(X507,AB506:AI506,AZ506:BG506),            INDEX(AZ506:BG506,MATCH(BH506,$AZ$12:$BG$12,0))))))</f>
        <v>0</v>
      </c>
      <c r="BK506" s="408">
        <f t="shared" si="133"/>
        <v>0</v>
      </c>
      <c r="BL506" s="414">
        <f t="shared" si="134"/>
        <v>0</v>
      </c>
      <c r="BM506" s="408">
        <f t="shared" si="135"/>
        <v>0</v>
      </c>
    </row>
    <row r="507" spans="16:65">
      <c r="P507" s="781">
        <v>0</v>
      </c>
      <c r="Q507" s="780">
        <f t="shared" si="119"/>
        <v>0</v>
      </c>
      <c r="R507" s="776">
        <f>IF(P508,_xll.qDateYears(P507,P508,DCCfixed),0)</f>
        <v>0</v>
      </c>
      <c r="S507" s="553">
        <v>0</v>
      </c>
      <c r="T507" s="785"/>
      <c r="U507" s="409">
        <f t="shared" si="129"/>
        <v>0</v>
      </c>
      <c r="X507" s="363">
        <v>0</v>
      </c>
      <c r="Y507" s="775">
        <f t="shared" si="120"/>
        <v>0</v>
      </c>
      <c r="Z507" s="776">
        <f>IF(X508,_xll.qDateYears(X507,X508,DCCfloat),0)</f>
        <v>0</v>
      </c>
      <c r="AA507" s="553">
        <v>0</v>
      </c>
      <c r="AB507" s="789">
        <f>IF($X507=0,0,      _xll.qDateNext($X507,AB$12,"M",FRM&lt;&gt;"Calypso",CCY))</f>
        <v>0</v>
      </c>
      <c r="AC507" s="789">
        <f>IF($X507=0,0,      _xll.qDateNext($X507,AC$12,"M",FRM&lt;&gt;"Calypso",CCY))</f>
        <v>0</v>
      </c>
      <c r="AD507" s="789">
        <f>IF($X507=0,0,      _xll.qDateNext($X507,AD$12,"M",FRM&lt;&gt;"Calypso",CCY))</f>
        <v>0</v>
      </c>
      <c r="AE507" s="789">
        <f>IF($X507=0,0,      _xll.qDateNext($X507,AE$12,"M",FRM&lt;&gt;"Calypso",CCY))</f>
        <v>0</v>
      </c>
      <c r="AF507" s="789">
        <f>IF($X507=0,0,      _xll.qDateNext($X507,AF$12,"M",FRM&lt;&gt;"Calypso",CCY))</f>
        <v>0</v>
      </c>
      <c r="AG507" s="789">
        <f>IF($X507=0,0,      _xll.qDateNext($X507,AG$12,"M",FRM&lt;&gt;"Calypso",CCY))</f>
        <v>0</v>
      </c>
      <c r="AH507" s="789">
        <f>IF($X507=0,0,      _xll.qDateNext($X507,AH$12,"M",FRM&lt;&gt;"Calypso",CCY))</f>
        <v>0</v>
      </c>
      <c r="AI507" s="789">
        <f>IF($X507=0,0,      _xll.qDateNext($X507,AI$12,"M",FRM&lt;&gt;"Calypso",CCY))</f>
        <v>0</v>
      </c>
      <c r="AJ507" s="529" t="str">
        <v/>
      </c>
      <c r="AK507" s="529" t="str">
        <v/>
      </c>
      <c r="AL507" s="529" t="str">
        <v/>
      </c>
      <c r="AM507" s="529" t="str">
        <v/>
      </c>
      <c r="AN507" s="529" t="str">
        <v/>
      </c>
      <c r="AO507" s="529" t="str">
        <v/>
      </c>
      <c r="AP507" s="529" t="str">
        <v/>
      </c>
      <c r="AQ507" s="529" t="str">
        <v/>
      </c>
      <c r="AR507" s="529">
        <v>0</v>
      </c>
      <c r="AS507" s="529">
        <v>0</v>
      </c>
      <c r="AT507" s="529">
        <f t="shared" si="130"/>
        <v>0</v>
      </c>
      <c r="AU507" s="529">
        <v>0</v>
      </c>
      <c r="AV507" s="529">
        <f t="shared" si="131"/>
        <v>0</v>
      </c>
      <c r="AW507" s="529">
        <f t="shared" si="132"/>
        <v>0</v>
      </c>
      <c r="AX507" s="529">
        <v>0</v>
      </c>
      <c r="AY507" s="529">
        <v>0</v>
      </c>
      <c r="AZ507" s="761">
        <f t="shared" si="121"/>
        <v>0</v>
      </c>
      <c r="BA507" s="761">
        <f t="shared" si="122"/>
        <v>0</v>
      </c>
      <c r="BB507" s="761">
        <f t="shared" si="123"/>
        <v>0</v>
      </c>
      <c r="BC507" s="761">
        <f t="shared" si="124"/>
        <v>0</v>
      </c>
      <c r="BD507" s="761">
        <f t="shared" si="125"/>
        <v>0</v>
      </c>
      <c r="BE507" s="761">
        <f t="shared" si="126"/>
        <v>0</v>
      </c>
      <c r="BF507" s="761">
        <f t="shared" si="127"/>
        <v>0</v>
      </c>
      <c r="BG507" s="761">
        <f t="shared" si="128"/>
        <v>0</v>
      </c>
      <c r="BH507" s="777">
        <v>0</v>
      </c>
      <c r="BI507" s="755"/>
      <c r="BJ507" s="778">
        <f>IF(X508=0,0,           IF(ISNUMBER(BI507),BI507,               IF(ISTEXT(BI507),INDEX(AZ507:BG507,MATCH(BI507,$AZ$12:$BG$12,0)),             IF(BH507="INT",_xll.qInterp(X508,AB507:AI507,AZ507:BG507),            INDEX(AZ507:BG507,MATCH(BH507,$AZ$12:$BG$12,0))))))</f>
        <v>0</v>
      </c>
      <c r="BK507" s="408">
        <f t="shared" si="133"/>
        <v>0</v>
      </c>
      <c r="BL507" s="414">
        <f t="shared" si="134"/>
        <v>0</v>
      </c>
      <c r="BM507" s="408">
        <f t="shared" si="135"/>
        <v>0</v>
      </c>
    </row>
    <row r="508" spans="16:65">
      <c r="P508" s="781">
        <v>0</v>
      </c>
      <c r="Q508" s="780">
        <f t="shared" si="119"/>
        <v>0</v>
      </c>
      <c r="R508" s="776">
        <f>IF(P509,_xll.qDateYears(P508,P509,DCCfixed),0)</f>
        <v>0</v>
      </c>
      <c r="S508" s="553">
        <v>0</v>
      </c>
      <c r="T508" s="785"/>
      <c r="U508" s="409">
        <f t="shared" si="129"/>
        <v>0</v>
      </c>
      <c r="X508" s="363">
        <v>0</v>
      </c>
      <c r="Y508" s="775">
        <f t="shared" si="120"/>
        <v>0</v>
      </c>
      <c r="Z508" s="776">
        <f>IF(X509,_xll.qDateYears(X508,X509,DCCfloat),0)</f>
        <v>0</v>
      </c>
      <c r="AA508" s="553">
        <v>0</v>
      </c>
      <c r="AB508" s="789">
        <f>IF($X508=0,0,      _xll.qDateNext($X508,AB$12,"M",FRM&lt;&gt;"Calypso",CCY))</f>
        <v>0</v>
      </c>
      <c r="AC508" s="789">
        <f>IF($X508=0,0,      _xll.qDateNext($X508,AC$12,"M",FRM&lt;&gt;"Calypso",CCY))</f>
        <v>0</v>
      </c>
      <c r="AD508" s="789">
        <f>IF($X508=0,0,      _xll.qDateNext($X508,AD$12,"M",FRM&lt;&gt;"Calypso",CCY))</f>
        <v>0</v>
      </c>
      <c r="AE508" s="789">
        <f>IF($X508=0,0,      _xll.qDateNext($X508,AE$12,"M",FRM&lt;&gt;"Calypso",CCY))</f>
        <v>0</v>
      </c>
      <c r="AF508" s="789">
        <f>IF($X508=0,0,      _xll.qDateNext($X508,AF$12,"M",FRM&lt;&gt;"Calypso",CCY))</f>
        <v>0</v>
      </c>
      <c r="AG508" s="789">
        <f>IF($X508=0,0,      _xll.qDateNext($X508,AG$12,"M",FRM&lt;&gt;"Calypso",CCY))</f>
        <v>0</v>
      </c>
      <c r="AH508" s="789">
        <f>IF($X508=0,0,      _xll.qDateNext($X508,AH$12,"M",FRM&lt;&gt;"Calypso",CCY))</f>
        <v>0</v>
      </c>
      <c r="AI508" s="789">
        <f>IF($X508=0,0,      _xll.qDateNext($X508,AI$12,"M",FRM&lt;&gt;"Calypso",CCY))</f>
        <v>0</v>
      </c>
      <c r="AJ508" s="529" t="str">
        <v/>
      </c>
      <c r="AK508" s="529" t="str">
        <v/>
      </c>
      <c r="AL508" s="529" t="str">
        <v/>
      </c>
      <c r="AM508" s="529" t="str">
        <v/>
      </c>
      <c r="AN508" s="529" t="str">
        <v/>
      </c>
      <c r="AO508" s="529" t="str">
        <v/>
      </c>
      <c r="AP508" s="529" t="str">
        <v/>
      </c>
      <c r="AQ508" s="529" t="str">
        <v/>
      </c>
      <c r="AR508" s="529">
        <v>0</v>
      </c>
      <c r="AS508" s="529">
        <v>0</v>
      </c>
      <c r="AT508" s="529">
        <f t="shared" si="130"/>
        <v>0</v>
      </c>
      <c r="AU508" s="529">
        <v>0</v>
      </c>
      <c r="AV508" s="529">
        <f t="shared" si="131"/>
        <v>0</v>
      </c>
      <c r="AW508" s="529">
        <f t="shared" si="132"/>
        <v>0</v>
      </c>
      <c r="AX508" s="529">
        <v>0</v>
      </c>
      <c r="AY508" s="529">
        <v>0</v>
      </c>
      <c r="AZ508" s="761">
        <f t="shared" si="121"/>
        <v>0</v>
      </c>
      <c r="BA508" s="761">
        <f t="shared" si="122"/>
        <v>0</v>
      </c>
      <c r="BB508" s="761">
        <f t="shared" si="123"/>
        <v>0</v>
      </c>
      <c r="BC508" s="761">
        <f t="shared" si="124"/>
        <v>0</v>
      </c>
      <c r="BD508" s="761">
        <f t="shared" si="125"/>
        <v>0</v>
      </c>
      <c r="BE508" s="761">
        <f t="shared" si="126"/>
        <v>0</v>
      </c>
      <c r="BF508" s="761">
        <f t="shared" si="127"/>
        <v>0</v>
      </c>
      <c r="BG508" s="761">
        <f t="shared" si="128"/>
        <v>0</v>
      </c>
      <c r="BH508" s="777">
        <v>0</v>
      </c>
      <c r="BI508" s="755"/>
      <c r="BJ508" s="778">
        <f>IF(X509=0,0,           IF(ISNUMBER(BI508),BI508,               IF(ISTEXT(BI508),INDEX(AZ508:BG508,MATCH(BI508,$AZ$12:$BG$12,0)),             IF(BH508="INT",_xll.qInterp(X509,AB508:AI508,AZ508:BG508),            INDEX(AZ508:BG508,MATCH(BH508,$AZ$12:$BG$12,0))))))</f>
        <v>0</v>
      </c>
      <c r="BK508" s="408">
        <f t="shared" si="133"/>
        <v>0</v>
      </c>
      <c r="BL508" s="414">
        <f t="shared" si="134"/>
        <v>0</v>
      </c>
      <c r="BM508" s="408">
        <f t="shared" si="135"/>
        <v>0</v>
      </c>
    </row>
    <row r="509" spans="16:65">
      <c r="P509" s="781">
        <v>0</v>
      </c>
      <c r="Q509" s="780">
        <f t="shared" si="119"/>
        <v>0</v>
      </c>
      <c r="R509" s="776">
        <f>IF(P510,_xll.qDateYears(P509,P510,DCCfixed),0)</f>
        <v>0</v>
      </c>
      <c r="S509" s="553">
        <v>0</v>
      </c>
      <c r="T509" s="785"/>
      <c r="U509" s="409">
        <f t="shared" si="129"/>
        <v>0</v>
      </c>
      <c r="X509" s="363">
        <v>0</v>
      </c>
      <c r="Y509" s="775">
        <f t="shared" si="120"/>
        <v>0</v>
      </c>
      <c r="Z509" s="776">
        <f>IF(X510,_xll.qDateYears(X509,X510,DCCfloat),0)</f>
        <v>0</v>
      </c>
      <c r="AA509" s="553">
        <v>0</v>
      </c>
      <c r="AB509" s="789">
        <f>IF($X509=0,0,      _xll.qDateNext($X509,AB$12,"M",FRM&lt;&gt;"Calypso",CCY))</f>
        <v>0</v>
      </c>
      <c r="AC509" s="789">
        <f>IF($X509=0,0,      _xll.qDateNext($X509,AC$12,"M",FRM&lt;&gt;"Calypso",CCY))</f>
        <v>0</v>
      </c>
      <c r="AD509" s="789">
        <f>IF($X509=0,0,      _xll.qDateNext($X509,AD$12,"M",FRM&lt;&gt;"Calypso",CCY))</f>
        <v>0</v>
      </c>
      <c r="AE509" s="789">
        <f>IF($X509=0,0,      _xll.qDateNext($X509,AE$12,"M",FRM&lt;&gt;"Calypso",CCY))</f>
        <v>0</v>
      </c>
      <c r="AF509" s="789">
        <f>IF($X509=0,0,      _xll.qDateNext($X509,AF$12,"M",FRM&lt;&gt;"Calypso",CCY))</f>
        <v>0</v>
      </c>
      <c r="AG509" s="789">
        <f>IF($X509=0,0,      _xll.qDateNext($X509,AG$12,"M",FRM&lt;&gt;"Calypso",CCY))</f>
        <v>0</v>
      </c>
      <c r="AH509" s="789">
        <f>IF($X509=0,0,      _xll.qDateNext($X509,AH$12,"M",FRM&lt;&gt;"Calypso",CCY))</f>
        <v>0</v>
      </c>
      <c r="AI509" s="789">
        <f>IF($X509=0,0,      _xll.qDateNext($X509,AI$12,"M",FRM&lt;&gt;"Calypso",CCY))</f>
        <v>0</v>
      </c>
      <c r="AJ509" s="529" t="str">
        <v/>
      </c>
      <c r="AK509" s="529" t="str">
        <v/>
      </c>
      <c r="AL509" s="529" t="str">
        <v/>
      </c>
      <c r="AM509" s="529" t="str">
        <v/>
      </c>
      <c r="AN509" s="529" t="str">
        <v/>
      </c>
      <c r="AO509" s="529" t="str">
        <v/>
      </c>
      <c r="AP509" s="529" t="str">
        <v/>
      </c>
      <c r="AQ509" s="529" t="str">
        <v/>
      </c>
      <c r="AR509" s="529">
        <v>0</v>
      </c>
      <c r="AS509" s="529">
        <v>0</v>
      </c>
      <c r="AT509" s="529">
        <f t="shared" si="130"/>
        <v>0</v>
      </c>
      <c r="AU509" s="529">
        <v>0</v>
      </c>
      <c r="AV509" s="529">
        <f t="shared" si="131"/>
        <v>0</v>
      </c>
      <c r="AW509" s="529">
        <f t="shared" si="132"/>
        <v>0</v>
      </c>
      <c r="AX509" s="529">
        <v>0</v>
      </c>
      <c r="AY509" s="529">
        <v>0</v>
      </c>
      <c r="AZ509" s="761">
        <f t="shared" si="121"/>
        <v>0</v>
      </c>
      <c r="BA509" s="761">
        <f t="shared" si="122"/>
        <v>0</v>
      </c>
      <c r="BB509" s="761">
        <f t="shared" si="123"/>
        <v>0</v>
      </c>
      <c r="BC509" s="761">
        <f t="shared" si="124"/>
        <v>0</v>
      </c>
      <c r="BD509" s="761">
        <f t="shared" si="125"/>
        <v>0</v>
      </c>
      <c r="BE509" s="761">
        <f t="shared" si="126"/>
        <v>0</v>
      </c>
      <c r="BF509" s="761">
        <f t="shared" si="127"/>
        <v>0</v>
      </c>
      <c r="BG509" s="761">
        <f t="shared" si="128"/>
        <v>0</v>
      </c>
      <c r="BH509" s="777">
        <v>0</v>
      </c>
      <c r="BI509" s="755"/>
      <c r="BJ509" s="778">
        <f>IF(X510=0,0,           IF(ISNUMBER(BI509),BI509,               IF(ISTEXT(BI509),INDEX(AZ509:BG509,MATCH(BI509,$AZ$12:$BG$12,0)),             IF(BH509="INT",_xll.qInterp(X510,AB509:AI509,AZ509:BG509),            INDEX(AZ509:BG509,MATCH(BH509,$AZ$12:$BG$12,0))))))</f>
        <v>0</v>
      </c>
      <c r="BK509" s="408">
        <f t="shared" si="133"/>
        <v>0</v>
      </c>
      <c r="BL509" s="414">
        <f t="shared" si="134"/>
        <v>0</v>
      </c>
      <c r="BM509" s="408">
        <f t="shared" si="135"/>
        <v>0</v>
      </c>
    </row>
    <row r="510" spans="16:65">
      <c r="P510" s="781">
        <v>0</v>
      </c>
      <c r="Q510" s="780">
        <f t="shared" si="119"/>
        <v>0</v>
      </c>
      <c r="R510" s="776">
        <f>IF(P511,_xll.qDateYears(P510,P511,DCCfixed),0)</f>
        <v>0</v>
      </c>
      <c r="S510" s="553">
        <v>0</v>
      </c>
      <c r="T510" s="785"/>
      <c r="U510" s="409">
        <f t="shared" si="129"/>
        <v>0</v>
      </c>
      <c r="X510" s="363">
        <v>0</v>
      </c>
      <c r="Y510" s="775">
        <f t="shared" si="120"/>
        <v>0</v>
      </c>
      <c r="Z510" s="776">
        <f>IF(X511,_xll.qDateYears(X510,X511,DCCfloat),0)</f>
        <v>0</v>
      </c>
      <c r="AA510" s="553">
        <v>0</v>
      </c>
      <c r="AB510" s="789">
        <f>IF($X510=0,0,      _xll.qDateNext($X510,AB$12,"M",FRM&lt;&gt;"Calypso",CCY))</f>
        <v>0</v>
      </c>
      <c r="AC510" s="789">
        <f>IF($X510=0,0,      _xll.qDateNext($X510,AC$12,"M",FRM&lt;&gt;"Calypso",CCY))</f>
        <v>0</v>
      </c>
      <c r="AD510" s="789">
        <f>IF($X510=0,0,      _xll.qDateNext($X510,AD$12,"M",FRM&lt;&gt;"Calypso",CCY))</f>
        <v>0</v>
      </c>
      <c r="AE510" s="789">
        <f>IF($X510=0,0,      _xll.qDateNext($X510,AE$12,"M",FRM&lt;&gt;"Calypso",CCY))</f>
        <v>0</v>
      </c>
      <c r="AF510" s="789">
        <f>IF($X510=0,0,      _xll.qDateNext($X510,AF$12,"M",FRM&lt;&gt;"Calypso",CCY))</f>
        <v>0</v>
      </c>
      <c r="AG510" s="789">
        <f>IF($X510=0,0,      _xll.qDateNext($X510,AG$12,"M",FRM&lt;&gt;"Calypso",CCY))</f>
        <v>0</v>
      </c>
      <c r="AH510" s="789">
        <f>IF($X510=0,0,      _xll.qDateNext($X510,AH$12,"M",FRM&lt;&gt;"Calypso",CCY))</f>
        <v>0</v>
      </c>
      <c r="AI510" s="789">
        <f>IF($X510=0,0,      _xll.qDateNext($X510,AI$12,"M",FRM&lt;&gt;"Calypso",CCY))</f>
        <v>0</v>
      </c>
      <c r="AJ510" s="529" t="str">
        <v/>
      </c>
      <c r="AK510" s="529" t="str">
        <v/>
      </c>
      <c r="AL510" s="529" t="str">
        <v/>
      </c>
      <c r="AM510" s="529" t="str">
        <v/>
      </c>
      <c r="AN510" s="529" t="str">
        <v/>
      </c>
      <c r="AO510" s="529" t="str">
        <v/>
      </c>
      <c r="AP510" s="529" t="str">
        <v/>
      </c>
      <c r="AQ510" s="529" t="str">
        <v/>
      </c>
      <c r="AR510" s="529">
        <v>0</v>
      </c>
      <c r="AS510" s="529">
        <v>0</v>
      </c>
      <c r="AT510" s="529">
        <f t="shared" si="130"/>
        <v>0</v>
      </c>
      <c r="AU510" s="529">
        <v>0</v>
      </c>
      <c r="AV510" s="529">
        <f t="shared" si="131"/>
        <v>0</v>
      </c>
      <c r="AW510" s="529">
        <f t="shared" si="132"/>
        <v>0</v>
      </c>
      <c r="AX510" s="529">
        <v>0</v>
      </c>
      <c r="AY510" s="529">
        <v>0</v>
      </c>
      <c r="AZ510" s="761">
        <f t="shared" si="121"/>
        <v>0</v>
      </c>
      <c r="BA510" s="761">
        <f t="shared" si="122"/>
        <v>0</v>
      </c>
      <c r="BB510" s="761">
        <f t="shared" si="123"/>
        <v>0</v>
      </c>
      <c r="BC510" s="761">
        <f t="shared" si="124"/>
        <v>0</v>
      </c>
      <c r="BD510" s="761">
        <f t="shared" si="125"/>
        <v>0</v>
      </c>
      <c r="BE510" s="761">
        <f t="shared" si="126"/>
        <v>0</v>
      </c>
      <c r="BF510" s="761">
        <f t="shared" si="127"/>
        <v>0</v>
      </c>
      <c r="BG510" s="761">
        <f t="shared" si="128"/>
        <v>0</v>
      </c>
      <c r="BH510" s="777">
        <v>0</v>
      </c>
      <c r="BI510" s="755"/>
      <c r="BJ510" s="778">
        <f>IF(X511=0,0,           IF(ISNUMBER(BI510),BI510,               IF(ISTEXT(BI510),INDEX(AZ510:BG510,MATCH(BI510,$AZ$12:$BG$12,0)),             IF(BH510="INT",_xll.qInterp(X511,AB510:AI510,AZ510:BG510),            INDEX(AZ510:BG510,MATCH(BH510,$AZ$12:$BG$12,0))))))</f>
        <v>0</v>
      </c>
      <c r="BK510" s="408">
        <f t="shared" si="133"/>
        <v>0</v>
      </c>
      <c r="BL510" s="414">
        <f t="shared" si="134"/>
        <v>0</v>
      </c>
      <c r="BM510" s="408">
        <f t="shared" si="135"/>
        <v>0</v>
      </c>
    </row>
    <row r="511" spans="16:65">
      <c r="P511" s="781">
        <v>0</v>
      </c>
      <c r="Q511" s="780">
        <f t="shared" si="119"/>
        <v>0</v>
      </c>
      <c r="R511" s="776">
        <f>IF(P512,_xll.qDateYears(P511,P512,DCCfixed),0)</f>
        <v>0</v>
      </c>
      <c r="S511" s="553">
        <v>0</v>
      </c>
      <c r="T511" s="785"/>
      <c r="U511" s="409">
        <f t="shared" si="129"/>
        <v>0</v>
      </c>
      <c r="X511" s="363">
        <v>0</v>
      </c>
      <c r="Y511" s="775">
        <f t="shared" ref="Y511:Y512" si="136">IF(X512,IF(LEFT(DCCfloat,3)="Act",X512-X511,DAYS360(X511,X512)),0)</f>
        <v>0</v>
      </c>
      <c r="Z511" s="776">
        <f>IF(X512,_xll.qDateYears(X511,X512,DCCfloat),0)</f>
        <v>0</v>
      </c>
      <c r="AA511" s="553">
        <v>0</v>
      </c>
      <c r="AB511" s="789">
        <f>IF($X511=0,0,      _xll.qDateNext($X511,AB$12,"M",FRM&lt;&gt;"Calypso",CCY))</f>
        <v>0</v>
      </c>
      <c r="AC511" s="789">
        <f>IF($X511=0,0,      _xll.qDateNext($X511,AC$12,"M",FRM&lt;&gt;"Calypso",CCY))</f>
        <v>0</v>
      </c>
      <c r="AD511" s="789">
        <f>IF($X511=0,0,      _xll.qDateNext($X511,AD$12,"M",FRM&lt;&gt;"Calypso",CCY))</f>
        <v>0</v>
      </c>
      <c r="AE511" s="789">
        <f>IF($X511=0,0,      _xll.qDateNext($X511,AE$12,"M",FRM&lt;&gt;"Calypso",CCY))</f>
        <v>0</v>
      </c>
      <c r="AF511" s="789">
        <f>IF($X511=0,0,      _xll.qDateNext($X511,AF$12,"M",FRM&lt;&gt;"Calypso",CCY))</f>
        <v>0</v>
      </c>
      <c r="AG511" s="789">
        <f>IF($X511=0,0,      _xll.qDateNext($X511,AG$12,"M",FRM&lt;&gt;"Calypso",CCY))</f>
        <v>0</v>
      </c>
      <c r="AH511" s="789">
        <f>IF($X511=0,0,      _xll.qDateNext($X511,AH$12,"M",FRM&lt;&gt;"Calypso",CCY))</f>
        <v>0</v>
      </c>
      <c r="AI511" s="789">
        <f>IF($X511=0,0,      _xll.qDateNext($X511,AI$12,"M",FRM&lt;&gt;"Calypso",CCY))</f>
        <v>0</v>
      </c>
      <c r="AJ511" s="529" t="str">
        <v/>
      </c>
      <c r="AK511" s="529" t="str">
        <v/>
      </c>
      <c r="AL511" s="529" t="str">
        <v/>
      </c>
      <c r="AM511" s="529" t="str">
        <v/>
      </c>
      <c r="AN511" s="529" t="str">
        <v/>
      </c>
      <c r="AO511" s="529" t="str">
        <v/>
      </c>
      <c r="AP511" s="529" t="str">
        <v/>
      </c>
      <c r="AQ511" s="529" t="str">
        <v/>
      </c>
      <c r="AR511" s="529">
        <v>0</v>
      </c>
      <c r="AS511" s="529">
        <v>0</v>
      </c>
      <c r="AT511" s="529">
        <f t="shared" si="130"/>
        <v>0</v>
      </c>
      <c r="AU511" s="529">
        <v>0</v>
      </c>
      <c r="AV511" s="529">
        <f t="shared" si="131"/>
        <v>0</v>
      </c>
      <c r="AW511" s="529">
        <f t="shared" si="132"/>
        <v>0</v>
      </c>
      <c r="AX511" s="529">
        <v>0</v>
      </c>
      <c r="AY511" s="529">
        <v>0</v>
      </c>
      <c r="AZ511" s="761">
        <f t="shared" si="121"/>
        <v>0</v>
      </c>
      <c r="BA511" s="761">
        <f t="shared" si="122"/>
        <v>0</v>
      </c>
      <c r="BB511" s="761">
        <f t="shared" si="123"/>
        <v>0</v>
      </c>
      <c r="BC511" s="761">
        <f t="shared" si="124"/>
        <v>0</v>
      </c>
      <c r="BD511" s="761">
        <f t="shared" si="125"/>
        <v>0</v>
      </c>
      <c r="BE511" s="761">
        <f t="shared" si="126"/>
        <v>0</v>
      </c>
      <c r="BF511" s="761">
        <f t="shared" si="127"/>
        <v>0</v>
      </c>
      <c r="BG511" s="761">
        <f t="shared" si="128"/>
        <v>0</v>
      </c>
      <c r="BH511" s="777">
        <v>0</v>
      </c>
      <c r="BI511" s="755"/>
      <c r="BJ511" s="778">
        <f>IF(X512=0,0,           IF(ISNUMBER(BI511),BI511,               IF(ISTEXT(BI511),INDEX(AZ511:BG511,MATCH(BI511,$AZ$12:$BG$12,0)),             IF(BH511="INT",_xll.qInterp(X512,AB511:AI511,AZ511:BG511),            INDEX(AZ511:BG511,MATCH(BH511,$AZ$12:$BG$12,0))))))</f>
        <v>0</v>
      </c>
      <c r="BK511" s="408">
        <f t="shared" si="133"/>
        <v>0</v>
      </c>
      <c r="BL511" s="414">
        <f t="shared" si="134"/>
        <v>0</v>
      </c>
      <c r="BM511" s="408">
        <f t="shared" si="135"/>
        <v>0</v>
      </c>
    </row>
    <row r="512" spans="16:65">
      <c r="P512" s="781">
        <v>0</v>
      </c>
      <c r="Q512" s="780"/>
      <c r="R512" s="776"/>
      <c r="S512" s="553">
        <v>0</v>
      </c>
      <c r="T512" s="785"/>
      <c r="U512" s="409">
        <f t="shared" si="129"/>
        <v>0</v>
      </c>
      <c r="X512" s="363">
        <v>0</v>
      </c>
      <c r="Y512" s="775">
        <f t="shared" si="136"/>
        <v>0</v>
      </c>
      <c r="Z512" s="776">
        <f>IF(X513,_xll.qDateYears(X512,X513,DCCfloat),0)</f>
        <v>0</v>
      </c>
      <c r="AA512" s="553">
        <v>0</v>
      </c>
      <c r="AB512" s="789">
        <f>IF($X512=0,0,      _xll.qDateNext($X512,AB$12,"M",FRM&lt;&gt;"Calypso",CCY))</f>
        <v>0</v>
      </c>
      <c r="AC512" s="789">
        <f>IF($X512=0,0,      _xll.qDateNext($X512,AC$12,"M",FRM&lt;&gt;"Calypso",CCY))</f>
        <v>0</v>
      </c>
      <c r="AD512" s="789">
        <f>IF($X512=0,0,      _xll.qDateNext($X512,AD$12,"M",FRM&lt;&gt;"Calypso",CCY))</f>
        <v>0</v>
      </c>
      <c r="AE512" s="789">
        <f>IF($X512=0,0,      _xll.qDateNext($X512,AE$12,"M",FRM&lt;&gt;"Calypso",CCY))</f>
        <v>0</v>
      </c>
      <c r="AF512" s="789">
        <f>IF($X512=0,0,      _xll.qDateNext($X512,AF$12,"M",FRM&lt;&gt;"Calypso",CCY))</f>
        <v>0</v>
      </c>
      <c r="AG512" s="789">
        <f>IF($X512=0,0,      _xll.qDateNext($X512,AG$12,"M",FRM&lt;&gt;"Calypso",CCY))</f>
        <v>0</v>
      </c>
      <c r="AH512" s="789">
        <f>IF($X512=0,0,      _xll.qDateNext($X512,AH$12,"M",FRM&lt;&gt;"Calypso",CCY))</f>
        <v>0</v>
      </c>
      <c r="AI512" s="789">
        <f>IF($X512=0,0,      _xll.qDateNext($X512,AI$12,"M",FRM&lt;&gt;"Calypso",CCY))</f>
        <v>0</v>
      </c>
      <c r="AJ512" s="529" t="str">
        <v/>
      </c>
      <c r="AK512" s="529" t="str">
        <v/>
      </c>
      <c r="AL512" s="529" t="str">
        <v/>
      </c>
      <c r="AM512" s="529" t="str">
        <v/>
      </c>
      <c r="AN512" s="529" t="str">
        <v/>
      </c>
      <c r="AO512" s="529" t="str">
        <v/>
      </c>
      <c r="AP512" s="529" t="str">
        <v/>
      </c>
      <c r="AQ512" s="529" t="str">
        <v/>
      </c>
      <c r="AR512" s="529">
        <v>0</v>
      </c>
      <c r="AS512" s="529">
        <v>0</v>
      </c>
      <c r="AT512" s="529">
        <f t="shared" si="130"/>
        <v>0</v>
      </c>
      <c r="AU512" s="529">
        <v>0</v>
      </c>
      <c r="AV512" s="529"/>
      <c r="AW512" s="529">
        <f t="shared" si="132"/>
        <v>0</v>
      </c>
      <c r="AX512" s="529">
        <v>0</v>
      </c>
      <c r="AY512" s="529">
        <v>0</v>
      </c>
      <c r="AZ512" s="761">
        <f t="shared" si="121"/>
        <v>0</v>
      </c>
      <c r="BA512" s="761">
        <f t="shared" si="122"/>
        <v>0</v>
      </c>
      <c r="BB512" s="761">
        <f t="shared" si="123"/>
        <v>0</v>
      </c>
      <c r="BC512" s="761">
        <f t="shared" si="124"/>
        <v>0</v>
      </c>
      <c r="BD512" s="761">
        <f t="shared" si="125"/>
        <v>0</v>
      </c>
      <c r="BE512" s="761">
        <f t="shared" si="126"/>
        <v>0</v>
      </c>
      <c r="BF512" s="761">
        <f t="shared" si="127"/>
        <v>0</v>
      </c>
      <c r="BG512" s="761">
        <f t="shared" si="128"/>
        <v>0</v>
      </c>
      <c r="BH512" s="777">
        <v>0</v>
      </c>
      <c r="BI512" s="755"/>
      <c r="BJ512" s="778">
        <f>IF(X513=0,0,           IF(ISNUMBER(BI512),BI512,               IF(ISTEXT(BI512),INDEX(AZ512:BG512,MATCH(BI512,$AZ$12:$BG$12,0)),             IF(BH512="INT",_xll.qInterp(X513,AB512:AI512,AZ512:BG512),            INDEX(AZ512:BG512,MATCH(BH512,$AZ$12:$BG$12,0))))))</f>
        <v>0</v>
      </c>
      <c r="BK512" s="408">
        <f t="shared" si="133"/>
        <v>0</v>
      </c>
      <c r="BL512" s="414">
        <f t="shared" si="134"/>
        <v>0</v>
      </c>
      <c r="BM512" s="408">
        <f t="shared" si="135"/>
        <v>0</v>
      </c>
    </row>
  </sheetData>
  <sheetProtection sheet="1" scenarios="1" autoFilter="0" pivotTables="0"/>
  <conditionalFormatting sqref="D19">
    <cfRule type="cellIs" dxfId="25" priority="42" operator="notEqual">
      <formula>"M"</formula>
    </cfRule>
  </conditionalFormatting>
  <conditionalFormatting sqref="BK7">
    <cfRule type="expression" dxfId="24" priority="25">
      <formula>ISNUMBER(DesiredFixedRate)</formula>
    </cfRule>
    <cfRule type="expression" dxfId="23" priority="41">
      <formula>AND($BK$7&lt;&gt;"0bp",$BK$7&lt;&gt;0)</formula>
    </cfRule>
  </conditionalFormatting>
  <conditionalFormatting sqref="D40 F19">
    <cfRule type="cellIs" dxfId="22" priority="40" operator="notEqual">
      <formula>TRUE</formula>
    </cfRule>
  </conditionalFormatting>
  <conditionalFormatting sqref="D29 F29">
    <cfRule type="cellIs" dxfId="21" priority="39" operator="notEqual">
      <formula>"S/S"</formula>
    </cfRule>
  </conditionalFormatting>
  <conditionalFormatting sqref="D21 D17 T5 BI13:BI512 T13:T512">
    <cfRule type="cellIs" dxfId="20" priority="38" operator="notEqual">
      <formula>""</formula>
    </cfRule>
  </conditionalFormatting>
  <conditionalFormatting sqref="F27">
    <cfRule type="expression" dxfId="19" priority="32">
      <formula>AND(CCY="USD",DCCfloat&lt;&gt;"Act/360")</formula>
    </cfRule>
    <cfRule type="expression" dxfId="18" priority="33">
      <formula>AND(CCY="AUD",DCCfloat&lt;&gt;"Act/365")</formula>
    </cfRule>
  </conditionalFormatting>
  <conditionalFormatting sqref="F25">
    <cfRule type="expression" dxfId="17" priority="30">
      <formula>AND(CCY="AUD",Yrs&gt;3.5,FreqFloat&lt;&gt;"6M")</formula>
    </cfRule>
    <cfRule type="expression" dxfId="16" priority="31">
      <formula>AND(CCY="AUD",Yrs&lt;3.5,FreqFloat&lt;&gt;"3M")</formula>
    </cfRule>
  </conditionalFormatting>
  <conditionalFormatting sqref="D34">
    <cfRule type="cellIs" dxfId="15" priority="29" operator="notEqual">
      <formula>0</formula>
    </cfRule>
  </conditionalFormatting>
  <conditionalFormatting sqref="D38">
    <cfRule type="cellIs" dxfId="14" priority="28" operator="notEqual">
      <formula>7</formula>
    </cfRule>
  </conditionalFormatting>
  <conditionalFormatting sqref="P13:U512">
    <cfRule type="expression" dxfId="13" priority="2" stopIfTrue="1">
      <formula>$P13=0</formula>
    </cfRule>
    <cfRule type="expression" dxfId="12" priority="10" stopIfTrue="1">
      <formula>$P13&lt;Today</formula>
    </cfRule>
  </conditionalFormatting>
  <conditionalFormatting sqref="X13:BM512">
    <cfRule type="expression" dxfId="11" priority="1" stopIfTrue="1">
      <formula>$X13=0</formula>
    </cfRule>
  </conditionalFormatting>
  <conditionalFormatting sqref="X13:AA512">
    <cfRule type="expression" dxfId="10" priority="5" stopIfTrue="1">
      <formula>$X13&lt;Today</formula>
    </cfRule>
  </conditionalFormatting>
  <conditionalFormatting sqref="BJ13:BM512 BH13:BH512">
    <cfRule type="expression" dxfId="9" priority="4" stopIfTrue="1">
      <formula>$X13&lt;Today</formula>
    </cfRule>
  </conditionalFormatting>
  <conditionalFormatting sqref="BJ13:BJ512">
    <cfRule type="expression" dxfId="8" priority="3" stopIfTrue="1">
      <formula>OR($BH13="INT",$BI13&lt;&gt;"")</formula>
    </cfRule>
  </conditionalFormatting>
  <dataValidations disablePrompts="1" xWindow="271" yWindow="311" count="11">
    <dataValidation type="list" allowBlank="1" showErrorMessage="1" sqref="D36">
      <formula1>"ON,OFF,CALYPSO"</formula1>
    </dataValidation>
    <dataValidation type="list" allowBlank="1" showInputMessage="1" showErrorMessage="1" sqref="D40">
      <formula1>"TRUE,FALSE"</formula1>
    </dataValidation>
    <dataValidation type="list" allowBlank="1" showErrorMessage="1" sqref="F29 D29">
      <formula1>"S/S,L/S,S/L,L/L"</formula1>
    </dataValidation>
    <dataValidation type="list" allowBlank="1" showInputMessage="1" showErrorMessage="1" sqref="D27 F27">
      <formula1>"Act/365,Act/360,30/360"</formula1>
    </dataValidation>
    <dataValidation type="list" allowBlank="1" showInputMessage="1" showErrorMessage="1" sqref="F25">
      <formula1>"1M,3M,6M,12M"</formula1>
    </dataValidation>
    <dataValidation type="list" allowBlank="1" showInputMessage="1" showErrorMessage="1" sqref="D25">
      <formula1>"1M,3M,6M,12M,18M"</formula1>
    </dataValidation>
    <dataValidation type="list" allowBlank="1" showErrorMessage="1" sqref="F19">
      <formula1>"TRUE,FALSE"</formula1>
    </dataValidation>
    <dataValidation type="list" allowBlank="1" showErrorMessage="1" sqref="D19">
      <formula1>"M,F,P,N,MS,MP"</formula1>
    </dataValidation>
    <dataValidation type="custom" allowBlank="1" showErrorMessage="1" sqref="BK7">
      <formula1>OR(ISNUMBER(BK7),RIGHT(BK7,2)="bp")</formula1>
    </dataValidation>
    <dataValidation type="decimal" operator="notEqual" showErrorMessage="1" sqref="D10">
      <formula1>0</formula1>
    </dataValidation>
    <dataValidation type="list" allowBlank="1" showInputMessage="1" showErrorMessage="1" sqref="D8">
      <formula1>"Zero Bank,Local OIS,Fed Funds,EONIA,SONIA,NAB COF"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tSTR">
    <tabColor rgb="FF000000"/>
    <outlinePr showOutlineSymbols="0"/>
  </sheetPr>
  <dimension ref="A1:DA517"/>
  <sheetViews>
    <sheetView showGridLines="0" showRowColHeaders="0" showZeros="0" showOutlineSymbols="0" topLeftCell="N1" zoomScaleNormal="100" workbookViewId="0">
      <selection activeCell="N1" sqref="N1"/>
    </sheetView>
  </sheetViews>
  <sheetFormatPr defaultRowHeight="12.75" outlineLevelCol="2"/>
  <cols>
    <col min="1" max="1" width="2.7109375" style="153" hidden="1" customWidth="1" outlineLevel="2"/>
    <col min="2" max="2" width="11.28515625" style="153" hidden="1" customWidth="1" outlineLevel="2"/>
    <col min="3" max="3" width="9.85546875" style="154" hidden="1" customWidth="1" outlineLevel="2"/>
    <col min="4" max="5" width="9.140625" style="153" hidden="1" customWidth="1" outlineLevel="2"/>
    <col min="6" max="6" width="9.140625" style="154" hidden="1" customWidth="1" outlineLevel="2"/>
    <col min="7" max="7" width="9.140625" style="153" hidden="1" customWidth="1" outlineLevel="2"/>
    <col min="8" max="8" width="11.140625" style="153" hidden="1" customWidth="1" outlineLevel="2"/>
    <col min="9" max="9" width="5.7109375" style="153" hidden="1" customWidth="1" outlineLevel="2"/>
    <col min="10" max="12" width="9.140625" style="153" hidden="1" customWidth="1" outlineLevel="2"/>
    <col min="13" max="13" width="2.7109375" style="153" hidden="1" customWidth="1" outlineLevel="2"/>
    <col min="14" max="14" width="3.7109375" customWidth="1" collapsed="1"/>
    <col min="15" max="15" width="9.7109375" style="122" customWidth="1"/>
    <col min="16" max="16" width="5.7109375" style="333" customWidth="1"/>
    <col min="17" max="17" width="6.7109375" style="126" hidden="1" customWidth="1" outlineLevel="1"/>
    <col min="18" max="25" width="5.7109375" style="677" hidden="1" customWidth="1" outlineLevel="1"/>
    <col min="26" max="33" width="5.7109375" style="670" hidden="1" customWidth="1" outlineLevel="1"/>
    <col min="34" max="34" width="4.28515625" style="670" hidden="1" customWidth="1" outlineLevel="1"/>
    <col min="35" max="35" width="5.7109375" style="129" customWidth="1" collapsed="1"/>
    <col min="36" max="36" width="5.7109375" style="129" customWidth="1"/>
    <col min="37" max="37" width="6.7109375" style="128" customWidth="1"/>
    <col min="38" max="38" width="12.28515625" style="721" hidden="1" customWidth="1" outlineLevel="2"/>
    <col min="39" max="40" width="9.42578125" style="284" hidden="1" customWidth="1" outlineLevel="2"/>
    <col min="41" max="41" width="0.85546875" customWidth="1" collapsed="1"/>
    <col min="42" max="42" width="11.7109375" style="341" customWidth="1"/>
    <col min="43" max="44" width="11.7109375" style="371" customWidth="1"/>
    <col min="45" max="45" width="0.85546875" style="341" customWidth="1"/>
    <col min="46" max="46" width="11.7109375" style="341" customWidth="1"/>
    <col min="47" max="48" width="2.7109375" customWidth="1"/>
    <col min="49" max="49" width="9.7109375" style="122" customWidth="1"/>
    <col min="50" max="50" width="5.7109375" customWidth="1"/>
    <col min="51" max="51" width="6.7109375" style="357" hidden="1" customWidth="1" outlineLevel="1"/>
    <col min="52" max="68" width="5.7109375" style="704" hidden="1" customWidth="1" outlineLevel="1"/>
    <col min="69" max="69" width="5.7109375" style="704" customWidth="1" collapsed="1"/>
    <col min="70" max="70" width="5.7109375" style="126" customWidth="1"/>
    <col min="71" max="71" width="6.7109375" style="463" customWidth="1"/>
    <col min="72" max="72" width="13.42578125" style="406" hidden="1" customWidth="1" outlineLevel="1"/>
    <col min="73" max="74" width="10.140625" style="284" hidden="1" customWidth="1" outlineLevel="1"/>
    <col min="75" max="75" width="0.85546875" customWidth="1" collapsed="1"/>
    <col min="76" max="76" width="11.7109375" style="341" customWidth="1"/>
    <col min="77" max="78" width="11.7109375" style="371" customWidth="1"/>
    <col min="79" max="79" width="0.85546875" style="344" customWidth="1"/>
    <col min="80" max="80" width="11.7109375" style="341" customWidth="1"/>
    <col min="81" max="82" width="5.7109375" customWidth="1"/>
    <col min="83" max="83" width="13.42578125" style="463" customWidth="1"/>
    <col min="84" max="84" width="3.7109375" customWidth="1"/>
    <col min="90" max="90" width="3.7109375" customWidth="1"/>
    <col min="91" max="91" width="18.7109375" customWidth="1"/>
    <col min="92" max="92" width="9.140625" style="121"/>
  </cols>
  <sheetData>
    <row r="1" spans="1:105" ht="0.95" customHeight="1"/>
    <row r="2" spans="1:105" ht="24.95" customHeight="1">
      <c r="B2" s="198" t="s">
        <v>109</v>
      </c>
      <c r="C2" s="331"/>
      <c r="D2" s="198"/>
      <c r="E2" s="198"/>
      <c r="F2" s="331"/>
      <c r="G2" s="198"/>
      <c r="H2" s="198"/>
      <c r="I2" s="198"/>
      <c r="J2" s="198"/>
      <c r="K2" s="198"/>
      <c r="L2" s="198"/>
      <c r="O2" s="135" t="s">
        <v>252</v>
      </c>
      <c r="P2" s="334"/>
      <c r="Q2" s="133"/>
      <c r="R2" s="678"/>
      <c r="S2" s="678"/>
      <c r="T2" s="678"/>
      <c r="U2" s="678"/>
      <c r="V2" s="678"/>
      <c r="W2" s="678"/>
      <c r="X2" s="678"/>
      <c r="Y2" s="678"/>
      <c r="Z2" s="671"/>
      <c r="AA2" s="671"/>
      <c r="AB2" s="671"/>
      <c r="AC2" s="671"/>
      <c r="AD2" s="671"/>
      <c r="AE2" s="671"/>
      <c r="AF2" s="671"/>
      <c r="AG2" s="671"/>
      <c r="AH2" s="671"/>
      <c r="AI2" s="48"/>
      <c r="AJ2" s="48"/>
      <c r="AK2" s="47"/>
      <c r="AL2" s="722"/>
      <c r="AM2" s="338"/>
      <c r="AN2" s="338"/>
      <c r="AO2" s="46"/>
      <c r="AP2" s="342"/>
      <c r="AQ2" s="372"/>
      <c r="AR2" s="372"/>
      <c r="AS2" s="342"/>
      <c r="AT2" s="342"/>
      <c r="AU2" s="46"/>
      <c r="AV2" s="46"/>
      <c r="AW2" s="135"/>
      <c r="AX2" s="46"/>
      <c r="AY2" s="358"/>
      <c r="AZ2" s="705"/>
      <c r="BA2" s="705"/>
      <c r="BB2" s="705"/>
      <c r="BC2" s="705"/>
      <c r="BD2" s="705"/>
      <c r="BE2" s="705"/>
      <c r="BF2" s="705"/>
      <c r="BG2" s="705"/>
      <c r="BH2" s="705"/>
      <c r="BI2" s="705"/>
      <c r="BJ2" s="705"/>
      <c r="BK2" s="705"/>
      <c r="BL2" s="705"/>
      <c r="BM2" s="705"/>
      <c r="BN2" s="705"/>
      <c r="BO2" s="705"/>
      <c r="BP2" s="705"/>
      <c r="BQ2" s="705"/>
      <c r="BR2" s="133"/>
      <c r="BS2" s="465"/>
      <c r="BT2" s="717"/>
      <c r="BU2" s="338"/>
      <c r="BV2" s="338"/>
      <c r="BW2" s="46"/>
      <c r="BX2" s="342"/>
      <c r="BY2" s="372"/>
      <c r="BZ2" s="372"/>
      <c r="CA2" s="345"/>
      <c r="CB2" s="342"/>
      <c r="CC2" s="46"/>
      <c r="CM2" s="46" t="s">
        <v>707</v>
      </c>
      <c r="CN2" s="583"/>
      <c r="CO2" s="46"/>
      <c r="CP2" s="46"/>
      <c r="CQ2" s="46"/>
      <c r="CR2" s="46"/>
      <c r="CS2" s="46"/>
      <c r="CT2" s="46"/>
      <c r="CU2" s="46"/>
      <c r="CV2" s="46"/>
      <c r="CW2" s="46"/>
      <c r="CX2" s="46"/>
      <c r="CY2" s="46"/>
      <c r="CZ2" s="46"/>
      <c r="DA2" s="46"/>
    </row>
    <row r="4" spans="1:105">
      <c r="H4" s="153" t="s">
        <v>341</v>
      </c>
      <c r="O4" s="335" t="s">
        <v>250</v>
      </c>
      <c r="AJ4" s="687" t="s">
        <v>354</v>
      </c>
      <c r="AK4" s="370"/>
      <c r="AO4" s="362"/>
      <c r="AP4" s="352"/>
      <c r="AR4" s="373"/>
      <c r="AS4" s="352"/>
      <c r="AT4" s="361" t="str">
        <f>"PV in " &amp; Currency1</f>
        <v>PV in AUD</v>
      </c>
      <c r="AU4" s="362"/>
      <c r="AV4" s="362"/>
      <c r="AW4" s="363"/>
      <c r="AX4" s="362"/>
      <c r="AY4" s="364"/>
      <c r="AZ4" s="706"/>
      <c r="BA4" s="706"/>
      <c r="BB4" s="706"/>
      <c r="BC4" s="706"/>
      <c r="BD4" s="706"/>
      <c r="BE4" s="706"/>
      <c r="BF4" s="706"/>
      <c r="BG4" s="706"/>
      <c r="BH4" s="706"/>
      <c r="BI4" s="706"/>
      <c r="BJ4" s="706"/>
      <c r="BK4" s="706"/>
      <c r="BL4" s="706"/>
      <c r="BM4" s="706"/>
      <c r="BN4" s="706"/>
      <c r="BO4" s="706"/>
      <c r="BP4" s="706"/>
      <c r="BQ4" s="706"/>
      <c r="BX4" s="346" t="s">
        <v>401</v>
      </c>
      <c r="BY4" s="346" t="s">
        <v>339</v>
      </c>
      <c r="CM4" t="s">
        <v>149</v>
      </c>
      <c r="CN4" s="120" t="b">
        <v>1</v>
      </c>
      <c r="CR4" t="s">
        <v>712</v>
      </c>
    </row>
    <row r="5" spans="1:105">
      <c r="B5" s="153" t="s">
        <v>264</v>
      </c>
      <c r="C5" s="154" t="str">
        <f>IF(Currency1&lt;&gt;Currency2,"XCS","IRS")</f>
        <v>XCS</v>
      </c>
      <c r="H5" s="153" t="s">
        <v>342</v>
      </c>
      <c r="J5" s="214">
        <f>IF(ISTEXT(AX5),LEFT(AX5,LEN(AX5)-2)*BX5,AX5+0)</f>
        <v>0</v>
      </c>
      <c r="O5" s="123" t="s">
        <v>141</v>
      </c>
      <c r="P5" s="355" t="s">
        <v>248</v>
      </c>
      <c r="AJ5" s="688" t="str">
        <f t="array" ref="AJ5:AJ7">_xll.qArraySort(B37:F50,5,FALSE)</f>
        <v>Principal exchange?</v>
      </c>
      <c r="AK5" s="155"/>
      <c r="AO5" s="153"/>
      <c r="AP5" s="351"/>
      <c r="AR5" s="373" t="s">
        <v>345</v>
      </c>
      <c r="AS5" s="352"/>
      <c r="AT5" s="365">
        <f>AT15</f>
        <v>0</v>
      </c>
      <c r="AU5" s="832" t="str">
        <f>IF(ABS(AT5/BX5)&gt;=100,TEXT(AT5/BX5,"0"),TEXT(AT5/BX5,"0.0"))</f>
        <v>0.0</v>
      </c>
      <c r="AV5" s="832"/>
      <c r="AW5" s="366" t="s">
        <v>328</v>
      </c>
      <c r="AX5" s="330"/>
      <c r="AY5" s="364"/>
      <c r="AZ5" s="706"/>
      <c r="BA5" s="706"/>
      <c r="BB5" s="706"/>
      <c r="BC5" s="706"/>
      <c r="BD5" s="706"/>
      <c r="BE5" s="706"/>
      <c r="BF5" s="706"/>
      <c r="BG5" s="706"/>
      <c r="BH5" s="706"/>
      <c r="BI5" s="706"/>
      <c r="BJ5" s="706"/>
      <c r="BK5" s="706"/>
      <c r="BL5" s="706"/>
      <c r="BM5" s="706"/>
      <c r="BN5" s="706"/>
      <c r="BO5" s="706"/>
      <c r="BP5" s="706"/>
      <c r="BQ5" s="706"/>
      <c r="BX5" s="341">
        <f>SUMPRODUCT(Q19:Q517,AK18:AK516,AN18:AN516)*100</f>
        <v>27582.41207152775</v>
      </c>
      <c r="BY5" s="341" t="s">
        <v>340</v>
      </c>
      <c r="CM5" s="428"/>
      <c r="CN5" s="141"/>
    </row>
    <row r="6" spans="1:105">
      <c r="B6" s="283"/>
      <c r="C6" s="456"/>
      <c r="E6" s="153" t="s">
        <v>334</v>
      </c>
      <c r="F6" s="154">
        <f>ufxconvert(1,Currency1,Currency2,FXccys,FXspots)</f>
        <v>0.74789115166060782</v>
      </c>
      <c r="H6" s="153" t="s">
        <v>343</v>
      </c>
      <c r="J6" s="214">
        <f>IF(ISTEXT(AX6),LEFT(AX6,LEN(AX6)-2)*BX6,AX6+0)</f>
        <v>0</v>
      </c>
      <c r="O6" s="123" t="s">
        <v>562</v>
      </c>
      <c r="P6" s="355" t="s">
        <v>249</v>
      </c>
      <c r="AJ6" s="688" t="str">
        <v>XCS start = "2b" ?</v>
      </c>
      <c r="AK6" s="155"/>
      <c r="AO6" s="153"/>
      <c r="AP6" s="351"/>
      <c r="AR6" s="376" t="s">
        <v>346</v>
      </c>
      <c r="AS6" s="367"/>
      <c r="AT6" s="368">
        <f>CB15/$F$6</f>
        <v>0</v>
      </c>
      <c r="AU6" s="833" t="str">
        <f>IF(ABS(AT6/BX6)&gt;=100,TEXT(AT6/BX6,"0"),TEXT(AT6/BX6,"0.0"))</f>
        <v>0.0</v>
      </c>
      <c r="AV6" s="833"/>
      <c r="AW6" s="369" t="s">
        <v>328</v>
      </c>
      <c r="AX6" s="336"/>
      <c r="AY6" s="364"/>
      <c r="AZ6" s="706"/>
      <c r="BA6" s="706"/>
      <c r="BB6" s="706"/>
      <c r="BC6" s="706"/>
      <c r="BD6" s="706"/>
      <c r="BE6" s="706"/>
      <c r="BF6" s="706"/>
      <c r="BG6" s="706"/>
      <c r="BH6" s="706"/>
      <c r="BI6" s="706"/>
      <c r="BJ6" s="706"/>
      <c r="BK6" s="706"/>
      <c r="BL6" s="706"/>
      <c r="BM6" s="706"/>
      <c r="BN6" s="706"/>
      <c r="BO6" s="706"/>
      <c r="BP6" s="706"/>
      <c r="BQ6" s="706"/>
      <c r="BX6" s="347">
        <f>SUMPRODUCT(AY19:AY517,BS18:BS516,BV18:BV516)*100*F6</f>
        <v>16510.472012037651</v>
      </c>
      <c r="BY6" s="347" t="s">
        <v>340</v>
      </c>
      <c r="CM6" s="428" t="s">
        <v>726</v>
      </c>
      <c r="CN6" s="571">
        <v>7</v>
      </c>
      <c r="CO6" s="428"/>
      <c r="CP6" s="428"/>
      <c r="CQ6" s="428"/>
      <c r="CR6" s="428" t="s">
        <v>715</v>
      </c>
      <c r="CS6" s="428"/>
      <c r="CT6" s="428"/>
      <c r="CU6" s="428"/>
      <c r="CV6" s="428"/>
      <c r="CW6" s="428"/>
      <c r="CX6" s="428"/>
      <c r="CY6" s="428"/>
      <c r="CZ6" s="428"/>
      <c r="DA6" s="428"/>
    </row>
    <row r="7" spans="1:105">
      <c r="B7" s="283"/>
      <c r="C7" s="456"/>
      <c r="E7" s="153" t="s">
        <v>560</v>
      </c>
      <c r="F7" s="120"/>
      <c r="H7" s="153" t="s">
        <v>344</v>
      </c>
      <c r="J7" s="214">
        <f>IF(ISTEXT(AX7),LEFT(AX7,LEN(AX7)-2)*AY7,AX7+0)</f>
        <v>0</v>
      </c>
      <c r="O7" s="123"/>
      <c r="P7" s="355" t="s">
        <v>269</v>
      </c>
      <c r="AJ7" s="688">
        <v>0</v>
      </c>
      <c r="AK7" s="155"/>
      <c r="AO7" s="153"/>
      <c r="AP7" s="351"/>
      <c r="AR7" s="373" t="s">
        <v>347</v>
      </c>
      <c r="AS7" s="352"/>
      <c r="AT7" s="365">
        <f>AT6+AT5</f>
        <v>0</v>
      </c>
      <c r="AU7" s="834" t="str">
        <f>IF(ABS(AT7/BX7)&gt;=100,TEXT(AT7/BX7,"0"),TEXT(AT7/BX7,"0.0"))</f>
        <v>0.0</v>
      </c>
      <c r="AV7" s="834"/>
      <c r="AW7" s="366" t="s">
        <v>328</v>
      </c>
      <c r="AX7" s="330"/>
      <c r="AY7" s="364"/>
      <c r="AZ7" s="706"/>
      <c r="BA7" s="706"/>
      <c r="BB7" s="706"/>
      <c r="BC7" s="706"/>
      <c r="BD7" s="706"/>
      <c r="BE7" s="706"/>
      <c r="BF7" s="706"/>
      <c r="BG7" s="706"/>
      <c r="BH7" s="706"/>
      <c r="BI7" s="706"/>
      <c r="BJ7" s="706"/>
      <c r="BK7" s="706"/>
      <c r="BL7" s="706"/>
      <c r="BM7" s="706"/>
      <c r="BN7" s="706"/>
      <c r="BO7" s="706"/>
      <c r="BP7" s="706"/>
      <c r="BQ7" s="706"/>
      <c r="BX7" s="341">
        <f>AVERAGE(BX5:BX6)</f>
        <v>22046.442041782699</v>
      </c>
      <c r="BY7" s="341" t="s">
        <v>340</v>
      </c>
      <c r="CM7" s="428"/>
      <c r="CN7" s="141"/>
      <c r="CO7" s="428"/>
      <c r="CP7" s="428"/>
      <c r="CQ7" s="428"/>
      <c r="CR7" s="428"/>
      <c r="CS7" s="428"/>
      <c r="CT7" s="428"/>
      <c r="CU7" s="428"/>
      <c r="CV7" s="428"/>
      <c r="CW7" s="428"/>
      <c r="CX7" s="428"/>
      <c r="CY7" s="428"/>
      <c r="CZ7" s="428"/>
      <c r="DA7" s="428"/>
    </row>
    <row r="8" spans="1:105" s="428" customFormat="1">
      <c r="A8" s="283"/>
      <c r="B8" s="283"/>
      <c r="C8" s="456"/>
      <c r="D8" s="283"/>
      <c r="E8" s="283" t="s">
        <v>561</v>
      </c>
      <c r="F8" s="571"/>
      <c r="G8" s="283"/>
      <c r="H8" s="283"/>
      <c r="I8" s="283"/>
      <c r="J8" s="283"/>
      <c r="K8" s="283"/>
      <c r="L8" s="283"/>
      <c r="M8" s="283"/>
      <c r="O8" s="144"/>
      <c r="P8" s="445"/>
      <c r="Q8" s="142"/>
      <c r="R8" s="679"/>
      <c r="S8" s="679"/>
      <c r="T8" s="679"/>
      <c r="U8" s="679"/>
      <c r="V8" s="679"/>
      <c r="W8" s="679"/>
      <c r="X8" s="679"/>
      <c r="Y8" s="679"/>
      <c r="Z8" s="672"/>
      <c r="AA8" s="672"/>
      <c r="AB8" s="672"/>
      <c r="AC8" s="672"/>
      <c r="AD8" s="672"/>
      <c r="AE8" s="672"/>
      <c r="AF8" s="672"/>
      <c r="AG8" s="672"/>
      <c r="AH8" s="672"/>
      <c r="AI8" s="662"/>
      <c r="AJ8" s="689"/>
      <c r="AK8" s="446"/>
      <c r="AL8" s="723"/>
      <c r="AM8" s="447"/>
      <c r="AN8" s="447"/>
      <c r="AO8" s="448"/>
      <c r="AP8" s="449"/>
      <c r="AQ8" s="450"/>
      <c r="AR8" s="450"/>
      <c r="AS8" s="449"/>
      <c r="AT8" s="449"/>
      <c r="AU8" s="448"/>
      <c r="AV8" s="448"/>
      <c r="AW8" s="451"/>
      <c r="AX8" s="448"/>
      <c r="AY8" s="452"/>
      <c r="AZ8" s="707"/>
      <c r="BA8" s="707"/>
      <c r="BB8" s="707"/>
      <c r="BC8" s="707"/>
      <c r="BD8" s="707"/>
      <c r="BE8" s="707"/>
      <c r="BF8" s="707"/>
      <c r="BG8" s="707"/>
      <c r="BH8" s="707"/>
      <c r="BI8" s="707"/>
      <c r="BJ8" s="707"/>
      <c r="BK8" s="707"/>
      <c r="BL8" s="707"/>
      <c r="BM8" s="707"/>
      <c r="BN8" s="707"/>
      <c r="BO8" s="707"/>
      <c r="BP8" s="707"/>
      <c r="BQ8" s="707"/>
      <c r="BR8" s="142"/>
      <c r="BS8" s="565"/>
      <c r="BT8" s="718"/>
      <c r="BU8" s="447"/>
      <c r="BV8" s="447"/>
      <c r="BX8" s="453"/>
      <c r="BY8" s="454"/>
      <c r="BZ8" s="454"/>
      <c r="CA8" s="455"/>
      <c r="CB8" s="453"/>
      <c r="CE8" s="565"/>
      <c r="CM8" t="s">
        <v>427</v>
      </c>
      <c r="CN8" s="839"/>
      <c r="CO8" s="839"/>
      <c r="CP8" s="839"/>
      <c r="CQ8"/>
      <c r="CR8" t="s">
        <v>762</v>
      </c>
      <c r="CS8"/>
      <c r="CT8"/>
      <c r="CU8"/>
      <c r="CV8"/>
      <c r="CW8"/>
      <c r="CX8"/>
      <c r="CY8"/>
      <c r="CZ8"/>
      <c r="DA8"/>
    </row>
    <row r="9" spans="1:105" s="428" customFormat="1" ht="13.5" thickBot="1">
      <c r="A9" s="283"/>
      <c r="B9" s="283"/>
      <c r="C9" s="456"/>
      <c r="D9" s="283"/>
      <c r="E9" s="283"/>
      <c r="F9" s="456"/>
      <c r="G9" s="283"/>
      <c r="H9" s="283"/>
      <c r="I9" s="283"/>
      <c r="J9" s="283"/>
      <c r="K9" s="283"/>
      <c r="L9" s="283"/>
      <c r="M9" s="283"/>
      <c r="N9" s="429"/>
      <c r="O9" s="429"/>
      <c r="P9" s="430"/>
      <c r="Q9" s="431"/>
      <c r="R9" s="680"/>
      <c r="S9" s="680"/>
      <c r="T9" s="680"/>
      <c r="U9" s="680"/>
      <c r="V9" s="680"/>
      <c r="W9" s="680"/>
      <c r="X9" s="680"/>
      <c r="Y9" s="680"/>
      <c r="Z9" s="673"/>
      <c r="AA9" s="673"/>
      <c r="AB9" s="673"/>
      <c r="AC9" s="673"/>
      <c r="AD9" s="673"/>
      <c r="AE9" s="673"/>
      <c r="AF9" s="673"/>
      <c r="AG9" s="673"/>
      <c r="AH9" s="673"/>
      <c r="AI9" s="663"/>
      <c r="AJ9" s="690"/>
      <c r="AK9" s="432"/>
      <c r="AL9" s="724"/>
      <c r="AM9" s="433"/>
      <c r="AN9" s="433"/>
      <c r="AO9" s="434"/>
      <c r="AP9" s="435"/>
      <c r="AQ9" s="436"/>
      <c r="AR9" s="436"/>
      <c r="AS9" s="435"/>
      <c r="AT9" s="435"/>
      <c r="AU9" s="434"/>
      <c r="AV9" s="434"/>
      <c r="AW9" s="437"/>
      <c r="AX9" s="434"/>
      <c r="AY9" s="438"/>
      <c r="AZ9" s="708"/>
      <c r="BA9" s="708"/>
      <c r="BB9" s="708"/>
      <c r="BC9" s="708"/>
      <c r="BD9" s="708"/>
      <c r="BE9" s="708"/>
      <c r="BF9" s="708"/>
      <c r="BG9" s="708"/>
      <c r="BH9" s="708"/>
      <c r="BI9" s="708"/>
      <c r="BJ9" s="708"/>
      <c r="BK9" s="708"/>
      <c r="BL9" s="708"/>
      <c r="BM9" s="708"/>
      <c r="BN9" s="708"/>
      <c r="BO9" s="708"/>
      <c r="BP9" s="708"/>
      <c r="BQ9" s="708"/>
      <c r="BR9" s="431"/>
      <c r="BS9" s="567"/>
      <c r="BT9" s="719"/>
      <c r="BU9" s="433"/>
      <c r="BV9" s="433"/>
      <c r="BW9" s="439"/>
      <c r="BX9" s="440"/>
      <c r="BY9" s="441"/>
      <c r="BZ9" s="441"/>
      <c r="CA9" s="442"/>
      <c r="CB9" s="440"/>
      <c r="CC9" s="440"/>
      <c r="CD9" s="439"/>
      <c r="CE9" s="567"/>
      <c r="CF9" s="439"/>
      <c r="CM9"/>
      <c r="CN9" s="838" t="str">
        <f>IF(ISTEXT(CN8),CN8,      IF(C5="IRS",Currency1,Currency1&amp;"+GBP+"&amp;Currency2))</f>
        <v>AUD+GBP+EUR</v>
      </c>
      <c r="CO9"/>
      <c r="CP9"/>
      <c r="CQ9"/>
      <c r="CR9"/>
      <c r="CS9"/>
      <c r="CT9"/>
      <c r="CU9"/>
      <c r="CV9"/>
      <c r="CW9"/>
      <c r="CX9"/>
      <c r="CY9"/>
      <c r="CZ9"/>
      <c r="DA9"/>
    </row>
    <row r="10" spans="1:105" ht="13.5" thickTop="1">
      <c r="N10" s="122"/>
      <c r="AJ10" s="691"/>
      <c r="AK10" s="370"/>
      <c r="AO10" s="362"/>
      <c r="AP10" s="352"/>
      <c r="AQ10" s="373"/>
      <c r="AR10" s="373"/>
      <c r="AS10" s="352"/>
      <c r="AT10" s="352"/>
      <c r="AU10" s="443"/>
      <c r="AV10" s="444"/>
      <c r="AW10" s="363"/>
      <c r="AX10" s="362"/>
      <c r="AY10" s="364"/>
      <c r="AZ10" s="706"/>
      <c r="BA10" s="706"/>
      <c r="BB10" s="706"/>
      <c r="BC10" s="706"/>
      <c r="BD10" s="706"/>
      <c r="BE10" s="706"/>
      <c r="BF10" s="706"/>
      <c r="BG10" s="706"/>
      <c r="BH10" s="706"/>
      <c r="BI10" s="706"/>
      <c r="BJ10" s="706"/>
      <c r="BK10" s="706"/>
      <c r="BL10" s="706"/>
      <c r="BM10" s="706"/>
      <c r="BN10" s="706"/>
      <c r="BO10" s="706"/>
      <c r="BP10" s="706"/>
      <c r="BQ10" s="706"/>
      <c r="CC10" s="562"/>
      <c r="CD10" s="568"/>
      <c r="CE10" s="569"/>
      <c r="CF10" s="570"/>
      <c r="CG10" s="356"/>
    </row>
    <row r="11" spans="1:105" ht="12.75" customHeight="1">
      <c r="B11" s="153" t="s">
        <v>262</v>
      </c>
      <c r="C11" s="154" t="s">
        <v>263</v>
      </c>
      <c r="D11" s="153" t="str">
        <f t="array" ref="D11:D16">INDIRECT(B12)</f>
        <v>AUD.ZBX.DISC|[Swap Pricer 1f.xlsm]AU!$BG$59#13288</v>
      </c>
      <c r="G11" s="153" t="str">
        <f t="array" ref="G11:G16">" "</f>
        <v xml:space="preserve"> </v>
      </c>
      <c r="H11" s="153" t="s">
        <v>262</v>
      </c>
      <c r="I11" s="153" t="s">
        <v>263</v>
      </c>
      <c r="J11" s="153" t="str">
        <f t="array" ref="J11:J16">INDIRECT(H12)</f>
        <v>EUR.ZBX.DISC|[Swap Pricer 1f.xlsm]EU!$BC$59#13272</v>
      </c>
      <c r="M11" s="153" t="s">
        <v>81</v>
      </c>
      <c r="O11" s="827" t="s">
        <v>244</v>
      </c>
      <c r="P11" s="377" t="s">
        <v>40</v>
      </c>
      <c r="Q11" s="681"/>
      <c r="R11" s="681"/>
      <c r="S11" s="681"/>
      <c r="T11" s="681"/>
      <c r="U11" s="681"/>
      <c r="V11" s="681"/>
      <c r="W11" s="681"/>
      <c r="X11" s="681"/>
      <c r="Y11" s="681"/>
      <c r="Z11" s="674"/>
      <c r="AA11" s="674"/>
      <c r="AB11" s="674"/>
      <c r="AC11" s="674"/>
      <c r="AD11" s="674"/>
      <c r="AE11" s="674"/>
      <c r="AF11" s="674"/>
      <c r="AG11" s="674"/>
      <c r="AH11" s="674"/>
      <c r="AI11" s="664"/>
      <c r="AJ11" s="692" t="s">
        <v>361</v>
      </c>
      <c r="AK11" s="715" t="s">
        <v>2</v>
      </c>
      <c r="AL11" s="725"/>
      <c r="AM11" s="380" t="s">
        <v>364</v>
      </c>
      <c r="AN11" s="381">
        <f>IF(P11="Pay",-1,1)</f>
        <v>1</v>
      </c>
      <c r="AO11" s="379"/>
      <c r="AP11" s="378" t="s">
        <v>360</v>
      </c>
      <c r="AQ11" s="377" t="s">
        <v>156</v>
      </c>
      <c r="AR11" s="382"/>
      <c r="AS11" s="378" t="s">
        <v>356</v>
      </c>
      <c r="AT11" s="508" t="s">
        <v>148</v>
      </c>
      <c r="AV11" s="356"/>
      <c r="AW11" s="829" t="s">
        <v>245</v>
      </c>
      <c r="AX11" s="389" t="str">
        <f>IF(P11="PAY","RECEIVE","PAY")</f>
        <v>PAY</v>
      </c>
      <c r="AY11" s="390"/>
      <c r="AZ11" s="709"/>
      <c r="BA11" s="709"/>
      <c r="BB11" s="709"/>
      <c r="BC11" s="709"/>
      <c r="BD11" s="709"/>
      <c r="BE11" s="709"/>
      <c r="BF11" s="709"/>
      <c r="BG11" s="709"/>
      <c r="BH11" s="709"/>
      <c r="BI11" s="709"/>
      <c r="BJ11" s="709"/>
      <c r="BK11" s="709"/>
      <c r="BL11" s="709"/>
      <c r="BM11" s="709"/>
      <c r="BN11" s="709"/>
      <c r="BO11" s="709"/>
      <c r="BP11" s="709"/>
      <c r="BQ11" s="709"/>
      <c r="BR11" s="390" t="s">
        <v>361</v>
      </c>
      <c r="BS11" s="729" t="s">
        <v>2</v>
      </c>
      <c r="BT11" s="727"/>
      <c r="BU11" s="393" t="s">
        <v>364</v>
      </c>
      <c r="BV11" s="394">
        <f>-AN11</f>
        <v>-1</v>
      </c>
      <c r="BW11" s="392"/>
      <c r="BX11" s="390" t="s">
        <v>360</v>
      </c>
      <c r="BY11" s="391" t="s">
        <v>156</v>
      </c>
      <c r="BZ11" s="400"/>
      <c r="CA11" s="390" t="s">
        <v>356</v>
      </c>
      <c r="CB11" s="523" t="s">
        <v>148</v>
      </c>
      <c r="CC11" s="563"/>
      <c r="CD11" s="356"/>
      <c r="CE11" s="297" t="s">
        <v>557</v>
      </c>
      <c r="CF11" s="563"/>
      <c r="CG11" s="356"/>
    </row>
    <row r="12" spans="1:105" ht="12.75" customHeight="1">
      <c r="B12" s="153" t="str">
        <f>Currency1&amp;IF($C$5="IRS",".ZB",".ZBX")</f>
        <v>AUD.ZBX</v>
      </c>
      <c r="C12" s="154" t="s">
        <v>6</v>
      </c>
      <c r="D12" s="153" t="str">
        <v>AUD.ZB.ON|[Swap Pricer 1f.xlsm]AU!$BG$53#13285</v>
      </c>
      <c r="G12" s="153" t="str">
        <v xml:space="preserve"> </v>
      </c>
      <c r="H12" s="153" t="str">
        <f>Currency2&amp;IF($C$5="IRS",".ZB",".ZBX")</f>
        <v>EUR.ZBX</v>
      </c>
      <c r="I12" s="153" t="s">
        <v>6</v>
      </c>
      <c r="J12" s="153" t="str">
        <v>EUR.ZB.ON|[Swap Pricer 1f.xlsm]EU!$BC$52#13276</v>
      </c>
      <c r="M12" s="153" t="s">
        <v>81</v>
      </c>
      <c r="O12" s="828"/>
      <c r="P12" s="383" t="s">
        <v>142</v>
      </c>
      <c r="Q12" s="682"/>
      <c r="R12" s="682"/>
      <c r="S12" s="682"/>
      <c r="T12" s="682"/>
      <c r="U12" s="682"/>
      <c r="V12" s="682"/>
      <c r="W12" s="682"/>
      <c r="X12" s="682"/>
      <c r="Y12" s="682"/>
      <c r="Z12" s="675"/>
      <c r="AA12" s="675"/>
      <c r="AB12" s="675"/>
      <c r="AC12" s="675"/>
      <c r="AD12" s="675"/>
      <c r="AE12" s="675"/>
      <c r="AF12" s="675"/>
      <c r="AG12" s="675"/>
      <c r="AH12" s="675"/>
      <c r="AI12" s="665"/>
      <c r="AJ12" s="693" t="s">
        <v>359</v>
      </c>
      <c r="AK12" s="383" t="s">
        <v>150</v>
      </c>
      <c r="AL12" s="726"/>
      <c r="AM12" s="386" t="s">
        <v>247</v>
      </c>
      <c r="AN12" s="387">
        <f>COUNTIF(Dates1,"&gt;0")</f>
        <v>13</v>
      </c>
      <c r="AO12" s="385"/>
      <c r="AP12" s="384" t="s">
        <v>358</v>
      </c>
      <c r="AQ12" s="714" t="b">
        <v>1</v>
      </c>
      <c r="AR12" s="388"/>
      <c r="AS12" s="384" t="s">
        <v>357</v>
      </c>
      <c r="AT12" s="522" t="s">
        <v>148</v>
      </c>
      <c r="AV12" s="356"/>
      <c r="AW12" s="830"/>
      <c r="AX12" s="395" t="s">
        <v>258</v>
      </c>
      <c r="AY12" s="396"/>
      <c r="AZ12" s="710"/>
      <c r="BA12" s="710"/>
      <c r="BB12" s="710"/>
      <c r="BC12" s="710"/>
      <c r="BD12" s="710"/>
      <c r="BE12" s="710"/>
      <c r="BF12" s="710"/>
      <c r="BG12" s="710"/>
      <c r="BH12" s="710"/>
      <c r="BI12" s="710"/>
      <c r="BJ12" s="710"/>
      <c r="BK12" s="710"/>
      <c r="BL12" s="710"/>
      <c r="BM12" s="710"/>
      <c r="BN12" s="710"/>
      <c r="BO12" s="710"/>
      <c r="BP12" s="710"/>
      <c r="BQ12" s="710"/>
      <c r="BR12" s="396" t="s">
        <v>359</v>
      </c>
      <c r="BS12" s="730" t="s">
        <v>150</v>
      </c>
      <c r="BT12" s="728"/>
      <c r="BU12" s="398"/>
      <c r="BV12" s="398"/>
      <c r="BW12" s="397"/>
      <c r="BX12" s="396" t="s">
        <v>358</v>
      </c>
      <c r="BY12" s="511" t="b">
        <v>1</v>
      </c>
      <c r="BZ12" s="401"/>
      <c r="CA12" s="396" t="s">
        <v>357</v>
      </c>
      <c r="CB12" s="521" t="s">
        <v>384</v>
      </c>
      <c r="CC12" s="563"/>
      <c r="CD12" s="356"/>
      <c r="CE12" s="297" t="s">
        <v>558</v>
      </c>
      <c r="CF12" s="563"/>
      <c r="CG12" s="356"/>
    </row>
    <row r="13" spans="1:105">
      <c r="C13" s="154" t="s">
        <v>0</v>
      </c>
      <c r="D13" s="153" t="str">
        <v>AUD.ZB.1M|[Swap Pricer 1f.xlsm]AU!$BG$54#13286</v>
      </c>
      <c r="G13" s="153" t="str">
        <v xml:space="preserve"> </v>
      </c>
      <c r="I13" s="153" t="s">
        <v>0</v>
      </c>
      <c r="J13" s="153" t="str">
        <v>EUR.ZB.1M|[Swap Pricer 1f.xlsm]EU!$BC$53#13275</v>
      </c>
      <c r="M13" s="153" t="s">
        <v>81</v>
      </c>
      <c r="Z13" s="695" t="s">
        <v>713</v>
      </c>
      <c r="AA13" s="695"/>
      <c r="AB13" s="695"/>
      <c r="AC13" s="695"/>
      <c r="AD13" s="695"/>
      <c r="AE13" s="695"/>
      <c r="AF13" s="695"/>
      <c r="AG13" s="695"/>
      <c r="AV13" s="356"/>
      <c r="BH13" s="711" t="s">
        <v>713</v>
      </c>
      <c r="BI13" s="711"/>
      <c r="BJ13" s="711"/>
      <c r="BK13" s="711"/>
      <c r="BL13" s="711"/>
      <c r="BM13" s="711"/>
      <c r="BN13" s="711"/>
      <c r="BO13" s="711"/>
      <c r="CC13" s="563"/>
      <c r="CD13" s="356"/>
      <c r="CE13" s="297"/>
      <c r="CF13" s="563"/>
      <c r="CG13" s="356"/>
    </row>
    <row r="14" spans="1:105">
      <c r="C14" s="154" t="s">
        <v>2</v>
      </c>
      <c r="D14" s="153" t="str">
        <v>AUD.ZB.DISC|[Swap Pricer 1f.xlsm]AU!$BG$52#13284</v>
      </c>
      <c r="G14" s="153" t="str">
        <v xml:space="preserve"> </v>
      </c>
      <c r="I14" s="153" t="s">
        <v>2</v>
      </c>
      <c r="J14" s="153" t="str">
        <v>EUR.ZB.DISC|[Swap Pricer 1f.xlsm]EU!$BC$51#13270</v>
      </c>
      <c r="M14" s="153" t="s">
        <v>81</v>
      </c>
      <c r="Z14" s="695" t="str">
        <f>$D$12</f>
        <v>AUD.ZB.ON|[Swap Pricer 1f.xlsm]AU!$BG$53#13285</v>
      </c>
      <c r="AA14" s="695" t="str">
        <f>$D$13</f>
        <v>AUD.ZB.1M|[Swap Pricer 1f.xlsm]AU!$BG$54#13286</v>
      </c>
      <c r="AB14" s="695" t="s">
        <v>81</v>
      </c>
      <c r="AC14" s="695" t="str">
        <f>$D$14</f>
        <v>AUD.ZB.DISC|[Swap Pricer 1f.xlsm]AU!$BG$52#13284</v>
      </c>
      <c r="AD14" s="695" t="s">
        <v>81</v>
      </c>
      <c r="AE14" s="695" t="s">
        <v>81</v>
      </c>
      <c r="AF14" s="695" t="str">
        <f>D15</f>
        <v>AUD.ZB.6M|[Swap Pricer 1f.xlsm]AU!$BG$56#13287</v>
      </c>
      <c r="AG14" s="695" t="str">
        <f>D16</f>
        <v>AUD.ZB.6M|[Swap Pricer 1f.xlsm]AU!$BG$56#13287</v>
      </c>
      <c r="AH14" s="670" t="s">
        <v>81</v>
      </c>
      <c r="AK14" s="402"/>
      <c r="AQ14" s="348"/>
      <c r="AR14" s="371" t="s">
        <v>553</v>
      </c>
      <c r="AT14" s="346" t="str">
        <f>"PV (in "&amp;Currency1&amp;")"</f>
        <v>PV (in AUD)</v>
      </c>
      <c r="AV14" s="356"/>
      <c r="BH14" s="711" t="str">
        <f>J12</f>
        <v>EUR.ZB.ON|[Swap Pricer 1f.xlsm]EU!$BC$52#13276</v>
      </c>
      <c r="BI14" s="711" t="str">
        <f>J13</f>
        <v>EUR.ZB.1M|[Swap Pricer 1f.xlsm]EU!$BC$53#13275</v>
      </c>
      <c r="BJ14" s="711" t="s">
        <v>81</v>
      </c>
      <c r="BK14" s="711" t="str">
        <f>J14</f>
        <v>EUR.ZB.DISC|[Swap Pricer 1f.xlsm]EU!$BC$51#13270</v>
      </c>
      <c r="BL14" s="711" t="s">
        <v>81</v>
      </c>
      <c r="BM14" s="711" t="s">
        <v>81</v>
      </c>
      <c r="BN14" s="711" t="str">
        <f>J15</f>
        <v>EUR.ZB.6M|[Swap Pricer 1f.xlsm]EU!$BC$55#13273</v>
      </c>
      <c r="BO14" s="711" t="str">
        <f>J16</f>
        <v>EUR.ZB.1Y|[Swap Pricer 1f.xlsm]EU!$BC$56#13289</v>
      </c>
      <c r="BP14" s="704" t="s">
        <v>81</v>
      </c>
      <c r="BY14" s="348"/>
      <c r="BZ14" s="371" t="s">
        <v>553</v>
      </c>
      <c r="CB14" s="346" t="str">
        <f>"PV (in "&amp;Currency2&amp;")"</f>
        <v>PV (in EUR)</v>
      </c>
      <c r="CC14" s="563"/>
      <c r="CD14" s="356"/>
      <c r="CE14" s="297"/>
      <c r="CF14" s="563"/>
      <c r="CG14" s="356"/>
    </row>
    <row r="15" spans="1:105">
      <c r="C15" s="154" t="s">
        <v>5</v>
      </c>
      <c r="D15" s="153" t="str">
        <v>AUD.ZB.6M|[Swap Pricer 1f.xlsm]AU!$BG$56#13287</v>
      </c>
      <c r="G15" s="153" t="str">
        <v xml:space="preserve"> </v>
      </c>
      <c r="I15" s="153" t="s">
        <v>5</v>
      </c>
      <c r="J15" s="153" t="str">
        <v>EUR.ZB.6M|[Swap Pricer 1f.xlsm]EU!$BC$55#13273</v>
      </c>
      <c r="M15" s="153" t="s">
        <v>81</v>
      </c>
      <c r="Q15" s="360"/>
      <c r="R15" s="683"/>
      <c r="S15" s="683"/>
      <c r="T15" s="683"/>
      <c r="U15" s="683"/>
      <c r="V15" s="683"/>
      <c r="W15" s="683"/>
      <c r="X15" s="683"/>
      <c r="Y15" s="683"/>
      <c r="Z15" s="676"/>
      <c r="AA15" s="676"/>
      <c r="AB15" s="676"/>
      <c r="AC15" s="676"/>
      <c r="AD15" s="676"/>
      <c r="AE15" s="676"/>
      <c r="AF15" s="676"/>
      <c r="AG15" s="676"/>
      <c r="AH15" s="676"/>
      <c r="AI15" s="666"/>
      <c r="AK15" s="402"/>
      <c r="AQ15" s="199"/>
      <c r="AR15" s="371" t="s">
        <v>554</v>
      </c>
      <c r="AT15" s="733">
        <f>SUMPRODUCT(AT18:AT517,Q18:Q517)</f>
        <v>0</v>
      </c>
      <c r="AV15" s="356"/>
      <c r="AY15" s="359"/>
      <c r="AZ15" s="712"/>
      <c r="BA15" s="712"/>
      <c r="BB15" s="712"/>
      <c r="BC15" s="712"/>
      <c r="BD15" s="712"/>
      <c r="BE15" s="712"/>
      <c r="BF15" s="712"/>
      <c r="BG15" s="712"/>
      <c r="BH15" s="712"/>
      <c r="BI15" s="712"/>
      <c r="BJ15" s="712"/>
      <c r="BK15" s="712"/>
      <c r="BL15" s="712"/>
      <c r="BM15" s="712"/>
      <c r="BN15" s="712"/>
      <c r="BO15" s="712"/>
      <c r="BP15" s="712"/>
      <c r="BQ15" s="712"/>
      <c r="BY15" s="199"/>
      <c r="BZ15" s="371" t="s">
        <v>554</v>
      </c>
      <c r="CB15" s="354">
        <f>SUMPRODUCT(AY18:AY517,CB18:CB517)</f>
        <v>0</v>
      </c>
      <c r="CC15" s="563"/>
      <c r="CD15" s="356"/>
      <c r="CE15" s="297"/>
      <c r="CF15" s="563"/>
      <c r="CG15" s="356"/>
    </row>
    <row r="16" spans="1:105">
      <c r="C16" s="154" t="s">
        <v>26</v>
      </c>
      <c r="D16" s="153" t="str">
        <v>AUD.ZB.6M|[Swap Pricer 1f.xlsm]AU!$BG$56#13287</v>
      </c>
      <c r="G16" s="153" t="str">
        <v xml:space="preserve"> </v>
      </c>
      <c r="I16" s="153" t="s">
        <v>26</v>
      </c>
      <c r="J16" s="153" t="str">
        <v>EUR.ZB.1Y|[Swap Pricer 1f.xlsm]EU!$BC$56#13289</v>
      </c>
      <c r="M16" s="153" t="s">
        <v>81</v>
      </c>
      <c r="O16" s="402" t="s">
        <v>365</v>
      </c>
      <c r="P16" s="402"/>
      <c r="Q16" s="669"/>
      <c r="R16" s="696" t="s">
        <v>709</v>
      </c>
      <c r="S16" s="697"/>
      <c r="T16" s="697"/>
      <c r="U16" s="697"/>
      <c r="V16" s="697"/>
      <c r="W16" s="697"/>
      <c r="X16" s="697"/>
      <c r="Y16" s="697"/>
      <c r="Z16" s="700" t="s">
        <v>710</v>
      </c>
      <c r="AA16" s="701"/>
      <c r="AB16" s="701"/>
      <c r="AC16" s="701"/>
      <c r="AD16" s="701"/>
      <c r="AE16" s="701"/>
      <c r="AF16" s="701"/>
      <c r="AG16" s="701"/>
      <c r="AH16" s="684"/>
      <c r="AK16" s="402" t="s">
        <v>365</v>
      </c>
      <c r="AV16" s="356"/>
      <c r="AW16" s="402" t="s">
        <v>365</v>
      </c>
      <c r="AX16" s="402"/>
      <c r="AZ16" s="696" t="s">
        <v>709</v>
      </c>
      <c r="BA16" s="697"/>
      <c r="BB16" s="697"/>
      <c r="BC16" s="697"/>
      <c r="BD16" s="697"/>
      <c r="BE16" s="697"/>
      <c r="BF16" s="697"/>
      <c r="BG16" s="697"/>
      <c r="BH16" s="700" t="s">
        <v>710</v>
      </c>
      <c r="BI16" s="701"/>
      <c r="BJ16" s="701"/>
      <c r="BK16" s="701"/>
      <c r="BL16" s="701"/>
      <c r="BM16" s="701"/>
      <c r="BN16" s="701"/>
      <c r="BO16" s="701"/>
      <c r="CC16" s="563"/>
      <c r="CD16" s="356"/>
      <c r="CE16" s="297"/>
      <c r="CF16" s="563"/>
      <c r="CG16" s="356"/>
    </row>
    <row r="17" spans="2:85">
      <c r="M17" s="153" t="s">
        <v>81</v>
      </c>
      <c r="O17" s="661" t="s">
        <v>250</v>
      </c>
      <c r="P17" s="197" t="s">
        <v>170</v>
      </c>
      <c r="Q17" s="196" t="s">
        <v>153</v>
      </c>
      <c r="R17" s="698" t="s">
        <v>115</v>
      </c>
      <c r="S17" s="698" t="s">
        <v>0</v>
      </c>
      <c r="T17" s="698" t="s">
        <v>1</v>
      </c>
      <c r="U17" s="698" t="s">
        <v>2</v>
      </c>
      <c r="V17" s="698" t="s">
        <v>3</v>
      </c>
      <c r="W17" s="698" t="s">
        <v>4</v>
      </c>
      <c r="X17" s="698" t="s">
        <v>5</v>
      </c>
      <c r="Y17" s="698" t="s">
        <v>26</v>
      </c>
      <c r="Z17" s="702" t="s">
        <v>6</v>
      </c>
      <c r="AA17" s="702" t="s">
        <v>0</v>
      </c>
      <c r="AB17" s="702" t="s">
        <v>1</v>
      </c>
      <c r="AC17" s="702" t="s">
        <v>2</v>
      </c>
      <c r="AD17" s="702" t="s">
        <v>3</v>
      </c>
      <c r="AE17" s="702" t="s">
        <v>4</v>
      </c>
      <c r="AF17" s="702" t="s">
        <v>5</v>
      </c>
      <c r="AG17" s="702" t="s">
        <v>26</v>
      </c>
      <c r="AH17" s="735" t="s">
        <v>711</v>
      </c>
      <c r="AI17" s="831" t="s">
        <v>714</v>
      </c>
      <c r="AJ17" s="831"/>
      <c r="AK17" s="197" t="s">
        <v>251</v>
      </c>
      <c r="AL17" s="720" t="s">
        <v>260</v>
      </c>
      <c r="AM17" s="340" t="s">
        <v>362</v>
      </c>
      <c r="AN17" s="340" t="s">
        <v>363</v>
      </c>
      <c r="AO17" s="339"/>
      <c r="AP17" s="353" t="s">
        <v>352</v>
      </c>
      <c r="AQ17" s="374"/>
      <c r="AR17" s="374"/>
      <c r="AS17" s="343"/>
      <c r="AT17" s="343" t="s">
        <v>229</v>
      </c>
      <c r="AV17" s="356"/>
      <c r="AW17" s="661" t="s">
        <v>250</v>
      </c>
      <c r="AX17" s="197" t="s">
        <v>170</v>
      </c>
      <c r="AY17" s="196" t="s">
        <v>153</v>
      </c>
      <c r="AZ17" s="698" t="s">
        <v>115</v>
      </c>
      <c r="BA17" s="698" t="s">
        <v>0</v>
      </c>
      <c r="BB17" s="698" t="s">
        <v>1</v>
      </c>
      <c r="BC17" s="698" t="s">
        <v>2</v>
      </c>
      <c r="BD17" s="698" t="s">
        <v>3</v>
      </c>
      <c r="BE17" s="698" t="s">
        <v>4</v>
      </c>
      <c r="BF17" s="698" t="s">
        <v>5</v>
      </c>
      <c r="BG17" s="698" t="s">
        <v>26</v>
      </c>
      <c r="BH17" s="702" t="s">
        <v>6</v>
      </c>
      <c r="BI17" s="702" t="s">
        <v>0</v>
      </c>
      <c r="BJ17" s="702" t="s">
        <v>1</v>
      </c>
      <c r="BK17" s="702" t="s">
        <v>2</v>
      </c>
      <c r="BL17" s="702" t="s">
        <v>3</v>
      </c>
      <c r="BM17" s="702" t="s">
        <v>4</v>
      </c>
      <c r="BN17" s="702" t="s">
        <v>5</v>
      </c>
      <c r="BO17" s="702" t="s">
        <v>26</v>
      </c>
      <c r="BP17" s="713" t="s">
        <v>711</v>
      </c>
      <c r="BQ17" s="831" t="s">
        <v>714</v>
      </c>
      <c r="BR17" s="831"/>
      <c r="BS17" s="197" t="s">
        <v>251</v>
      </c>
      <c r="BT17" s="720" t="s">
        <v>260</v>
      </c>
      <c r="BU17" s="340" t="s">
        <v>362</v>
      </c>
      <c r="BV17" s="340" t="s">
        <v>363</v>
      </c>
      <c r="BW17" s="339"/>
      <c r="BX17" s="353" t="s">
        <v>352</v>
      </c>
      <c r="BY17" s="374"/>
      <c r="BZ17" s="374"/>
      <c r="CA17" s="349"/>
      <c r="CB17" s="343" t="s">
        <v>229</v>
      </c>
      <c r="CC17" s="563"/>
      <c r="CD17" s="356"/>
      <c r="CE17" s="566" t="s">
        <v>559</v>
      </c>
      <c r="CF17" s="563"/>
      <c r="CG17" s="356"/>
    </row>
    <row r="18" spans="2:85">
      <c r="B18" s="153" t="s">
        <v>265</v>
      </c>
      <c r="C18" s="154" t="s">
        <v>235</v>
      </c>
      <c r="D18" s="153" t="str">
        <f>INDEX($D$11:$D$16,MATCH(Freq1,C11:$C$16,0))</f>
        <v>AUD.ZB.DISC|[Swap Pricer 1f.xlsm]AU!$BG$52#13284</v>
      </c>
      <c r="G18" s="153" t="s">
        <v>81</v>
      </c>
      <c r="H18" s="153" t="s">
        <v>265</v>
      </c>
      <c r="I18" s="153" t="str">
        <f>Freq2</f>
        <v>3M</v>
      </c>
      <c r="J18" s="153" t="str">
        <f>INDEX($J$11:$J$16,MATCH(I18,$I11:I$16,0))</f>
        <v>EUR.ZB.DISC|[Swap Pricer 1f.xlsm]EU!$BC$51#13270</v>
      </c>
      <c r="M18" s="153" t="s">
        <v>81</v>
      </c>
      <c r="O18" s="122">
        <f t="array" ref="O18:O517">_xll.qArrayPad(_xll.qDateSchedule(IF(ISNUMBER(Start),Start,Today),IF(ISNUMBER(Start),"0b",Start),End,Freq1,BusDayAdj1,EOM_1,Holidays,Anniv,Stubs1),0)</f>
        <v>40681</v>
      </c>
      <c r="P18" s="128">
        <f t="shared" ref="P18:P81" si="0">IF(O19,O19-O18,0)</f>
        <v>92</v>
      </c>
      <c r="Q18" s="126">
        <f t="array" ref="Q18:Q517">_xll.qGetDF(D11,O18:O517)</f>
        <v>0.99986869329474748</v>
      </c>
      <c r="R18" s="699">
        <f>IF($O19=0,0,        _xll.qDateNext($O18,R$17,"M",TRUE,Currency1))</f>
        <v>40682</v>
      </c>
      <c r="S18" s="699">
        <f>IF($O19=0,0,        _xll.qDateNext($O18,S$17,"M",TRUE,Currency1))</f>
        <v>40714</v>
      </c>
      <c r="T18" s="699">
        <f>IF($O19=0,0,        _xll.qDateNext($O18,T$17,"M",TRUE,Currency1))</f>
        <v>40742</v>
      </c>
      <c r="U18" s="699">
        <f>IF($O19=0,0,        _xll.qDateNext($O18,U$17,"M",TRUE,Currency1))</f>
        <v>40773</v>
      </c>
      <c r="V18" s="699">
        <f>IF($O19=0,0,        _xll.qDateNext($O18,V$17,"M",TRUE,Currency1))</f>
        <v>40805</v>
      </c>
      <c r="W18" s="699">
        <f>IF($O19=0,0,        _xll.qDateNext($O18,W$17,"M",TRUE,Currency1))</f>
        <v>40834</v>
      </c>
      <c r="X18" s="699">
        <f>IF($O19=0,0,        _xll.qDateNext($O18,X$17,"M",TRUE,Currency1))</f>
        <v>40865</v>
      </c>
      <c r="Y18" s="699">
        <f>IF($O19=0,0,        _xll.qDateNext($O18,Y$17,"M",TRUE,Currency1))</f>
        <v>41047</v>
      </c>
      <c r="Z18" s="703">
        <f>IF($O19=0,0,           IF(FRM,_xll.qGetFwdRate(Z$14,$O18,R18,"T",DCC_Leg1_Float),_xll.qGetFwdRate(Z$14,$O18,$O19,"T",DCC_Leg1_Float)))</f>
        <v>4.7085316257760024</v>
      </c>
      <c r="AA18" s="703">
        <f>IF($O19=0,0,           IF(FRM,_xll.qGetFwdRate(AA$14,$O18,S18,"T",DCC_Leg1_Float),_xll.qGetFwdRate(AA$14,$O18,$O19,"T",DCC_Leg1_Float)))</f>
        <v>4.8199999999998777</v>
      </c>
      <c r="AB18" s="703">
        <f t="shared" ref="AB18:AB81" si="1">AVERAGE(AA18,AC18)</f>
        <v>4.912499999999925</v>
      </c>
      <c r="AC18" s="703">
        <f>IF($O19=0,0,           IF(FRM,_xll.qGetFwdRate(AC$14,$O18,U18,"T",DCC_Leg1_Float),_xll.qGetFwdRate(AC$14,$O18,$O19,"T",DCC_Leg1_Float)))</f>
        <v>5.0049999999999724</v>
      </c>
      <c r="AD18" s="703">
        <f>(AF18-AC18)/3+AC18</f>
        <v>5.0666666666666416</v>
      </c>
      <c r="AE18" s="703">
        <f>AVERAGE(AD18,AF18)</f>
        <v>5.1283333333333108</v>
      </c>
      <c r="AF18" s="703">
        <f>IF($O19=0,0,           IF(FRM,_xll.qGetFwdRate(AF$14,$O18,X18,"T",DCC_Leg1_Float),_xll.qGetFwdRate(AF$14,$O18,$O19,"T",DCC_Leg1_Float)))</f>
        <v>5.1899999999999791</v>
      </c>
      <c r="AG18" s="703">
        <f>IF($O19=0,0,           IF(FRM,_xll.qGetFwdRate(AG$14,$O18,Y18,"T",DCC_Leg1_Float),_xll.qGetFwdRate(AG$14,$O18,$O19,"T",DCC_Leg1_Float)))</f>
        <v>5.3290304521893805</v>
      </c>
      <c r="AH18" s="685" t="str">
        <f t="array" ref="AH18:AH516">IF(ISERROR(SUM(P18:P516,InterpTrigger,DCC_Leg1_Float)/0),          TheoreticalRoll(P18:P516+0,InterpTrigger,DCC_Leg1_Float))</f>
        <v>3M</v>
      </c>
      <c r="AI18" s="667"/>
      <c r="AJ18" s="670">
        <f>IF(O19=0,0,             IF(ISNUMBER(AI18),AI18,             IF(ISTEXT(AI18),INDEX(Z18:AG18,MATCH(AI18,$Z$17:$AG$17,0)),           IF(AH18="INT",_xll.qInterp(O19,R18:Y18,Z18:AG18),       INDEX(Z18:AG18,MATCH(AH18,$Z$17:$AG$17,0))))))</f>
        <v>5.0049999999999724</v>
      </c>
      <c r="AK18" s="732">
        <v>100</v>
      </c>
      <c r="AL18" s="721">
        <f t="shared" ref="AL18:AL81" si="2">IF(O19,AK18*1000000*$AN$11,0)</f>
        <v>100000000</v>
      </c>
      <c r="AM18" s="284">
        <f>IF($O19,_xll.qDateYears($O18,$O19,DCC_Leg1_Fixed),0)</f>
        <v>0.25205479452054796</v>
      </c>
      <c r="AN18" s="284">
        <f>IF($O19,_xll.qDateYears($O18,$O19,DCC_Leg1_Float),0)</f>
        <v>0.25205479452054796</v>
      </c>
      <c r="AP18" s="350">
        <f>IF(Principal1?,-$AL18,0)</f>
        <v>0</v>
      </c>
      <c r="AQ18" s="375"/>
      <c r="AR18" s="561"/>
      <c r="AT18" s="341">
        <f>SUM(AP18:AR18)</f>
        <v>0</v>
      </c>
      <c r="AV18" s="356"/>
      <c r="AW18" s="122">
        <f t="array" ref="AW18:AW517">_xll.qArrayPad(_xll.qDateSchedule(Today,Start,End,Freq2,BusDayAdj2,EOM_2,Holidays,Anniv,Stubs2),0)</f>
        <v>40681</v>
      </c>
      <c r="AX18" s="128">
        <f t="shared" ref="AX18:AX81" si="3">IF(AW19,AW19-AW18,0)</f>
        <v>92</v>
      </c>
      <c r="AY18" s="357">
        <f t="array" ref="AY18:AY517">_xll.qGetDF(J11,AW18:AW517)</f>
        <v>0.99997479062986883</v>
      </c>
      <c r="AZ18" s="699">
        <f>IF($AW19=0,0,        _xll.qDateNext($AW18,AZ$17,"M",TRUE,Currency2))</f>
        <v>40682</v>
      </c>
      <c r="BA18" s="699">
        <f>IF($AW19=0,0,        _xll.qDateNext($AW18,BA$17,"M",TRUE,Currency2))</f>
        <v>40714</v>
      </c>
      <c r="BB18" s="699">
        <f>IF($AW19=0,0,        _xll.qDateNext($AW18,BB$17,"M",TRUE,Currency2))</f>
        <v>40742</v>
      </c>
      <c r="BC18" s="699">
        <f>IF($AW19=0,0,        _xll.qDateNext($AW18,BC$17,"M",TRUE,Currency2))</f>
        <v>40773</v>
      </c>
      <c r="BD18" s="699">
        <f>IF($AW19=0,0,        _xll.qDateNext($AW18,BD$17,"M",TRUE,Currency2))</f>
        <v>40805</v>
      </c>
      <c r="BE18" s="699">
        <f>IF($AW19=0,0,        _xll.qDateNext($AW18,BE$17,"M",TRUE,Currency2))</f>
        <v>40834</v>
      </c>
      <c r="BF18" s="699">
        <f>IF($AW19=0,0,        _xll.qDateNext($AW18,BF$17,"M",TRUE,Currency2))</f>
        <v>40865</v>
      </c>
      <c r="BG18" s="699">
        <f>IF($AW19=0,0,        _xll.qDateNext($AW18,BG$17,"M",TRUE,Currency2))</f>
        <v>41047</v>
      </c>
      <c r="BH18" s="703">
        <f t="array" ref="BH18:BH516">IF(FRM,_xll.qGetFwdRate(BH14,$AW18:$AW516,AZ18:AZ516,"T",DCC_Leg2_Float),_xll.qGetFwdRate(BH14,$AW18:$AW516,$AW19:$AW517,"T",DCC_Leg2_Float))</f>
        <v>0.87591190068270208</v>
      </c>
      <c r="BI18" s="703">
        <f t="array" ref="BI18:BI516">IF(FRM,_xll.qGetFwdRate(BI14,$AW18:$AW516,BA18:BA516,"T",DCC_Leg2_Float),_xll.qGetFwdRate(BI14,$AW18:$AW516,$AW19:$AW517,"T",DCC_Leg2_Float))</f>
        <v>1.2379430642804385</v>
      </c>
      <c r="BJ18" s="703">
        <f t="array" ref="BJ18:BJ516">IF(FRM,(_xll.qGetFwdRate(BI14,$AW18:$AW516,BB18:BB516,"T",DCC_Leg2_Float)+_xll.qGetFwdRate(BK14,$AW18:$AW516,BB18:BB516,"T",DCC_Leg2_Float))/2,(_xll.qGetFwdRate(BI14,$AW18:$AW516,$AW19:$AW517,"T",DCC_Leg2_Float)+_xll.qGetFwdRate(BK14,$AW18:$AW516,$AW19:$AW517,"T",DCC_Leg2_Float))/2)</f>
        <v>1.2730195955195927</v>
      </c>
      <c r="BK18" s="703">
        <f t="array" ref="BK18:BK516">IF(FRM,_xll.qGetFwdRate(BK14,$AW18:$AW516,BC18:BC516,"T",DCC_Leg2_Float),_xll.qGetFwdRate(BK14,$AW18:$AW516,$AW19:$AW517,"T",DCC_Leg2_Float))</f>
        <v>1.4182401964120226</v>
      </c>
      <c r="BL18" s="703">
        <f t="shared" ref="BL18:BL82" si="4">(BN18-BK18)/3+BK18</f>
        <v>1.5119475165661032</v>
      </c>
      <c r="BM18" s="703">
        <f>AVERAGE(BL18,BN18)</f>
        <v>1.6056548367201837</v>
      </c>
      <c r="BN18" s="703">
        <f t="array" ref="BN18:BN516">IF(FRM,_xll.qGetFwdRate(BN14,$AW18:$AW516,BF18:BF516,"T",DCC_Leg2_Float),_xll.qGetFwdRate(BN14,$AW18:$AW516,$AW19:$AW517,"T",DCC_Leg2_Float))</f>
        <v>1.6993621568742641</v>
      </c>
      <c r="BO18" s="703">
        <f t="array" ref="BO18:BO516">IF(FRM,_xll.qGetFwdRate(BO14,$AW18:$AW516,BG18:BG516,"T",DCC_Leg2_Float),_xll.qGetFwdRate(BO14,$AW18:$AW516,$AW19:$AW517,"T",DCC_Leg2_Float))</f>
        <v>2.1504933044363361</v>
      </c>
      <c r="BP18" s="685" t="str">
        <f t="array" ref="BP18:BP516">IF(ISERROR(SUM(AX18:AX516,InterpTrigger,DCC_Leg2_Float)/0),        TheoreticalRoll(AX18:AX516+0,InterpTrigger,DCC_Leg2_Float))</f>
        <v>3M</v>
      </c>
      <c r="BQ18" s="667"/>
      <c r="BR18" s="670">
        <f>IF(AW19=0,0,             IF(ISNUMBER(BQ18),BQ18,             IF(ISTEXT(BQ18),INDEX(BH18:BO18,MATCH(BQ18,$BH$17:$BO$17,0)),           IF(BP18="INT",_xll.qInterp(AW19,AZ18:BG18,BH18:BO18),       INDEX(BH18:BO18,MATCH(BP18,$BH$17:$BO$17,0))))))</f>
        <v>1.4182401964120226</v>
      </c>
      <c r="BS18" s="731">
        <f t="shared" ref="BS18:BS81" si="5">IF(AW19,INDEX($AK$18:$AK$516,MATCH(AW18,OFFSET($O$18,0,0,$AN$12,1)))*$F$6,0)</f>
        <v>74.789115166060782</v>
      </c>
      <c r="BT18" s="406">
        <f t="shared" ref="BT18:BT81" si="6">IF(AW18,BS18*1000000*$BV$11,0)</f>
        <v>-74789115.166060776</v>
      </c>
      <c r="BU18" s="284">
        <f>IF($AW19,_xll.qDateYears($AW18,$AW19,DCC_Leg2_Fixed),0)</f>
        <v>0.25205479452054796</v>
      </c>
      <c r="BV18" s="284">
        <f>IF($AW19,_xll.qDateYears($AW18,$AW19,DCC_Leg2_Float),0)</f>
        <v>0.25555555555555554</v>
      </c>
      <c r="BX18" s="350">
        <f>IF(Principal2?,-$BT18,0)</f>
        <v>0</v>
      </c>
      <c r="BY18" s="375"/>
      <c r="BZ18" s="561"/>
      <c r="CB18" s="341">
        <f>SUM(BX18:BZ18)</f>
        <v>0</v>
      </c>
      <c r="CC18" s="563"/>
      <c r="CD18" s="564"/>
      <c r="CE18" s="341">
        <f t="array" ref="CE18:CE517">IF(Currency1=Currency2,AT18:AT517+CB18:CB517,0)</f>
        <v>0</v>
      </c>
      <c r="CF18" s="563"/>
      <c r="CG18" s="356"/>
    </row>
    <row r="19" spans="2:85">
      <c r="C19" s="154" t="s">
        <v>268</v>
      </c>
      <c r="D19" s="153" t="str">
        <f>IF(OR(Currency1="AUD",Currency1="GBP"),"Act/365","Act/360")</f>
        <v>Act/365</v>
      </c>
      <c r="I19" s="153" t="s">
        <v>268</v>
      </c>
      <c r="J19" s="153" t="str">
        <f>IF(OR(Currency2="AUD",Currency2="GBP"),"Act/365","Act/360")</f>
        <v>Act/360</v>
      </c>
      <c r="M19" s="153" t="s">
        <v>81</v>
      </c>
      <c r="O19" s="122">
        <v>40773</v>
      </c>
      <c r="P19" s="128">
        <f t="shared" si="0"/>
        <v>92</v>
      </c>
      <c r="Q19" s="126">
        <v>0.98740616238249945</v>
      </c>
      <c r="R19" s="699">
        <f>IF($O20=0,0,        _xll.qDateNext($O19,R$17,"M",TRUE,Currency1))</f>
        <v>40774</v>
      </c>
      <c r="S19" s="699">
        <f>IF($O20=0,0,        _xll.qDateNext($O19,S$17,"M",TRUE,Currency1))</f>
        <v>40805</v>
      </c>
      <c r="T19" s="699">
        <f>IF($O20=0,0,        _xll.qDateNext($O19,T$17,"M",TRUE,Currency1))</f>
        <v>40834</v>
      </c>
      <c r="U19" s="699">
        <f>IF($O20=0,0,        _xll.qDateNext($O19,U$17,"M",TRUE,Currency1))</f>
        <v>40865</v>
      </c>
      <c r="V19" s="699">
        <f>IF($O20=0,0,        _xll.qDateNext($O19,V$17,"M",TRUE,Currency1))</f>
        <v>40896</v>
      </c>
      <c r="W19" s="699">
        <f>IF($O20=0,0,        _xll.qDateNext($O19,W$17,"M",TRUE,Currency1))</f>
        <v>40926</v>
      </c>
      <c r="X19" s="699">
        <f>IF($O20=0,0,        _xll.qDateNext($O19,X$17,"M",TRUE,Currency1))</f>
        <v>40959</v>
      </c>
      <c r="Y19" s="699">
        <f>IF($O20=0,0,        _xll.qDateNext($O19,Y$17,"M",TRUE,Currency1))</f>
        <v>41141</v>
      </c>
      <c r="Z19" s="703">
        <f>IF($O20=0,0,           IF(FRM,_xll.qGetFwdRate(Z$14,$O19,R19,"T",DCC_Leg1_Float),_xll.qGetFwdRate(Z$14,$O19,$O20,"T",DCC_Leg1_Float)))</f>
        <v>4.823280602658242</v>
      </c>
      <c r="AA19" s="703">
        <f>IF($O20=0,0,           IF(FRM,_xll.qGetFwdRate(AA$14,$O19,S19,"T",DCC_Leg1_Float),_xll.qGetFwdRate(AA$14,$O19,$O20,"T",DCC_Leg1_Float)))</f>
        <v>4.9289131305395548</v>
      </c>
      <c r="AB19" s="703">
        <f t="shared" si="1"/>
        <v>5.0148728240998128</v>
      </c>
      <c r="AC19" s="703">
        <f>IF($O20=0,0,           IF(FRM,_xll.qGetFwdRate(AC$14,$O19,U19,"T",DCC_Leg1_Float),_xll.qGetFwdRate(AC$14,$O19,$O20,"T",DCC_Leg1_Float)))</f>
        <v>5.10083251766007</v>
      </c>
      <c r="AD19" s="703">
        <f t="shared" ref="AD19:AD82" si="7">(AF19-AC19)/3+AC19</f>
        <v>5.1585887514625481</v>
      </c>
      <c r="AE19" s="703">
        <f t="shared" ref="AE19:AE82" si="8">AVERAGE(AD19,AF19)</f>
        <v>5.2163449852650263</v>
      </c>
      <c r="AF19" s="703">
        <f>IF($O20=0,0,           IF(FRM,_xll.qGetFwdRate(AF$14,$O19,X19,"T",DCC_Leg1_Float),_xll.qGetFwdRate(AF$14,$O19,$O20,"T",DCC_Leg1_Float)))</f>
        <v>5.2741012190675045</v>
      </c>
      <c r="AG19" s="703">
        <f>IF($O20=0,0,           IF(FRM,_xll.qGetFwdRate(AG$14,$O19,Y19,"T",DCC_Leg1_Float),_xll.qGetFwdRate(AG$14,$O19,$O20,"T",DCC_Leg1_Float)))</f>
        <v>5.4090590919687491</v>
      </c>
      <c r="AH19" s="685" t="str">
        <v>3M</v>
      </c>
      <c r="AI19" s="667"/>
      <c r="AJ19" s="670">
        <f>IF(O20=0,0,             IF(ISNUMBER(AI19),AI19,             IF(ISTEXT(AI19),INDEX(Z19:AG19,MATCH(AI19,$Z$17:$AG$17,0)),           IF(AH19="INT",_xll.qInterp(O20,R19:Y19,Z19:AG19),       INDEX(Z19:AG19,MATCH(AH19,$Z$17:$AG$17,0))))))</f>
        <v>5.10083251766007</v>
      </c>
      <c r="AK19" s="732">
        <v>100</v>
      </c>
      <c r="AL19" s="721">
        <f t="shared" si="2"/>
        <v>100000000</v>
      </c>
      <c r="AM19" s="284">
        <f>IF($O20,_xll.qDateYears($O19,$O20,DCC_Leg1_Fixed),0)</f>
        <v>0.25205479452054796</v>
      </c>
      <c r="AN19" s="284">
        <f>IF($O20,_xll.qDateYears($O19,$O20,DCC_Leg1_Float),0)</f>
        <v>0.25205479452054796</v>
      </c>
      <c r="AP19" s="350">
        <f t="shared" ref="AP19:AP82" si="9">IF(Principal1?,$AL18-$AL19,       0)</f>
        <v>0</v>
      </c>
      <c r="AQ19" s="375">
        <f>IF(GenType_1a="Fixed",GenRate_1a%*$AL18*AM18,          IF(GenType_1a="Float",$AL18*(_xll.qGetFwdRate($D$18,$O18,$O19,"T",DCC_Leg1_Float)%+GenRate_1a%%)*$AN18,        IF(GenType_1a="bp (Fixed)",GenRate_1a%%*$AM18*$AL18,   IF(GenType_1a="bp (Float)",GenRate_1a%%*$AL18*$AN18,0))))</f>
        <v>0</v>
      </c>
      <c r="AR19" s="561"/>
      <c r="AT19" s="341">
        <f>SUM(AP19:AR19)</f>
        <v>0</v>
      </c>
      <c r="AV19" s="356"/>
      <c r="AW19" s="122">
        <v>40773</v>
      </c>
      <c r="AX19" s="128">
        <f t="shared" si="3"/>
        <v>92</v>
      </c>
      <c r="AY19" s="357">
        <v>0.99679372948925959</v>
      </c>
      <c r="AZ19" s="699">
        <f>IF($AW20=0,0,        _xll.qDateNext($AW19,AZ$17,"M",TRUE,Currency2))</f>
        <v>40774</v>
      </c>
      <c r="BA19" s="699">
        <f>IF($AW20=0,0,        _xll.qDateNext($AW19,BA$17,"M",TRUE,Currency2))</f>
        <v>40805</v>
      </c>
      <c r="BB19" s="699">
        <f>IF($AW20=0,0,        _xll.qDateNext($AW19,BB$17,"M",TRUE,Currency2))</f>
        <v>40834</v>
      </c>
      <c r="BC19" s="699">
        <f>IF($AW20=0,0,        _xll.qDateNext($AW19,BC$17,"M",TRUE,Currency2))</f>
        <v>40865</v>
      </c>
      <c r="BD19" s="699">
        <f>IF($AW20=0,0,        _xll.qDateNext($AW19,BD$17,"M",TRUE,Currency2))</f>
        <v>40896</v>
      </c>
      <c r="BE19" s="699">
        <f>IF($AW20=0,0,        _xll.qDateNext($AW19,BE$17,"M",TRUE,Currency2))</f>
        <v>40926</v>
      </c>
      <c r="BF19" s="699">
        <f>IF($AW20=0,0,        _xll.qDateNext($AW19,BF$17,"M",TRUE,Currency2))</f>
        <v>40959</v>
      </c>
      <c r="BG19" s="699">
        <f>IF($AW20=0,0,        _xll.qDateNext($AW19,BG$17,"M",TRUE,Currency2))</f>
        <v>41141</v>
      </c>
      <c r="BH19" s="703">
        <v>1.4273579337995557</v>
      </c>
      <c r="BI19" s="703">
        <v>1.4366475760185238</v>
      </c>
      <c r="BJ19" s="703">
        <v>1.5728315720284551</v>
      </c>
      <c r="BK19" s="703">
        <v>1.6950970103454785</v>
      </c>
      <c r="BL19" s="703">
        <f t="shared" si="4"/>
        <v>1.7877628581353942</v>
      </c>
      <c r="BM19" s="703">
        <f t="shared" ref="BM19:BM82" si="10">AVERAGE(BL19,BN19)</f>
        <v>1.8804287059253098</v>
      </c>
      <c r="BN19" s="703">
        <v>1.9730945537152254</v>
      </c>
      <c r="BO19" s="703">
        <v>2.3563938872378776</v>
      </c>
      <c r="BP19" s="685" t="str">
        <v>3M</v>
      </c>
      <c r="BQ19" s="667"/>
      <c r="BR19" s="670">
        <f>IF(AW20=0,0,             IF(ISNUMBER(BQ19),BQ19,             IF(ISTEXT(BQ19),INDEX(BH19:BO19,MATCH(BQ19,$BH$17:$BO$17,0)),           IF(BP19="INT",_xll.qInterp(AW20,AZ19:BG19,BH19:BO19),       INDEX(BH19:BO19,MATCH(BP19,$BH$17:$BO$17,0))))))</f>
        <v>1.6950970103454785</v>
      </c>
      <c r="BS19" s="731">
        <f t="shared" si="5"/>
        <v>74.789115166060782</v>
      </c>
      <c r="BT19" s="406">
        <f t="shared" si="6"/>
        <v>-74789115.166060776</v>
      </c>
      <c r="BU19" s="284">
        <f>IF($AW20,_xll.qDateYears($AW19,$AW20,DCC_Leg2_Fixed),0)</f>
        <v>0.25205479452054796</v>
      </c>
      <c r="BV19" s="284">
        <f>IF($AW20,_xll.qDateYears($AW19,$AW20,DCC_Leg2_Float),0)</f>
        <v>0.25555555555555554</v>
      </c>
      <c r="BX19" s="350">
        <f t="shared" ref="BX19:BX82" si="11">IF(Principal2?,$BT18-$BT19,       0)</f>
        <v>0</v>
      </c>
      <c r="BY19" s="375">
        <f>IF(GenType_2a="Fixed",GenRate_2a%*$BT18*BU18,          IF(GenType_2a="Float",$BT18*(_xll.qGetFwdRate($J$18,$AW18,$AW19,"T",DCC_Leg2_Float)%+GenRate_2a%%)*$BV18,        IF(GenType_2a="bp (Fixed)",GenRate_2a%%*$BU18*$BT18,   IF(GenType_2a="bp (Float)",GenRate_2a%%*$BT18*$BV18,0))))</f>
        <v>0</v>
      </c>
      <c r="BZ19" s="561"/>
      <c r="CB19" s="341">
        <f t="shared" ref="CB19:CB40" si="12">SUM(BX19:BZ19)</f>
        <v>0</v>
      </c>
      <c r="CC19" s="563"/>
      <c r="CD19" s="564"/>
      <c r="CE19" s="341">
        <v>0</v>
      </c>
      <c r="CF19" s="563"/>
      <c r="CG19" s="356"/>
    </row>
    <row r="20" spans="2:85">
      <c r="M20" s="153" t="s">
        <v>81</v>
      </c>
      <c r="O20" s="122">
        <v>40865</v>
      </c>
      <c r="P20" s="128">
        <f t="shared" si="0"/>
        <v>94</v>
      </c>
      <c r="Q20" s="126">
        <v>0.97480642368437831</v>
      </c>
      <c r="R20" s="699">
        <f>IF($O21=0,0,        _xll.qDateNext($O20,R$17,"M",TRUE,Currency1))</f>
        <v>40868</v>
      </c>
      <c r="S20" s="699">
        <f>IF($O21=0,0,        _xll.qDateNext($O20,S$17,"M",TRUE,Currency1))</f>
        <v>40896</v>
      </c>
      <c r="T20" s="699">
        <f>IF($O21=0,0,        _xll.qDateNext($O20,T$17,"M",TRUE,Currency1))</f>
        <v>40926</v>
      </c>
      <c r="U20" s="699">
        <f>IF($O21=0,0,        _xll.qDateNext($O20,U$17,"M",TRUE,Currency1))</f>
        <v>40959</v>
      </c>
      <c r="V20" s="699">
        <f>IF($O21=0,0,        _xll.qDateNext($O20,V$17,"M",TRUE,Currency1))</f>
        <v>40987</v>
      </c>
      <c r="W20" s="699">
        <f>IF($O21=0,0,        _xll.qDateNext($O20,W$17,"M",TRUE,Currency1))</f>
        <v>41017</v>
      </c>
      <c r="X20" s="699">
        <f>IF($O21=0,0,        _xll.qDateNext($O20,X$17,"M",TRUE,Currency1))</f>
        <v>41047</v>
      </c>
      <c r="Y20" s="699">
        <f>IF($O21=0,0,        _xll.qDateNext($O20,Y$17,"M",TRUE,Currency1))</f>
        <v>41232</v>
      </c>
      <c r="Z20" s="703">
        <f>IF($O21=0,0,           IF(FRM,_xll.qGetFwdRate(Z$14,$O20,R20,"T",DCC_Leg1_Float),_xll.qGetFwdRate(Z$14,$O20,$O21,"T",DCC_Leg1_Float)))</f>
        <v>4.9850645364339927</v>
      </c>
      <c r="AA20" s="703">
        <f>IF($O21=0,0,           IF(FRM,_xll.qGetFwdRate(AA$14,$O20,S20,"T",DCC_Leg1_Float),_xll.qGetFwdRate(AA$14,$O20,$O21,"T",DCC_Leg1_Float)))</f>
        <v>5.0537069008790576</v>
      </c>
      <c r="AB20" s="703">
        <f t="shared" si="1"/>
        <v>5.1290035086240078</v>
      </c>
      <c r="AC20" s="703">
        <f>IF($O21=0,0,           IF(FRM,_xll.qGetFwdRate(AC$14,$O20,U20,"T",DCC_Leg1_Float),_xll.qGetFwdRate(AC$14,$O20,$O21,"T",DCC_Leg1_Float)))</f>
        <v>5.2043001163689571</v>
      </c>
      <c r="AD20" s="703">
        <f t="shared" si="7"/>
        <v>5.2462450308726902</v>
      </c>
      <c r="AE20" s="703">
        <f t="shared" si="8"/>
        <v>5.2881899453764234</v>
      </c>
      <c r="AF20" s="703">
        <f>IF($O21=0,0,           IF(FRM,_xll.qGetFwdRate(AF$14,$O20,X20,"T",DCC_Leg1_Float),_xll.qGetFwdRate(AF$14,$O20,$O21,"T",DCC_Leg1_Float)))</f>
        <v>5.3301348598801574</v>
      </c>
      <c r="AG20" s="703">
        <f>IF($O21=0,0,           IF(FRM,_xll.qGetFwdRate(AG$14,$O20,Y20,"T",DCC_Leg1_Float),_xll.qGetFwdRate(AG$14,$O20,$O21,"T",DCC_Leg1_Float)))</f>
        <v>5.4823114760987091</v>
      </c>
      <c r="AH20" s="685" t="str">
        <v>3M</v>
      </c>
      <c r="AI20" s="667"/>
      <c r="AJ20" s="670">
        <f>IF(O21=0,0,             IF(ISNUMBER(AI20),AI20,             IF(ISTEXT(AI20),INDEX(Z20:AG20,MATCH(AI20,$Z$17:$AG$17,0)),           IF(AH20="INT",_xll.qInterp(O21,R20:Y20,Z20:AG20),       INDEX(Z20:AG20,MATCH(AH20,$Z$17:$AG$17,0))))))</f>
        <v>5.2043001163689571</v>
      </c>
      <c r="AK20" s="732">
        <v>100</v>
      </c>
      <c r="AL20" s="721">
        <f t="shared" si="2"/>
        <v>100000000</v>
      </c>
      <c r="AM20" s="284">
        <f>IF($O21,_xll.qDateYears($O20,$O21,DCC_Leg1_Fixed),0)</f>
        <v>0.25753424657534246</v>
      </c>
      <c r="AN20" s="284">
        <f>IF($O21,_xll.qDateYears($O20,$O21,DCC_Leg1_Float),0)</f>
        <v>0.25753424657534246</v>
      </c>
      <c r="AP20" s="350">
        <f t="shared" si="9"/>
        <v>0</v>
      </c>
      <c r="AQ20" s="375">
        <f>IF(GenType_1a="Fixed",GenRate_1a%*$AL19*AM19,          IF(GenType_1a="Float",$AL19*(_xll.qGetFwdRate($D$18,$O19,$O20,"T",DCC_Leg1_Float)%+GenRate_1a%%)*$AN19,        IF(GenType_1a="bp (Fixed)",GenRate_1a%%*$AM19*$AL19,   IF(GenType_1a="bp (Float)",GenRate_1a%%*$AL19*$AN19,0))))</f>
        <v>0</v>
      </c>
      <c r="AR20" s="561"/>
      <c r="AT20" s="341">
        <f t="shared" ref="AT20:AT39" si="13">SUM(AP20:AR20)</f>
        <v>0</v>
      </c>
      <c r="AV20" s="356"/>
      <c r="AW20" s="122">
        <v>40865</v>
      </c>
      <c r="AX20" s="128">
        <f t="shared" si="3"/>
        <v>94</v>
      </c>
      <c r="AY20" s="357">
        <v>0.99289787663681928</v>
      </c>
      <c r="AZ20" s="699">
        <f>IF($AW21=0,0,        _xll.qDateNext($AW20,AZ$17,"M",TRUE,Currency2))</f>
        <v>40868</v>
      </c>
      <c r="BA20" s="699">
        <f>IF($AW21=0,0,        _xll.qDateNext($AW20,BA$17,"M",TRUE,Currency2))</f>
        <v>40896</v>
      </c>
      <c r="BB20" s="699">
        <f>IF($AW21=0,0,        _xll.qDateNext($AW20,BB$17,"M",TRUE,Currency2))</f>
        <v>40926</v>
      </c>
      <c r="BC20" s="699">
        <f>IF($AW21=0,0,        _xll.qDateNext($AW20,BC$17,"M",TRUE,Currency2))</f>
        <v>40959</v>
      </c>
      <c r="BD20" s="699">
        <f>IF($AW21=0,0,        _xll.qDateNext($AW20,BD$17,"M",TRUE,Currency2))</f>
        <v>40987</v>
      </c>
      <c r="BE20" s="699">
        <f>IF($AW21=0,0,        _xll.qDateNext($AW20,BE$17,"M",TRUE,Currency2))</f>
        <v>41017</v>
      </c>
      <c r="BF20" s="699">
        <f>IF($AW21=0,0,        _xll.qDateNext($AW20,BF$17,"M",TRUE,Currency2))</f>
        <v>41047</v>
      </c>
      <c r="BG20" s="699">
        <f>IF($AW21=0,0,        _xll.qDateNext($AW20,BG$17,"M",TRUE,Currency2))</f>
        <v>41232</v>
      </c>
      <c r="BH20" s="703">
        <v>1.6815027714569553</v>
      </c>
      <c r="BI20" s="703">
        <v>1.7810140246758976</v>
      </c>
      <c r="BJ20" s="703">
        <v>1.8619351718956447</v>
      </c>
      <c r="BK20" s="703">
        <v>1.9687238411525323</v>
      </c>
      <c r="BL20" s="703">
        <f t="shared" si="4"/>
        <v>2.0397028426120367</v>
      </c>
      <c r="BM20" s="703">
        <f t="shared" si="10"/>
        <v>2.1106818440715411</v>
      </c>
      <c r="BN20" s="703">
        <v>2.1816608455310456</v>
      </c>
      <c r="BO20" s="703">
        <v>2.517995389446654</v>
      </c>
      <c r="BP20" s="685" t="str">
        <v>3M</v>
      </c>
      <c r="BQ20" s="667"/>
      <c r="BR20" s="670">
        <f>IF(AW21=0,0,             IF(ISNUMBER(BQ20),BQ20,             IF(ISTEXT(BQ20),INDEX(BH20:BO20,MATCH(BQ20,$BH$17:$BO$17,0)),           IF(BP20="INT",_xll.qInterp(AW21,AZ20:BG20,BH20:BO20),       INDEX(BH20:BO20,MATCH(BP20,$BH$17:$BO$17,0))))))</f>
        <v>1.9687238411525323</v>
      </c>
      <c r="BS20" s="731">
        <f t="shared" si="5"/>
        <v>74.789115166060782</v>
      </c>
      <c r="BT20" s="406">
        <f t="shared" si="6"/>
        <v>-74789115.166060776</v>
      </c>
      <c r="BU20" s="284">
        <f>IF($AW21,_xll.qDateYears($AW20,$AW21,DCC_Leg2_Fixed),0)</f>
        <v>0.25753424657534246</v>
      </c>
      <c r="BV20" s="284">
        <f>IF($AW21,_xll.qDateYears($AW20,$AW21,DCC_Leg2_Float),0)</f>
        <v>0.26111111111111113</v>
      </c>
      <c r="BX20" s="350">
        <f t="shared" si="11"/>
        <v>0</v>
      </c>
      <c r="BY20" s="375">
        <f>IF(GenType_2a="Fixed",GenRate_2a%*$BT19*BU19,          IF(GenType_2a="Float",$BT19*(_xll.qGetFwdRate($J$18,$AW19,$AW20,"T",DCC_Leg2_Float)%+GenRate_2a%%)*$BV19,        IF(GenType_2a="bp (Fixed)",GenRate_2a%%*$BU19*$BT19,   IF(GenType_2a="bp (Float)",GenRate_2a%%*$BT19*$BV19,0))))</f>
        <v>0</v>
      </c>
      <c r="BZ20" s="561"/>
      <c r="CB20" s="341">
        <f t="shared" si="12"/>
        <v>0</v>
      </c>
      <c r="CC20" s="563"/>
      <c r="CD20" s="564"/>
      <c r="CE20" s="341">
        <v>0</v>
      </c>
      <c r="CF20" s="563"/>
      <c r="CG20" s="356"/>
    </row>
    <row r="21" spans="2:85">
      <c r="B21" s="153" t="s">
        <v>708</v>
      </c>
      <c r="C21" s="154" t="s">
        <v>0</v>
      </c>
      <c r="D21" s="153">
        <f>RIGHT(DCC_Leg1_Float,3)/12</f>
        <v>30.416666666666668</v>
      </c>
      <c r="O21" s="122">
        <v>40959</v>
      </c>
      <c r="P21" s="128">
        <f t="shared" si="0"/>
        <v>88</v>
      </c>
      <c r="Q21" s="126">
        <v>0.96176570835573771</v>
      </c>
      <c r="R21" s="699">
        <f>IF($O22=0,0,        _xll.qDateNext($O21,R$17,"M",TRUE,Currency1))</f>
        <v>40960</v>
      </c>
      <c r="S21" s="699">
        <f>IF($O22=0,0,        _xll.qDateNext($O21,S$17,"M",TRUE,Currency1))</f>
        <v>40988</v>
      </c>
      <c r="T21" s="699">
        <f>IF($O22=0,0,        _xll.qDateNext($O21,T$17,"M",TRUE,Currency1))</f>
        <v>41019</v>
      </c>
      <c r="U21" s="699">
        <f>IF($O22=0,0,        _xll.qDateNext($O21,U$17,"M",TRUE,Currency1))</f>
        <v>41050</v>
      </c>
      <c r="V21" s="699">
        <f>IF($O22=0,0,        _xll.qDateNext($O21,V$17,"M",TRUE,Currency1))</f>
        <v>41080</v>
      </c>
      <c r="W21" s="699">
        <f>IF($O22=0,0,        _xll.qDateNext($O21,W$17,"M",TRUE,Currency1))</f>
        <v>41110</v>
      </c>
      <c r="X21" s="699">
        <f>IF($O22=0,0,        _xll.qDateNext($O21,X$17,"M",TRUE,Currency1))</f>
        <v>41141</v>
      </c>
      <c r="Y21" s="699">
        <f>IF($O22=0,0,        _xll.qDateNext($O21,Y$17,"M",TRUE,Currency1))</f>
        <v>41325</v>
      </c>
      <c r="Z21" s="703">
        <f>IF($O22=0,0,           IF(FRM,_xll.qGetFwdRate(Z$14,$O21,R21,"T",DCC_Leg1_Float),_xll.qGetFwdRate(Z$14,$O21,$O22,"T",DCC_Leg1_Float)))</f>
        <v>5.0261446100654528</v>
      </c>
      <c r="AA21" s="703">
        <f>IF($O22=0,0,           IF(FRM,_xll.qGetFwdRate(AA$14,$O21,S21,"T",DCC_Leg1_Float),_xll.qGetFwdRate(AA$14,$O21,$O22,"T",DCC_Leg1_Float)))</f>
        <v>5.09568608477983</v>
      </c>
      <c r="AB21" s="703">
        <f t="shared" si="1"/>
        <v>5.1835958143089229</v>
      </c>
      <c r="AC21" s="703">
        <f>IF($O22=0,0,           IF(FRM,_xll.qGetFwdRate(AC$14,$O21,U21,"T",DCC_Leg1_Float),_xll.qGetFwdRate(AC$14,$O21,$O22,"T",DCC_Leg1_Float)))</f>
        <v>5.2715055438380167</v>
      </c>
      <c r="AD21" s="703">
        <f t="shared" si="7"/>
        <v>5.314937999435279</v>
      </c>
      <c r="AE21" s="703">
        <f t="shared" si="8"/>
        <v>5.3583704550325404</v>
      </c>
      <c r="AF21" s="703">
        <f>IF($O22=0,0,           IF(FRM,_xll.qGetFwdRate(AF$14,$O21,X21,"T",DCC_Leg1_Float),_xll.qGetFwdRate(AF$14,$O21,$O22,"T",DCC_Leg1_Float)))</f>
        <v>5.4018029106298027</v>
      </c>
      <c r="AG21" s="703">
        <f>IF($O22=0,0,           IF(FRM,_xll.qGetFwdRate(AG$14,$O21,Y21,"T",DCC_Leg1_Float),_xll.qGetFwdRate(AG$14,$O21,$O22,"T",DCC_Leg1_Float)))</f>
        <v>5.5433056830616545</v>
      </c>
      <c r="AH21" s="685" t="str">
        <v>3M</v>
      </c>
      <c r="AI21" s="667"/>
      <c r="AJ21" s="670">
        <f>IF(O22=0,0,             IF(ISNUMBER(AI21),AI21,             IF(ISTEXT(AI21),INDEX(Z21:AG21,MATCH(AI21,$Z$17:$AG$17,0)),           IF(AH21="INT",_xll.qInterp(O22,R21:Y21,Z21:AG21),       INDEX(Z21:AG21,MATCH(AH21,$Z$17:$AG$17,0))))))</f>
        <v>5.2715055438380167</v>
      </c>
      <c r="AK21" s="732">
        <v>100</v>
      </c>
      <c r="AL21" s="721">
        <f t="shared" si="2"/>
        <v>100000000</v>
      </c>
      <c r="AM21" s="284">
        <f>IF($O22,_xll.qDateYears($O21,$O22,DCC_Leg1_Fixed),0)</f>
        <v>0.24109589041095891</v>
      </c>
      <c r="AN21" s="284">
        <f>IF($O22,_xll.qDateYears($O21,$O22,DCC_Leg1_Float),0)</f>
        <v>0.24109589041095891</v>
      </c>
      <c r="AP21" s="350">
        <f t="shared" si="9"/>
        <v>0</v>
      </c>
      <c r="AQ21" s="375">
        <f>IF(GenType_1a="Fixed",GenRate_1a%*$AL20*AM20,          IF(GenType_1a="Float",$AL20*(_xll.qGetFwdRate($D$18,$O20,$O21,"T",DCC_Leg1_Float)%+GenRate_1a%%)*$AN20,        IF(GenType_1a="bp (Fixed)",GenRate_1a%%*$AM20*$AL20,   IF(GenType_1a="bp (Float)",GenRate_1a%%*$AL20*$AN20,0))))</f>
        <v>0</v>
      </c>
      <c r="AR21" s="561"/>
      <c r="AT21" s="341">
        <f t="shared" si="13"/>
        <v>0</v>
      </c>
      <c r="AV21" s="356"/>
      <c r="AW21" s="122">
        <v>40959</v>
      </c>
      <c r="AX21" s="128">
        <f t="shared" si="3"/>
        <v>88</v>
      </c>
      <c r="AY21" s="357">
        <v>0.98828406060053031</v>
      </c>
      <c r="AZ21" s="699">
        <f>IF($AW22=0,0,        _xll.qDateNext($AW21,AZ$17,"M",TRUE,Currency2))</f>
        <v>40960</v>
      </c>
      <c r="BA21" s="699">
        <f>IF($AW22=0,0,        _xll.qDateNext($AW21,BA$17,"M",TRUE,Currency2))</f>
        <v>40988</v>
      </c>
      <c r="BB21" s="699">
        <f>IF($AW22=0,0,        _xll.qDateNext($AW21,BB$17,"M",TRUE,Currency2))</f>
        <v>41019</v>
      </c>
      <c r="BC21" s="699">
        <f>IF($AW22=0,0,        _xll.qDateNext($AW21,BC$17,"M",TRUE,Currency2))</f>
        <v>41050</v>
      </c>
      <c r="BD21" s="699">
        <f>IF($AW22=0,0,        _xll.qDateNext($AW21,BD$17,"M",TRUE,Currency2))</f>
        <v>41080</v>
      </c>
      <c r="BE21" s="699">
        <f>IF($AW22=0,0,        _xll.qDateNext($AW21,BE$17,"M",TRUE,Currency2))</f>
        <v>41110</v>
      </c>
      <c r="BF21" s="699">
        <f>IF($AW22=0,0,        _xll.qDateNext($AW21,BF$17,"M",TRUE,Currency2))</f>
        <v>41141</v>
      </c>
      <c r="BG21" s="699">
        <f>IF($AW22=0,0,        _xll.qDateNext($AW21,BG$17,"M",TRUE,Currency2))</f>
        <v>41325</v>
      </c>
      <c r="BH21" s="703">
        <v>1.8054171771106908</v>
      </c>
      <c r="BI21" s="703">
        <v>1.9441637440505402</v>
      </c>
      <c r="BJ21" s="703">
        <v>2.0247829039248932</v>
      </c>
      <c r="BK21" s="703">
        <v>2.1338038796673713</v>
      </c>
      <c r="BL21" s="703">
        <f t="shared" si="4"/>
        <v>2.2025442486873268</v>
      </c>
      <c r="BM21" s="703">
        <f t="shared" si="10"/>
        <v>2.2712846177072823</v>
      </c>
      <c r="BN21" s="703">
        <v>2.3400249867272382</v>
      </c>
      <c r="BO21" s="703">
        <v>2.6385759639315451</v>
      </c>
      <c r="BP21" s="685" t="str">
        <v>3M</v>
      </c>
      <c r="BQ21" s="667"/>
      <c r="BR21" s="670">
        <f>IF(AW22=0,0,             IF(ISNUMBER(BQ21),BQ21,             IF(ISTEXT(BQ21),INDEX(BH21:BO21,MATCH(BQ21,$BH$17:$BO$17,0)),           IF(BP21="INT",_xll.qInterp(AW22,AZ21:BG21,BH21:BO21),       INDEX(BH21:BO21,MATCH(BP21,$BH$17:$BO$17,0))))))</f>
        <v>2.1338038796673713</v>
      </c>
      <c r="BS21" s="731">
        <f t="shared" si="5"/>
        <v>74.789115166060782</v>
      </c>
      <c r="BT21" s="406">
        <f t="shared" si="6"/>
        <v>-74789115.166060776</v>
      </c>
      <c r="BU21" s="284">
        <f>IF($AW22,_xll.qDateYears($AW21,$AW22,DCC_Leg2_Fixed),0)</f>
        <v>0.24109589041095891</v>
      </c>
      <c r="BV21" s="284">
        <f>IF($AW22,_xll.qDateYears($AW21,$AW22,DCC_Leg2_Float),0)</f>
        <v>0.24444444444444444</v>
      </c>
      <c r="BX21" s="350">
        <f t="shared" si="11"/>
        <v>0</v>
      </c>
      <c r="BY21" s="375">
        <f>IF(GenType_2a="Fixed",GenRate_2a%*$BT20*BU20,          IF(GenType_2a="Float",$BT20*(_xll.qGetFwdRate($J$18,$AW20,$AW21,"T",DCC_Leg2_Float)%+GenRate_2a%%)*$BV20,        IF(GenType_2a="bp (Fixed)",GenRate_2a%%*$BU20*$BT20,   IF(GenType_2a="bp (Float)",GenRate_2a%%*$BT20*$BV20,0))))</f>
        <v>0</v>
      </c>
      <c r="BZ21" s="561"/>
      <c r="CB21" s="341">
        <f t="shared" si="12"/>
        <v>0</v>
      </c>
      <c r="CC21" s="563"/>
      <c r="CD21" s="564"/>
      <c r="CE21" s="341">
        <v>0</v>
      </c>
      <c r="CF21" s="563"/>
      <c r="CG21" s="356"/>
    </row>
    <row r="22" spans="2:85">
      <c r="C22" s="154" t="s">
        <v>1</v>
      </c>
      <c r="D22" s="153">
        <f>D21*2</f>
        <v>60.833333333333336</v>
      </c>
      <c r="O22" s="122">
        <v>41047</v>
      </c>
      <c r="P22" s="128">
        <f t="shared" si="0"/>
        <v>94</v>
      </c>
      <c r="Q22" s="126">
        <v>0.94933284210055224</v>
      </c>
      <c r="R22" s="699">
        <f>IF($O23=0,0,        _xll.qDateNext($O22,R$17,"M",TRUE,Currency1))</f>
        <v>41050</v>
      </c>
      <c r="S22" s="699">
        <f>IF($O23=0,0,        _xll.qDateNext($O22,S$17,"M",TRUE,Currency1))</f>
        <v>41078</v>
      </c>
      <c r="T22" s="699">
        <f>IF($O23=0,0,        _xll.qDateNext($O22,T$17,"M",TRUE,Currency1))</f>
        <v>41108</v>
      </c>
      <c r="U22" s="699">
        <f>IF($O23=0,0,        _xll.qDateNext($O22,U$17,"M",TRUE,Currency1))</f>
        <v>41141</v>
      </c>
      <c r="V22" s="699">
        <f>IF($O23=0,0,        _xll.qDateNext($O22,V$17,"M",TRUE,Currency1))</f>
        <v>41170</v>
      </c>
      <c r="W22" s="699">
        <f>IF($O23=0,0,        _xll.qDateNext($O22,W$17,"M",TRUE,Currency1))</f>
        <v>41200</v>
      </c>
      <c r="X22" s="699">
        <f>IF($O23=0,0,        _xll.qDateNext($O22,X$17,"M",TRUE,Currency1))</f>
        <v>41232</v>
      </c>
      <c r="Y22" s="699">
        <f>IF($O23=0,0,        _xll.qDateNext($O22,Y$17,"M",TRUE,Currency1))</f>
        <v>41414</v>
      </c>
      <c r="Z22" s="703">
        <f>IF($O23=0,0,           IF(FRM,_xll.qGetFwdRate(Z$14,$O22,R22,"T",DCC_Leg1_Float),_xll.qGetFwdRate(Z$14,$O22,$O23,"T",DCC_Leg1_Float)))</f>
        <v>5.073560493320862</v>
      </c>
      <c r="AA22" s="703">
        <f>IF($O23=0,0,           IF(FRM,_xll.qGetFwdRate(AA$14,$O22,S22,"T",DCC_Leg1_Float),_xll.qGetFwdRate(AA$14,$O22,$O23,"T",DCC_Leg1_Float)))</f>
        <v>5.1720285660115897</v>
      </c>
      <c r="AB22" s="703">
        <f t="shared" si="1"/>
        <v>5.2523933013361432</v>
      </c>
      <c r="AC22" s="703">
        <f>IF($O23=0,0,           IF(FRM,_xll.qGetFwdRate(AC$14,$O22,U22,"T",DCC_Leg1_Float),_xll.qGetFwdRate(AC$14,$O22,$O23,"T",DCC_Leg1_Float)))</f>
        <v>5.3327580366606959</v>
      </c>
      <c r="AD22" s="703">
        <f t="shared" si="7"/>
        <v>5.3839086086896755</v>
      </c>
      <c r="AE22" s="703">
        <f t="shared" si="8"/>
        <v>5.435059180718655</v>
      </c>
      <c r="AF22" s="703">
        <f>IF($O23=0,0,           IF(FRM,_xll.qGetFwdRate(AF$14,$O22,X22,"T",DCC_Leg1_Float),_xll.qGetFwdRate(AF$14,$O22,$O23,"T",DCC_Leg1_Float)))</f>
        <v>5.4862097527476354</v>
      </c>
      <c r="AG22" s="703">
        <f>IF($O23=0,0,           IF(FRM,_xll.qGetFwdRate(AG$14,$O22,Y22,"T",DCC_Leg1_Float),_xll.qGetFwdRate(AG$14,$O22,$O23,"T",DCC_Leg1_Float)))</f>
        <v>5.5956038332372069</v>
      </c>
      <c r="AH22" s="685" t="str">
        <v>3M</v>
      </c>
      <c r="AI22" s="667"/>
      <c r="AJ22" s="670">
        <f>IF(O23=0,0,             IF(ISNUMBER(AI22),AI22,             IF(ISTEXT(AI22),INDEX(Z22:AG22,MATCH(AI22,$Z$17:$AG$17,0)),           IF(AH22="INT",_xll.qInterp(O23,R22:Y22,Z22:AG22),       INDEX(Z22:AG22,MATCH(AH22,$Z$17:$AG$17,0))))))</f>
        <v>5.3327580366606959</v>
      </c>
      <c r="AK22" s="732">
        <v>100</v>
      </c>
      <c r="AL22" s="721">
        <f t="shared" si="2"/>
        <v>100000000</v>
      </c>
      <c r="AM22" s="284">
        <f>IF($O23,_xll.qDateYears($O22,$O23,DCC_Leg1_Fixed),0)</f>
        <v>0.25753424657534246</v>
      </c>
      <c r="AN22" s="284">
        <f>IF($O23,_xll.qDateYears($O22,$O23,DCC_Leg1_Float),0)</f>
        <v>0.25753424657534246</v>
      </c>
      <c r="AP22" s="350">
        <f t="shared" si="9"/>
        <v>0</v>
      </c>
      <c r="AQ22" s="375">
        <f>IF(GenType_1a="Fixed",GenRate_1a%*$AL21*AM21,          IF(GenType_1a="Float",$AL21*(_xll.qGetFwdRate($D$18,$O21,$O22,"T",DCC_Leg1_Float)%+GenRate_1a%%)*$AN21,        IF(GenType_1a="bp (Fixed)",GenRate_1a%%*$AM21*$AL21,   IF(GenType_1a="bp (Float)",GenRate_1a%%*$AL21*$AN21,0))))</f>
        <v>0</v>
      </c>
      <c r="AR22" s="561"/>
      <c r="AT22" s="341">
        <f t="shared" si="13"/>
        <v>0</v>
      </c>
      <c r="AV22" s="356"/>
      <c r="AW22" s="122">
        <v>41047</v>
      </c>
      <c r="AX22" s="128">
        <f t="shared" si="3"/>
        <v>94</v>
      </c>
      <c r="AY22" s="357">
        <v>0.98366572661940432</v>
      </c>
      <c r="AZ22" s="699">
        <f>IF($AW23=0,0,        _xll.qDateNext($AW22,AZ$17,"M",TRUE,Currency2))</f>
        <v>41050</v>
      </c>
      <c r="BA22" s="699">
        <f>IF($AW23=0,0,        _xll.qDateNext($AW22,BA$17,"M",TRUE,Currency2))</f>
        <v>41078</v>
      </c>
      <c r="BB22" s="699">
        <f>IF($AW23=0,0,        _xll.qDateNext($AW22,BB$17,"M",TRUE,Currency2))</f>
        <v>41108</v>
      </c>
      <c r="BC22" s="699">
        <f>IF($AW23=0,0,        _xll.qDateNext($AW22,BC$17,"M",TRUE,Currency2))</f>
        <v>41141</v>
      </c>
      <c r="BD22" s="699">
        <f>IF($AW23=0,0,        _xll.qDateNext($AW22,BD$17,"M",TRUE,Currency2))</f>
        <v>41170</v>
      </c>
      <c r="BE22" s="699">
        <f>IF($AW23=0,0,        _xll.qDateNext($AW22,BE$17,"M",TRUE,Currency2))</f>
        <v>41200</v>
      </c>
      <c r="BF22" s="699">
        <f>IF($AW23=0,0,        _xll.qDateNext($AW22,BF$17,"M",TRUE,Currency2))</f>
        <v>41232</v>
      </c>
      <c r="BG22" s="699">
        <f>IF($AW23=0,0,        _xll.qDateNext($AW22,BG$17,"M",TRUE,Currency2))</f>
        <v>41414</v>
      </c>
      <c r="BH22" s="703">
        <v>1.9218468803519073</v>
      </c>
      <c r="BI22" s="703">
        <v>2.0989149116469856</v>
      </c>
      <c r="BJ22" s="703">
        <v>2.1829323880444487</v>
      </c>
      <c r="BK22" s="703">
        <v>2.276393323392897</v>
      </c>
      <c r="BL22" s="703">
        <f t="shared" si="4"/>
        <v>2.3436091264274959</v>
      </c>
      <c r="BM22" s="703">
        <f t="shared" si="10"/>
        <v>2.4108249294620947</v>
      </c>
      <c r="BN22" s="703">
        <v>2.4780407324966931</v>
      </c>
      <c r="BO22" s="703">
        <v>2.730900093603327</v>
      </c>
      <c r="BP22" s="685" t="str">
        <v>3M</v>
      </c>
      <c r="BQ22" s="667"/>
      <c r="BR22" s="670">
        <f>IF(AW23=0,0,             IF(ISNUMBER(BQ22),BQ22,             IF(ISTEXT(BQ22),INDEX(BH22:BO22,MATCH(BQ22,$BH$17:$BO$17,0)),           IF(BP22="INT",_xll.qInterp(AW23,AZ22:BG22,BH22:BO22),       INDEX(BH22:BO22,MATCH(BP22,$BH$17:$BO$17,0))))))</f>
        <v>2.276393323392897</v>
      </c>
      <c r="BS22" s="731">
        <f t="shared" si="5"/>
        <v>74.789115166060782</v>
      </c>
      <c r="BT22" s="406">
        <f t="shared" si="6"/>
        <v>-74789115.166060776</v>
      </c>
      <c r="BU22" s="284">
        <f>IF($AW23,_xll.qDateYears($AW22,$AW23,DCC_Leg2_Fixed),0)</f>
        <v>0.25753424657534246</v>
      </c>
      <c r="BV22" s="284">
        <f>IF($AW23,_xll.qDateYears($AW22,$AW23,DCC_Leg2_Float),0)</f>
        <v>0.26111111111111113</v>
      </c>
      <c r="BX22" s="350">
        <f t="shared" si="11"/>
        <v>0</v>
      </c>
      <c r="BY22" s="375">
        <f>IF(GenType_2a="Fixed",GenRate_2a%*$BT21*BU21,          IF(GenType_2a="Float",$BT21*(_xll.qGetFwdRate($J$18,$AW21,$AW22,"T",DCC_Leg2_Float)%+GenRate_2a%%)*$BV21,        IF(GenType_2a="bp (Fixed)",GenRate_2a%%*$BU21*$BT21,   IF(GenType_2a="bp (Float)",GenRate_2a%%*$BT21*$BV21,0))))</f>
        <v>0</v>
      </c>
      <c r="BZ22" s="561"/>
      <c r="CB22" s="341">
        <f t="shared" si="12"/>
        <v>0</v>
      </c>
      <c r="CC22" s="563"/>
      <c r="CD22" s="564"/>
      <c r="CE22" s="341">
        <v>0</v>
      </c>
      <c r="CF22" s="563"/>
      <c r="CG22" s="356"/>
    </row>
    <row r="23" spans="2:85">
      <c r="C23" s="154" t="s">
        <v>2</v>
      </c>
      <c r="D23" s="153">
        <f>D21*3</f>
        <v>91.25</v>
      </c>
      <c r="O23" s="122">
        <v>41141</v>
      </c>
      <c r="P23" s="128">
        <f t="shared" si="0"/>
        <v>91</v>
      </c>
      <c r="Q23" s="126">
        <v>0.93617695261884593</v>
      </c>
      <c r="R23" s="699">
        <f>IF($O24=0,0,        _xll.qDateNext($O23,R$17,"M",TRUE,Currency1))</f>
        <v>41142</v>
      </c>
      <c r="S23" s="699">
        <f>IF($O24=0,0,        _xll.qDateNext($O23,S$17,"M",TRUE,Currency1))</f>
        <v>41172</v>
      </c>
      <c r="T23" s="699">
        <f>IF($O24=0,0,        _xll.qDateNext($O23,T$17,"M",TRUE,Currency1))</f>
        <v>41204</v>
      </c>
      <c r="U23" s="699">
        <f>IF($O24=0,0,        _xll.qDateNext($O23,U$17,"M",TRUE,Currency1))</f>
        <v>41233</v>
      </c>
      <c r="V23" s="699">
        <f>IF($O24=0,0,        _xll.qDateNext($O23,V$17,"M",TRUE,Currency1))</f>
        <v>41263</v>
      </c>
      <c r="W23" s="699">
        <f>IF($O24=0,0,        _xll.qDateNext($O23,W$17,"M",TRUE,Currency1))</f>
        <v>41295</v>
      </c>
      <c r="X23" s="699">
        <f>IF($O24=0,0,        _xll.qDateNext($O23,X$17,"M",TRUE,Currency1))</f>
        <v>41325</v>
      </c>
      <c r="Y23" s="699">
        <f>IF($O24=0,0,        _xll.qDateNext($O23,Y$17,"M",TRUE,Currency1))</f>
        <v>41506</v>
      </c>
      <c r="Z23" s="703">
        <f>IF($O24=0,0,           IF(FRM,_xll.qGetFwdRate(Z$14,$O23,R23,"T",DCC_Leg1_Float),_xll.qGetFwdRate(Z$14,$O23,$O24,"T",DCC_Leg1_Float)))</f>
        <v>5.1121060058348933</v>
      </c>
      <c r="AA23" s="703">
        <f>IF($O24=0,0,           IF(FRM,_xll.qGetFwdRate(AA$14,$O23,S23,"T",DCC_Leg1_Float),_xll.qGetFwdRate(AA$14,$O23,$O24,"T",DCC_Leg1_Float)))</f>
        <v>5.2341493189957884</v>
      </c>
      <c r="AB23" s="703">
        <f t="shared" si="1"/>
        <v>5.3222682427807637</v>
      </c>
      <c r="AC23" s="703">
        <f>IF($O24=0,0,           IF(FRM,_xll.qGetFwdRate(AC$14,$O23,U23,"T",DCC_Leg1_Float),_xll.qGetFwdRate(AC$14,$O23,$O24,"T",DCC_Leg1_Float)))</f>
        <v>5.4103871665657399</v>
      </c>
      <c r="AD23" s="703">
        <f t="shared" si="7"/>
        <v>5.4516602563916852</v>
      </c>
      <c r="AE23" s="703">
        <f t="shared" si="8"/>
        <v>5.4929333462176304</v>
      </c>
      <c r="AF23" s="703">
        <f>IF($O24=0,0,           IF(FRM,_xll.qGetFwdRate(AF$14,$O23,X23,"T",DCC_Leg1_Float),_xll.qGetFwdRate(AF$14,$O23,$O24,"T",DCC_Leg1_Float)))</f>
        <v>5.5342064360435756</v>
      </c>
      <c r="AG23" s="703">
        <f>IF($O24=0,0,           IF(FRM,_xll.qGetFwdRate(AG$14,$O23,Y23,"T",DCC_Leg1_Float),_xll.qGetFwdRate(AG$14,$O23,$O24,"T",DCC_Leg1_Float)))</f>
        <v>5.6192365093740371</v>
      </c>
      <c r="AH23" s="685" t="str">
        <v>3M</v>
      </c>
      <c r="AI23" s="667"/>
      <c r="AJ23" s="670">
        <f>IF(O24=0,0,             IF(ISNUMBER(AI23),AI23,             IF(ISTEXT(AI23),INDEX(Z23:AG23,MATCH(AI23,$Z$17:$AG$17,0)),           IF(AH23="INT",_xll.qInterp(O24,R23:Y23,Z23:AG23),       INDEX(Z23:AG23,MATCH(AH23,$Z$17:$AG$17,0))))))</f>
        <v>5.4103871665657399</v>
      </c>
      <c r="AK23" s="732">
        <v>100</v>
      </c>
      <c r="AL23" s="721">
        <f t="shared" si="2"/>
        <v>100000000</v>
      </c>
      <c r="AM23" s="284">
        <f>IF($O24,_xll.qDateYears($O23,$O24,DCC_Leg1_Fixed),0)</f>
        <v>0.24931506849315069</v>
      </c>
      <c r="AN23" s="284">
        <f>IF($O24,_xll.qDateYears($O23,$O24,DCC_Leg1_Float),0)</f>
        <v>0.24931506849315069</v>
      </c>
      <c r="AP23" s="350">
        <f t="shared" si="9"/>
        <v>0</v>
      </c>
      <c r="AQ23" s="375">
        <f>IF(GenType_1a="Fixed",GenRate_1a%*$AL22*AM22,          IF(GenType_1a="Float",$AL22*(_xll.qGetFwdRate($D$18,$O22,$O23,"T",DCC_Leg1_Float)%+GenRate_1a%%)*$AN22,        IF(GenType_1a="bp (Fixed)",GenRate_1a%%*$AM22*$AL22,   IF(GenType_1a="bp (Float)",GenRate_1a%%*$AL22*$AN22,0))))</f>
        <v>0</v>
      </c>
      <c r="AR23" s="561"/>
      <c r="AT23" s="341">
        <f t="shared" si="13"/>
        <v>0</v>
      </c>
      <c r="AV23" s="356"/>
      <c r="AW23" s="122">
        <v>41141</v>
      </c>
      <c r="AX23" s="128">
        <f t="shared" si="3"/>
        <v>91</v>
      </c>
      <c r="AY23" s="357">
        <v>0.97832976763456025</v>
      </c>
      <c r="AZ23" s="699">
        <f>IF($AW24=0,0,        _xll.qDateNext($AW23,AZ$17,"M",TRUE,Currency2))</f>
        <v>41142</v>
      </c>
      <c r="BA23" s="699">
        <f>IF($AW24=0,0,        _xll.qDateNext($AW23,BA$17,"M",TRUE,Currency2))</f>
        <v>41172</v>
      </c>
      <c r="BB23" s="699">
        <f>IF($AW24=0,0,        _xll.qDateNext($AW23,BB$17,"M",TRUE,Currency2))</f>
        <v>41204</v>
      </c>
      <c r="BC23" s="699">
        <f>IF($AW24=0,0,        _xll.qDateNext($AW23,BC$17,"M",TRUE,Currency2))</f>
        <v>41233</v>
      </c>
      <c r="BD23" s="699">
        <f>IF($AW24=0,0,        _xll.qDateNext($AW23,BD$17,"M",TRUE,Currency2))</f>
        <v>41263</v>
      </c>
      <c r="BE23" s="699">
        <f>IF($AW24=0,0,        _xll.qDateNext($AW23,BE$17,"M",TRUE,Currency2))</f>
        <v>41295</v>
      </c>
      <c r="BF23" s="699">
        <f>IF($AW24=0,0,        _xll.qDateNext($AW23,BF$17,"M",TRUE,Currency2))</f>
        <v>41325</v>
      </c>
      <c r="BG23" s="699">
        <f>IF($AW24=0,0,        _xll.qDateNext($AW23,BG$17,"M",TRUE,Currency2))</f>
        <v>41506</v>
      </c>
      <c r="BH23" s="703">
        <v>2.1041876928062919</v>
      </c>
      <c r="BI23" s="703">
        <v>2.2566821917188356</v>
      </c>
      <c r="BJ23" s="703">
        <v>2.3281037741445285</v>
      </c>
      <c r="BK23" s="703">
        <v>2.4121478443135103</v>
      </c>
      <c r="BL23" s="703">
        <f t="shared" si="4"/>
        <v>2.4773750303804172</v>
      </c>
      <c r="BM23" s="703">
        <f t="shared" si="10"/>
        <v>2.5426022164473241</v>
      </c>
      <c r="BN23" s="703">
        <v>2.607829402514231</v>
      </c>
      <c r="BO23" s="703">
        <v>2.8359160055248958</v>
      </c>
      <c r="BP23" s="685" t="str">
        <v>3M</v>
      </c>
      <c r="BQ23" s="667"/>
      <c r="BR23" s="670">
        <f>IF(AW24=0,0,             IF(ISNUMBER(BQ23),BQ23,             IF(ISTEXT(BQ23),INDEX(BH23:BO23,MATCH(BQ23,$BH$17:$BO$17,0)),           IF(BP23="INT",_xll.qInterp(AW24,AZ23:BG23,BH23:BO23),       INDEX(BH23:BO23,MATCH(BP23,$BH$17:$BO$17,0))))))</f>
        <v>2.4121478443135103</v>
      </c>
      <c r="BS23" s="731">
        <f t="shared" si="5"/>
        <v>74.789115166060782</v>
      </c>
      <c r="BT23" s="406">
        <f t="shared" si="6"/>
        <v>-74789115.166060776</v>
      </c>
      <c r="BU23" s="284">
        <f>IF($AW24,_xll.qDateYears($AW23,$AW24,DCC_Leg2_Fixed),0)</f>
        <v>0.24931506849315069</v>
      </c>
      <c r="BV23" s="284">
        <f>IF($AW24,_xll.qDateYears($AW23,$AW24,DCC_Leg2_Float),0)</f>
        <v>0.25277777777777777</v>
      </c>
      <c r="BX23" s="350">
        <f t="shared" si="11"/>
        <v>0</v>
      </c>
      <c r="BY23" s="375">
        <f>IF(GenType_2a="Fixed",GenRate_2a%*$BT22*BU22,          IF(GenType_2a="Float",$BT22*(_xll.qGetFwdRate($J$18,$AW22,$AW23,"T",DCC_Leg2_Float)%+GenRate_2a%%)*$BV22,        IF(GenType_2a="bp (Fixed)",GenRate_2a%%*$BU22*$BT22,   IF(GenType_2a="bp (Float)",GenRate_2a%%*$BT22*$BV22,0))))</f>
        <v>0</v>
      </c>
      <c r="BZ23" s="561"/>
      <c r="CB23" s="341">
        <f t="shared" si="12"/>
        <v>0</v>
      </c>
      <c r="CC23" s="563"/>
      <c r="CD23" s="564"/>
      <c r="CE23" s="341">
        <v>0</v>
      </c>
      <c r="CF23" s="563"/>
      <c r="CG23" s="356"/>
    </row>
    <row r="24" spans="2:85">
      <c r="C24" s="154" t="s">
        <v>3</v>
      </c>
      <c r="D24" s="153">
        <f>D21*4</f>
        <v>121.66666666666667</v>
      </c>
      <c r="O24" s="122">
        <v>41232</v>
      </c>
      <c r="P24" s="128">
        <f t="shared" si="0"/>
        <v>91</v>
      </c>
      <c r="Q24" s="126">
        <v>0.92339081064916362</v>
      </c>
      <c r="R24" s="699">
        <f>IF($O25=0,0,        _xll.qDateNext($O24,R$17,"M",TRUE,Currency1))</f>
        <v>41233</v>
      </c>
      <c r="S24" s="699">
        <f>IF($O25=0,0,        _xll.qDateNext($O24,S$17,"M",TRUE,Currency1))</f>
        <v>41262</v>
      </c>
      <c r="T24" s="699">
        <f>IF($O25=0,0,        _xll.qDateNext($O24,T$17,"M",TRUE,Currency1))</f>
        <v>41295</v>
      </c>
      <c r="U24" s="699">
        <f>IF($O25=0,0,        _xll.qDateNext($O24,U$17,"M",TRUE,Currency1))</f>
        <v>41324</v>
      </c>
      <c r="V24" s="699">
        <f>IF($O25=0,0,        _xll.qDateNext($O24,V$17,"M",TRUE,Currency1))</f>
        <v>41352</v>
      </c>
      <c r="W24" s="699">
        <f>IF($O25=0,0,        _xll.qDateNext($O24,W$17,"M",TRUE,Currency1))</f>
        <v>41383</v>
      </c>
      <c r="X24" s="699">
        <f>IF($O25=0,0,        _xll.qDateNext($O24,X$17,"M",TRUE,Currency1))</f>
        <v>41414</v>
      </c>
      <c r="Y24" s="699">
        <f>IF($O25=0,0,        _xll.qDateNext($O24,Y$17,"M",TRUE,Currency1))</f>
        <v>41597</v>
      </c>
      <c r="Z24" s="703">
        <f>IF($O25=0,0,           IF(FRM,_xll.qGetFwdRate(Z$14,$O24,R24,"T",DCC_Leg1_Float),_xll.qGetFwdRate(Z$14,$O24,$O25,"T",DCC_Leg1_Float)))</f>
        <v>5.1765958866323292</v>
      </c>
      <c r="AA24" s="703">
        <f>IF($O25=0,0,           IF(FRM,_xll.qGetFwdRate(AA$14,$O24,S24,"T",DCC_Leg1_Float),_xll.qGetFwdRate(AA$14,$O24,$O25,"T",DCC_Leg1_Float)))</f>
        <v>5.2933370376422948</v>
      </c>
      <c r="AB24" s="703">
        <f t="shared" si="1"/>
        <v>5.3608778160300474</v>
      </c>
      <c r="AC24" s="703">
        <f>IF($O25=0,0,           IF(FRM,_xll.qGetFwdRate(AC$14,$O24,U24,"T",DCC_Leg1_Float),_xll.qGetFwdRate(AC$14,$O24,$O25,"T",DCC_Leg1_Float)))</f>
        <v>5.4284185944178009</v>
      </c>
      <c r="AD24" s="703">
        <f t="shared" si="7"/>
        <v>5.4697478521299319</v>
      </c>
      <c r="AE24" s="703">
        <f t="shared" si="8"/>
        <v>5.5110771098420628</v>
      </c>
      <c r="AF24" s="703">
        <f>IF($O25=0,0,           IF(FRM,_xll.qGetFwdRate(AF$14,$O24,X24,"T",DCC_Leg1_Float),_xll.qGetFwdRate(AF$14,$O24,$O25,"T",DCC_Leg1_Float)))</f>
        <v>5.5524063675541928</v>
      </c>
      <c r="AG24" s="703">
        <f>IF($O25=0,0,           IF(FRM,_xll.qGetFwdRate(AG$14,$O24,Y24,"T",DCC_Leg1_Float),_xll.qGetFwdRate(AG$14,$O24,$O25,"T",DCC_Leg1_Float)))</f>
        <v>5.6273664947150248</v>
      </c>
      <c r="AH24" s="685" t="str">
        <v>3M</v>
      </c>
      <c r="AI24" s="667"/>
      <c r="AJ24" s="670">
        <f>IF(O25=0,0,             IF(ISNUMBER(AI24),AI24,             IF(ISTEXT(AI24),INDEX(Z24:AG24,MATCH(AI24,$Z$17:$AG$17,0)),           IF(AH24="INT",_xll.qInterp(O25,R24:Y24,Z24:AG24),       INDEX(Z24:AG24,MATCH(AH24,$Z$17:$AG$17,0))))))</f>
        <v>5.4284185944178009</v>
      </c>
      <c r="AK24" s="732">
        <v>100</v>
      </c>
      <c r="AL24" s="721">
        <f t="shared" si="2"/>
        <v>100000000</v>
      </c>
      <c r="AM24" s="284">
        <f>IF($O25,_xll.qDateYears($O24,$O25,DCC_Leg1_Fixed),0)</f>
        <v>0.24931506849315069</v>
      </c>
      <c r="AN24" s="284">
        <f>IF($O25,_xll.qDateYears($O24,$O25,DCC_Leg1_Float),0)</f>
        <v>0.24931506849315069</v>
      </c>
      <c r="AP24" s="350">
        <f t="shared" si="9"/>
        <v>0</v>
      </c>
      <c r="AQ24" s="375">
        <f>IF(GenType_1a="Fixed",GenRate_1a%*$AL23*AM23,          IF(GenType_1a="Float",$AL23*(_xll.qGetFwdRate($D$18,$O23,$O24,"T",DCC_Leg1_Float)%+GenRate_1a%%)*$AN23,        IF(GenType_1a="bp (Fixed)",GenRate_1a%%*$AM23*$AL23,   IF(GenType_1a="bp (Float)",GenRate_1a%%*$AL23*$AN23,0))))</f>
        <v>0</v>
      </c>
      <c r="AR24" s="561"/>
      <c r="AT24" s="341">
        <f t="shared" si="13"/>
        <v>0</v>
      </c>
      <c r="AV24" s="356"/>
      <c r="AW24" s="122">
        <v>41232</v>
      </c>
      <c r="AX24" s="128">
        <f t="shared" si="3"/>
        <v>91</v>
      </c>
      <c r="AY24" s="357">
        <v>0.9728644765450668</v>
      </c>
      <c r="AZ24" s="699">
        <f>IF($AW25=0,0,        _xll.qDateNext($AW24,AZ$17,"M",TRUE,Currency2))</f>
        <v>41233</v>
      </c>
      <c r="BA24" s="699">
        <f>IF($AW25=0,0,        _xll.qDateNext($AW24,BA$17,"M",TRUE,Currency2))</f>
        <v>41262</v>
      </c>
      <c r="BB24" s="699">
        <f>IF($AW25=0,0,        _xll.qDateNext($AW24,BB$17,"M",TRUE,Currency2))</f>
        <v>41295</v>
      </c>
      <c r="BC24" s="699">
        <f>IF($AW25=0,0,        _xll.qDateNext($AW24,BC$17,"M",TRUE,Currency2))</f>
        <v>41324</v>
      </c>
      <c r="BD24" s="699">
        <f>IF($AW25=0,0,        _xll.qDateNext($AW24,BD$17,"M",TRUE,Currency2))</f>
        <v>41352</v>
      </c>
      <c r="BE24" s="699">
        <f>IF($AW25=0,0,        _xll.qDateNext($AW24,BE$17,"M",TRUE,Currency2))</f>
        <v>41383</v>
      </c>
      <c r="BF24" s="699">
        <f>IF($AW25=0,0,        _xll.qDateNext($AW24,BF$17,"M",TRUE,Currency2))</f>
        <v>41414</v>
      </c>
      <c r="BG24" s="699">
        <f>IF($AW25=0,0,        _xll.qDateNext($AW24,BG$17,"M",TRUE,Currency2))</f>
        <v>41597</v>
      </c>
      <c r="BH24" s="703">
        <v>2.2268123163575737</v>
      </c>
      <c r="BI24" s="703">
        <v>2.3775134633563511</v>
      </c>
      <c r="BJ24" s="703">
        <v>2.4514024473704894</v>
      </c>
      <c r="BK24" s="703">
        <v>2.5340569171948584</v>
      </c>
      <c r="BL24" s="703">
        <f t="shared" si="4"/>
        <v>2.5940057666057297</v>
      </c>
      <c r="BM24" s="703">
        <f t="shared" si="10"/>
        <v>2.653954616016601</v>
      </c>
      <c r="BN24" s="703">
        <v>2.7139034654274719</v>
      </c>
      <c r="BO24" s="703">
        <v>2.9305067162705427</v>
      </c>
      <c r="BP24" s="685" t="str">
        <v>3M</v>
      </c>
      <c r="BQ24" s="667"/>
      <c r="BR24" s="670">
        <f>IF(AW25=0,0,             IF(ISNUMBER(BQ24),BQ24,             IF(ISTEXT(BQ24),INDEX(BH24:BO24,MATCH(BQ24,$BH$17:$BO$17,0)),           IF(BP24="INT",_xll.qInterp(AW25,AZ24:BG24,BH24:BO24),       INDEX(BH24:BO24,MATCH(BP24,$BH$17:$BO$17,0))))))</f>
        <v>2.5340569171948584</v>
      </c>
      <c r="BS24" s="731">
        <f t="shared" si="5"/>
        <v>74.789115166060782</v>
      </c>
      <c r="BT24" s="406">
        <f t="shared" si="6"/>
        <v>-74789115.166060776</v>
      </c>
      <c r="BU24" s="284">
        <f>IF($AW25,_xll.qDateYears($AW24,$AW25,DCC_Leg2_Fixed),0)</f>
        <v>0.24931506849315069</v>
      </c>
      <c r="BV24" s="284">
        <f>IF($AW25,_xll.qDateYears($AW24,$AW25,DCC_Leg2_Float),0)</f>
        <v>0.25277777777777777</v>
      </c>
      <c r="BX24" s="350">
        <f t="shared" si="11"/>
        <v>0</v>
      </c>
      <c r="BY24" s="375">
        <f>IF(GenType_2a="Fixed",GenRate_2a%*$BT23*BU23,          IF(GenType_2a="Float",$BT23*(_xll.qGetFwdRate($J$18,$AW23,$AW24,"T",DCC_Leg2_Float)%+GenRate_2a%%)*$BV23,        IF(GenType_2a="bp (Fixed)",GenRate_2a%%*$BU23*$BT23,   IF(GenType_2a="bp (Float)",GenRate_2a%%*$BT23*$BV23,0))))</f>
        <v>0</v>
      </c>
      <c r="BZ24" s="561"/>
      <c r="CB24" s="341">
        <f t="shared" si="12"/>
        <v>0</v>
      </c>
      <c r="CC24" s="563"/>
      <c r="CD24" s="564"/>
      <c r="CE24" s="341">
        <v>0</v>
      </c>
      <c r="CF24" s="563"/>
      <c r="CG24" s="356"/>
    </row>
    <row r="25" spans="2:85">
      <c r="C25" s="154" t="s">
        <v>4</v>
      </c>
      <c r="D25" s="153">
        <f>D21*5</f>
        <v>152.08333333333334</v>
      </c>
      <c r="O25" s="122">
        <v>41323</v>
      </c>
      <c r="P25" s="128">
        <f t="shared" si="0"/>
        <v>91</v>
      </c>
      <c r="Q25" s="126">
        <v>0.91068670383421457</v>
      </c>
      <c r="R25" s="699">
        <f>IF($O26=0,0,        _xll.qDateNext($O25,R$17,"M",TRUE,Currency1))</f>
        <v>41324</v>
      </c>
      <c r="S25" s="699">
        <f>IF($O26=0,0,        _xll.qDateNext($O25,S$17,"M",TRUE,Currency1))</f>
        <v>41351</v>
      </c>
      <c r="T25" s="699">
        <f>IF($O26=0,0,        _xll.qDateNext($O25,T$17,"M",TRUE,Currency1))</f>
        <v>41382</v>
      </c>
      <c r="U25" s="699">
        <f>IF($O26=0,0,        _xll.qDateNext($O25,U$17,"M",TRUE,Currency1))</f>
        <v>41414</v>
      </c>
      <c r="V25" s="699">
        <f>IF($O26=0,0,        _xll.qDateNext($O25,V$17,"M",TRUE,Currency1))</f>
        <v>41443</v>
      </c>
      <c r="W25" s="699">
        <f>IF($O26=0,0,        _xll.qDateNext($O25,W$17,"M",TRUE,Currency1))</f>
        <v>41473</v>
      </c>
      <c r="X25" s="699">
        <f>IF($O26=0,0,        _xll.qDateNext($O25,X$17,"M",TRUE,Currency1))</f>
        <v>41505</v>
      </c>
      <c r="Y25" s="699">
        <f>IF($O26=0,0,        _xll.qDateNext($O25,Y$17,"M",TRUE,Currency1))</f>
        <v>41688</v>
      </c>
      <c r="Z25" s="703">
        <f>IF($O26=0,0,           IF(FRM,_xll.qGetFwdRate(Z$14,$O25,R25,"T",DCC_Leg1_Float),_xll.qGetFwdRate(Z$14,$O25,$O26,"T",DCC_Leg1_Float)))</f>
        <v>5.1462532439547903</v>
      </c>
      <c r="AA25" s="703">
        <f>IF($O26=0,0,           IF(FRM,_xll.qGetFwdRate(AA$14,$O25,S25,"T",DCC_Leg1_Float),_xll.qGetFwdRate(AA$14,$O25,$O26,"T",DCC_Leg1_Float)))</f>
        <v>5.2828543379600479</v>
      </c>
      <c r="AB25" s="703">
        <f t="shared" si="1"/>
        <v>5.3663854700317888</v>
      </c>
      <c r="AC25" s="703">
        <f>IF($O26=0,0,           IF(FRM,_xll.qGetFwdRate(AC$14,$O25,U25,"T",DCC_Leg1_Float),_xll.qGetFwdRate(AC$14,$O25,$O26,"T",DCC_Leg1_Float)))</f>
        <v>5.4499166021035306</v>
      </c>
      <c r="AD25" s="703">
        <f t="shared" si="7"/>
        <v>5.4837050460490016</v>
      </c>
      <c r="AE25" s="703">
        <f t="shared" si="8"/>
        <v>5.5174934899944734</v>
      </c>
      <c r="AF25" s="703">
        <f>IF($O26=0,0,           IF(FRM,_xll.qGetFwdRate(AF$14,$O25,X25,"T",DCC_Leg1_Float),_xll.qGetFwdRate(AF$14,$O25,$O26,"T",DCC_Leg1_Float)))</f>
        <v>5.5512819339399444</v>
      </c>
      <c r="AG25" s="703">
        <f>IF($O26=0,0,           IF(FRM,_xll.qGetFwdRate(AG$14,$O25,Y25,"T",DCC_Leg1_Float),_xll.qGetFwdRate(AG$14,$O25,$O26,"T",DCC_Leg1_Float)))</f>
        <v>5.6387259549464552</v>
      </c>
      <c r="AH25" s="685" t="str">
        <v>3M</v>
      </c>
      <c r="AI25" s="667"/>
      <c r="AJ25" s="670">
        <f>IF(O26=0,0,             IF(ISNUMBER(AI25),AI25,             IF(ISTEXT(AI25),INDEX(Z25:AG25,MATCH(AI25,$Z$17:$AG$17,0)),           IF(AH25="INT",_xll.qInterp(O26,R25:Y25,Z25:AG25),       INDEX(Z25:AG25,MATCH(AH25,$Z$17:$AG$17,0))))))</f>
        <v>5.4499166021035306</v>
      </c>
      <c r="AK25" s="732">
        <v>100</v>
      </c>
      <c r="AL25" s="721">
        <f t="shared" si="2"/>
        <v>100000000</v>
      </c>
      <c r="AM25" s="284">
        <f>IF($O26,_xll.qDateYears($O25,$O26,DCC_Leg1_Fixed),0)</f>
        <v>0.24931506849315069</v>
      </c>
      <c r="AN25" s="284">
        <f>IF($O26,_xll.qDateYears($O25,$O26,DCC_Leg1_Float),0)</f>
        <v>0.24931506849315069</v>
      </c>
      <c r="AP25" s="350">
        <f t="shared" si="9"/>
        <v>0</v>
      </c>
      <c r="AQ25" s="375">
        <f>IF(GenType_1a="Fixed",GenRate_1a%*$AL24*AM24,          IF(GenType_1a="Float",$AL24*(_xll.qGetFwdRate($D$18,$O24,$O25,"T",DCC_Leg1_Float)%+GenRate_1a%%)*$AN24,        IF(GenType_1a="bp (Fixed)",GenRate_1a%%*$AM24*$AL24,   IF(GenType_1a="bp (Float)",GenRate_1a%%*$AL24*$AN24,0))))</f>
        <v>0</v>
      </c>
      <c r="AR25" s="561"/>
      <c r="AT25" s="341">
        <f t="shared" si="13"/>
        <v>0</v>
      </c>
      <c r="AV25" s="356"/>
      <c r="AW25" s="122">
        <v>41323</v>
      </c>
      <c r="AX25" s="128">
        <f t="shared" si="3"/>
        <v>91</v>
      </c>
      <c r="AY25" s="357">
        <v>0.96713938411028233</v>
      </c>
      <c r="AZ25" s="699">
        <f>IF($AW26=0,0,        _xll.qDateNext($AW25,AZ$17,"M",TRUE,Currency2))</f>
        <v>41324</v>
      </c>
      <c r="BA25" s="699">
        <f>IF($AW26=0,0,        _xll.qDateNext($AW25,BA$17,"M",TRUE,Currency2))</f>
        <v>41351</v>
      </c>
      <c r="BB25" s="699">
        <f>IF($AW26=0,0,        _xll.qDateNext($AW25,BB$17,"M",TRUE,Currency2))</f>
        <v>41382</v>
      </c>
      <c r="BC25" s="699">
        <f>IF($AW26=0,0,        _xll.qDateNext($AW25,BC$17,"M",TRUE,Currency2))</f>
        <v>41414</v>
      </c>
      <c r="BD25" s="699">
        <f>IF($AW26=0,0,        _xll.qDateNext($AW25,BD$17,"M",TRUE,Currency2))</f>
        <v>41443</v>
      </c>
      <c r="BE25" s="699">
        <f>IF($AW26=0,0,        _xll.qDateNext($AW25,BE$17,"M",TRUE,Currency2))</f>
        <v>41473</v>
      </c>
      <c r="BF25" s="699">
        <f>IF($AW26=0,0,        _xll.qDateNext($AW25,BF$17,"M",TRUE,Currency2))</f>
        <v>41505</v>
      </c>
      <c r="BG25" s="699">
        <f>IF($AW26=0,0,        _xll.qDateNext($AW25,BG$17,"M",TRUE,Currency2))</f>
        <v>41688</v>
      </c>
      <c r="BH25" s="703">
        <v>2.3478553506892652</v>
      </c>
      <c r="BI25" s="703">
        <v>2.497006248732931</v>
      </c>
      <c r="BJ25" s="703">
        <v>2.5531289862413349</v>
      </c>
      <c r="BK25" s="703">
        <v>2.6292589703141798</v>
      </c>
      <c r="BL25" s="703">
        <f t="shared" si="4"/>
        <v>2.6876514410231191</v>
      </c>
      <c r="BM25" s="703">
        <f t="shared" si="10"/>
        <v>2.7460439117320585</v>
      </c>
      <c r="BN25" s="703">
        <v>2.8044363824409979</v>
      </c>
      <c r="BO25" s="703">
        <v>3.0237544646954868</v>
      </c>
      <c r="BP25" s="685" t="str">
        <v>3M</v>
      </c>
      <c r="BQ25" s="667"/>
      <c r="BR25" s="670">
        <f>IF(AW26=0,0,             IF(ISNUMBER(BQ25),BQ25,             IF(ISTEXT(BQ25),INDEX(BH25:BO25,MATCH(BQ25,$BH$17:$BO$17,0)),           IF(BP25="INT",_xll.qInterp(AW26,AZ25:BG25,BH25:BO25),       INDEX(BH25:BO25,MATCH(BP25,$BH$17:$BO$17,0))))))</f>
        <v>2.6292589703141798</v>
      </c>
      <c r="BS25" s="731">
        <f t="shared" si="5"/>
        <v>74.789115166060782</v>
      </c>
      <c r="BT25" s="406">
        <f t="shared" si="6"/>
        <v>-74789115.166060776</v>
      </c>
      <c r="BU25" s="284">
        <f>IF($AW26,_xll.qDateYears($AW25,$AW26,DCC_Leg2_Fixed),0)</f>
        <v>0.24931506849315069</v>
      </c>
      <c r="BV25" s="284">
        <f>IF($AW26,_xll.qDateYears($AW25,$AW26,DCC_Leg2_Float),0)</f>
        <v>0.25277777777777777</v>
      </c>
      <c r="BX25" s="350">
        <f t="shared" si="11"/>
        <v>0</v>
      </c>
      <c r="BY25" s="375">
        <f>IF(GenType_2a="Fixed",GenRate_2a%*$BT24*BU24,          IF(GenType_2a="Float",$BT24*(_xll.qGetFwdRate($J$18,$AW24,$AW25,"T",DCC_Leg2_Float)%+GenRate_2a%%)*$BV24,        IF(GenType_2a="bp (Fixed)",GenRate_2a%%*$BU24*$BT24,   IF(GenType_2a="bp (Float)",GenRate_2a%%*$BT24*$BV24,0))))</f>
        <v>0</v>
      </c>
      <c r="BZ25" s="561"/>
      <c r="CB25" s="341">
        <f t="shared" si="12"/>
        <v>0</v>
      </c>
      <c r="CC25" s="563"/>
      <c r="CD25" s="564"/>
      <c r="CE25" s="341">
        <v>0</v>
      </c>
      <c r="CF25" s="563"/>
      <c r="CG25" s="356"/>
    </row>
    <row r="26" spans="2:85">
      <c r="C26" s="154" t="s">
        <v>5</v>
      </c>
      <c r="D26" s="153">
        <f>D21*6</f>
        <v>182.5</v>
      </c>
      <c r="O26" s="122">
        <v>41414</v>
      </c>
      <c r="P26" s="128">
        <f t="shared" si="0"/>
        <v>91</v>
      </c>
      <c r="Q26" s="126">
        <v>0.89805806218065076</v>
      </c>
      <c r="R26" s="699">
        <f>IF($O27=0,0,        _xll.qDateNext($O26,R$17,"M",TRUE,Currency1))</f>
        <v>41415</v>
      </c>
      <c r="S26" s="699">
        <f>IF($O27=0,0,        _xll.qDateNext($O26,S$17,"M",TRUE,Currency1))</f>
        <v>41445</v>
      </c>
      <c r="T26" s="699">
        <f>IF($O27=0,0,        _xll.qDateNext($O26,T$17,"M",TRUE,Currency1))</f>
        <v>41477</v>
      </c>
      <c r="U26" s="699">
        <f>IF($O27=0,0,        _xll.qDateNext($O26,U$17,"M",TRUE,Currency1))</f>
        <v>41506</v>
      </c>
      <c r="V26" s="699">
        <f>IF($O27=0,0,        _xll.qDateNext($O26,V$17,"M",TRUE,Currency1))</f>
        <v>41537</v>
      </c>
      <c r="W26" s="699">
        <f>IF($O27=0,0,        _xll.qDateNext($O26,W$17,"M",TRUE,Currency1))</f>
        <v>41568</v>
      </c>
      <c r="X26" s="699">
        <f>IF($O27=0,0,        _xll.qDateNext($O26,X$17,"M",TRUE,Currency1))</f>
        <v>41598</v>
      </c>
      <c r="Y26" s="699">
        <f>IF($O27=0,0,        _xll.qDateNext($O26,Y$17,"M",TRUE,Currency1))</f>
        <v>41779</v>
      </c>
      <c r="Z26" s="703">
        <f>IF($O27=0,0,           IF(FRM,_xll.qGetFwdRate(Z$14,$O26,R26,"T",DCC_Leg1_Float),_xll.qGetFwdRate(Z$14,$O26,$O27,"T",DCC_Leg1_Float)))</f>
        <v>5.191888886196927</v>
      </c>
      <c r="AA26" s="703">
        <f>IF($O27=0,0,           IF(FRM,_xll.qGetFwdRate(AA$14,$O26,S26,"T",DCC_Leg1_Float),_xll.qGetFwdRate(AA$14,$O26,$O27,"T",DCC_Leg1_Float)))</f>
        <v>5.2971073117055392</v>
      </c>
      <c r="AB26" s="703">
        <f t="shared" si="1"/>
        <v>5.362981739076778</v>
      </c>
      <c r="AC26" s="703">
        <f>IF($O27=0,0,           IF(FRM,_xll.qGetFwdRate(AC$14,$O26,U26,"T",DCC_Leg1_Float),_xll.qGetFwdRate(AC$14,$O26,$O27,"T",DCC_Leg1_Float)))</f>
        <v>5.4288561664480159</v>
      </c>
      <c r="AD26" s="703">
        <f t="shared" si="7"/>
        <v>5.4688548781525128</v>
      </c>
      <c r="AE26" s="703">
        <f t="shared" si="8"/>
        <v>5.5088535898570097</v>
      </c>
      <c r="AF26" s="703">
        <f>IF($O27=0,0,           IF(FRM,_xll.qGetFwdRate(AF$14,$O26,X26,"T",DCC_Leg1_Float),_xll.qGetFwdRate(AF$14,$O26,$O27,"T",DCC_Leg1_Float)))</f>
        <v>5.5488523015615057</v>
      </c>
      <c r="AG26" s="703">
        <f>IF($O27=0,0,           IF(FRM,_xll.qGetFwdRate(AG$14,$O26,Y26,"T",DCC_Leg1_Float),_xll.qGetFwdRate(AG$14,$O26,$O27,"T",DCC_Leg1_Float)))</f>
        <v>5.6527318604566945</v>
      </c>
      <c r="AH26" s="685" t="str">
        <v>3M</v>
      </c>
      <c r="AI26" s="667"/>
      <c r="AJ26" s="670">
        <f>IF(O27=0,0,             IF(ISNUMBER(AI26),AI26,             IF(ISTEXT(AI26),INDEX(Z26:AG26,MATCH(AI26,$Z$17:$AG$17,0)),           IF(AH26="INT",_xll.qInterp(O27,R26:Y26,Z26:AG26),       INDEX(Z26:AG26,MATCH(AH26,$Z$17:$AG$17,0))))))</f>
        <v>5.4288561664480159</v>
      </c>
      <c r="AK26" s="732">
        <v>100</v>
      </c>
      <c r="AL26" s="721">
        <f t="shared" si="2"/>
        <v>100000000</v>
      </c>
      <c r="AM26" s="284">
        <f>IF($O27,_xll.qDateYears($O26,$O27,DCC_Leg1_Fixed),0)</f>
        <v>0.24931506849315069</v>
      </c>
      <c r="AN26" s="284">
        <f>IF($O27,_xll.qDateYears($O26,$O27,DCC_Leg1_Float),0)</f>
        <v>0.24931506849315069</v>
      </c>
      <c r="AP26" s="350">
        <f t="shared" si="9"/>
        <v>0</v>
      </c>
      <c r="AQ26" s="375">
        <f>IF(GenType_1a="Fixed",GenRate_1a%*$AL25*AM25,          IF(GenType_1a="Float",$AL25*(_xll.qGetFwdRate($D$18,$O25,$O26,"T",DCC_Leg1_Float)%+GenRate_1a%%)*$AN25,        IF(GenType_1a="bp (Fixed)",GenRate_1a%%*$AM25*$AL25,   IF(GenType_1a="bp (Float)",GenRate_1a%%*$AL25*$AN25,0))))</f>
        <v>0</v>
      </c>
      <c r="AR26" s="561"/>
      <c r="AT26" s="341">
        <f t="shared" si="13"/>
        <v>0</v>
      </c>
      <c r="AV26" s="356"/>
      <c r="AW26" s="122">
        <v>41414</v>
      </c>
      <c r="AX26" s="128">
        <f t="shared" si="3"/>
        <v>91</v>
      </c>
      <c r="AY26" s="357">
        <v>0.96122209922336288</v>
      </c>
      <c r="AZ26" s="699">
        <f>IF($AW27=0,0,        _xll.qDateNext($AW26,AZ$17,"M",TRUE,Currency2))</f>
        <v>41415</v>
      </c>
      <c r="BA26" s="699">
        <f>IF($AW27=0,0,        _xll.qDateNext($AW26,BA$17,"M",TRUE,Currency2))</f>
        <v>41445</v>
      </c>
      <c r="BB26" s="699">
        <f>IF($AW27=0,0,        _xll.qDateNext($AW26,BB$17,"M",TRUE,Currency2))</f>
        <v>41477</v>
      </c>
      <c r="BC26" s="699">
        <f>IF($AW27=0,0,        _xll.qDateNext($AW26,BC$17,"M",TRUE,Currency2))</f>
        <v>41506</v>
      </c>
      <c r="BD26" s="699">
        <f>IF($AW27=0,0,        _xll.qDateNext($AW26,BD$17,"M",TRUE,Currency2))</f>
        <v>41537</v>
      </c>
      <c r="BE26" s="699">
        <f>IF($AW27=0,0,        _xll.qDateNext($AW26,BE$17,"M",TRUE,Currency2))</f>
        <v>41568</v>
      </c>
      <c r="BF26" s="699">
        <f>IF($AW27=0,0,        _xll.qDateNext($AW26,BF$17,"M",TRUE,Currency2))</f>
        <v>41598</v>
      </c>
      <c r="BG26" s="699">
        <f>IF($AW27=0,0,        _xll.qDateNext($AW26,BG$17,"M",TRUE,Currency2))</f>
        <v>41779</v>
      </c>
      <c r="BH26" s="703">
        <v>2.4375846349400376</v>
      </c>
      <c r="BI26" s="703">
        <v>2.5724521738690687</v>
      </c>
      <c r="BJ26" s="703">
        <v>2.6375619930140308</v>
      </c>
      <c r="BK26" s="703">
        <v>2.7155321531929646</v>
      </c>
      <c r="BL26" s="703">
        <f t="shared" si="4"/>
        <v>2.7741213207042765</v>
      </c>
      <c r="BM26" s="703">
        <f t="shared" si="10"/>
        <v>2.8327104882155885</v>
      </c>
      <c r="BN26" s="703">
        <v>2.8912996557269</v>
      </c>
      <c r="BO26" s="703">
        <v>3.1190200504443788</v>
      </c>
      <c r="BP26" s="685" t="str">
        <v>3M</v>
      </c>
      <c r="BQ26" s="667"/>
      <c r="BR26" s="670">
        <f>IF(AW27=0,0,             IF(ISNUMBER(BQ26),BQ26,             IF(ISTEXT(BQ26),INDEX(BH26:BO26,MATCH(BQ26,$BH$17:$BO$17,0)),           IF(BP26="INT",_xll.qInterp(AW27,AZ26:BG26,BH26:BO26),       INDEX(BH26:BO26,MATCH(BP26,$BH$17:$BO$17,0))))))</f>
        <v>2.7155321531929646</v>
      </c>
      <c r="BS26" s="731">
        <f t="shared" si="5"/>
        <v>74.789115166060782</v>
      </c>
      <c r="BT26" s="406">
        <f t="shared" si="6"/>
        <v>-74789115.166060776</v>
      </c>
      <c r="BU26" s="284">
        <f>IF($AW27,_xll.qDateYears($AW26,$AW27,DCC_Leg2_Fixed),0)</f>
        <v>0.24931506849315069</v>
      </c>
      <c r="BV26" s="284">
        <f>IF($AW27,_xll.qDateYears($AW26,$AW27,DCC_Leg2_Float),0)</f>
        <v>0.25277777777777777</v>
      </c>
      <c r="BX26" s="350">
        <f t="shared" si="11"/>
        <v>0</v>
      </c>
      <c r="BY26" s="375">
        <f>IF(GenType_2a="Fixed",GenRate_2a%*$BT25*BU25,          IF(GenType_2a="Float",$BT25*(_xll.qGetFwdRate($J$18,$AW25,$AW26,"T",DCC_Leg2_Float)%+GenRate_2a%%)*$BV25,        IF(GenType_2a="bp (Fixed)",GenRate_2a%%*$BU25*$BT25,   IF(GenType_2a="bp (Float)",GenRate_2a%%*$BT25*$BV25,0))))</f>
        <v>0</v>
      </c>
      <c r="BZ26" s="561"/>
      <c r="CB26" s="341">
        <f t="shared" si="12"/>
        <v>0</v>
      </c>
      <c r="CC26" s="563"/>
      <c r="CD26" s="564"/>
      <c r="CE26" s="341">
        <v>0</v>
      </c>
      <c r="CF26" s="563"/>
      <c r="CG26" s="356"/>
    </row>
    <row r="27" spans="2:85">
      <c r="C27" s="154" t="s">
        <v>26</v>
      </c>
      <c r="D27" s="153">
        <f>D21*12</f>
        <v>365</v>
      </c>
      <c r="O27" s="122">
        <v>41505</v>
      </c>
      <c r="P27" s="128">
        <f t="shared" si="0"/>
        <v>91</v>
      </c>
      <c r="Q27" s="126">
        <v>0.88563488164049675</v>
      </c>
      <c r="R27" s="699">
        <f>IF($O28=0,0,        _xll.qDateNext($O27,R$17,"M",TRUE,Currency1))</f>
        <v>41506</v>
      </c>
      <c r="S27" s="699">
        <f>IF($O28=0,0,        _xll.qDateNext($O27,S$17,"M",TRUE,Currency1))</f>
        <v>41536</v>
      </c>
      <c r="T27" s="699">
        <f>IF($O28=0,0,        _xll.qDateNext($O27,T$17,"M",TRUE,Currency1))</f>
        <v>41568</v>
      </c>
      <c r="U27" s="699">
        <f>IF($O28=0,0,        _xll.qDateNext($O27,U$17,"M",TRUE,Currency1))</f>
        <v>41597</v>
      </c>
      <c r="V27" s="699">
        <f>IF($O28=0,0,        _xll.qDateNext($O27,V$17,"M",TRUE,Currency1))</f>
        <v>41627</v>
      </c>
      <c r="W27" s="699">
        <f>IF($O28=0,0,        _xll.qDateNext($O27,W$17,"M",TRUE,Currency1))</f>
        <v>41659</v>
      </c>
      <c r="X27" s="699">
        <f>IF($O28=0,0,        _xll.qDateNext($O27,X$17,"M",TRUE,Currency1))</f>
        <v>41689</v>
      </c>
      <c r="Y27" s="699">
        <f>IF($O28=0,0,        _xll.qDateNext($O27,Y$17,"M",TRUE,Currency1))</f>
        <v>41870</v>
      </c>
      <c r="Z27" s="703">
        <f>IF($O28=0,0,           IF(FRM,_xll.qGetFwdRate(Z$14,$O27,R27,"T",DCC_Leg1_Float),_xll.qGetFwdRate(Z$14,$O27,$O28,"T",DCC_Leg1_Float)))</f>
        <v>5.142042008321468</v>
      </c>
      <c r="AA27" s="703">
        <f>IF($O28=0,0,           IF(FRM,_xll.qGetFwdRate(AA$14,$O27,S27,"T",DCC_Leg1_Float),_xll.qGetFwdRate(AA$14,$O27,$O28,"T",DCC_Leg1_Float)))</f>
        <v>5.2870510668844153</v>
      </c>
      <c r="AB27" s="703">
        <f t="shared" si="1"/>
        <v>5.3666939272428662</v>
      </c>
      <c r="AC27" s="703">
        <f>IF($O28=0,0,           IF(FRM,_xll.qGetFwdRate(AC$14,$O27,U27,"T",DCC_Leg1_Float),_xll.qGetFwdRate(AC$14,$O27,$O28,"T",DCC_Leg1_Float)))</f>
        <v>5.4463367876013171</v>
      </c>
      <c r="AD27" s="703">
        <f t="shared" si="7"/>
        <v>5.4882438231893884</v>
      </c>
      <c r="AE27" s="703">
        <f t="shared" si="8"/>
        <v>5.5301508587774597</v>
      </c>
      <c r="AF27" s="703">
        <f>IF($O28=0,0,           IF(FRM,_xll.qGetFwdRate(AF$14,$O27,X27,"T",DCC_Leg1_Float),_xll.qGetFwdRate(AF$14,$O27,$O28,"T",DCC_Leg1_Float)))</f>
        <v>5.572057894365531</v>
      </c>
      <c r="AG27" s="703">
        <f>IF($O28=0,0,           IF(FRM,_xll.qGetFwdRate(AG$14,$O27,Y27,"T",DCC_Leg1_Float),_xll.qGetFwdRate(AG$14,$O27,$O28,"T",DCC_Leg1_Float)))</f>
        <v>5.7154630148293251</v>
      </c>
      <c r="AH27" s="685" t="str">
        <v>3M</v>
      </c>
      <c r="AI27" s="668"/>
      <c r="AJ27" s="670">
        <f>IF(O28=0,0,             IF(ISNUMBER(AI27),AI27,             IF(ISTEXT(AI27),INDEX(Z27:AG27,MATCH(AI27,$Z$17:$AG$17,0)),           IF(AH27="INT",_xll.qInterp(O28,R27:Y27,Z27:AG27),       INDEX(Z27:AG27,MATCH(AH27,$Z$17:$AG$17,0))))))</f>
        <v>5.4463367876013171</v>
      </c>
      <c r="AK27" s="732">
        <v>100</v>
      </c>
      <c r="AL27" s="721">
        <f t="shared" si="2"/>
        <v>100000000</v>
      </c>
      <c r="AM27" s="284">
        <f>IF($O28,_xll.qDateYears($O27,$O28,DCC_Leg1_Fixed),0)</f>
        <v>0.24931506849315069</v>
      </c>
      <c r="AN27" s="284">
        <f>IF($O28,_xll.qDateYears($O27,$O28,DCC_Leg1_Float),0)</f>
        <v>0.24931506849315069</v>
      </c>
      <c r="AP27" s="350">
        <f t="shared" si="9"/>
        <v>0</v>
      </c>
      <c r="AQ27" s="375">
        <f>IF(GenType_1a="Fixed",GenRate_1a%*$AL26*AM26,          IF(GenType_1a="Float",$AL26*(_xll.qGetFwdRate($D$18,$O26,$O27,"T",DCC_Leg1_Float)%+GenRate_1a%%)*$AN26,        IF(GenType_1a="bp (Fixed)",GenRate_1a%%*$AM26*$AL26,   IF(GenType_1a="bp (Float)",GenRate_1a%%*$AL26*$AN26,0))))</f>
        <v>0</v>
      </c>
      <c r="AR27" s="561"/>
      <c r="AT27" s="341">
        <f t="shared" si="13"/>
        <v>0</v>
      </c>
      <c r="AV27" s="356"/>
      <c r="AW27" s="122">
        <v>41505</v>
      </c>
      <c r="AX27" s="128">
        <f t="shared" si="3"/>
        <v>91</v>
      </c>
      <c r="AY27" s="357">
        <v>0.95510026471495524</v>
      </c>
      <c r="AZ27" s="699">
        <f>IF($AW28=0,0,        _xll.qDateNext($AW27,AZ$17,"M",TRUE,Currency2))</f>
        <v>41506</v>
      </c>
      <c r="BA27" s="699">
        <f>IF($AW28=0,0,        _xll.qDateNext($AW27,BA$17,"M",TRUE,Currency2))</f>
        <v>41536</v>
      </c>
      <c r="BB27" s="699">
        <f>IF($AW28=0,0,        _xll.qDateNext($AW27,BB$17,"M",TRUE,Currency2))</f>
        <v>41568</v>
      </c>
      <c r="BC27" s="699">
        <f>IF($AW28=0,0,        _xll.qDateNext($AW27,BC$17,"M",TRUE,Currency2))</f>
        <v>41597</v>
      </c>
      <c r="BD27" s="699">
        <f>IF($AW28=0,0,        _xll.qDateNext($AW27,BD$17,"M",TRUE,Currency2))</f>
        <v>41627</v>
      </c>
      <c r="BE27" s="699">
        <f>IF($AW28=0,0,        _xll.qDateNext($AW27,BE$17,"M",TRUE,Currency2))</f>
        <v>41659</v>
      </c>
      <c r="BF27" s="699">
        <f>IF($AW28=0,0,        _xll.qDateNext($AW27,BF$17,"M",TRUE,Currency2))</f>
        <v>41689</v>
      </c>
      <c r="BG27" s="699">
        <f>IF($AW28=0,0,        _xll.qDateNext($AW27,BG$17,"M",TRUE,Currency2))</f>
        <v>41870</v>
      </c>
      <c r="BH27" s="703">
        <v>2.5247701110586718</v>
      </c>
      <c r="BI27" s="703">
        <v>2.6559704448863091</v>
      </c>
      <c r="BJ27" s="703">
        <v>2.7237030794835526</v>
      </c>
      <c r="BK27" s="703">
        <v>2.8013004969241608</v>
      </c>
      <c r="BL27" s="703">
        <f t="shared" si="4"/>
        <v>2.8625665295520992</v>
      </c>
      <c r="BM27" s="703">
        <f t="shared" si="10"/>
        <v>2.9238325621800376</v>
      </c>
      <c r="BN27" s="703">
        <v>2.985098594807976</v>
      </c>
      <c r="BO27" s="703">
        <v>3.2762058008727815</v>
      </c>
      <c r="BP27" s="685" t="str">
        <v>3M</v>
      </c>
      <c r="BQ27" s="667"/>
      <c r="BR27" s="670">
        <f>IF(AW28=0,0,             IF(ISNUMBER(BQ27),BQ27,             IF(ISTEXT(BQ27),INDEX(BH27:BO27,MATCH(BQ27,$BH$17:$BO$17,0)),           IF(BP27="INT",_xll.qInterp(AW28,AZ27:BG27,BH27:BO27),       INDEX(BH27:BO27,MATCH(BP27,$BH$17:$BO$17,0))))))</f>
        <v>2.8013004969241608</v>
      </c>
      <c r="BS27" s="731">
        <f t="shared" si="5"/>
        <v>74.789115166060782</v>
      </c>
      <c r="BT27" s="406">
        <f t="shared" si="6"/>
        <v>-74789115.166060776</v>
      </c>
      <c r="BU27" s="284">
        <f>IF($AW28,_xll.qDateYears($AW27,$AW28,DCC_Leg2_Fixed),0)</f>
        <v>0.24931506849315069</v>
      </c>
      <c r="BV27" s="284">
        <f>IF($AW28,_xll.qDateYears($AW27,$AW28,DCC_Leg2_Float),0)</f>
        <v>0.25277777777777777</v>
      </c>
      <c r="BX27" s="350">
        <f t="shared" si="11"/>
        <v>0</v>
      </c>
      <c r="BY27" s="375">
        <f>IF(GenType_2a="Fixed",GenRate_2a%*$BT26*BU26,          IF(GenType_2a="Float",$BT26*(_xll.qGetFwdRate($J$18,$AW26,$AW27,"T",DCC_Leg2_Float)%+GenRate_2a%%)*$BV26,        IF(GenType_2a="bp (Fixed)",GenRate_2a%%*$BU26*$BT26,   IF(GenType_2a="bp (Float)",GenRate_2a%%*$BT26*$BV26,0))))</f>
        <v>0</v>
      </c>
      <c r="BZ27" s="561"/>
      <c r="CB27" s="341">
        <f t="shared" si="12"/>
        <v>0</v>
      </c>
      <c r="CC27" s="563"/>
      <c r="CD27" s="564"/>
      <c r="CE27" s="341">
        <v>0</v>
      </c>
      <c r="CF27" s="563"/>
      <c r="CG27" s="356"/>
    </row>
    <row r="28" spans="2:85">
      <c r="O28" s="122">
        <v>41596</v>
      </c>
      <c r="P28" s="128">
        <f t="shared" si="0"/>
        <v>92</v>
      </c>
      <c r="Q28" s="126">
        <v>0.87330429862671433</v>
      </c>
      <c r="R28" s="699">
        <f>IF($O29=0,0,        _xll.qDateNext($O28,R$17,"M",TRUE,Currency1))</f>
        <v>41597</v>
      </c>
      <c r="S28" s="699">
        <f>IF($O29=0,0,        _xll.qDateNext($O28,S$17,"M",TRUE,Currency1))</f>
        <v>41626</v>
      </c>
      <c r="T28" s="699">
        <f>IF($O29=0,0,        _xll.qDateNext($O28,T$17,"M",TRUE,Currency1))</f>
        <v>41659</v>
      </c>
      <c r="U28" s="699">
        <f>IF($O29=0,0,        _xll.qDateNext($O28,U$17,"M",TRUE,Currency1))</f>
        <v>41688</v>
      </c>
      <c r="V28" s="699">
        <f>IF($O29=0,0,        _xll.qDateNext($O28,V$17,"M",TRUE,Currency1))</f>
        <v>41716</v>
      </c>
      <c r="W28" s="699">
        <f>IF($O29=0,0,        _xll.qDateNext($O28,W$17,"M",TRUE,Currency1))</f>
        <v>41751</v>
      </c>
      <c r="X28" s="699">
        <f>IF($O29=0,0,        _xll.qDateNext($O28,X$17,"M",TRUE,Currency1))</f>
        <v>41778</v>
      </c>
      <c r="Y28" s="699">
        <f>IF($O29=0,0,        _xll.qDateNext($O28,Y$17,"M",TRUE,Currency1))</f>
        <v>41961</v>
      </c>
      <c r="Z28" s="703">
        <f>IF($O29=0,0,           IF(FRM,_xll.qGetFwdRate(Z$14,$O28,R28,"T",DCC_Leg1_Float),_xll.qGetFwdRate(Z$14,$O28,$O29,"T",DCC_Leg1_Float)))</f>
        <v>5.1621321870088943</v>
      </c>
      <c r="AA28" s="703">
        <f>IF($O29=0,0,           IF(FRM,_xll.qGetFwdRate(AA$14,$O28,S28,"T",DCC_Leg1_Float),_xll.qGetFwdRate(AA$14,$O28,$O29,"T",DCC_Leg1_Float)))</f>
        <v>5.3158157481630441</v>
      </c>
      <c r="AB28" s="703">
        <f t="shared" si="1"/>
        <v>5.3965084574629234</v>
      </c>
      <c r="AC28" s="703">
        <f>IF($O29=0,0,           IF(FRM,_xll.qGetFwdRate(AC$14,$O28,U28,"T",DCC_Leg1_Float),_xll.qGetFwdRate(AC$14,$O28,$O29,"T",DCC_Leg1_Float)))</f>
        <v>5.4772011667628018</v>
      </c>
      <c r="AD28" s="703">
        <f t="shared" si="7"/>
        <v>5.5184239732441691</v>
      </c>
      <c r="AE28" s="703">
        <f t="shared" si="8"/>
        <v>5.5596467797255364</v>
      </c>
      <c r="AF28" s="703">
        <f>IF($O29=0,0,           IF(FRM,_xll.qGetFwdRate(AF$14,$O28,X28,"T",DCC_Leg1_Float),_xll.qGetFwdRate(AF$14,$O28,$O29,"T",DCC_Leg1_Float)))</f>
        <v>5.6008695862069047</v>
      </c>
      <c r="AG28" s="703">
        <f>IF($O29=0,0,           IF(FRM,_xll.qGetFwdRate(AG$14,$O28,Y28,"T",DCC_Leg1_Float),_xll.qGetFwdRate(AG$14,$O28,$O29,"T",DCC_Leg1_Float)))</f>
        <v>5.7871628901258632</v>
      </c>
      <c r="AH28" s="685" t="str">
        <v>3M</v>
      </c>
      <c r="AI28" s="668"/>
      <c r="AJ28" s="670">
        <f>IF(O29=0,0,             IF(ISNUMBER(AI28),AI28,             IF(ISTEXT(AI28),INDEX(Z28:AG28,MATCH(AI28,$Z$17:$AG$17,0)),           IF(AH28="INT",_xll.qInterp(O29,R28:Y28,Z28:AG28),       INDEX(Z28:AG28,MATCH(AH28,$Z$17:$AG$17,0))))))</f>
        <v>5.4772011667628018</v>
      </c>
      <c r="AK28" s="732">
        <v>100</v>
      </c>
      <c r="AL28" s="721">
        <f t="shared" si="2"/>
        <v>100000000</v>
      </c>
      <c r="AM28" s="284">
        <f>IF($O29,_xll.qDateYears($O28,$O29,DCC_Leg1_Fixed),0)</f>
        <v>0.25205479452054796</v>
      </c>
      <c r="AN28" s="284">
        <f>IF($O29,_xll.qDateYears($O28,$O29,DCC_Leg1_Float),0)</f>
        <v>0.25205479452054796</v>
      </c>
      <c r="AP28" s="350">
        <f t="shared" si="9"/>
        <v>0</v>
      </c>
      <c r="AQ28" s="375">
        <f>IF(GenType_1a="Fixed",GenRate_1a%*$AL27*AM27,          IF(GenType_1a="Float",$AL27*(_xll.qGetFwdRate($D$18,$O27,$O28,"T",DCC_Leg1_Float)%+GenRate_1a%%)*$AN27,        IF(GenType_1a="bp (Fixed)",GenRate_1a%%*$AM27*$AL27,   IF(GenType_1a="bp (Float)",GenRate_1a%%*$AL27*$AN27,0))))</f>
        <v>0</v>
      </c>
      <c r="AR28" s="561"/>
      <c r="AT28" s="341">
        <f t="shared" si="13"/>
        <v>0</v>
      </c>
      <c r="AV28" s="356"/>
      <c r="AW28" s="122">
        <v>41596</v>
      </c>
      <c r="AX28" s="128">
        <f t="shared" si="3"/>
        <v>92</v>
      </c>
      <c r="AY28" s="357">
        <v>0.94880992548985543</v>
      </c>
      <c r="AZ28" s="699">
        <f>IF($AW29=0,0,        _xll.qDateNext($AW28,AZ$17,"M",TRUE,Currency2))</f>
        <v>41597</v>
      </c>
      <c r="BA28" s="699">
        <f>IF($AW29=0,0,        _xll.qDateNext($AW28,BA$17,"M",TRUE,Currency2))</f>
        <v>41626</v>
      </c>
      <c r="BB28" s="699">
        <f>IF($AW29=0,0,        _xll.qDateNext($AW28,BB$17,"M",TRUE,Currency2))</f>
        <v>41659</v>
      </c>
      <c r="BC28" s="699">
        <f>IF($AW29=0,0,        _xll.qDateNext($AW28,BC$17,"M",TRUE,Currency2))</f>
        <v>41688</v>
      </c>
      <c r="BD28" s="699">
        <f>IF($AW29=0,0,        _xll.qDateNext($AW28,BD$17,"M",TRUE,Currency2))</f>
        <v>41716</v>
      </c>
      <c r="BE28" s="699">
        <f>IF($AW29=0,0,        _xll.qDateNext($AW28,BE$17,"M",TRUE,Currency2))</f>
        <v>41751</v>
      </c>
      <c r="BF28" s="699">
        <f>IF($AW29=0,0,        _xll.qDateNext($AW28,BF$17,"M",TRUE,Currency2))</f>
        <v>41778</v>
      </c>
      <c r="BG28" s="699">
        <f>IF($AW29=0,0,        _xll.qDateNext($AW28,BG$17,"M",TRUE,Currency2))</f>
        <v>41961</v>
      </c>
      <c r="BH28" s="703">
        <v>2.6127230027324089</v>
      </c>
      <c r="BI28" s="703">
        <v>2.7400207159807621</v>
      </c>
      <c r="BJ28" s="703">
        <v>2.8229160294931233</v>
      </c>
      <c r="BK28" s="703">
        <v>2.9045302292222472</v>
      </c>
      <c r="BL28" s="703">
        <f t="shared" si="4"/>
        <v>2.9629529503372183</v>
      </c>
      <c r="BM28" s="703">
        <f t="shared" si="10"/>
        <v>3.0213756714521889</v>
      </c>
      <c r="BN28" s="703">
        <v>3.0797983925671599</v>
      </c>
      <c r="BO28" s="703">
        <v>3.4842447914788832</v>
      </c>
      <c r="BP28" s="685" t="str">
        <v>3M</v>
      </c>
      <c r="BQ28" s="667"/>
      <c r="BR28" s="670">
        <f>IF(AW29=0,0,             IF(ISNUMBER(BQ28),BQ28,             IF(ISTEXT(BQ28),INDEX(BH28:BO28,MATCH(BQ28,$BH$17:$BO$17,0)),           IF(BP28="INT",_xll.qInterp(AW29,AZ28:BG28,BH28:BO28),       INDEX(BH28:BO28,MATCH(BP28,$BH$17:$BO$17,0))))))</f>
        <v>2.9045302292222472</v>
      </c>
      <c r="BS28" s="731">
        <f t="shared" si="5"/>
        <v>74.789115166060782</v>
      </c>
      <c r="BT28" s="406">
        <f t="shared" si="6"/>
        <v>-74789115.166060776</v>
      </c>
      <c r="BU28" s="284">
        <f>IF($AW29,_xll.qDateYears($AW28,$AW29,DCC_Leg2_Fixed),0)</f>
        <v>0.25205479452054796</v>
      </c>
      <c r="BV28" s="284">
        <f>IF($AW29,_xll.qDateYears($AW28,$AW29,DCC_Leg2_Float),0)</f>
        <v>0.25555555555555554</v>
      </c>
      <c r="BX28" s="350">
        <f t="shared" si="11"/>
        <v>0</v>
      </c>
      <c r="BY28" s="375">
        <f>IF(GenType_2a="Fixed",GenRate_2a%*$BT27*BU27,          IF(GenType_2a="Float",$BT27*(_xll.qGetFwdRate($J$18,$AW27,$AW28,"T",DCC_Leg2_Float)%+GenRate_2a%%)*$BV27,        IF(GenType_2a="bp (Fixed)",GenRate_2a%%*$BU27*$BT27,   IF(GenType_2a="bp (Float)",GenRate_2a%%*$BT27*$BV27,0))))</f>
        <v>0</v>
      </c>
      <c r="BZ28" s="561"/>
      <c r="CB28" s="341">
        <f t="shared" si="12"/>
        <v>0</v>
      </c>
      <c r="CC28" s="563"/>
      <c r="CD28" s="356"/>
      <c r="CE28" s="341">
        <v>0</v>
      </c>
      <c r="CF28" s="563"/>
      <c r="CG28" s="356"/>
    </row>
    <row r="29" spans="2:85">
      <c r="O29" s="122">
        <v>41688</v>
      </c>
      <c r="P29" s="128">
        <f t="shared" si="0"/>
        <v>90</v>
      </c>
      <c r="Q29" s="126">
        <v>0.86090419039725841</v>
      </c>
      <c r="R29" s="699">
        <f>IF($O30=0,0,        _xll.qDateNext($O29,R$17,"M",TRUE,Currency1))</f>
        <v>41689</v>
      </c>
      <c r="S29" s="699">
        <f>IF($O30=0,0,        _xll.qDateNext($O29,S$17,"M",TRUE,Currency1))</f>
        <v>41716</v>
      </c>
      <c r="T29" s="699">
        <f>IF($O30=0,0,        _xll.qDateNext($O29,T$17,"M",TRUE,Currency1))</f>
        <v>41751</v>
      </c>
      <c r="U29" s="699">
        <f>IF($O30=0,0,        _xll.qDateNext($O29,U$17,"M",TRUE,Currency1))</f>
        <v>41778</v>
      </c>
      <c r="V29" s="699">
        <f>IF($O30=0,0,        _xll.qDateNext($O29,V$17,"M",TRUE,Currency1))</f>
        <v>41808</v>
      </c>
      <c r="W29" s="699">
        <f>IF($O30=0,0,        _xll.qDateNext($O29,W$17,"M",TRUE,Currency1))</f>
        <v>41838</v>
      </c>
      <c r="X29" s="699">
        <f>IF($O30=0,0,        _xll.qDateNext($O29,X$17,"M",TRUE,Currency1))</f>
        <v>41869</v>
      </c>
      <c r="Y29" s="699">
        <f>IF($O30=0,0,        _xll.qDateNext($O29,Y$17,"M",TRUE,Currency1))</f>
        <v>42053</v>
      </c>
      <c r="Z29" s="703">
        <f>IF($O30=0,0,           IF(FRM,_xll.qGetFwdRate(Z$14,$O29,R29,"T",DCC_Leg1_Float),_xll.qGetFwdRate(Z$14,$O29,$O30,"T",DCC_Leg1_Float)))</f>
        <v>5.1824423790685081</v>
      </c>
      <c r="AA29" s="703">
        <f>IF($O30=0,0,           IF(FRM,_xll.qGetFwdRate(AA$14,$O29,S29,"T",DCC_Leg1_Float),_xll.qGetFwdRate(AA$14,$O29,$O30,"T",DCC_Leg1_Float)))</f>
        <v>5.3443413619509119</v>
      </c>
      <c r="AB29" s="703">
        <f t="shared" si="1"/>
        <v>5.4257901102700608</v>
      </c>
      <c r="AC29" s="703">
        <f>IF($O30=0,0,           IF(FRM,_xll.qGetFwdRate(AC$14,$O29,U29,"T",DCC_Leg1_Float),_xll.qGetFwdRate(AC$14,$O29,$O30,"T",DCC_Leg1_Float)))</f>
        <v>5.5072388585892096</v>
      </c>
      <c r="AD29" s="703">
        <f t="shared" si="7"/>
        <v>5.5714772966545159</v>
      </c>
      <c r="AE29" s="703">
        <f t="shared" si="8"/>
        <v>5.6357157347198221</v>
      </c>
      <c r="AF29" s="703">
        <f>IF($O30=0,0,           IF(FRM,_xll.qGetFwdRate(AF$14,$O29,X29,"T",DCC_Leg1_Float),_xll.qGetFwdRate(AF$14,$O29,$O30,"T",DCC_Leg1_Float)))</f>
        <v>5.6999541727851275</v>
      </c>
      <c r="AG29" s="703">
        <f>IF($O30=0,0,           IF(FRM,_xll.qGetFwdRate(AG$14,$O29,Y29,"T",DCC_Leg1_Float),_xll.qGetFwdRate(AG$14,$O29,$O30,"T",DCC_Leg1_Float)))</f>
        <v>5.8652048938546253</v>
      </c>
      <c r="AH29" s="685" t="str">
        <v>3M</v>
      </c>
      <c r="AI29" s="668"/>
      <c r="AJ29" s="670">
        <f>IF(O30=0,0,             IF(ISNUMBER(AI29),AI29,             IF(ISTEXT(AI29),INDEX(Z29:AG29,MATCH(AI29,$Z$17:$AG$17,0)),           IF(AH29="INT",_xll.qInterp(O30,R29:Y29,Z29:AG29),       INDEX(Z29:AG29,MATCH(AH29,$Z$17:$AG$17,0))))))</f>
        <v>5.5072388585892096</v>
      </c>
      <c r="AK29" s="732">
        <v>100</v>
      </c>
      <c r="AL29" s="721">
        <f t="shared" si="2"/>
        <v>100000000</v>
      </c>
      <c r="AM29" s="284">
        <f>IF($O30,_xll.qDateYears($O29,$O30,DCC_Leg1_Fixed),0)</f>
        <v>0.24657534246575341</v>
      </c>
      <c r="AN29" s="284">
        <f>IF($O30,_xll.qDateYears($O29,$O30,DCC_Leg1_Float),0)</f>
        <v>0.24657534246575341</v>
      </c>
      <c r="AP29" s="350">
        <f t="shared" si="9"/>
        <v>0</v>
      </c>
      <c r="AQ29" s="375">
        <f>IF(GenType_1a="Fixed",GenRate_1a%*$AL28*AM28,          IF(GenType_1a="Float",$AL28*(_xll.qGetFwdRate($D$18,$O28,$O29,"T",DCC_Leg1_Float)%+GenRate_1a%%)*$AN28,        IF(GenType_1a="bp (Fixed)",GenRate_1a%%*$AM28*$AL28,   IF(GenType_1a="bp (Float)",GenRate_1a%%*$AL28*$AN28,0))))</f>
        <v>0</v>
      </c>
      <c r="AR29" s="561"/>
      <c r="AT29" s="341">
        <f t="shared" si="13"/>
        <v>0</v>
      </c>
      <c r="AV29" s="356"/>
      <c r="AW29" s="122">
        <v>41688</v>
      </c>
      <c r="AX29" s="128">
        <f t="shared" si="3"/>
        <v>90</v>
      </c>
      <c r="AY29" s="357">
        <v>0.9422412886857674</v>
      </c>
      <c r="AZ29" s="699">
        <f>IF($AW30=0,0,        _xll.qDateNext($AW29,AZ$17,"M",TRUE,Currency2))</f>
        <v>41689</v>
      </c>
      <c r="BA29" s="699">
        <f>IF($AW30=0,0,        _xll.qDateNext($AW29,BA$17,"M",TRUE,Currency2))</f>
        <v>41716</v>
      </c>
      <c r="BB29" s="699">
        <f>IF($AW30=0,0,        _xll.qDateNext($AW29,BB$17,"M",TRUE,Currency2))</f>
        <v>41751</v>
      </c>
      <c r="BC29" s="699">
        <f>IF($AW30=0,0,        _xll.qDateNext($AW29,BC$17,"M",TRUE,Currency2))</f>
        <v>41778</v>
      </c>
      <c r="BD29" s="699">
        <f>IF($AW30=0,0,        _xll.qDateNext($AW29,BD$17,"M",TRUE,Currency2))</f>
        <v>41808</v>
      </c>
      <c r="BE29" s="699">
        <f>IF($AW30=0,0,        _xll.qDateNext($AW29,BE$17,"M",TRUE,Currency2))</f>
        <v>41838</v>
      </c>
      <c r="BF29" s="699">
        <f>IF($AW30=0,0,        _xll.qDateNext($AW29,BF$17,"M",TRUE,Currency2))</f>
        <v>41869</v>
      </c>
      <c r="BG29" s="699">
        <f>IF($AW30=0,0,        _xll.qDateNext($AW29,BG$17,"M",TRUE,Currency2))</f>
        <v>42053</v>
      </c>
      <c r="BH29" s="703">
        <v>2.7297343709751232</v>
      </c>
      <c r="BI29" s="703">
        <v>2.8535012680875722</v>
      </c>
      <c r="BJ29" s="703">
        <v>2.9199732149545508</v>
      </c>
      <c r="BK29" s="703">
        <v>2.9948166836306633</v>
      </c>
      <c r="BL29" s="703">
        <f t="shared" si="4"/>
        <v>3.0964380285057596</v>
      </c>
      <c r="BM29" s="703">
        <f t="shared" si="10"/>
        <v>3.1980593733808558</v>
      </c>
      <c r="BN29" s="703">
        <v>3.299680718255952</v>
      </c>
      <c r="BO29" s="703">
        <v>3.7127388706799582</v>
      </c>
      <c r="BP29" s="685" t="str">
        <v>3M</v>
      </c>
      <c r="BQ29" s="667"/>
      <c r="BR29" s="670">
        <f>IF(AW30=0,0,             IF(ISNUMBER(BQ29),BQ29,             IF(ISTEXT(BQ29),INDEX(BH29:BO29,MATCH(BQ29,$BH$17:$BO$17,0)),           IF(BP29="INT",_xll.qInterp(AW30,AZ29:BG29,BH29:BO29),       INDEX(BH29:BO29,MATCH(BP29,$BH$17:$BO$17,0))))))</f>
        <v>2.9948166836306633</v>
      </c>
      <c r="BS29" s="731">
        <f t="shared" si="5"/>
        <v>74.789115166060782</v>
      </c>
      <c r="BT29" s="406">
        <f t="shared" si="6"/>
        <v>-74789115.166060776</v>
      </c>
      <c r="BU29" s="284">
        <f>IF($AW30,_xll.qDateYears($AW29,$AW30,DCC_Leg2_Fixed),0)</f>
        <v>0.24657534246575341</v>
      </c>
      <c r="BV29" s="284">
        <f>IF($AW30,_xll.qDateYears($AW29,$AW30,DCC_Leg2_Float),0)</f>
        <v>0.25</v>
      </c>
      <c r="BX29" s="350">
        <f t="shared" si="11"/>
        <v>0</v>
      </c>
      <c r="BY29" s="375">
        <f>IF(GenType_2a="Fixed",GenRate_2a%*$BT28*BU28,          IF(GenType_2a="Float",$BT28*(_xll.qGetFwdRate($J$18,$AW28,$AW29,"T",DCC_Leg2_Float)%+GenRate_2a%%)*$BV28,        IF(GenType_2a="bp (Fixed)",GenRate_2a%%*$BU28*$BT28,   IF(GenType_2a="bp (Float)",GenRate_2a%%*$BT28*$BV28,0))))</f>
        <v>0</v>
      </c>
      <c r="BZ29" s="561"/>
      <c r="CB29" s="341">
        <f t="shared" si="12"/>
        <v>0</v>
      </c>
      <c r="CC29" s="563"/>
      <c r="CD29" s="356"/>
      <c r="CE29" s="341">
        <v>0</v>
      </c>
      <c r="CF29" s="563"/>
      <c r="CG29" s="356"/>
    </row>
    <row r="30" spans="2:85">
      <c r="B30" s="153" t="s">
        <v>424</v>
      </c>
      <c r="C30" s="694">
        <v>1</v>
      </c>
      <c r="O30" s="122">
        <v>41778</v>
      </c>
      <c r="P30" s="128">
        <f t="shared" si="0"/>
        <v>0</v>
      </c>
      <c r="Q30" s="126">
        <v>0.84883993398733393</v>
      </c>
      <c r="R30" s="699">
        <f>IF($O31=0,0,        _xll.qDateNext($O30,R$17,"M",TRUE,Currency1))</f>
        <v>0</v>
      </c>
      <c r="S30" s="699">
        <f>IF($O31=0,0,        _xll.qDateNext($O30,S$17,"M",TRUE,Currency1))</f>
        <v>0</v>
      </c>
      <c r="T30" s="699">
        <f>IF($O31=0,0,        _xll.qDateNext($O30,T$17,"M",TRUE,Currency1))</f>
        <v>0</v>
      </c>
      <c r="U30" s="699">
        <f>IF($O31=0,0,        _xll.qDateNext($O30,U$17,"M",TRUE,Currency1))</f>
        <v>0</v>
      </c>
      <c r="V30" s="699">
        <f>IF($O31=0,0,        _xll.qDateNext($O30,V$17,"M",TRUE,Currency1))</f>
        <v>0</v>
      </c>
      <c r="W30" s="699">
        <f>IF($O31=0,0,        _xll.qDateNext($O30,W$17,"M",TRUE,Currency1))</f>
        <v>0</v>
      </c>
      <c r="X30" s="699">
        <f>IF($O31=0,0,        _xll.qDateNext($O30,X$17,"M",TRUE,Currency1))</f>
        <v>0</v>
      </c>
      <c r="Y30" s="699">
        <f>IF($O31=0,0,        _xll.qDateNext($O30,Y$17,"M",TRUE,Currency1))</f>
        <v>0</v>
      </c>
      <c r="Z30" s="703">
        <f>IF($O31=0,0,           IF(FRM,_xll.qGetFwdRate(Z$14,$O30,R30,"T",DCC_Leg1_Float),_xll.qGetFwdRate(Z$14,$O30,$O31,"T",DCC_Leg1_Float)))</f>
        <v>0</v>
      </c>
      <c r="AA30" s="703">
        <f>IF($O31=0,0,           IF(FRM,_xll.qGetFwdRate(AA$14,$O30,S30,"T",DCC_Leg1_Float),_xll.qGetFwdRate(AA$14,$O30,$O31,"T",DCC_Leg1_Float)))</f>
        <v>0</v>
      </c>
      <c r="AB30" s="703">
        <f t="shared" si="1"/>
        <v>0</v>
      </c>
      <c r="AC30" s="703">
        <f>IF($O31=0,0,           IF(FRM,_xll.qGetFwdRate(AC$14,$O30,U30,"T",DCC_Leg1_Float),_xll.qGetFwdRate(AC$14,$O30,$O31,"T",DCC_Leg1_Float)))</f>
        <v>0</v>
      </c>
      <c r="AD30" s="703">
        <f t="shared" si="7"/>
        <v>0</v>
      </c>
      <c r="AE30" s="703">
        <f t="shared" si="8"/>
        <v>0</v>
      </c>
      <c r="AF30" s="703">
        <f>IF($O31=0,0,           IF(FRM,_xll.qGetFwdRate(AF$14,$O30,X30,"T",DCC_Leg1_Float),_xll.qGetFwdRate(AF$14,$O30,$O31,"T",DCC_Leg1_Float)))</f>
        <v>0</v>
      </c>
      <c r="AG30" s="703">
        <f>IF($O31=0,0,           IF(FRM,_xll.qGetFwdRate(AG$14,$O30,Y30,"T",DCC_Leg1_Float),_xll.qGetFwdRate(AG$14,$O30,$O31,"T",DCC_Leg1_Float)))</f>
        <v>0</v>
      </c>
      <c r="AH30" s="685">
        <v>0</v>
      </c>
      <c r="AI30" s="668"/>
      <c r="AJ30" s="670">
        <f>IF(O31=0,0,             IF(ISNUMBER(AI30),AI30,             IF(ISTEXT(AI30),INDEX(Z30:AG30,MATCH(AI30,$Z$17:$AG$17,0)),           IF(AH30="INT",_xll.qInterp(O31,R30:Y30,Z30:AG30),       INDEX(Z30:AG30,MATCH(AH30,$Z$17:$AG$17,0))))))</f>
        <v>0</v>
      </c>
      <c r="AK30" s="732">
        <v>100</v>
      </c>
      <c r="AL30" s="721">
        <f t="shared" si="2"/>
        <v>0</v>
      </c>
      <c r="AM30" s="284">
        <f>IF($O31,_xll.qDateYears($O30,$O31,DCC_Leg1_Fixed),0)</f>
        <v>0</v>
      </c>
      <c r="AN30" s="284">
        <f>IF($O31,_xll.qDateYears($O30,$O31,DCC_Leg1_Float),0)</f>
        <v>0</v>
      </c>
      <c r="AP30" s="350">
        <f t="shared" si="9"/>
        <v>0</v>
      </c>
      <c r="AQ30" s="375">
        <f>IF(GenType_1a="Fixed",GenRate_1a%*$AL29*AM29,          IF(GenType_1a="Float",$AL29*(_xll.qGetFwdRate($D$18,$O29,$O30,"T",DCC_Leg1_Float)%+GenRate_1a%%)*$AN29,        IF(GenType_1a="bp (Fixed)",GenRate_1a%%*$AM29*$AL29,   IF(GenType_1a="bp (Float)",GenRate_1a%%*$AL29*$AN29,0))))</f>
        <v>0</v>
      </c>
      <c r="AR30" s="561"/>
      <c r="AT30" s="341">
        <f t="shared" si="13"/>
        <v>0</v>
      </c>
      <c r="AV30" s="356"/>
      <c r="AW30" s="122">
        <v>41778</v>
      </c>
      <c r="AX30" s="128">
        <f t="shared" si="3"/>
        <v>0</v>
      </c>
      <c r="AY30" s="357">
        <v>0.93564613281223574</v>
      </c>
      <c r="AZ30" s="699">
        <f>IF($AW31=0,0,        _xll.qDateNext($AW30,AZ$17,"M",TRUE,Currency2))</f>
        <v>0</v>
      </c>
      <c r="BA30" s="699">
        <f>IF($AW31=0,0,        _xll.qDateNext($AW30,BA$17,"M",TRUE,Currency2))</f>
        <v>0</v>
      </c>
      <c r="BB30" s="699">
        <f>IF($AW31=0,0,        _xll.qDateNext($AW30,BB$17,"M",TRUE,Currency2))</f>
        <v>0</v>
      </c>
      <c r="BC30" s="699">
        <f>IF($AW31=0,0,        _xll.qDateNext($AW30,BC$17,"M",TRUE,Currency2))</f>
        <v>0</v>
      </c>
      <c r="BD30" s="699">
        <f>IF($AW31=0,0,        _xll.qDateNext($AW30,BD$17,"M",TRUE,Currency2))</f>
        <v>0</v>
      </c>
      <c r="BE30" s="699">
        <f>IF($AW31=0,0,        _xll.qDateNext($AW30,BE$17,"M",TRUE,Currency2))</f>
        <v>0</v>
      </c>
      <c r="BF30" s="699">
        <f>IF($AW31=0,0,        _xll.qDateNext($AW30,BF$17,"M",TRUE,Currency2))</f>
        <v>0</v>
      </c>
      <c r="BG30" s="699">
        <f>IF($AW31=0,0,        _xll.qDateNext($AW30,BG$17,"M",TRUE,Currency2))</f>
        <v>0</v>
      </c>
      <c r="BH30" s="703">
        <v>0</v>
      </c>
      <c r="BI30" s="703">
        <v>0</v>
      </c>
      <c r="BJ30" s="703">
        <v>0</v>
      </c>
      <c r="BK30" s="703">
        <v>0</v>
      </c>
      <c r="BL30" s="703">
        <f t="shared" si="4"/>
        <v>0</v>
      </c>
      <c r="BM30" s="703">
        <f t="shared" si="10"/>
        <v>0</v>
      </c>
      <c r="BN30" s="703">
        <v>0</v>
      </c>
      <c r="BO30" s="703">
        <v>0</v>
      </c>
      <c r="BP30" s="685">
        <v>0</v>
      </c>
      <c r="BQ30" s="668"/>
      <c r="BR30" s="670">
        <f>IF(AW31=0,0,             IF(ISNUMBER(BQ30),BQ30,             IF(ISTEXT(BQ30),INDEX(BH30:BO30,MATCH(BQ30,$BH$17:$BO$17,0)),           IF(BP30="INT",_xll.qInterp(AW31,AZ30:BG30,BH30:BO30),       INDEX(BH30:BO30,MATCH(BP30,$BH$17:$BO$17,0))))))</f>
        <v>0</v>
      </c>
      <c r="BS30" s="731">
        <f t="shared" si="5"/>
        <v>0</v>
      </c>
      <c r="BT30" s="406">
        <f t="shared" si="6"/>
        <v>0</v>
      </c>
      <c r="BU30" s="284">
        <f>IF($AW31,_xll.qDateYears($AW30,$AW31,DCC_Leg2_Fixed),0)</f>
        <v>0</v>
      </c>
      <c r="BV30" s="284">
        <f>IF($AW31,_xll.qDateYears($AW30,$AW31,DCC_Leg2_Float),0)</f>
        <v>0</v>
      </c>
      <c r="BX30" s="350">
        <f t="shared" si="11"/>
        <v>0</v>
      </c>
      <c r="BY30" s="375">
        <f>IF(GenType_2a="Fixed",GenRate_2a%*$BT29*BU29,          IF(GenType_2a="Float",$BT29*(_xll.qGetFwdRate($J$18,$AW29,$AW30,"T",DCC_Leg2_Float)%+GenRate_2a%%)*$BV29,        IF(GenType_2a="bp (Fixed)",GenRate_2a%%*$BU29*$BT29,   IF(GenType_2a="bp (Float)",GenRate_2a%%*$BT29*$BV29,0))))</f>
        <v>0</v>
      </c>
      <c r="BZ30" s="561"/>
      <c r="CB30" s="341">
        <f t="shared" si="12"/>
        <v>0</v>
      </c>
      <c r="CC30" s="563"/>
      <c r="CD30" s="356"/>
      <c r="CE30" s="341">
        <v>0</v>
      </c>
      <c r="CF30" s="563"/>
      <c r="CG30" s="356"/>
    </row>
    <row r="31" spans="2:85">
      <c r="O31" s="122">
        <v>0</v>
      </c>
      <c r="P31" s="128">
        <f t="shared" si="0"/>
        <v>0</v>
      </c>
      <c r="Q31" s="126">
        <v>0</v>
      </c>
      <c r="R31" s="699">
        <f>IF($O32=0,0,        _xll.qDateNext($O31,R$17,"M",TRUE,Currency1))</f>
        <v>0</v>
      </c>
      <c r="S31" s="699">
        <f>IF($O32=0,0,        _xll.qDateNext($O31,S$17,"M",TRUE,Currency1))</f>
        <v>0</v>
      </c>
      <c r="T31" s="699">
        <f>IF($O32=0,0,        _xll.qDateNext($O31,T$17,"M",TRUE,Currency1))</f>
        <v>0</v>
      </c>
      <c r="U31" s="699">
        <f>IF($O32=0,0,        _xll.qDateNext($O31,U$17,"M",TRUE,Currency1))</f>
        <v>0</v>
      </c>
      <c r="V31" s="699">
        <f>IF($O32=0,0,        _xll.qDateNext($O31,V$17,"M",TRUE,Currency1))</f>
        <v>0</v>
      </c>
      <c r="W31" s="699">
        <f>IF($O32=0,0,        _xll.qDateNext($O31,W$17,"M",TRUE,Currency1))</f>
        <v>0</v>
      </c>
      <c r="X31" s="699">
        <f>IF($O32=0,0,        _xll.qDateNext($O31,X$17,"M",TRUE,Currency1))</f>
        <v>0</v>
      </c>
      <c r="Y31" s="699">
        <f>IF($O32=0,0,        _xll.qDateNext($O31,Y$17,"M",TRUE,Currency1))</f>
        <v>0</v>
      </c>
      <c r="Z31" s="703">
        <f>IF($O32=0,0,           IF(FRM,_xll.qGetFwdRate(Z$14,$O31,R31,"T",DCC_Leg1_Float),_xll.qGetFwdRate(Z$14,$O31,$O32,"T",DCC_Leg1_Float)))</f>
        <v>0</v>
      </c>
      <c r="AA31" s="703">
        <f>IF($O32=0,0,           IF(FRM,_xll.qGetFwdRate(AA$14,$O31,S31,"T",DCC_Leg1_Float),_xll.qGetFwdRate(AA$14,$O31,$O32,"T",DCC_Leg1_Float)))</f>
        <v>0</v>
      </c>
      <c r="AB31" s="703">
        <f t="shared" si="1"/>
        <v>0</v>
      </c>
      <c r="AC31" s="703">
        <f>IF($O32=0,0,           IF(FRM,_xll.qGetFwdRate(AC$14,$O31,U31,"T",DCC_Leg1_Float),_xll.qGetFwdRate(AC$14,$O31,$O32,"T",DCC_Leg1_Float)))</f>
        <v>0</v>
      </c>
      <c r="AD31" s="703">
        <f t="shared" si="7"/>
        <v>0</v>
      </c>
      <c r="AE31" s="703">
        <f t="shared" si="8"/>
        <v>0</v>
      </c>
      <c r="AF31" s="703">
        <f>IF($O32=0,0,           IF(FRM,_xll.qGetFwdRate(AF$14,$O31,X31,"T",DCC_Leg1_Float),_xll.qGetFwdRate(AF$14,$O31,$O32,"T",DCC_Leg1_Float)))</f>
        <v>0</v>
      </c>
      <c r="AG31" s="703">
        <f>IF($O32=0,0,           IF(FRM,_xll.qGetFwdRate(AG$14,$O31,Y31,"T",DCC_Leg1_Float),_xll.qGetFwdRate(AG$14,$O31,$O32,"T",DCC_Leg1_Float)))</f>
        <v>0</v>
      </c>
      <c r="AH31" s="685">
        <v>0</v>
      </c>
      <c r="AI31" s="668"/>
      <c r="AJ31" s="670">
        <f>IF(O32=0,0,             IF(ISNUMBER(AI31),AI31,             IF(ISTEXT(AI31),INDEX(Z31:AG31,MATCH(AI31,$Z$17:$AG$17,0)),           IF(AH31="INT",_xll.qInterp(O32,R31:Y31,Z31:AG31),       INDEX(Z31:AG31,MATCH(AH31,$Z$17:$AG$17,0))))))</f>
        <v>0</v>
      </c>
      <c r="AK31" s="732">
        <v>100</v>
      </c>
      <c r="AL31" s="721">
        <f t="shared" si="2"/>
        <v>0</v>
      </c>
      <c r="AM31" s="284">
        <f>IF($O32,_xll.qDateYears($O31,$O32,DCC_Leg1_Fixed),0)</f>
        <v>0</v>
      </c>
      <c r="AN31" s="284">
        <f>IF($O32,_xll.qDateYears($O31,$O32,DCC_Leg1_Float),0)</f>
        <v>0</v>
      </c>
      <c r="AP31" s="350">
        <f t="shared" si="9"/>
        <v>0</v>
      </c>
      <c r="AQ31" s="375">
        <f>IF(GenType_1a="Fixed",GenRate_1a%*$AL30*AM30,          IF(GenType_1a="Float",$AL30*(_xll.qGetFwdRate($D$18,$O30,$O31,"T",DCC_Leg1_Float)%+GenRate_1a%%)*$AN30,        IF(GenType_1a="bp (Fixed)",GenRate_1a%%*$AM30*$AL30,   IF(GenType_1a="bp (Float)",GenRate_1a%%*$AL30*$AN30,0))))</f>
        <v>0</v>
      </c>
      <c r="AR31" s="561"/>
      <c r="AT31" s="341">
        <f t="shared" si="13"/>
        <v>0</v>
      </c>
      <c r="AV31" s="356"/>
      <c r="AW31" s="122">
        <v>0</v>
      </c>
      <c r="AX31" s="128">
        <f t="shared" si="3"/>
        <v>0</v>
      </c>
      <c r="AY31" s="357">
        <v>0</v>
      </c>
      <c r="AZ31" s="699">
        <f>IF($AW32=0,0,        _xll.qDateNext($AW31,AZ$17,"M",TRUE,Currency2))</f>
        <v>0</v>
      </c>
      <c r="BA31" s="699">
        <f>IF($AW32=0,0,        _xll.qDateNext($AW31,BA$17,"M",TRUE,Currency2))</f>
        <v>0</v>
      </c>
      <c r="BB31" s="699">
        <f>IF($AW32=0,0,        _xll.qDateNext($AW31,BB$17,"M",TRUE,Currency2))</f>
        <v>0</v>
      </c>
      <c r="BC31" s="699">
        <f>IF($AW32=0,0,        _xll.qDateNext($AW31,BC$17,"M",TRUE,Currency2))</f>
        <v>0</v>
      </c>
      <c r="BD31" s="699">
        <f>IF($AW32=0,0,        _xll.qDateNext($AW31,BD$17,"M",TRUE,Currency2))</f>
        <v>0</v>
      </c>
      <c r="BE31" s="699">
        <f>IF($AW32=0,0,        _xll.qDateNext($AW31,BE$17,"M",TRUE,Currency2))</f>
        <v>0</v>
      </c>
      <c r="BF31" s="699">
        <f>IF($AW32=0,0,        _xll.qDateNext($AW31,BF$17,"M",TRUE,Currency2))</f>
        <v>0</v>
      </c>
      <c r="BG31" s="699">
        <f>IF($AW32=0,0,        _xll.qDateNext($AW31,BG$17,"M",TRUE,Currency2))</f>
        <v>0</v>
      </c>
      <c r="BH31" s="703">
        <v>0</v>
      </c>
      <c r="BI31" s="703">
        <v>0</v>
      </c>
      <c r="BJ31" s="703">
        <v>0</v>
      </c>
      <c r="BK31" s="703">
        <v>0</v>
      </c>
      <c r="BL31" s="703">
        <f t="shared" si="4"/>
        <v>0</v>
      </c>
      <c r="BM31" s="703">
        <f t="shared" si="10"/>
        <v>0</v>
      </c>
      <c r="BN31" s="703">
        <v>0</v>
      </c>
      <c r="BO31" s="703">
        <v>0</v>
      </c>
      <c r="BP31" s="685">
        <v>0</v>
      </c>
      <c r="BQ31" s="668"/>
      <c r="BR31" s="670">
        <f>IF(AW32=0,0,             IF(ISNUMBER(BQ31),BQ31,             IF(ISTEXT(BQ31),INDEX(BH31:BO31,MATCH(BQ31,$BH$17:$BO$17,0)),           IF(BP31="INT",_xll.qInterp(AW32,AZ31:BG31,BH31:BO31),       INDEX(BH31:BO31,MATCH(BP31,$BH$17:$BO$17,0))))))</f>
        <v>0</v>
      </c>
      <c r="BS31" s="731">
        <f t="shared" si="5"/>
        <v>0</v>
      </c>
      <c r="BT31" s="406">
        <f t="shared" si="6"/>
        <v>0</v>
      </c>
      <c r="BU31" s="284">
        <f>IF($AW32,_xll.qDateYears($AW31,$AW32,DCC_Leg2_Fixed),0)</f>
        <v>0</v>
      </c>
      <c r="BV31" s="284">
        <f>IF($AW32,_xll.qDateYears($AW31,$AW32,DCC_Leg2_Float),0)</f>
        <v>0</v>
      </c>
      <c r="BX31" s="350">
        <f t="shared" si="11"/>
        <v>0</v>
      </c>
      <c r="BY31" s="375">
        <f>IF(GenType_2a="Fixed",GenRate_2a%*$BT30*BU30,          IF(GenType_2a="Float",$BT30*(_xll.qGetFwdRate($J$18,$AW30,$AW31,"T",DCC_Leg2_Float)%+GenRate_2a%%)*$BV30,        IF(GenType_2a="bp (Fixed)",GenRate_2a%%*$BU30*$BT30,   IF(GenType_2a="bp (Float)",GenRate_2a%%*$BT30*$BV30,0))))</f>
        <v>0</v>
      </c>
      <c r="BZ31" s="561"/>
      <c r="CB31" s="341">
        <f t="shared" si="12"/>
        <v>0</v>
      </c>
      <c r="CC31" s="563"/>
      <c r="CD31" s="356"/>
      <c r="CE31" s="341">
        <v>0</v>
      </c>
      <c r="CF31" s="563"/>
      <c r="CG31" s="356"/>
    </row>
    <row r="32" spans="2:85">
      <c r="O32" s="122">
        <v>0</v>
      </c>
      <c r="P32" s="128">
        <f t="shared" si="0"/>
        <v>0</v>
      </c>
      <c r="Q32" s="126">
        <v>0</v>
      </c>
      <c r="R32" s="699">
        <f>IF($O33=0,0,        _xll.qDateNext($O32,R$17,"M",TRUE,Currency1))</f>
        <v>0</v>
      </c>
      <c r="S32" s="699">
        <f>IF($O33=0,0,        _xll.qDateNext($O32,S$17,"M",TRUE,Currency1))</f>
        <v>0</v>
      </c>
      <c r="T32" s="699">
        <f>IF($O33=0,0,        _xll.qDateNext($O32,T$17,"M",TRUE,Currency1))</f>
        <v>0</v>
      </c>
      <c r="U32" s="699">
        <f>IF($O33=0,0,        _xll.qDateNext($O32,U$17,"M",TRUE,Currency1))</f>
        <v>0</v>
      </c>
      <c r="V32" s="699">
        <f>IF($O33=0,0,        _xll.qDateNext($O32,V$17,"M",TRUE,Currency1))</f>
        <v>0</v>
      </c>
      <c r="W32" s="699">
        <f>IF($O33=0,0,        _xll.qDateNext($O32,W$17,"M",TRUE,Currency1))</f>
        <v>0</v>
      </c>
      <c r="X32" s="699">
        <f>IF($O33=0,0,        _xll.qDateNext($O32,X$17,"M",TRUE,Currency1))</f>
        <v>0</v>
      </c>
      <c r="Y32" s="699">
        <f>IF($O33=0,0,        _xll.qDateNext($O32,Y$17,"M",TRUE,Currency1))</f>
        <v>0</v>
      </c>
      <c r="Z32" s="703">
        <f>IF($O33=0,0,           IF(FRM,_xll.qGetFwdRate(Z$14,$O32,R32,"T",DCC_Leg1_Float),_xll.qGetFwdRate(Z$14,$O32,$O33,"T",DCC_Leg1_Float)))</f>
        <v>0</v>
      </c>
      <c r="AA32" s="703">
        <f>IF($O33=0,0,           IF(FRM,_xll.qGetFwdRate(AA$14,$O32,S32,"T",DCC_Leg1_Float),_xll.qGetFwdRate(AA$14,$O32,$O33,"T",DCC_Leg1_Float)))</f>
        <v>0</v>
      </c>
      <c r="AB32" s="703">
        <f t="shared" si="1"/>
        <v>0</v>
      </c>
      <c r="AC32" s="703">
        <f>IF($O33=0,0,           IF(FRM,_xll.qGetFwdRate(AC$14,$O32,U32,"T",DCC_Leg1_Float),_xll.qGetFwdRate(AC$14,$O32,$O33,"T",DCC_Leg1_Float)))</f>
        <v>0</v>
      </c>
      <c r="AD32" s="703">
        <f t="shared" si="7"/>
        <v>0</v>
      </c>
      <c r="AE32" s="703">
        <f t="shared" si="8"/>
        <v>0</v>
      </c>
      <c r="AF32" s="703">
        <f>IF($O33=0,0,           IF(FRM,_xll.qGetFwdRate(AF$14,$O32,X32,"T",DCC_Leg1_Float),_xll.qGetFwdRate(AF$14,$O32,$O33,"T",DCC_Leg1_Float)))</f>
        <v>0</v>
      </c>
      <c r="AG32" s="703">
        <f>IF($O33=0,0,           IF(FRM,_xll.qGetFwdRate(AG$14,$O32,Y32,"T",DCC_Leg1_Float),_xll.qGetFwdRate(AG$14,$O32,$O33,"T",DCC_Leg1_Float)))</f>
        <v>0</v>
      </c>
      <c r="AH32" s="685">
        <v>0</v>
      </c>
      <c r="AI32" s="667"/>
      <c r="AJ32" s="670">
        <f>IF(O33=0,0,             IF(ISNUMBER(AI32),AI32,             IF(ISTEXT(AI32),INDEX(Z32:AG32,MATCH(AI32,$Z$17:$AG$17,0)),           IF(AH32="INT",_xll.qInterp(O33,R32:Y32,Z32:AG32),       INDEX(Z32:AG32,MATCH(AH32,$Z$17:$AG$17,0))))))</f>
        <v>0</v>
      </c>
      <c r="AK32" s="732">
        <v>100</v>
      </c>
      <c r="AL32" s="721">
        <f t="shared" si="2"/>
        <v>0</v>
      </c>
      <c r="AM32" s="284">
        <f>IF($O33,_xll.qDateYears($O32,$O33,DCC_Leg1_Fixed),0)</f>
        <v>0</v>
      </c>
      <c r="AN32" s="284">
        <f>IF($O33,_xll.qDateYears($O32,$O33,DCC_Leg1_Float),0)</f>
        <v>0</v>
      </c>
      <c r="AP32" s="350">
        <f t="shared" si="9"/>
        <v>0</v>
      </c>
      <c r="AQ32" s="375">
        <f>IF(GenType_1a="Fixed",GenRate_1a%*$AL31*AM31,          IF(GenType_1a="Float",$AL31*(_xll.qGetFwdRate($D$18,$O31,$O32,"T",DCC_Leg1_Float)%+GenRate_1a%%)*$AN31,        IF(GenType_1a="bp (Fixed)",GenRate_1a%%*$AM31*$AL31,   IF(GenType_1a="bp (Float)",GenRate_1a%%*$AL31*$AN31,0))))</f>
        <v>0</v>
      </c>
      <c r="AR32" s="561"/>
      <c r="AT32" s="341">
        <f t="shared" si="13"/>
        <v>0</v>
      </c>
      <c r="AV32" s="356"/>
      <c r="AW32" s="122">
        <v>0</v>
      </c>
      <c r="AX32" s="128">
        <f t="shared" si="3"/>
        <v>0</v>
      </c>
      <c r="AY32" s="357">
        <v>0</v>
      </c>
      <c r="AZ32" s="699">
        <f>IF($AW33=0,0,        _xll.qDateNext($AW32,AZ$17,"M",TRUE,Currency2))</f>
        <v>0</v>
      </c>
      <c r="BA32" s="699">
        <f>IF($AW33=0,0,        _xll.qDateNext($AW32,BA$17,"M",TRUE,Currency2))</f>
        <v>0</v>
      </c>
      <c r="BB32" s="699">
        <f>IF($AW33=0,0,        _xll.qDateNext($AW32,BB$17,"M",TRUE,Currency2))</f>
        <v>0</v>
      </c>
      <c r="BC32" s="699">
        <f>IF($AW33=0,0,        _xll.qDateNext($AW32,BC$17,"M",TRUE,Currency2))</f>
        <v>0</v>
      </c>
      <c r="BD32" s="699">
        <f>IF($AW33=0,0,        _xll.qDateNext($AW32,BD$17,"M",TRUE,Currency2))</f>
        <v>0</v>
      </c>
      <c r="BE32" s="699">
        <f>IF($AW33=0,0,        _xll.qDateNext($AW32,BE$17,"M",TRUE,Currency2))</f>
        <v>0</v>
      </c>
      <c r="BF32" s="699">
        <f>IF($AW33=0,0,        _xll.qDateNext($AW32,BF$17,"M",TRUE,Currency2))</f>
        <v>0</v>
      </c>
      <c r="BG32" s="699">
        <f>IF($AW33=0,0,        _xll.qDateNext($AW32,BG$17,"M",TRUE,Currency2))</f>
        <v>0</v>
      </c>
      <c r="BH32" s="703">
        <v>0</v>
      </c>
      <c r="BI32" s="703">
        <v>0</v>
      </c>
      <c r="BJ32" s="703">
        <v>0</v>
      </c>
      <c r="BK32" s="703">
        <v>0</v>
      </c>
      <c r="BL32" s="703">
        <f t="shared" si="4"/>
        <v>0</v>
      </c>
      <c r="BM32" s="703">
        <f t="shared" si="10"/>
        <v>0</v>
      </c>
      <c r="BN32" s="703">
        <v>0</v>
      </c>
      <c r="BO32" s="703">
        <v>0</v>
      </c>
      <c r="BP32" s="685">
        <v>0</v>
      </c>
      <c r="BQ32" s="667"/>
      <c r="BR32" s="670">
        <f>IF(AW33=0,0,             IF(ISNUMBER(BQ32),BQ32,             IF(ISTEXT(BQ32),INDEX(BH32:BO32,MATCH(BQ32,$BH$17:$BO$17,0)),           IF(BP32="INT",_xll.qInterp(AW33,AZ32:BG32,BH32:BO32),       INDEX(BH32:BO32,MATCH(BP32,$BH$17:$BO$17,0))))))</f>
        <v>0</v>
      </c>
      <c r="BS32" s="731">
        <f t="shared" si="5"/>
        <v>0</v>
      </c>
      <c r="BT32" s="406">
        <f t="shared" si="6"/>
        <v>0</v>
      </c>
      <c r="BU32" s="284">
        <f>IF($AW33,_xll.qDateYears($AW32,$AW33,DCC_Leg2_Fixed),0)</f>
        <v>0</v>
      </c>
      <c r="BV32" s="284">
        <f>IF($AW33,_xll.qDateYears($AW32,$AW33,DCC_Leg2_Float),0)</f>
        <v>0</v>
      </c>
      <c r="BX32" s="350">
        <f t="shared" si="11"/>
        <v>0</v>
      </c>
      <c r="BY32" s="375">
        <f>IF(GenType_2a="Fixed",GenRate_2a%*$BT31*BU31,          IF(GenType_2a="Float",$BT31*(_xll.qGetFwdRate($J$18,$AW31,$AW32,"T",DCC_Leg2_Float)%+GenRate_2a%%)*$BV31,        IF(GenType_2a="bp (Fixed)",GenRate_2a%%*$BU31*$BT31,   IF(GenType_2a="bp (Float)",GenRate_2a%%*$BT31*$BV31,0))))</f>
        <v>0</v>
      </c>
      <c r="BZ32" s="561"/>
      <c r="CB32" s="341">
        <f t="shared" si="12"/>
        <v>0</v>
      </c>
      <c r="CC32" s="563"/>
      <c r="CD32" s="356"/>
      <c r="CE32" s="341">
        <v>0</v>
      </c>
      <c r="CF32" s="563"/>
      <c r="CG32" s="356"/>
    </row>
    <row r="33" spans="2:85">
      <c r="M33" s="153" t="s">
        <v>81</v>
      </c>
      <c r="O33" s="122">
        <v>0</v>
      </c>
      <c r="P33" s="128">
        <f t="shared" si="0"/>
        <v>0</v>
      </c>
      <c r="Q33" s="126">
        <v>0</v>
      </c>
      <c r="R33" s="699">
        <f>IF($O34=0,0,        _xll.qDateNext($O33,R$17,"M",TRUE,Currency1))</f>
        <v>0</v>
      </c>
      <c r="S33" s="699">
        <f>IF($O34=0,0,        _xll.qDateNext($O33,S$17,"M",TRUE,Currency1))</f>
        <v>0</v>
      </c>
      <c r="T33" s="699">
        <f>IF($O34=0,0,        _xll.qDateNext($O33,T$17,"M",TRUE,Currency1))</f>
        <v>0</v>
      </c>
      <c r="U33" s="699">
        <f>IF($O34=0,0,        _xll.qDateNext($O33,U$17,"M",TRUE,Currency1))</f>
        <v>0</v>
      </c>
      <c r="V33" s="699">
        <f>IF($O34=0,0,        _xll.qDateNext($O33,V$17,"M",TRUE,Currency1))</f>
        <v>0</v>
      </c>
      <c r="W33" s="699">
        <f>IF($O34=0,0,        _xll.qDateNext($O33,W$17,"M",TRUE,Currency1))</f>
        <v>0</v>
      </c>
      <c r="X33" s="699">
        <f>IF($O34=0,0,        _xll.qDateNext($O33,X$17,"M",TRUE,Currency1))</f>
        <v>0</v>
      </c>
      <c r="Y33" s="699">
        <f>IF($O34=0,0,        _xll.qDateNext($O33,Y$17,"M",TRUE,Currency1))</f>
        <v>0</v>
      </c>
      <c r="Z33" s="703">
        <f>IF($O34=0,0,           IF(FRM,_xll.qGetFwdRate(Z$14,$O33,R33,"T",DCC_Leg1_Float),_xll.qGetFwdRate(Z$14,$O33,$O34,"T",DCC_Leg1_Float)))</f>
        <v>0</v>
      </c>
      <c r="AA33" s="703">
        <f>IF($O34=0,0,           IF(FRM,_xll.qGetFwdRate(AA$14,$O33,S33,"T",DCC_Leg1_Float),_xll.qGetFwdRate(AA$14,$O33,$O34,"T",DCC_Leg1_Float)))</f>
        <v>0</v>
      </c>
      <c r="AB33" s="703">
        <f t="shared" si="1"/>
        <v>0</v>
      </c>
      <c r="AC33" s="703">
        <f>IF($O34=0,0,           IF(FRM,_xll.qGetFwdRate(AC$14,$O33,U33,"T",DCC_Leg1_Float),_xll.qGetFwdRate(AC$14,$O33,$O34,"T",DCC_Leg1_Float)))</f>
        <v>0</v>
      </c>
      <c r="AD33" s="703">
        <f t="shared" si="7"/>
        <v>0</v>
      </c>
      <c r="AE33" s="703">
        <f t="shared" si="8"/>
        <v>0</v>
      </c>
      <c r="AF33" s="703">
        <f>IF($O34=0,0,           IF(FRM,_xll.qGetFwdRate(AF$14,$O33,X33,"T",DCC_Leg1_Float),_xll.qGetFwdRate(AF$14,$O33,$O34,"T",DCC_Leg1_Float)))</f>
        <v>0</v>
      </c>
      <c r="AG33" s="703">
        <f>IF($O34=0,0,           IF(FRM,_xll.qGetFwdRate(AG$14,$O33,Y33,"T",DCC_Leg1_Float),_xll.qGetFwdRate(AG$14,$O33,$O34,"T",DCC_Leg1_Float)))</f>
        <v>0</v>
      </c>
      <c r="AH33" s="685">
        <v>0</v>
      </c>
      <c r="AI33" s="667"/>
      <c r="AJ33" s="670">
        <f>IF(O34=0,0,             IF(ISNUMBER(AI33),AI33,             IF(ISTEXT(AI33),INDEX(Z33:AG33,MATCH(AI33,$Z$17:$AG$17,0)),           IF(AH33="INT",_xll.qInterp(O34,R33:Y33,Z33:AG33),       INDEX(Z33:AG33,MATCH(AH33,$Z$17:$AG$17,0))))))</f>
        <v>0</v>
      </c>
      <c r="AK33" s="732">
        <v>100</v>
      </c>
      <c r="AL33" s="721">
        <f t="shared" si="2"/>
        <v>0</v>
      </c>
      <c r="AM33" s="284">
        <f>IF($O34,_xll.qDateYears($O33,$O34,DCC_Leg1_Fixed),0)</f>
        <v>0</v>
      </c>
      <c r="AN33" s="284">
        <f>IF($O34,_xll.qDateYears($O33,$O34,DCC_Leg1_Float),0)</f>
        <v>0</v>
      </c>
      <c r="AP33" s="350">
        <f t="shared" si="9"/>
        <v>0</v>
      </c>
      <c r="AQ33" s="375">
        <f>IF(GenType_1a="Fixed",GenRate_1a%*$AL32*AM32,          IF(GenType_1a="Float",$AL32*(_xll.qGetFwdRate($D$18,$O32,$O33,"T",DCC_Leg1_Float)%+GenRate_1a%%)*$AN32,        IF(GenType_1a="bp (Fixed)",GenRate_1a%%*$AM32*$AL32,   IF(GenType_1a="bp (Float)",GenRate_1a%%*$AL32*$AN32,0))))</f>
        <v>0</v>
      </c>
      <c r="AR33" s="561"/>
      <c r="AT33" s="341">
        <f t="shared" si="13"/>
        <v>0</v>
      </c>
      <c r="AV33" s="356"/>
      <c r="AW33" s="122">
        <v>0</v>
      </c>
      <c r="AX33" s="128">
        <f t="shared" si="3"/>
        <v>0</v>
      </c>
      <c r="AY33" s="357">
        <v>0</v>
      </c>
      <c r="AZ33" s="699">
        <f>IF($AW34=0,0,        _xll.qDateNext($AW33,AZ$17,"M",TRUE,Currency2))</f>
        <v>0</v>
      </c>
      <c r="BA33" s="699">
        <f>IF($AW34=0,0,        _xll.qDateNext($AW33,BA$17,"M",TRUE,Currency2))</f>
        <v>0</v>
      </c>
      <c r="BB33" s="699">
        <f>IF($AW34=0,0,        _xll.qDateNext($AW33,BB$17,"M",TRUE,Currency2))</f>
        <v>0</v>
      </c>
      <c r="BC33" s="699">
        <f>IF($AW34=0,0,        _xll.qDateNext($AW33,BC$17,"M",TRUE,Currency2))</f>
        <v>0</v>
      </c>
      <c r="BD33" s="699">
        <f>IF($AW34=0,0,        _xll.qDateNext($AW33,BD$17,"M",TRUE,Currency2))</f>
        <v>0</v>
      </c>
      <c r="BE33" s="699">
        <f>IF($AW34=0,0,        _xll.qDateNext($AW33,BE$17,"M",TRUE,Currency2))</f>
        <v>0</v>
      </c>
      <c r="BF33" s="699">
        <f>IF($AW34=0,0,        _xll.qDateNext($AW33,BF$17,"M",TRUE,Currency2))</f>
        <v>0</v>
      </c>
      <c r="BG33" s="699">
        <f>IF($AW34=0,0,        _xll.qDateNext($AW33,BG$17,"M",TRUE,Currency2))</f>
        <v>0</v>
      </c>
      <c r="BH33" s="703">
        <v>0</v>
      </c>
      <c r="BI33" s="703">
        <v>0</v>
      </c>
      <c r="BJ33" s="703">
        <v>0</v>
      </c>
      <c r="BK33" s="703">
        <v>0</v>
      </c>
      <c r="BL33" s="703">
        <f t="shared" si="4"/>
        <v>0</v>
      </c>
      <c r="BM33" s="703">
        <f t="shared" si="10"/>
        <v>0</v>
      </c>
      <c r="BN33" s="703">
        <v>0</v>
      </c>
      <c r="BO33" s="703">
        <v>0</v>
      </c>
      <c r="BP33" s="685">
        <v>0</v>
      </c>
      <c r="BQ33" s="667"/>
      <c r="BR33" s="670">
        <f>IF(AW34=0,0,             IF(ISNUMBER(BQ33),BQ33,             IF(ISTEXT(BQ33),INDEX(BH33:BO33,MATCH(BQ33,$BH$17:$BO$17,0)),           IF(BP33="INT",_xll.qInterp(AW34,AZ33:BG33,BH33:BO33),       INDEX(BH33:BO33,MATCH(BP33,$BH$17:$BO$17,0))))))</f>
        <v>0</v>
      </c>
      <c r="BS33" s="731">
        <f t="shared" si="5"/>
        <v>0</v>
      </c>
      <c r="BT33" s="406">
        <f t="shared" si="6"/>
        <v>0</v>
      </c>
      <c r="BU33" s="284">
        <f>IF($AW34,_xll.qDateYears($AW33,$AW34,DCC_Leg2_Fixed),0)</f>
        <v>0</v>
      </c>
      <c r="BV33" s="284">
        <f>IF($AW34,_xll.qDateYears($AW33,$AW34,DCC_Leg2_Float),0)</f>
        <v>0</v>
      </c>
      <c r="BX33" s="350">
        <f t="shared" si="11"/>
        <v>0</v>
      </c>
      <c r="BY33" s="375">
        <f>IF(GenType_2a="Fixed",GenRate_2a%*$BT32*BU32,          IF(GenType_2a="Float",$BT32*(_xll.qGetFwdRate($J$18,$AW32,$AW33,"T",DCC_Leg2_Float)%+GenRate_2a%%)*$BV32,        IF(GenType_2a="bp (Fixed)",GenRate_2a%%*$BU32*$BT32,   IF(GenType_2a="bp (Float)",GenRate_2a%%*$BT32*$BV32,0))))</f>
        <v>0</v>
      </c>
      <c r="BZ33" s="561"/>
      <c r="CB33" s="341">
        <f t="shared" si="12"/>
        <v>0</v>
      </c>
      <c r="CC33" s="563"/>
      <c r="CD33" s="356"/>
      <c r="CE33" s="341">
        <v>0</v>
      </c>
      <c r="CF33" s="563"/>
      <c r="CG33" s="356"/>
    </row>
    <row r="34" spans="2:85">
      <c r="O34" s="122">
        <v>0</v>
      </c>
      <c r="P34" s="128">
        <f t="shared" si="0"/>
        <v>0</v>
      </c>
      <c r="Q34" s="126">
        <v>0</v>
      </c>
      <c r="R34" s="699">
        <f>IF($O35=0,0,        _xll.qDateNext($O34,R$17,"M",TRUE,Currency1))</f>
        <v>0</v>
      </c>
      <c r="S34" s="699">
        <f>IF($O35=0,0,        _xll.qDateNext($O34,S$17,"M",TRUE,Currency1))</f>
        <v>0</v>
      </c>
      <c r="T34" s="699">
        <f>IF($O35=0,0,        _xll.qDateNext($O34,T$17,"M",TRUE,Currency1))</f>
        <v>0</v>
      </c>
      <c r="U34" s="699">
        <f>IF($O35=0,0,        _xll.qDateNext($O34,U$17,"M",TRUE,Currency1))</f>
        <v>0</v>
      </c>
      <c r="V34" s="699">
        <f>IF($O35=0,0,        _xll.qDateNext($O34,V$17,"M",TRUE,Currency1))</f>
        <v>0</v>
      </c>
      <c r="W34" s="699">
        <f>IF($O35=0,0,        _xll.qDateNext($O34,W$17,"M",TRUE,Currency1))</f>
        <v>0</v>
      </c>
      <c r="X34" s="699">
        <f>IF($O35=0,0,        _xll.qDateNext($O34,X$17,"M",TRUE,Currency1))</f>
        <v>0</v>
      </c>
      <c r="Y34" s="699">
        <f>IF($O35=0,0,        _xll.qDateNext($O34,Y$17,"M",TRUE,Currency1))</f>
        <v>0</v>
      </c>
      <c r="Z34" s="703">
        <f>IF($O35=0,0,           IF(FRM,_xll.qGetFwdRate(Z$14,$O34,R34,"T",DCC_Leg1_Float),_xll.qGetFwdRate(Z$14,$O34,$O35,"T",DCC_Leg1_Float)))</f>
        <v>0</v>
      </c>
      <c r="AA34" s="703">
        <f>IF($O35=0,0,           IF(FRM,_xll.qGetFwdRate(AA$14,$O34,S34,"T",DCC_Leg1_Float),_xll.qGetFwdRate(AA$14,$O34,$O35,"T",DCC_Leg1_Float)))</f>
        <v>0</v>
      </c>
      <c r="AB34" s="703">
        <f t="shared" si="1"/>
        <v>0</v>
      </c>
      <c r="AC34" s="703">
        <f>IF($O35=0,0,           IF(FRM,_xll.qGetFwdRate(AC$14,$O34,U34,"T",DCC_Leg1_Float),_xll.qGetFwdRate(AC$14,$O34,$O35,"T",DCC_Leg1_Float)))</f>
        <v>0</v>
      </c>
      <c r="AD34" s="703">
        <f t="shared" si="7"/>
        <v>0</v>
      </c>
      <c r="AE34" s="703">
        <f t="shared" si="8"/>
        <v>0</v>
      </c>
      <c r="AF34" s="703">
        <f>IF($O35=0,0,           IF(FRM,_xll.qGetFwdRate(AF$14,$O34,X34,"T",DCC_Leg1_Float),_xll.qGetFwdRate(AF$14,$O34,$O35,"T",DCC_Leg1_Float)))</f>
        <v>0</v>
      </c>
      <c r="AG34" s="703">
        <f>IF($O35=0,0,           IF(FRM,_xll.qGetFwdRate(AG$14,$O34,Y34,"T",DCC_Leg1_Float),_xll.qGetFwdRate(AG$14,$O34,$O35,"T",DCC_Leg1_Float)))</f>
        <v>0</v>
      </c>
      <c r="AH34" s="685">
        <v>0</v>
      </c>
      <c r="AI34" s="667"/>
      <c r="AJ34" s="670">
        <f>IF(O35=0,0,             IF(ISNUMBER(AI34),AI34,             IF(ISTEXT(AI34),INDEX(Z34:AG34,MATCH(AI34,$Z$17:$AG$17,0)),           IF(AH34="INT",_xll.qInterp(O35,R34:Y34,Z34:AG34),       INDEX(Z34:AG34,MATCH(AH34,$Z$17:$AG$17,0))))))</f>
        <v>0</v>
      </c>
      <c r="AK34" s="732">
        <v>100</v>
      </c>
      <c r="AL34" s="721">
        <f t="shared" si="2"/>
        <v>0</v>
      </c>
      <c r="AM34" s="284">
        <f>IF($O35,_xll.qDateYears($O34,$O35,DCC_Leg1_Fixed),0)</f>
        <v>0</v>
      </c>
      <c r="AN34" s="284">
        <f>IF($O35,_xll.qDateYears($O34,$O35,DCC_Leg1_Float),0)</f>
        <v>0</v>
      </c>
      <c r="AP34" s="350">
        <f t="shared" si="9"/>
        <v>0</v>
      </c>
      <c r="AQ34" s="375">
        <f>IF(GenType_1a="Fixed",GenRate_1a%*$AL33*AM33,          IF(GenType_1a="Float",$AL33*(_xll.qGetFwdRate($D$18,$O33,$O34,"T",DCC_Leg1_Float)%+GenRate_1a%%)*$AN33,        IF(GenType_1a="bp (Fixed)",GenRate_1a%%*$AM33*$AL33,   IF(GenType_1a="bp (Float)",GenRate_1a%%*$AL33*$AN33,0))))</f>
        <v>0</v>
      </c>
      <c r="AR34" s="561"/>
      <c r="AT34" s="341">
        <f t="shared" si="13"/>
        <v>0</v>
      </c>
      <c r="AV34" s="356"/>
      <c r="AW34" s="122">
        <v>0</v>
      </c>
      <c r="AX34" s="128">
        <f t="shared" si="3"/>
        <v>0</v>
      </c>
      <c r="AY34" s="357">
        <v>0</v>
      </c>
      <c r="AZ34" s="699">
        <f>IF($AW35=0,0,        _xll.qDateNext($AW34,AZ$17,"M",TRUE,Currency2))</f>
        <v>0</v>
      </c>
      <c r="BA34" s="699">
        <f>IF($AW35=0,0,        _xll.qDateNext($AW34,BA$17,"M",TRUE,Currency2))</f>
        <v>0</v>
      </c>
      <c r="BB34" s="699">
        <f>IF($AW35=0,0,        _xll.qDateNext($AW34,BB$17,"M",TRUE,Currency2))</f>
        <v>0</v>
      </c>
      <c r="BC34" s="699">
        <f>IF($AW35=0,0,        _xll.qDateNext($AW34,BC$17,"M",TRUE,Currency2))</f>
        <v>0</v>
      </c>
      <c r="BD34" s="699">
        <f>IF($AW35=0,0,        _xll.qDateNext($AW34,BD$17,"M",TRUE,Currency2))</f>
        <v>0</v>
      </c>
      <c r="BE34" s="699">
        <f>IF($AW35=0,0,        _xll.qDateNext($AW34,BE$17,"M",TRUE,Currency2))</f>
        <v>0</v>
      </c>
      <c r="BF34" s="699">
        <f>IF($AW35=0,0,        _xll.qDateNext($AW34,BF$17,"M",TRUE,Currency2))</f>
        <v>0</v>
      </c>
      <c r="BG34" s="699">
        <f>IF($AW35=0,0,        _xll.qDateNext($AW34,BG$17,"M",TRUE,Currency2))</f>
        <v>0</v>
      </c>
      <c r="BH34" s="703">
        <v>0</v>
      </c>
      <c r="BI34" s="703">
        <v>0</v>
      </c>
      <c r="BJ34" s="703">
        <v>0</v>
      </c>
      <c r="BK34" s="703">
        <v>0</v>
      </c>
      <c r="BL34" s="703">
        <f t="shared" si="4"/>
        <v>0</v>
      </c>
      <c r="BM34" s="703">
        <f t="shared" si="10"/>
        <v>0</v>
      </c>
      <c r="BN34" s="703">
        <v>0</v>
      </c>
      <c r="BO34" s="703">
        <v>0</v>
      </c>
      <c r="BP34" s="685">
        <v>0</v>
      </c>
      <c r="BQ34" s="667"/>
      <c r="BR34" s="670">
        <f>IF(AW35=0,0,             IF(ISNUMBER(BQ34),BQ34,             IF(ISTEXT(BQ34),INDEX(BH34:BO34,MATCH(BQ34,$BH$17:$BO$17,0)),           IF(BP34="INT",_xll.qInterp(AW35,AZ34:BG34,BH34:BO34),       INDEX(BH34:BO34,MATCH(BP34,$BH$17:$BO$17,0))))))</f>
        <v>0</v>
      </c>
      <c r="BS34" s="731">
        <f t="shared" si="5"/>
        <v>0</v>
      </c>
      <c r="BT34" s="406">
        <f t="shared" si="6"/>
        <v>0</v>
      </c>
      <c r="BU34" s="284">
        <f>IF($AW35,_xll.qDateYears($AW34,$AW35,DCC_Leg2_Fixed),0)</f>
        <v>0</v>
      </c>
      <c r="BV34" s="284">
        <f>IF($AW35,_xll.qDateYears($AW34,$AW35,DCC_Leg2_Float),0)</f>
        <v>0</v>
      </c>
      <c r="BX34" s="350">
        <f t="shared" si="11"/>
        <v>0</v>
      </c>
      <c r="BY34" s="375">
        <f>IF(GenType_2a="Fixed",GenRate_2a%*$BT33*BU33,          IF(GenType_2a="Float",$BT33*(_xll.qGetFwdRate($J$18,$AW33,$AW34,"T",DCC_Leg2_Float)%+GenRate_2a%%)*$BV33,        IF(GenType_2a="bp (Fixed)",GenRate_2a%%*$BU33*$BT33,   IF(GenType_2a="bp (Float)",GenRate_2a%%*$BT33*$BV33,0))))</f>
        <v>0</v>
      </c>
      <c r="BZ34" s="561"/>
      <c r="CB34" s="341">
        <f t="shared" si="12"/>
        <v>0</v>
      </c>
      <c r="CC34" s="563"/>
      <c r="CD34" s="356"/>
      <c r="CE34" s="341">
        <v>0</v>
      </c>
      <c r="CF34" s="563"/>
      <c r="CG34" s="356"/>
    </row>
    <row r="35" spans="2:85">
      <c r="O35" s="122">
        <v>0</v>
      </c>
      <c r="P35" s="128">
        <f t="shared" si="0"/>
        <v>0</v>
      </c>
      <c r="Q35" s="126">
        <v>0</v>
      </c>
      <c r="R35" s="699">
        <f>IF($O36=0,0,        _xll.qDateNext($O35,R$17,"M",TRUE,Currency1))</f>
        <v>0</v>
      </c>
      <c r="S35" s="699">
        <f>IF($O36=0,0,        _xll.qDateNext($O35,S$17,"M",TRUE,Currency1))</f>
        <v>0</v>
      </c>
      <c r="T35" s="699">
        <f>IF($O36=0,0,        _xll.qDateNext($O35,T$17,"M",TRUE,Currency1))</f>
        <v>0</v>
      </c>
      <c r="U35" s="699">
        <f>IF($O36=0,0,        _xll.qDateNext($O35,U$17,"M",TRUE,Currency1))</f>
        <v>0</v>
      </c>
      <c r="V35" s="699">
        <f>IF($O36=0,0,        _xll.qDateNext($O35,V$17,"M",TRUE,Currency1))</f>
        <v>0</v>
      </c>
      <c r="W35" s="699">
        <f>IF($O36=0,0,        _xll.qDateNext($O35,W$17,"M",TRUE,Currency1))</f>
        <v>0</v>
      </c>
      <c r="X35" s="699">
        <f>IF($O36=0,0,        _xll.qDateNext($O35,X$17,"M",TRUE,Currency1))</f>
        <v>0</v>
      </c>
      <c r="Y35" s="699">
        <f>IF($O36=0,0,        _xll.qDateNext($O35,Y$17,"M",TRUE,Currency1))</f>
        <v>0</v>
      </c>
      <c r="Z35" s="703">
        <f>IF($O36=0,0,           IF(FRM,_xll.qGetFwdRate(Z$14,$O35,R35,"T",DCC_Leg1_Float),_xll.qGetFwdRate(Z$14,$O35,$O36,"T",DCC_Leg1_Float)))</f>
        <v>0</v>
      </c>
      <c r="AA35" s="703">
        <f>IF($O36=0,0,           IF(FRM,_xll.qGetFwdRate(AA$14,$O35,S35,"T",DCC_Leg1_Float),_xll.qGetFwdRate(AA$14,$O35,$O36,"T",DCC_Leg1_Float)))</f>
        <v>0</v>
      </c>
      <c r="AB35" s="703">
        <f t="shared" si="1"/>
        <v>0</v>
      </c>
      <c r="AC35" s="703">
        <f>IF($O36=0,0,           IF(FRM,_xll.qGetFwdRate(AC$14,$O35,U35,"T",DCC_Leg1_Float),_xll.qGetFwdRate(AC$14,$O35,$O36,"T",DCC_Leg1_Float)))</f>
        <v>0</v>
      </c>
      <c r="AD35" s="703">
        <f t="shared" si="7"/>
        <v>0</v>
      </c>
      <c r="AE35" s="703">
        <f t="shared" si="8"/>
        <v>0</v>
      </c>
      <c r="AF35" s="703">
        <f>IF($O36=0,0,           IF(FRM,_xll.qGetFwdRate(AF$14,$O35,X35,"T",DCC_Leg1_Float),_xll.qGetFwdRate(AF$14,$O35,$O36,"T",DCC_Leg1_Float)))</f>
        <v>0</v>
      </c>
      <c r="AG35" s="703">
        <f>IF($O36=0,0,           IF(FRM,_xll.qGetFwdRate(AG$14,$O35,Y35,"T",DCC_Leg1_Float),_xll.qGetFwdRate(AG$14,$O35,$O36,"T",DCC_Leg1_Float)))</f>
        <v>0</v>
      </c>
      <c r="AH35" s="685">
        <v>0</v>
      </c>
      <c r="AI35" s="667"/>
      <c r="AJ35" s="670">
        <f>IF(O36=0,0,             IF(ISNUMBER(AI35),AI35,             IF(ISTEXT(AI35),INDEX(Z35:AG35,MATCH(AI35,$Z$17:$AG$17,0)),           IF(AH35="INT",_xll.qInterp(O36,R35:Y35,Z35:AG35),       INDEX(Z35:AG35,MATCH(AH35,$Z$17:$AG$17,0))))))</f>
        <v>0</v>
      </c>
      <c r="AK35" s="732">
        <v>100</v>
      </c>
      <c r="AL35" s="721">
        <f t="shared" si="2"/>
        <v>0</v>
      </c>
      <c r="AM35" s="284">
        <f>IF($O36,_xll.qDateYears($O35,$O36,DCC_Leg1_Fixed),0)</f>
        <v>0</v>
      </c>
      <c r="AN35" s="284">
        <f>IF($O36,_xll.qDateYears($O35,$O36,DCC_Leg1_Float),0)</f>
        <v>0</v>
      </c>
      <c r="AP35" s="350">
        <f t="shared" si="9"/>
        <v>0</v>
      </c>
      <c r="AQ35" s="375">
        <f>IF(GenType_1a="Fixed",GenRate_1a%*$AL34*AM34,          IF(GenType_1a="Float",$AL34*(_xll.qGetFwdRate($D$18,$O34,$O35,"T",DCC_Leg1_Float)%+GenRate_1a%%)*$AN34,        IF(GenType_1a="bp (Fixed)",GenRate_1a%%*$AM34*$AL34,   IF(GenType_1a="bp (Float)",GenRate_1a%%*$AL34*$AN34,0))))</f>
        <v>0</v>
      </c>
      <c r="AR35" s="561"/>
      <c r="AT35" s="341">
        <f t="shared" si="13"/>
        <v>0</v>
      </c>
      <c r="AV35" s="356"/>
      <c r="AW35" s="122">
        <v>0</v>
      </c>
      <c r="AX35" s="128">
        <f t="shared" si="3"/>
        <v>0</v>
      </c>
      <c r="AY35" s="357">
        <v>0</v>
      </c>
      <c r="AZ35" s="699">
        <f>IF($AW36=0,0,        _xll.qDateNext($AW35,AZ$17,"M",TRUE,Currency2))</f>
        <v>0</v>
      </c>
      <c r="BA35" s="699">
        <f>IF($AW36=0,0,        _xll.qDateNext($AW35,BA$17,"M",TRUE,Currency2))</f>
        <v>0</v>
      </c>
      <c r="BB35" s="699">
        <f>IF($AW36=0,0,        _xll.qDateNext($AW35,BB$17,"M",TRUE,Currency2))</f>
        <v>0</v>
      </c>
      <c r="BC35" s="699">
        <f>IF($AW36=0,0,        _xll.qDateNext($AW35,BC$17,"M",TRUE,Currency2))</f>
        <v>0</v>
      </c>
      <c r="BD35" s="699">
        <f>IF($AW36=0,0,        _xll.qDateNext($AW35,BD$17,"M",TRUE,Currency2))</f>
        <v>0</v>
      </c>
      <c r="BE35" s="699">
        <f>IF($AW36=0,0,        _xll.qDateNext($AW35,BE$17,"M",TRUE,Currency2))</f>
        <v>0</v>
      </c>
      <c r="BF35" s="699">
        <f>IF($AW36=0,0,        _xll.qDateNext($AW35,BF$17,"M",TRUE,Currency2))</f>
        <v>0</v>
      </c>
      <c r="BG35" s="699">
        <f>IF($AW36=0,0,        _xll.qDateNext($AW35,BG$17,"M",TRUE,Currency2))</f>
        <v>0</v>
      </c>
      <c r="BH35" s="703">
        <v>0</v>
      </c>
      <c r="BI35" s="703">
        <v>0</v>
      </c>
      <c r="BJ35" s="703">
        <v>0</v>
      </c>
      <c r="BK35" s="703">
        <v>0</v>
      </c>
      <c r="BL35" s="703">
        <f t="shared" si="4"/>
        <v>0</v>
      </c>
      <c r="BM35" s="703">
        <f t="shared" si="10"/>
        <v>0</v>
      </c>
      <c r="BN35" s="703">
        <v>0</v>
      </c>
      <c r="BO35" s="703">
        <v>0</v>
      </c>
      <c r="BP35" s="685">
        <v>0</v>
      </c>
      <c r="BQ35" s="667"/>
      <c r="BR35" s="670">
        <f>IF(AW36=0,0,             IF(ISNUMBER(BQ35),BQ35,             IF(ISTEXT(BQ35),INDEX(BH35:BO35,MATCH(BQ35,$BH$17:$BO$17,0)),           IF(BP35="INT",_xll.qInterp(AW36,AZ35:BG35,BH35:BO35),       INDEX(BH35:BO35,MATCH(BP35,$BH$17:$BO$17,0))))))</f>
        <v>0</v>
      </c>
      <c r="BS35" s="731">
        <f t="shared" si="5"/>
        <v>0</v>
      </c>
      <c r="BT35" s="406">
        <f t="shared" si="6"/>
        <v>0</v>
      </c>
      <c r="BU35" s="284">
        <f>IF($AW36,_xll.qDateYears($AW35,$AW36,DCC_Leg2_Fixed),0)</f>
        <v>0</v>
      </c>
      <c r="BV35" s="284">
        <f>IF($AW36,_xll.qDateYears($AW35,$AW36,DCC_Leg2_Float),0)</f>
        <v>0</v>
      </c>
      <c r="BX35" s="350">
        <f t="shared" si="11"/>
        <v>0</v>
      </c>
      <c r="BY35" s="375">
        <f>IF(GenType_2a="Fixed",GenRate_2a%*$BT34*BU34,          IF(GenType_2a="Float",$BT34*(_xll.qGetFwdRate($J$18,$AW34,$AW35,"T",DCC_Leg2_Float)%+GenRate_2a%%)*$BV34,        IF(GenType_2a="bp (Fixed)",GenRate_2a%%*$BU34*$BT34,   IF(GenType_2a="bp (Float)",GenRate_2a%%*$BT34*$BV34,0))))</f>
        <v>0</v>
      </c>
      <c r="BZ35" s="561"/>
      <c r="CB35" s="341">
        <f t="shared" si="12"/>
        <v>0</v>
      </c>
      <c r="CC35" s="563"/>
      <c r="CD35" s="356"/>
      <c r="CE35" s="341">
        <v>0</v>
      </c>
      <c r="CF35" s="563"/>
      <c r="CG35" s="356"/>
    </row>
    <row r="36" spans="2:85">
      <c r="B36" s="153" t="s">
        <v>353</v>
      </c>
      <c r="F36" s="154" t="s">
        <v>355</v>
      </c>
      <c r="O36" s="122">
        <v>0</v>
      </c>
      <c r="P36" s="128">
        <f t="shared" si="0"/>
        <v>0</v>
      </c>
      <c r="Q36" s="126">
        <v>0</v>
      </c>
      <c r="R36" s="699">
        <f>IF($O37=0,0,        _xll.qDateNext($O36,R$17,"M",TRUE,Currency1))</f>
        <v>0</v>
      </c>
      <c r="S36" s="699">
        <f>IF($O37=0,0,        _xll.qDateNext($O36,S$17,"M",TRUE,Currency1))</f>
        <v>0</v>
      </c>
      <c r="T36" s="699">
        <f>IF($O37=0,0,        _xll.qDateNext($O36,T$17,"M",TRUE,Currency1))</f>
        <v>0</v>
      </c>
      <c r="U36" s="699">
        <f>IF($O37=0,0,        _xll.qDateNext($O36,U$17,"M",TRUE,Currency1))</f>
        <v>0</v>
      </c>
      <c r="V36" s="699">
        <f>IF($O37=0,0,        _xll.qDateNext($O36,V$17,"M",TRUE,Currency1))</f>
        <v>0</v>
      </c>
      <c r="W36" s="699">
        <f>IF($O37=0,0,        _xll.qDateNext($O36,W$17,"M",TRUE,Currency1))</f>
        <v>0</v>
      </c>
      <c r="X36" s="699">
        <f>IF($O37=0,0,        _xll.qDateNext($O36,X$17,"M",TRUE,Currency1))</f>
        <v>0</v>
      </c>
      <c r="Y36" s="699">
        <f>IF($O37=0,0,        _xll.qDateNext($O36,Y$17,"M",TRUE,Currency1))</f>
        <v>0</v>
      </c>
      <c r="Z36" s="703">
        <f>IF($O37=0,0,           IF(FRM,_xll.qGetFwdRate(Z$14,$O36,R36,"T",DCC_Leg1_Float),_xll.qGetFwdRate(Z$14,$O36,$O37,"T",DCC_Leg1_Float)))</f>
        <v>0</v>
      </c>
      <c r="AA36" s="703">
        <f>IF($O37=0,0,           IF(FRM,_xll.qGetFwdRate(AA$14,$O36,S36,"T",DCC_Leg1_Float),_xll.qGetFwdRate(AA$14,$O36,$O37,"T",DCC_Leg1_Float)))</f>
        <v>0</v>
      </c>
      <c r="AB36" s="703">
        <f t="shared" si="1"/>
        <v>0</v>
      </c>
      <c r="AC36" s="703">
        <f>IF($O37=0,0,           IF(FRM,_xll.qGetFwdRate(AC$14,$O36,U36,"T",DCC_Leg1_Float),_xll.qGetFwdRate(AC$14,$O36,$O37,"T",DCC_Leg1_Float)))</f>
        <v>0</v>
      </c>
      <c r="AD36" s="703">
        <f t="shared" si="7"/>
        <v>0</v>
      </c>
      <c r="AE36" s="703">
        <f t="shared" si="8"/>
        <v>0</v>
      </c>
      <c r="AF36" s="703">
        <f>IF($O37=0,0,           IF(FRM,_xll.qGetFwdRate(AF$14,$O36,X36,"T",DCC_Leg1_Float),_xll.qGetFwdRate(AF$14,$O36,$O37,"T",DCC_Leg1_Float)))</f>
        <v>0</v>
      </c>
      <c r="AG36" s="703">
        <f>IF($O37=0,0,           IF(FRM,_xll.qGetFwdRate(AG$14,$O36,Y36,"T",DCC_Leg1_Float),_xll.qGetFwdRate(AG$14,$O36,$O37,"T",DCC_Leg1_Float)))</f>
        <v>0</v>
      </c>
      <c r="AH36" s="685">
        <v>0</v>
      </c>
      <c r="AI36" s="667"/>
      <c r="AJ36" s="670">
        <f>IF(O37=0,0,             IF(ISNUMBER(AI36),AI36,             IF(ISTEXT(AI36),INDEX(Z36:AG36,MATCH(AI36,$Z$17:$AG$17,0)),           IF(AH36="INT",_xll.qInterp(O37,R36:Y36,Z36:AG36),       INDEX(Z36:AG36,MATCH(AH36,$Z$17:$AG$17,0))))))</f>
        <v>0</v>
      </c>
      <c r="AK36" s="732">
        <v>100</v>
      </c>
      <c r="AL36" s="721">
        <f t="shared" si="2"/>
        <v>0</v>
      </c>
      <c r="AM36" s="284">
        <f>IF($O37,_xll.qDateYears($O36,$O37,DCC_Leg1_Fixed),0)</f>
        <v>0</v>
      </c>
      <c r="AN36" s="284">
        <f>IF($O37,_xll.qDateYears($O36,$O37,DCC_Leg1_Float),0)</f>
        <v>0</v>
      </c>
      <c r="AP36" s="350">
        <f t="shared" si="9"/>
        <v>0</v>
      </c>
      <c r="AQ36" s="375">
        <f>IF(GenType_1a="Fixed",GenRate_1a%*$AL35*AM35,          IF(GenType_1a="Float",$AL35*(_xll.qGetFwdRate($D$18,$O35,$O36,"T",DCC_Leg1_Float)%+GenRate_1a%%)*$AN35,        IF(GenType_1a="bp (Fixed)",GenRate_1a%%*$AM35*$AL35,   IF(GenType_1a="bp (Float)",GenRate_1a%%*$AL35*$AN35,0))))</f>
        <v>0</v>
      </c>
      <c r="AR36" s="561"/>
      <c r="AT36" s="341">
        <f t="shared" si="13"/>
        <v>0</v>
      </c>
      <c r="AV36" s="356"/>
      <c r="AW36" s="122">
        <v>0</v>
      </c>
      <c r="AX36" s="128">
        <f t="shared" si="3"/>
        <v>0</v>
      </c>
      <c r="AY36" s="357">
        <v>0</v>
      </c>
      <c r="AZ36" s="699">
        <f>IF($AW37=0,0,        _xll.qDateNext($AW36,AZ$17,"M",TRUE,Currency2))</f>
        <v>0</v>
      </c>
      <c r="BA36" s="699">
        <f>IF($AW37=0,0,        _xll.qDateNext($AW36,BA$17,"M",TRUE,Currency2))</f>
        <v>0</v>
      </c>
      <c r="BB36" s="699">
        <f>IF($AW37=0,0,        _xll.qDateNext($AW36,BB$17,"M",TRUE,Currency2))</f>
        <v>0</v>
      </c>
      <c r="BC36" s="699">
        <f>IF($AW37=0,0,        _xll.qDateNext($AW36,BC$17,"M",TRUE,Currency2))</f>
        <v>0</v>
      </c>
      <c r="BD36" s="699">
        <f>IF($AW37=0,0,        _xll.qDateNext($AW36,BD$17,"M",TRUE,Currency2))</f>
        <v>0</v>
      </c>
      <c r="BE36" s="699">
        <f>IF($AW37=0,0,        _xll.qDateNext($AW36,BE$17,"M",TRUE,Currency2))</f>
        <v>0</v>
      </c>
      <c r="BF36" s="699">
        <f>IF($AW37=0,0,        _xll.qDateNext($AW36,BF$17,"M",TRUE,Currency2))</f>
        <v>0</v>
      </c>
      <c r="BG36" s="699">
        <f>IF($AW37=0,0,        _xll.qDateNext($AW36,BG$17,"M",TRUE,Currency2))</f>
        <v>0</v>
      </c>
      <c r="BH36" s="703">
        <v>0</v>
      </c>
      <c r="BI36" s="703">
        <v>0</v>
      </c>
      <c r="BJ36" s="703">
        <v>0</v>
      </c>
      <c r="BK36" s="703">
        <v>0</v>
      </c>
      <c r="BL36" s="703">
        <f t="shared" si="4"/>
        <v>0</v>
      </c>
      <c r="BM36" s="703">
        <f t="shared" si="10"/>
        <v>0</v>
      </c>
      <c r="BN36" s="703">
        <v>0</v>
      </c>
      <c r="BO36" s="703">
        <v>0</v>
      </c>
      <c r="BP36" s="685">
        <v>0</v>
      </c>
      <c r="BQ36" s="667"/>
      <c r="BR36" s="670">
        <f>IF(AW37=0,0,             IF(ISNUMBER(BQ36),BQ36,             IF(ISTEXT(BQ36),INDEX(BH36:BO36,MATCH(BQ36,$BH$17:$BO$17,0)),           IF(BP36="INT",_xll.qInterp(AW37,AZ36:BG36,BH36:BO36),       INDEX(BH36:BO36,MATCH(BP36,$BH$17:$BO$17,0))))))</f>
        <v>0</v>
      </c>
      <c r="BS36" s="731">
        <f t="shared" si="5"/>
        <v>0</v>
      </c>
      <c r="BT36" s="406">
        <f t="shared" si="6"/>
        <v>0</v>
      </c>
      <c r="BU36" s="284">
        <f>IF($AW37,_xll.qDateYears($AW36,$AW37,DCC_Leg2_Fixed),0)</f>
        <v>0</v>
      </c>
      <c r="BV36" s="284">
        <f>IF($AW37,_xll.qDateYears($AW36,$AW37,DCC_Leg2_Float),0)</f>
        <v>0</v>
      </c>
      <c r="BX36" s="350">
        <f t="shared" si="11"/>
        <v>0</v>
      </c>
      <c r="BY36" s="375">
        <f>IF(GenType_2a="Fixed",GenRate_2a%*$BT35*BU35,          IF(GenType_2a="Float",$BT35*(_xll.qGetFwdRate($J$18,$AW35,$AW36,"T",DCC_Leg2_Float)%+GenRate_2a%%)*$BV35,        IF(GenType_2a="bp (Fixed)",GenRate_2a%%*$BU35*$BT35,   IF(GenType_2a="bp (Float)",GenRate_2a%%*$BT35*$BV35,0))))</f>
        <v>0</v>
      </c>
      <c r="BZ36" s="561"/>
      <c r="CB36" s="341">
        <f t="shared" si="12"/>
        <v>0</v>
      </c>
      <c r="CC36" s="563"/>
      <c r="CD36" s="356"/>
      <c r="CE36" s="341">
        <v>0</v>
      </c>
      <c r="CF36" s="563"/>
      <c r="CG36" s="356"/>
    </row>
    <row r="37" spans="2:85">
      <c r="B37" s="214" t="s">
        <v>701</v>
      </c>
      <c r="C37" s="332"/>
      <c r="D37" s="214"/>
      <c r="E37" s="214"/>
      <c r="F37" s="332">
        <f>IF(AND(C5="XCS",NOT(Principals?)),10,0)</f>
        <v>10</v>
      </c>
      <c r="O37" s="122">
        <v>0</v>
      </c>
      <c r="P37" s="128">
        <f t="shared" si="0"/>
        <v>0</v>
      </c>
      <c r="Q37" s="126">
        <v>0</v>
      </c>
      <c r="R37" s="699">
        <f>IF($O38=0,0,        _xll.qDateNext($O37,R$17,"M",TRUE,Currency1))</f>
        <v>0</v>
      </c>
      <c r="S37" s="699">
        <f>IF($O38=0,0,        _xll.qDateNext($O37,S$17,"M",TRUE,Currency1))</f>
        <v>0</v>
      </c>
      <c r="T37" s="699">
        <f>IF($O38=0,0,        _xll.qDateNext($O37,T$17,"M",TRUE,Currency1))</f>
        <v>0</v>
      </c>
      <c r="U37" s="699">
        <f>IF($O38=0,0,        _xll.qDateNext($O37,U$17,"M",TRUE,Currency1))</f>
        <v>0</v>
      </c>
      <c r="V37" s="699">
        <f>IF($O38=0,0,        _xll.qDateNext($O37,V$17,"M",TRUE,Currency1))</f>
        <v>0</v>
      </c>
      <c r="W37" s="699">
        <f>IF($O38=0,0,        _xll.qDateNext($O37,W$17,"M",TRUE,Currency1))</f>
        <v>0</v>
      </c>
      <c r="X37" s="699">
        <f>IF($O38=0,0,        _xll.qDateNext($O37,X$17,"M",TRUE,Currency1))</f>
        <v>0</v>
      </c>
      <c r="Y37" s="699">
        <f>IF($O38=0,0,        _xll.qDateNext($O37,Y$17,"M",TRUE,Currency1))</f>
        <v>0</v>
      </c>
      <c r="Z37" s="703">
        <f>IF($O38=0,0,           IF(FRM,_xll.qGetFwdRate(Z$14,$O37,R37,"T",DCC_Leg1_Float),_xll.qGetFwdRate(Z$14,$O37,$O38,"T",DCC_Leg1_Float)))</f>
        <v>0</v>
      </c>
      <c r="AA37" s="703">
        <f>IF($O38=0,0,           IF(FRM,_xll.qGetFwdRate(AA$14,$O37,S37,"T",DCC_Leg1_Float),_xll.qGetFwdRate(AA$14,$O37,$O38,"T",DCC_Leg1_Float)))</f>
        <v>0</v>
      </c>
      <c r="AB37" s="703">
        <f t="shared" si="1"/>
        <v>0</v>
      </c>
      <c r="AC37" s="703">
        <f>IF($O38=0,0,           IF(FRM,_xll.qGetFwdRate(AC$14,$O37,U37,"T",DCC_Leg1_Float),_xll.qGetFwdRate(AC$14,$O37,$O38,"T",DCC_Leg1_Float)))</f>
        <v>0</v>
      </c>
      <c r="AD37" s="703">
        <f t="shared" si="7"/>
        <v>0</v>
      </c>
      <c r="AE37" s="703">
        <f t="shared" si="8"/>
        <v>0</v>
      </c>
      <c r="AF37" s="703">
        <f>IF($O38=0,0,           IF(FRM,_xll.qGetFwdRate(AF$14,$O37,X37,"T",DCC_Leg1_Float),_xll.qGetFwdRate(AF$14,$O37,$O38,"T",DCC_Leg1_Float)))</f>
        <v>0</v>
      </c>
      <c r="AG37" s="703">
        <f>IF($O38=0,0,           IF(FRM,_xll.qGetFwdRate(AG$14,$O37,Y37,"T",DCC_Leg1_Float),_xll.qGetFwdRate(AG$14,$O37,$O38,"T",DCC_Leg1_Float)))</f>
        <v>0</v>
      </c>
      <c r="AH37" s="685">
        <v>0</v>
      </c>
      <c r="AI37" s="667"/>
      <c r="AJ37" s="670">
        <f>IF(O38=0,0,             IF(ISNUMBER(AI37),AI37,             IF(ISTEXT(AI37),INDEX(Z37:AG37,MATCH(AI37,$Z$17:$AG$17,0)),           IF(AH37="INT",_xll.qInterp(O38,R37:Y37,Z37:AG37),       INDEX(Z37:AG37,MATCH(AH37,$Z$17:$AG$17,0))))))</f>
        <v>0</v>
      </c>
      <c r="AK37" s="732">
        <v>100</v>
      </c>
      <c r="AL37" s="721">
        <f t="shared" si="2"/>
        <v>0</v>
      </c>
      <c r="AM37" s="284">
        <f>IF($O38,_xll.qDateYears($O37,$O38,DCC_Leg1_Fixed),0)</f>
        <v>0</v>
      </c>
      <c r="AN37" s="284">
        <f>IF($O38,_xll.qDateYears($O37,$O38,DCC_Leg1_Float),0)</f>
        <v>0</v>
      </c>
      <c r="AP37" s="350">
        <f t="shared" si="9"/>
        <v>0</v>
      </c>
      <c r="AQ37" s="375">
        <f>IF(GenType_1a="Fixed",GenRate_1a%*$AL36*AM36,          IF(GenType_1a="Float",$AL36*(_xll.qGetFwdRate($D$18,$O36,$O37,"T",DCC_Leg1_Float)%+GenRate_1a%%)*$AN36,        IF(GenType_1a="bp (Fixed)",GenRate_1a%%*$AM36*$AL36,   IF(GenType_1a="bp (Float)",GenRate_1a%%*$AL36*$AN36,0))))</f>
        <v>0</v>
      </c>
      <c r="AR37" s="561"/>
      <c r="AT37" s="341">
        <f t="shared" si="13"/>
        <v>0</v>
      </c>
      <c r="AV37" s="356"/>
      <c r="AW37" s="122">
        <v>0</v>
      </c>
      <c r="AX37" s="128">
        <f t="shared" si="3"/>
        <v>0</v>
      </c>
      <c r="AY37" s="357">
        <v>0</v>
      </c>
      <c r="AZ37" s="699">
        <f>IF($AW38=0,0,        _xll.qDateNext($AW37,AZ$17,"M",TRUE,Currency2))</f>
        <v>0</v>
      </c>
      <c r="BA37" s="699">
        <f>IF($AW38=0,0,        _xll.qDateNext($AW37,BA$17,"M",TRUE,Currency2))</f>
        <v>0</v>
      </c>
      <c r="BB37" s="699">
        <f>IF($AW38=0,0,        _xll.qDateNext($AW37,BB$17,"M",TRUE,Currency2))</f>
        <v>0</v>
      </c>
      <c r="BC37" s="699">
        <f>IF($AW38=0,0,        _xll.qDateNext($AW37,BC$17,"M",TRUE,Currency2))</f>
        <v>0</v>
      </c>
      <c r="BD37" s="699">
        <f>IF($AW38=0,0,        _xll.qDateNext($AW37,BD$17,"M",TRUE,Currency2))</f>
        <v>0</v>
      </c>
      <c r="BE37" s="699">
        <f>IF($AW38=0,0,        _xll.qDateNext($AW37,BE$17,"M",TRUE,Currency2))</f>
        <v>0</v>
      </c>
      <c r="BF37" s="699">
        <f>IF($AW38=0,0,        _xll.qDateNext($AW37,BF$17,"M",TRUE,Currency2))</f>
        <v>0</v>
      </c>
      <c r="BG37" s="699">
        <f>IF($AW38=0,0,        _xll.qDateNext($AW37,BG$17,"M",TRUE,Currency2))</f>
        <v>0</v>
      </c>
      <c r="BH37" s="703">
        <v>0</v>
      </c>
      <c r="BI37" s="703">
        <v>0</v>
      </c>
      <c r="BJ37" s="703">
        <v>0</v>
      </c>
      <c r="BK37" s="703">
        <v>0</v>
      </c>
      <c r="BL37" s="703">
        <f t="shared" si="4"/>
        <v>0</v>
      </c>
      <c r="BM37" s="703">
        <f t="shared" si="10"/>
        <v>0</v>
      </c>
      <c r="BN37" s="703">
        <v>0</v>
      </c>
      <c r="BO37" s="703">
        <v>0</v>
      </c>
      <c r="BP37" s="685">
        <v>0</v>
      </c>
      <c r="BQ37" s="667"/>
      <c r="BR37" s="670">
        <f>IF(AW38=0,0,             IF(ISNUMBER(BQ37),BQ37,             IF(ISTEXT(BQ37),INDEX(BH37:BO37,MATCH(BQ37,$BH$17:$BO$17,0)),           IF(BP37="INT",_xll.qInterp(AW38,AZ37:BG37,BH37:BO37),       INDEX(BH37:BO37,MATCH(BP37,$BH$17:$BO$17,0))))))</f>
        <v>0</v>
      </c>
      <c r="BS37" s="731">
        <f t="shared" si="5"/>
        <v>0</v>
      </c>
      <c r="BT37" s="406">
        <f t="shared" si="6"/>
        <v>0</v>
      </c>
      <c r="BU37" s="284">
        <f>IF($AW38,_xll.qDateYears($AW37,$AW38,DCC_Leg2_Fixed),0)</f>
        <v>0</v>
      </c>
      <c r="BV37" s="284">
        <f>IF($AW38,_xll.qDateYears($AW37,$AW38,DCC_Leg2_Float),0)</f>
        <v>0</v>
      </c>
      <c r="BX37" s="350">
        <f t="shared" si="11"/>
        <v>0</v>
      </c>
      <c r="BY37" s="375">
        <f>IF(GenType_2a="Fixed",GenRate_2a%*$BT36*BU36,          IF(GenType_2a="Float",$BT36*(_xll.qGetFwdRate($J$18,$AW36,$AW37,"T",DCC_Leg2_Float)%+GenRate_2a%%)*$BV36,        IF(GenType_2a="bp (Fixed)",GenRate_2a%%*$BU36*$BT36,   IF(GenType_2a="bp (Float)",GenRate_2a%%*$BT36*$BV36,0))))</f>
        <v>0</v>
      </c>
      <c r="BZ37" s="561"/>
      <c r="CB37" s="341">
        <f t="shared" si="12"/>
        <v>0</v>
      </c>
      <c r="CC37" s="563"/>
      <c r="CD37" s="356"/>
      <c r="CE37" s="341">
        <v>0</v>
      </c>
      <c r="CF37" s="563"/>
      <c r="CG37" s="356"/>
    </row>
    <row r="38" spans="2:85">
      <c r="B38" s="214" t="s">
        <v>702</v>
      </c>
      <c r="C38" s="332"/>
      <c r="D38" s="214"/>
      <c r="E38" s="214"/>
      <c r="F38" s="332">
        <f>IF(AND(C5="XCS",Start&lt;&gt;"2b",RIGHT(Start,1)="b"),8,0)</f>
        <v>8</v>
      </c>
      <c r="O38" s="122">
        <v>0</v>
      </c>
      <c r="P38" s="128">
        <f t="shared" si="0"/>
        <v>0</v>
      </c>
      <c r="Q38" s="126">
        <v>0</v>
      </c>
      <c r="R38" s="699">
        <f>IF($O39=0,0,        _xll.qDateNext($O38,R$17,"M",TRUE,Currency1))</f>
        <v>0</v>
      </c>
      <c r="S38" s="699">
        <f>IF($O39=0,0,        _xll.qDateNext($O38,S$17,"M",TRUE,Currency1))</f>
        <v>0</v>
      </c>
      <c r="T38" s="699">
        <f>IF($O39=0,0,        _xll.qDateNext($O38,T$17,"M",TRUE,Currency1))</f>
        <v>0</v>
      </c>
      <c r="U38" s="699">
        <f>IF($O39=0,0,        _xll.qDateNext($O38,U$17,"M",TRUE,Currency1))</f>
        <v>0</v>
      </c>
      <c r="V38" s="699">
        <f>IF($O39=0,0,        _xll.qDateNext($O38,V$17,"M",TRUE,Currency1))</f>
        <v>0</v>
      </c>
      <c r="W38" s="699">
        <f>IF($O39=0,0,        _xll.qDateNext($O38,W$17,"M",TRUE,Currency1))</f>
        <v>0</v>
      </c>
      <c r="X38" s="699">
        <f>IF($O39=0,0,        _xll.qDateNext($O38,X$17,"M",TRUE,Currency1))</f>
        <v>0</v>
      </c>
      <c r="Y38" s="699">
        <f>IF($O39=0,0,        _xll.qDateNext($O38,Y$17,"M",TRUE,Currency1))</f>
        <v>0</v>
      </c>
      <c r="Z38" s="703">
        <f>IF($O39=0,0,           IF(FRM,_xll.qGetFwdRate(Z$14,$O38,R38,"T",DCC_Leg1_Float),_xll.qGetFwdRate(Z$14,$O38,$O39,"T",DCC_Leg1_Float)))</f>
        <v>0</v>
      </c>
      <c r="AA38" s="703">
        <f>IF($O39=0,0,           IF(FRM,_xll.qGetFwdRate(AA$14,$O38,S38,"T",DCC_Leg1_Float),_xll.qGetFwdRate(AA$14,$O38,$O39,"T",DCC_Leg1_Float)))</f>
        <v>0</v>
      </c>
      <c r="AB38" s="703">
        <f t="shared" si="1"/>
        <v>0</v>
      </c>
      <c r="AC38" s="703">
        <f>IF($O39=0,0,           IF(FRM,_xll.qGetFwdRate(AC$14,$O38,U38,"T",DCC_Leg1_Float),_xll.qGetFwdRate(AC$14,$O38,$O39,"T",DCC_Leg1_Float)))</f>
        <v>0</v>
      </c>
      <c r="AD38" s="703">
        <f t="shared" si="7"/>
        <v>0</v>
      </c>
      <c r="AE38" s="703">
        <f t="shared" si="8"/>
        <v>0</v>
      </c>
      <c r="AF38" s="703">
        <f>IF($O39=0,0,           IF(FRM,_xll.qGetFwdRate(AF$14,$O38,X38,"T",DCC_Leg1_Float),_xll.qGetFwdRate(AF$14,$O38,$O39,"T",DCC_Leg1_Float)))</f>
        <v>0</v>
      </c>
      <c r="AG38" s="703">
        <f>IF($O39=0,0,           IF(FRM,_xll.qGetFwdRate(AG$14,$O38,Y38,"T",DCC_Leg1_Float),_xll.qGetFwdRate(AG$14,$O38,$O39,"T",DCC_Leg1_Float)))</f>
        <v>0</v>
      </c>
      <c r="AH38" s="685">
        <v>0</v>
      </c>
      <c r="AI38" s="667"/>
      <c r="AJ38" s="670">
        <f>IF(O39=0,0,             IF(ISNUMBER(AI38),AI38,             IF(ISTEXT(AI38),INDEX(Z38:AG38,MATCH(AI38,$Z$17:$AG$17,0)),           IF(AH38="INT",_xll.qInterp(O39,R38:Y38,Z38:AG38),       INDEX(Z38:AG38,MATCH(AH38,$Z$17:$AG$17,0))))))</f>
        <v>0</v>
      </c>
      <c r="AK38" s="732">
        <v>100</v>
      </c>
      <c r="AL38" s="721">
        <f t="shared" si="2"/>
        <v>0</v>
      </c>
      <c r="AM38" s="284">
        <f>IF($O39,_xll.qDateYears($O38,$O39,DCC_Leg1_Fixed),0)</f>
        <v>0</v>
      </c>
      <c r="AN38" s="284">
        <f>IF($O39,_xll.qDateYears($O38,$O39,DCC_Leg1_Float),0)</f>
        <v>0</v>
      </c>
      <c r="AP38" s="350">
        <f t="shared" si="9"/>
        <v>0</v>
      </c>
      <c r="AQ38" s="375">
        <f>IF(GenType_1a="Fixed",GenRate_1a%*$AL37*AM37,          IF(GenType_1a="Float",$AL37*(_xll.qGetFwdRate($D$18,$O37,$O38,"T",DCC_Leg1_Float)%+GenRate_1a%%)*$AN37,        IF(GenType_1a="bp (Fixed)",GenRate_1a%%*$AM37*$AL37,   IF(GenType_1a="bp (Float)",GenRate_1a%%*$AL37*$AN37,0))))</f>
        <v>0</v>
      </c>
      <c r="AR38" s="561"/>
      <c r="AT38" s="341">
        <f t="shared" si="13"/>
        <v>0</v>
      </c>
      <c r="AV38" s="356"/>
      <c r="AW38" s="122">
        <v>0</v>
      </c>
      <c r="AX38" s="128">
        <f t="shared" si="3"/>
        <v>0</v>
      </c>
      <c r="AY38" s="357">
        <v>0</v>
      </c>
      <c r="AZ38" s="699">
        <f>IF($AW39=0,0,        _xll.qDateNext($AW38,AZ$17,"M",TRUE,Currency2))</f>
        <v>0</v>
      </c>
      <c r="BA38" s="699">
        <f>IF($AW39=0,0,        _xll.qDateNext($AW38,BA$17,"M",TRUE,Currency2))</f>
        <v>0</v>
      </c>
      <c r="BB38" s="699">
        <f>IF($AW39=0,0,        _xll.qDateNext($AW38,BB$17,"M",TRUE,Currency2))</f>
        <v>0</v>
      </c>
      <c r="BC38" s="699">
        <f>IF($AW39=0,0,        _xll.qDateNext($AW38,BC$17,"M",TRUE,Currency2))</f>
        <v>0</v>
      </c>
      <c r="BD38" s="699">
        <f>IF($AW39=0,0,        _xll.qDateNext($AW38,BD$17,"M",TRUE,Currency2))</f>
        <v>0</v>
      </c>
      <c r="BE38" s="699">
        <f>IF($AW39=0,0,        _xll.qDateNext($AW38,BE$17,"M",TRUE,Currency2))</f>
        <v>0</v>
      </c>
      <c r="BF38" s="699">
        <f>IF($AW39=0,0,        _xll.qDateNext($AW38,BF$17,"M",TRUE,Currency2))</f>
        <v>0</v>
      </c>
      <c r="BG38" s="699">
        <f>IF($AW39=0,0,        _xll.qDateNext($AW38,BG$17,"M",TRUE,Currency2))</f>
        <v>0</v>
      </c>
      <c r="BH38" s="703">
        <v>0</v>
      </c>
      <c r="BI38" s="703">
        <v>0</v>
      </c>
      <c r="BJ38" s="703">
        <v>0</v>
      </c>
      <c r="BK38" s="703">
        <v>0</v>
      </c>
      <c r="BL38" s="703">
        <f t="shared" si="4"/>
        <v>0</v>
      </c>
      <c r="BM38" s="703">
        <f t="shared" si="10"/>
        <v>0</v>
      </c>
      <c r="BN38" s="703">
        <v>0</v>
      </c>
      <c r="BO38" s="703">
        <v>0</v>
      </c>
      <c r="BP38" s="685">
        <v>0</v>
      </c>
      <c r="BQ38" s="667"/>
      <c r="BR38" s="670">
        <f>IF(AW39=0,0,             IF(ISNUMBER(BQ38),BQ38,             IF(ISTEXT(BQ38),INDEX(BH38:BO38,MATCH(BQ38,$BH$17:$BO$17,0)),           IF(BP38="INT",_xll.qInterp(AW39,AZ38:BG38,BH38:BO38),       INDEX(BH38:BO38,MATCH(BP38,$BH$17:$BO$17,0))))))</f>
        <v>0</v>
      </c>
      <c r="BS38" s="731">
        <f t="shared" si="5"/>
        <v>0</v>
      </c>
      <c r="BT38" s="406">
        <f t="shared" si="6"/>
        <v>0</v>
      </c>
      <c r="BU38" s="284">
        <f>IF($AW39,_xll.qDateYears($AW38,$AW39,DCC_Leg2_Fixed),0)</f>
        <v>0</v>
      </c>
      <c r="BV38" s="284">
        <f>IF($AW39,_xll.qDateYears($AW38,$AW39,DCC_Leg2_Float),0)</f>
        <v>0</v>
      </c>
      <c r="BX38" s="350">
        <f t="shared" si="11"/>
        <v>0</v>
      </c>
      <c r="BY38" s="375">
        <f>IF(GenType_2a="Fixed",GenRate_2a%*$BT37*BU37,          IF(GenType_2a="Float",$BT37*(_xll.qGetFwdRate($J$18,$AW37,$AW38,"T",DCC_Leg2_Float)%+GenRate_2a%%)*$BV37,        IF(GenType_2a="bp (Fixed)",GenRate_2a%%*$BU37*$BT37,   IF(GenType_2a="bp (Float)",GenRate_2a%%*$BT37*$BV37,0))))</f>
        <v>0</v>
      </c>
      <c r="BZ38" s="561"/>
      <c r="CB38" s="341">
        <f t="shared" si="12"/>
        <v>0</v>
      </c>
      <c r="CC38" s="563"/>
      <c r="CD38" s="356"/>
      <c r="CE38" s="341">
        <v>0</v>
      </c>
      <c r="CF38" s="563"/>
      <c r="CG38" s="356"/>
    </row>
    <row r="39" spans="2:85">
      <c r="B39" s="214" t="s">
        <v>703</v>
      </c>
      <c r="C39" s="332"/>
      <c r="D39" s="214"/>
      <c r="E39" s="214"/>
      <c r="F39" s="332">
        <f>IF(DCC_Leg1_Float&lt;&gt;uFloatDCC(Currency1),10,0)</f>
        <v>0</v>
      </c>
      <c r="O39" s="122">
        <v>0</v>
      </c>
      <c r="P39" s="128">
        <f t="shared" si="0"/>
        <v>0</v>
      </c>
      <c r="Q39" s="126">
        <v>0</v>
      </c>
      <c r="R39" s="699">
        <f>IF($O40=0,0,        _xll.qDateNext($O39,R$17,"M",TRUE,Currency1))</f>
        <v>0</v>
      </c>
      <c r="S39" s="699">
        <f>IF($O40=0,0,        _xll.qDateNext($O39,S$17,"M",TRUE,Currency1))</f>
        <v>0</v>
      </c>
      <c r="T39" s="699">
        <f>IF($O40=0,0,        _xll.qDateNext($O39,T$17,"M",TRUE,Currency1))</f>
        <v>0</v>
      </c>
      <c r="U39" s="699">
        <f>IF($O40=0,0,        _xll.qDateNext($O39,U$17,"M",TRUE,Currency1))</f>
        <v>0</v>
      </c>
      <c r="V39" s="699">
        <f>IF($O40=0,0,        _xll.qDateNext($O39,V$17,"M",TRUE,Currency1))</f>
        <v>0</v>
      </c>
      <c r="W39" s="699">
        <f>IF($O40=0,0,        _xll.qDateNext($O39,W$17,"M",TRUE,Currency1))</f>
        <v>0</v>
      </c>
      <c r="X39" s="699">
        <f>IF($O40=0,0,        _xll.qDateNext($O39,X$17,"M",TRUE,Currency1))</f>
        <v>0</v>
      </c>
      <c r="Y39" s="699">
        <f>IF($O40=0,0,        _xll.qDateNext($O39,Y$17,"M",TRUE,Currency1))</f>
        <v>0</v>
      </c>
      <c r="Z39" s="703">
        <f>IF($O40=0,0,           IF(FRM,_xll.qGetFwdRate(Z$14,$O39,R39,"T",DCC_Leg1_Float),_xll.qGetFwdRate(Z$14,$O39,$O40,"T",DCC_Leg1_Float)))</f>
        <v>0</v>
      </c>
      <c r="AA39" s="703">
        <f>IF($O40=0,0,           IF(FRM,_xll.qGetFwdRate(AA$14,$O39,S39,"T",DCC_Leg1_Float),_xll.qGetFwdRate(AA$14,$O39,$O40,"T",DCC_Leg1_Float)))</f>
        <v>0</v>
      </c>
      <c r="AB39" s="703">
        <f t="shared" si="1"/>
        <v>0</v>
      </c>
      <c r="AC39" s="703">
        <f>IF($O40=0,0,           IF(FRM,_xll.qGetFwdRate(AC$14,$O39,U39,"T",DCC_Leg1_Float),_xll.qGetFwdRate(AC$14,$O39,$O40,"T",DCC_Leg1_Float)))</f>
        <v>0</v>
      </c>
      <c r="AD39" s="703">
        <f t="shared" si="7"/>
        <v>0</v>
      </c>
      <c r="AE39" s="703">
        <f t="shared" si="8"/>
        <v>0</v>
      </c>
      <c r="AF39" s="703">
        <f>IF($O40=0,0,           IF(FRM,_xll.qGetFwdRate(AF$14,$O39,X39,"T",DCC_Leg1_Float),_xll.qGetFwdRate(AF$14,$O39,$O40,"T",DCC_Leg1_Float)))</f>
        <v>0</v>
      </c>
      <c r="AG39" s="703">
        <f>IF($O40=0,0,           IF(FRM,_xll.qGetFwdRate(AG$14,$O39,Y39,"T",DCC_Leg1_Float),_xll.qGetFwdRate(AG$14,$O39,$O40,"T",DCC_Leg1_Float)))</f>
        <v>0</v>
      </c>
      <c r="AH39" s="685">
        <v>0</v>
      </c>
      <c r="AI39" s="667"/>
      <c r="AJ39" s="670">
        <f>IF(O40=0,0,             IF(ISNUMBER(AI39),AI39,             IF(ISTEXT(AI39),INDEX(Z39:AG39,MATCH(AI39,$Z$17:$AG$17,0)),           IF(AH39="INT",_xll.qInterp(O40,R39:Y39,Z39:AG39),       INDEX(Z39:AG39,MATCH(AH39,$Z$17:$AG$17,0))))))</f>
        <v>0</v>
      </c>
      <c r="AK39" s="732">
        <v>100</v>
      </c>
      <c r="AL39" s="721">
        <f t="shared" si="2"/>
        <v>0</v>
      </c>
      <c r="AM39" s="284">
        <f>IF($O40,_xll.qDateYears($O39,$O40,DCC_Leg1_Fixed),0)</f>
        <v>0</v>
      </c>
      <c r="AN39" s="284">
        <f>IF($O40,_xll.qDateYears($O39,$O40,DCC_Leg1_Float),0)</f>
        <v>0</v>
      </c>
      <c r="AP39" s="350">
        <f t="shared" si="9"/>
        <v>0</v>
      </c>
      <c r="AQ39" s="375">
        <f>IF(GenType_1a="Fixed",GenRate_1a%*$AL38*AM38,          IF(GenType_1a="Float",$AL38*(_xll.qGetFwdRate($D$18,$O38,$O39,"T",DCC_Leg1_Float)%+GenRate_1a%%)*$AN38,        IF(GenType_1a="bp (Fixed)",GenRate_1a%%*$AM38*$AL38,   IF(GenType_1a="bp (Float)",GenRate_1a%%*$AL38*$AN38,0))))</f>
        <v>0</v>
      </c>
      <c r="AR39" s="561"/>
      <c r="AT39" s="341">
        <f t="shared" si="13"/>
        <v>0</v>
      </c>
      <c r="AV39" s="356"/>
      <c r="AW39" s="122">
        <v>0</v>
      </c>
      <c r="AX39" s="128">
        <f t="shared" si="3"/>
        <v>0</v>
      </c>
      <c r="AY39" s="357">
        <v>0</v>
      </c>
      <c r="AZ39" s="699">
        <f>IF($AW40=0,0,        _xll.qDateNext($AW39,AZ$17,"M",TRUE,Currency2))</f>
        <v>0</v>
      </c>
      <c r="BA39" s="699">
        <f>IF($AW40=0,0,        _xll.qDateNext($AW39,BA$17,"M",TRUE,Currency2))</f>
        <v>0</v>
      </c>
      <c r="BB39" s="699">
        <f>IF($AW40=0,0,        _xll.qDateNext($AW39,BB$17,"M",TRUE,Currency2))</f>
        <v>0</v>
      </c>
      <c r="BC39" s="699">
        <f>IF($AW40=0,0,        _xll.qDateNext($AW39,BC$17,"M",TRUE,Currency2))</f>
        <v>0</v>
      </c>
      <c r="BD39" s="699">
        <f>IF($AW40=0,0,        _xll.qDateNext($AW39,BD$17,"M",TRUE,Currency2))</f>
        <v>0</v>
      </c>
      <c r="BE39" s="699">
        <f>IF($AW40=0,0,        _xll.qDateNext($AW39,BE$17,"M",TRUE,Currency2))</f>
        <v>0</v>
      </c>
      <c r="BF39" s="699">
        <f>IF($AW40=0,0,        _xll.qDateNext($AW39,BF$17,"M",TRUE,Currency2))</f>
        <v>0</v>
      </c>
      <c r="BG39" s="699">
        <f>IF($AW40=0,0,        _xll.qDateNext($AW39,BG$17,"M",TRUE,Currency2))</f>
        <v>0</v>
      </c>
      <c r="BH39" s="703">
        <v>0</v>
      </c>
      <c r="BI39" s="703">
        <v>0</v>
      </c>
      <c r="BJ39" s="703">
        <v>0</v>
      </c>
      <c r="BK39" s="703">
        <v>0</v>
      </c>
      <c r="BL39" s="703">
        <f t="shared" si="4"/>
        <v>0</v>
      </c>
      <c r="BM39" s="703">
        <f t="shared" si="10"/>
        <v>0</v>
      </c>
      <c r="BN39" s="703">
        <v>0</v>
      </c>
      <c r="BO39" s="703">
        <v>0</v>
      </c>
      <c r="BP39" s="685">
        <v>0</v>
      </c>
      <c r="BQ39" s="667"/>
      <c r="BR39" s="670">
        <f>IF(AW40=0,0,             IF(ISNUMBER(BQ39),BQ39,             IF(ISTEXT(BQ39),INDEX(BH39:BO39,MATCH(BQ39,$BH$17:$BO$17,0)),           IF(BP39="INT",_xll.qInterp(AW40,AZ39:BG39,BH39:BO39),       INDEX(BH39:BO39,MATCH(BP39,$BH$17:$BO$17,0))))))</f>
        <v>0</v>
      </c>
      <c r="BS39" s="731">
        <f t="shared" si="5"/>
        <v>0</v>
      </c>
      <c r="BT39" s="406">
        <f t="shared" si="6"/>
        <v>0</v>
      </c>
      <c r="BU39" s="284">
        <f>IF($AW40,_xll.qDateYears($AW39,$AW40,DCC_Leg2_Fixed),0)</f>
        <v>0</v>
      </c>
      <c r="BV39" s="284">
        <f>IF($AW40,_xll.qDateYears($AW39,$AW40,DCC_Leg2_Float),0)</f>
        <v>0</v>
      </c>
      <c r="BX39" s="350">
        <f t="shared" si="11"/>
        <v>0</v>
      </c>
      <c r="BY39" s="375">
        <f>IF(GenType_2a="Fixed",GenRate_2a%*$BT38*BU38,          IF(GenType_2a="Float",$BT38*(_xll.qGetFwdRate($J$18,$AW38,$AW39,"T",DCC_Leg2_Float)%+GenRate_2a%%)*$BV38,        IF(GenType_2a="bp (Fixed)",GenRate_2a%%*$BU38*$BT38,   IF(GenType_2a="bp (Float)",GenRate_2a%%*$BT38*$BV38,0))))</f>
        <v>0</v>
      </c>
      <c r="BZ39" s="561"/>
      <c r="CB39" s="341">
        <f t="shared" si="12"/>
        <v>0</v>
      </c>
      <c r="CC39" s="563"/>
      <c r="CD39" s="356"/>
      <c r="CE39" s="341">
        <v>0</v>
      </c>
      <c r="CF39" s="563"/>
      <c r="CG39" s="356"/>
    </row>
    <row r="40" spans="2:85">
      <c r="B40" s="214" t="s">
        <v>704</v>
      </c>
      <c r="C40" s="332"/>
      <c r="D40" s="214"/>
      <c r="E40" s="214"/>
      <c r="F40" s="332">
        <f>IF(DCC_Leg2_Float&lt;&gt;uFloatDCC(Currency2),10,0)</f>
        <v>0</v>
      </c>
      <c r="O40" s="122">
        <v>0</v>
      </c>
      <c r="P40" s="128">
        <f t="shared" si="0"/>
        <v>0</v>
      </c>
      <c r="Q40" s="126">
        <v>0</v>
      </c>
      <c r="R40" s="699">
        <f>IF($O41=0,0,        _xll.qDateNext($O40,R$17,"M",TRUE,Currency1))</f>
        <v>0</v>
      </c>
      <c r="S40" s="699">
        <f>IF($O41=0,0,        _xll.qDateNext($O40,S$17,"M",TRUE,Currency1))</f>
        <v>0</v>
      </c>
      <c r="T40" s="699">
        <f>IF($O41=0,0,        _xll.qDateNext($O40,T$17,"M",TRUE,Currency1))</f>
        <v>0</v>
      </c>
      <c r="U40" s="699">
        <f>IF($O41=0,0,        _xll.qDateNext($O40,U$17,"M",TRUE,Currency1))</f>
        <v>0</v>
      </c>
      <c r="V40" s="699">
        <f>IF($O41=0,0,        _xll.qDateNext($O40,V$17,"M",TRUE,Currency1))</f>
        <v>0</v>
      </c>
      <c r="W40" s="699">
        <f>IF($O41=0,0,        _xll.qDateNext($O40,W$17,"M",TRUE,Currency1))</f>
        <v>0</v>
      </c>
      <c r="X40" s="699">
        <f>IF($O41=0,0,        _xll.qDateNext($O40,X$17,"M",TRUE,Currency1))</f>
        <v>0</v>
      </c>
      <c r="Y40" s="699">
        <f>IF($O41=0,0,        _xll.qDateNext($O40,Y$17,"M",TRUE,Currency1))</f>
        <v>0</v>
      </c>
      <c r="Z40" s="703">
        <f>IF($O41=0,0,           IF(FRM,_xll.qGetFwdRate(Z$14,$O40,R40,"T",DCC_Leg1_Float),_xll.qGetFwdRate(Z$14,$O40,$O41,"T",DCC_Leg1_Float)))</f>
        <v>0</v>
      </c>
      <c r="AA40" s="703">
        <f>IF($O41=0,0,           IF(FRM,_xll.qGetFwdRate(AA$14,$O40,S40,"T",DCC_Leg1_Float),_xll.qGetFwdRate(AA$14,$O40,$O41,"T",DCC_Leg1_Float)))</f>
        <v>0</v>
      </c>
      <c r="AB40" s="703">
        <f t="shared" si="1"/>
        <v>0</v>
      </c>
      <c r="AC40" s="703">
        <f>IF($O41=0,0,           IF(FRM,_xll.qGetFwdRate(AC$14,$O40,U40,"T",DCC_Leg1_Float),_xll.qGetFwdRate(AC$14,$O40,$O41,"T",DCC_Leg1_Float)))</f>
        <v>0</v>
      </c>
      <c r="AD40" s="703">
        <f t="shared" si="7"/>
        <v>0</v>
      </c>
      <c r="AE40" s="703">
        <f t="shared" si="8"/>
        <v>0</v>
      </c>
      <c r="AF40" s="703">
        <f>IF($O41=0,0,           IF(FRM,_xll.qGetFwdRate(AF$14,$O40,X40,"T",DCC_Leg1_Float),_xll.qGetFwdRate(AF$14,$O40,$O41,"T",DCC_Leg1_Float)))</f>
        <v>0</v>
      </c>
      <c r="AG40" s="703">
        <f>IF($O41=0,0,           IF(FRM,_xll.qGetFwdRate(AG$14,$O40,Y40,"T",DCC_Leg1_Float),_xll.qGetFwdRate(AG$14,$O40,$O41,"T",DCC_Leg1_Float)))</f>
        <v>0</v>
      </c>
      <c r="AH40" s="685">
        <v>0</v>
      </c>
      <c r="AI40" s="667"/>
      <c r="AJ40" s="670">
        <f>IF(O41=0,0,             IF(ISNUMBER(AI40),AI40,             IF(ISTEXT(AI40),INDEX(Z40:AG40,MATCH(AI40,$Z$17:$AG$17,0)),           IF(AH40="INT",_xll.qInterp(O41,R40:Y40,Z40:AG40),       INDEX(Z40:AG40,MATCH(AH40,$Z$17:$AG$17,0))))))</f>
        <v>0</v>
      </c>
      <c r="AK40" s="732">
        <v>100</v>
      </c>
      <c r="AL40" s="721">
        <f t="shared" si="2"/>
        <v>0</v>
      </c>
      <c r="AM40" s="284">
        <f>IF($O41,_xll.qDateYears($O40,$O41,DCC_Leg1_Fixed),0)</f>
        <v>0</v>
      </c>
      <c r="AN40" s="284">
        <f>IF($O41,_xll.qDateYears($O40,$O41,DCC_Leg1_Float),0)</f>
        <v>0</v>
      </c>
      <c r="AP40" s="350">
        <f t="shared" si="9"/>
        <v>0</v>
      </c>
      <c r="AQ40" s="375">
        <f>IF(GenType_1a="Fixed",GenRate_1a%*$AL39*AM39,          IF(GenType_1a="Float",$AL39*(_xll.qGetFwdRate($D$18,$O39,$O40,"T",DCC_Leg1_Float)%+GenRate_1a%%)*$AN39,        IF(GenType_1a="bp (Fixed)",GenRate_1a%%*$AM39*$AL39,   IF(GenType_1a="bp (Float)",GenRate_1a%%*$AL39*$AN39,0))))</f>
        <v>0</v>
      </c>
      <c r="AR40" s="561"/>
      <c r="AT40" s="341">
        <f t="shared" ref="AT40:AT103" si="14">SUM(AP40:AR40)</f>
        <v>0</v>
      </c>
      <c r="AV40" s="356"/>
      <c r="AW40" s="122">
        <v>0</v>
      </c>
      <c r="AX40" s="128">
        <f t="shared" si="3"/>
        <v>0</v>
      </c>
      <c r="AY40" s="357">
        <v>0</v>
      </c>
      <c r="AZ40" s="699">
        <f>IF($AW41=0,0,        _xll.qDateNext($AW40,AZ$17,"M",TRUE,Currency2))</f>
        <v>0</v>
      </c>
      <c r="BA40" s="699">
        <f>IF($AW41=0,0,        _xll.qDateNext($AW40,BA$17,"M",TRUE,Currency2))</f>
        <v>0</v>
      </c>
      <c r="BB40" s="699">
        <f>IF($AW41=0,0,        _xll.qDateNext($AW40,BB$17,"M",TRUE,Currency2))</f>
        <v>0</v>
      </c>
      <c r="BC40" s="699">
        <f>IF($AW41=0,0,        _xll.qDateNext($AW40,BC$17,"M",TRUE,Currency2))</f>
        <v>0</v>
      </c>
      <c r="BD40" s="699">
        <f>IF($AW41=0,0,        _xll.qDateNext($AW40,BD$17,"M",TRUE,Currency2))</f>
        <v>0</v>
      </c>
      <c r="BE40" s="699">
        <f>IF($AW41=0,0,        _xll.qDateNext($AW40,BE$17,"M",TRUE,Currency2))</f>
        <v>0</v>
      </c>
      <c r="BF40" s="699">
        <f>IF($AW41=0,0,        _xll.qDateNext($AW40,BF$17,"M",TRUE,Currency2))</f>
        <v>0</v>
      </c>
      <c r="BG40" s="699">
        <f>IF($AW41=0,0,        _xll.qDateNext($AW40,BG$17,"M",TRUE,Currency2))</f>
        <v>0</v>
      </c>
      <c r="BH40" s="703">
        <v>0</v>
      </c>
      <c r="BI40" s="703">
        <v>0</v>
      </c>
      <c r="BJ40" s="703">
        <v>0</v>
      </c>
      <c r="BK40" s="703">
        <v>0</v>
      </c>
      <c r="BL40" s="703">
        <f t="shared" si="4"/>
        <v>0</v>
      </c>
      <c r="BM40" s="703">
        <f t="shared" si="10"/>
        <v>0</v>
      </c>
      <c r="BN40" s="703">
        <v>0</v>
      </c>
      <c r="BO40" s="703">
        <v>0</v>
      </c>
      <c r="BP40" s="685">
        <v>0</v>
      </c>
      <c r="BQ40" s="667"/>
      <c r="BR40" s="670">
        <f>IF(AW41=0,0,             IF(ISNUMBER(BQ40),BQ40,             IF(ISTEXT(BQ40),INDEX(BH40:BO40,MATCH(BQ40,$BH$17:$BO$17,0)),           IF(BP40="INT",_xll.qInterp(AW41,AZ40:BG40,BH40:BO40),       INDEX(BH40:BO40,MATCH(BP40,$BH$17:$BO$17,0))))))</f>
        <v>0</v>
      </c>
      <c r="BS40" s="731">
        <f t="shared" si="5"/>
        <v>0</v>
      </c>
      <c r="BT40" s="406">
        <f t="shared" si="6"/>
        <v>0</v>
      </c>
      <c r="BU40" s="284">
        <f>IF($AW41,_xll.qDateYears($AW40,$AW41,DCC_Leg2_Fixed),0)</f>
        <v>0</v>
      </c>
      <c r="BV40" s="284">
        <f>IF($AW41,_xll.qDateYears($AW40,$AW41,DCC_Leg2_Float),0)</f>
        <v>0</v>
      </c>
      <c r="BX40" s="350">
        <f t="shared" si="11"/>
        <v>0</v>
      </c>
      <c r="BY40" s="375">
        <f>IF(GenType_2a="Fixed",GenRate_2a%*$BT39*BU39,          IF(GenType_2a="Float",$BT39*(_xll.qGetFwdRate($J$18,$AW39,$AW40,"T",DCC_Leg2_Float)%+GenRate_2a%%)*$BV39,        IF(GenType_2a="bp (Fixed)",GenRate_2a%%*$BU39*$BT39,   IF(GenType_2a="bp (Float)",GenRate_2a%%*$BT39*$BV39,0))))</f>
        <v>0</v>
      </c>
      <c r="BZ40" s="561"/>
      <c r="CB40" s="341">
        <f t="shared" si="12"/>
        <v>0</v>
      </c>
      <c r="CC40" s="563"/>
      <c r="CD40" s="356"/>
      <c r="CE40" s="341">
        <v>0</v>
      </c>
      <c r="CF40" s="563"/>
      <c r="CG40" s="356"/>
    </row>
    <row r="41" spans="2:85">
      <c r="B41" s="214"/>
      <c r="C41" s="332"/>
      <c r="D41" s="214"/>
      <c r="E41" s="214"/>
      <c r="F41" s="332"/>
      <c r="O41" s="122">
        <v>0</v>
      </c>
      <c r="P41" s="128">
        <f t="shared" si="0"/>
        <v>0</v>
      </c>
      <c r="Q41" s="126">
        <v>0</v>
      </c>
      <c r="R41" s="699">
        <f>IF($O42=0,0,        _xll.qDateNext($O41,R$17,"M",TRUE,Currency1))</f>
        <v>0</v>
      </c>
      <c r="S41" s="699">
        <f>IF($O42=0,0,        _xll.qDateNext($O41,S$17,"M",TRUE,Currency1))</f>
        <v>0</v>
      </c>
      <c r="T41" s="699">
        <f>IF($O42=0,0,        _xll.qDateNext($O41,T$17,"M",TRUE,Currency1))</f>
        <v>0</v>
      </c>
      <c r="U41" s="699">
        <f>IF($O42=0,0,        _xll.qDateNext($O41,U$17,"M",TRUE,Currency1))</f>
        <v>0</v>
      </c>
      <c r="V41" s="699">
        <f>IF($O42=0,0,        _xll.qDateNext($O41,V$17,"M",TRUE,Currency1))</f>
        <v>0</v>
      </c>
      <c r="W41" s="699">
        <f>IF($O42=0,0,        _xll.qDateNext($O41,W$17,"M",TRUE,Currency1))</f>
        <v>0</v>
      </c>
      <c r="X41" s="699">
        <f>IF($O42=0,0,        _xll.qDateNext($O41,X$17,"M",TRUE,Currency1))</f>
        <v>0</v>
      </c>
      <c r="Y41" s="699">
        <f>IF($O42=0,0,        _xll.qDateNext($O41,Y$17,"M",TRUE,Currency1))</f>
        <v>0</v>
      </c>
      <c r="Z41" s="703">
        <f>IF($O42=0,0,           IF(FRM,_xll.qGetFwdRate(Z$14,$O41,R41,"T",DCC_Leg1_Float),_xll.qGetFwdRate(Z$14,$O41,$O42,"T",DCC_Leg1_Float)))</f>
        <v>0</v>
      </c>
      <c r="AA41" s="703">
        <f>IF($O42=0,0,           IF(FRM,_xll.qGetFwdRate(AA$14,$O41,S41,"T",DCC_Leg1_Float),_xll.qGetFwdRate(AA$14,$O41,$O42,"T",DCC_Leg1_Float)))</f>
        <v>0</v>
      </c>
      <c r="AB41" s="703">
        <f t="shared" si="1"/>
        <v>0</v>
      </c>
      <c r="AC41" s="703">
        <f>IF($O42=0,0,           IF(FRM,_xll.qGetFwdRate(AC$14,$O41,U41,"T",DCC_Leg1_Float),_xll.qGetFwdRate(AC$14,$O41,$O42,"T",DCC_Leg1_Float)))</f>
        <v>0</v>
      </c>
      <c r="AD41" s="703">
        <f t="shared" si="7"/>
        <v>0</v>
      </c>
      <c r="AE41" s="703">
        <f t="shared" si="8"/>
        <v>0</v>
      </c>
      <c r="AF41" s="703">
        <f>IF($O42=0,0,           IF(FRM,_xll.qGetFwdRate(AF$14,$O41,X41,"T",DCC_Leg1_Float),_xll.qGetFwdRate(AF$14,$O41,$O42,"T",DCC_Leg1_Float)))</f>
        <v>0</v>
      </c>
      <c r="AG41" s="703">
        <f>IF($O42=0,0,           IF(FRM,_xll.qGetFwdRate(AG$14,$O41,Y41,"T",DCC_Leg1_Float),_xll.qGetFwdRate(AG$14,$O41,$O42,"T",DCC_Leg1_Float)))</f>
        <v>0</v>
      </c>
      <c r="AH41" s="685">
        <v>0</v>
      </c>
      <c r="AI41" s="667"/>
      <c r="AJ41" s="670">
        <f>IF(O42=0,0,             IF(ISNUMBER(AI41),AI41,             IF(ISTEXT(AI41),INDEX(Z41:AG41,MATCH(AI41,$Z$17:$AG$17,0)),           IF(AH41="INT",_xll.qInterp(O42,R41:Y41,Z41:AG41),       INDEX(Z41:AG41,MATCH(AH41,$Z$17:$AG$17,0))))))</f>
        <v>0</v>
      </c>
      <c r="AK41" s="732">
        <v>100</v>
      </c>
      <c r="AL41" s="721">
        <f t="shared" si="2"/>
        <v>0</v>
      </c>
      <c r="AM41" s="284">
        <f>IF($O42,_xll.qDateYears($O41,$O42,DCC_Leg1_Fixed),0)</f>
        <v>0</v>
      </c>
      <c r="AN41" s="284">
        <f>IF($O42,_xll.qDateYears($O41,$O42,DCC_Leg1_Float),0)</f>
        <v>0</v>
      </c>
      <c r="AP41" s="350">
        <f t="shared" si="9"/>
        <v>0</v>
      </c>
      <c r="AQ41" s="375">
        <f>IF(GenType_1a="Fixed",GenRate_1a%*$AL40*AM40,          IF(GenType_1a="Float",$AL40*(_xll.qGetFwdRate($D$18,$O40,$O41,"T",DCC_Leg1_Float)%+GenRate_1a%%)*$AN40,        IF(GenType_1a="bp (Fixed)",GenRate_1a%%*$AM40*$AL40,   IF(GenType_1a="bp (Float)",GenRate_1a%%*$AL40*$AN40,0))))</f>
        <v>0</v>
      </c>
      <c r="AR41" s="561"/>
      <c r="AT41" s="341">
        <f t="shared" si="14"/>
        <v>0</v>
      </c>
      <c r="AV41" s="356"/>
      <c r="AW41" s="122">
        <v>0</v>
      </c>
      <c r="AX41" s="128">
        <f t="shared" si="3"/>
        <v>0</v>
      </c>
      <c r="AY41" s="357">
        <v>0</v>
      </c>
      <c r="AZ41" s="699">
        <f>IF($AW42=0,0,        _xll.qDateNext($AW41,AZ$17,"M",TRUE,Currency2))</f>
        <v>0</v>
      </c>
      <c r="BA41" s="699">
        <f>IF($AW42=0,0,        _xll.qDateNext($AW41,BA$17,"M",TRUE,Currency2))</f>
        <v>0</v>
      </c>
      <c r="BB41" s="699">
        <f>IF($AW42=0,0,        _xll.qDateNext($AW41,BB$17,"M",TRUE,Currency2))</f>
        <v>0</v>
      </c>
      <c r="BC41" s="699">
        <f>IF($AW42=0,0,        _xll.qDateNext($AW41,BC$17,"M",TRUE,Currency2))</f>
        <v>0</v>
      </c>
      <c r="BD41" s="699">
        <f>IF($AW42=0,0,        _xll.qDateNext($AW41,BD$17,"M",TRUE,Currency2))</f>
        <v>0</v>
      </c>
      <c r="BE41" s="699">
        <f>IF($AW42=0,0,        _xll.qDateNext($AW41,BE$17,"M",TRUE,Currency2))</f>
        <v>0</v>
      </c>
      <c r="BF41" s="699">
        <f>IF($AW42=0,0,        _xll.qDateNext($AW41,BF$17,"M",TRUE,Currency2))</f>
        <v>0</v>
      </c>
      <c r="BG41" s="699">
        <f>IF($AW42=0,0,        _xll.qDateNext($AW41,BG$17,"M",TRUE,Currency2))</f>
        <v>0</v>
      </c>
      <c r="BH41" s="703">
        <v>0</v>
      </c>
      <c r="BI41" s="703">
        <v>0</v>
      </c>
      <c r="BJ41" s="703">
        <v>0</v>
      </c>
      <c r="BK41" s="703">
        <v>0</v>
      </c>
      <c r="BL41" s="703">
        <f t="shared" si="4"/>
        <v>0</v>
      </c>
      <c r="BM41" s="703">
        <f t="shared" si="10"/>
        <v>0</v>
      </c>
      <c r="BN41" s="703">
        <v>0</v>
      </c>
      <c r="BO41" s="703">
        <v>0</v>
      </c>
      <c r="BP41" s="685">
        <v>0</v>
      </c>
      <c r="BQ41" s="667"/>
      <c r="BR41" s="670">
        <f>IF(AW42=0,0,             IF(ISNUMBER(BQ41),BQ41,             IF(ISTEXT(BQ41),INDEX(BH41:BO41,MATCH(BQ41,$BH$17:$BO$17,0)),           IF(BP41="INT",_xll.qInterp(AW42,AZ41:BG41,BH41:BO41),       INDEX(BH41:BO41,MATCH(BP41,$BH$17:$BO$17,0))))))</f>
        <v>0</v>
      </c>
      <c r="BS41" s="731">
        <f t="shared" si="5"/>
        <v>0</v>
      </c>
      <c r="BT41" s="406">
        <f t="shared" si="6"/>
        <v>0</v>
      </c>
      <c r="BU41" s="284">
        <f>IF($AW42,_xll.qDateYears($AW41,$AW42,DCC_Leg2_Fixed),0)</f>
        <v>0</v>
      </c>
      <c r="BV41" s="284">
        <f>IF($AW42,_xll.qDateYears($AW41,$AW42,DCC_Leg2_Float),0)</f>
        <v>0</v>
      </c>
      <c r="BX41" s="350">
        <f t="shared" si="11"/>
        <v>0</v>
      </c>
      <c r="BY41" s="375">
        <f>IF(GenType_2a="Fixed",GenRate_2a%*$BT40*BU40,          IF(GenType_2a="Float",$BT40*(_xll.qGetFwdRate($J$18,$AW40,$AW41,"T",DCC_Leg2_Float)%+GenRate_2a%%)*$BV40,        IF(GenType_2a="bp (Fixed)",GenRate_2a%%*$BU40*$BT40,   IF(GenType_2a="bp (Float)",GenRate_2a%%*$BT40*$BV40,0))))</f>
        <v>0</v>
      </c>
      <c r="BZ41" s="561"/>
      <c r="CB41" s="341">
        <f t="shared" ref="CB41:CB104" si="15">SUM(BX41:BZ41)</f>
        <v>0</v>
      </c>
      <c r="CC41" s="563"/>
      <c r="CD41" s="356"/>
      <c r="CE41" s="341">
        <v>0</v>
      </c>
      <c r="CF41" s="563"/>
      <c r="CG41" s="356"/>
    </row>
    <row r="42" spans="2:85">
      <c r="B42" s="214"/>
      <c r="C42" s="332"/>
      <c r="D42" s="214"/>
      <c r="E42" s="214"/>
      <c r="F42" s="332"/>
      <c r="O42" s="122">
        <v>0</v>
      </c>
      <c r="P42" s="128">
        <f t="shared" si="0"/>
        <v>0</v>
      </c>
      <c r="Q42" s="126">
        <v>0</v>
      </c>
      <c r="R42" s="699">
        <f>IF($O43=0,0,        _xll.qDateNext($O42,R$17,"M",TRUE,Currency1))</f>
        <v>0</v>
      </c>
      <c r="S42" s="699">
        <f>IF($O43=0,0,        _xll.qDateNext($O42,S$17,"M",TRUE,Currency1))</f>
        <v>0</v>
      </c>
      <c r="T42" s="699">
        <f>IF($O43=0,0,        _xll.qDateNext($O42,T$17,"M",TRUE,Currency1))</f>
        <v>0</v>
      </c>
      <c r="U42" s="699">
        <f>IF($O43=0,0,        _xll.qDateNext($O42,U$17,"M",TRUE,Currency1))</f>
        <v>0</v>
      </c>
      <c r="V42" s="699">
        <f>IF($O43=0,0,        _xll.qDateNext($O42,V$17,"M",TRUE,Currency1))</f>
        <v>0</v>
      </c>
      <c r="W42" s="699">
        <f>IF($O43=0,0,        _xll.qDateNext($O42,W$17,"M",TRUE,Currency1))</f>
        <v>0</v>
      </c>
      <c r="X42" s="699">
        <f>IF($O43=0,0,        _xll.qDateNext($O42,X$17,"M",TRUE,Currency1))</f>
        <v>0</v>
      </c>
      <c r="Y42" s="699">
        <f>IF($O43=0,0,        _xll.qDateNext($O42,Y$17,"M",TRUE,Currency1))</f>
        <v>0</v>
      </c>
      <c r="Z42" s="703">
        <f>IF($O43=0,0,           IF(FRM,_xll.qGetFwdRate(Z$14,$O42,R42,"T",DCC_Leg1_Float),_xll.qGetFwdRate(Z$14,$O42,$O43,"T",DCC_Leg1_Float)))</f>
        <v>0</v>
      </c>
      <c r="AA42" s="703">
        <f>IF($O43=0,0,           IF(FRM,_xll.qGetFwdRate(AA$14,$O42,S42,"T",DCC_Leg1_Float),_xll.qGetFwdRate(AA$14,$O42,$O43,"T",DCC_Leg1_Float)))</f>
        <v>0</v>
      </c>
      <c r="AB42" s="703">
        <f t="shared" si="1"/>
        <v>0</v>
      </c>
      <c r="AC42" s="703">
        <f>IF($O43=0,0,           IF(FRM,_xll.qGetFwdRate(AC$14,$O42,U42,"T",DCC_Leg1_Float),_xll.qGetFwdRate(AC$14,$O42,$O43,"T",DCC_Leg1_Float)))</f>
        <v>0</v>
      </c>
      <c r="AD42" s="703">
        <f t="shared" si="7"/>
        <v>0</v>
      </c>
      <c r="AE42" s="703">
        <f t="shared" si="8"/>
        <v>0</v>
      </c>
      <c r="AF42" s="703">
        <f>IF($O43=0,0,           IF(FRM,_xll.qGetFwdRate(AF$14,$O42,X42,"T",DCC_Leg1_Float),_xll.qGetFwdRate(AF$14,$O42,$O43,"T",DCC_Leg1_Float)))</f>
        <v>0</v>
      </c>
      <c r="AG42" s="703">
        <f>IF($O43=0,0,           IF(FRM,_xll.qGetFwdRate(AG$14,$O42,Y42,"T",DCC_Leg1_Float),_xll.qGetFwdRate(AG$14,$O42,$O43,"T",DCC_Leg1_Float)))</f>
        <v>0</v>
      </c>
      <c r="AH42" s="685">
        <v>0</v>
      </c>
      <c r="AI42" s="667"/>
      <c r="AJ42" s="670">
        <f>IF(O43=0,0,             IF(ISNUMBER(AI42),AI42,             IF(ISTEXT(AI42),INDEX(Z42:AG42,MATCH(AI42,$Z$17:$AG$17,0)),           IF(AH42="INT",_xll.qInterp(O43,R42:Y42,Z42:AG42),       INDEX(Z42:AG42,MATCH(AH42,$Z$17:$AG$17,0))))))</f>
        <v>0</v>
      </c>
      <c r="AK42" s="732">
        <v>100</v>
      </c>
      <c r="AL42" s="721">
        <f t="shared" si="2"/>
        <v>0</v>
      </c>
      <c r="AM42" s="284">
        <f>IF($O43,_xll.qDateYears($O42,$O43,DCC_Leg1_Fixed),0)</f>
        <v>0</v>
      </c>
      <c r="AN42" s="284">
        <f>IF($O43,_xll.qDateYears($O42,$O43,DCC_Leg1_Float),0)</f>
        <v>0</v>
      </c>
      <c r="AP42" s="350">
        <f t="shared" si="9"/>
        <v>0</v>
      </c>
      <c r="AQ42" s="375">
        <f>IF(GenType_1a="Fixed",GenRate_1a%*$AL41*AM41,          IF(GenType_1a="Float",$AL41*(_xll.qGetFwdRate($D$18,$O41,$O42,"T",DCC_Leg1_Float)%+GenRate_1a%%)*$AN41,        IF(GenType_1a="bp (Fixed)",GenRate_1a%%*$AM41*$AL41,   IF(GenType_1a="bp (Float)",GenRate_1a%%*$AL41*$AN41,0))))</f>
        <v>0</v>
      </c>
      <c r="AR42" s="561"/>
      <c r="AT42" s="341">
        <f t="shared" si="14"/>
        <v>0</v>
      </c>
      <c r="AV42" s="356"/>
      <c r="AW42" s="122">
        <v>0</v>
      </c>
      <c r="AX42" s="128">
        <f t="shared" si="3"/>
        <v>0</v>
      </c>
      <c r="AY42" s="357">
        <v>0</v>
      </c>
      <c r="AZ42" s="699">
        <f>IF($AW43=0,0,        _xll.qDateNext($AW42,AZ$17,"M",TRUE,Currency2))</f>
        <v>0</v>
      </c>
      <c r="BA42" s="699">
        <f>IF($AW43=0,0,        _xll.qDateNext($AW42,BA$17,"M",TRUE,Currency2))</f>
        <v>0</v>
      </c>
      <c r="BB42" s="699">
        <f>IF($AW43=0,0,        _xll.qDateNext($AW42,BB$17,"M",TRUE,Currency2))</f>
        <v>0</v>
      </c>
      <c r="BC42" s="699">
        <f>IF($AW43=0,0,        _xll.qDateNext($AW42,BC$17,"M",TRUE,Currency2))</f>
        <v>0</v>
      </c>
      <c r="BD42" s="699">
        <f>IF($AW43=0,0,        _xll.qDateNext($AW42,BD$17,"M",TRUE,Currency2))</f>
        <v>0</v>
      </c>
      <c r="BE42" s="699">
        <f>IF($AW43=0,0,        _xll.qDateNext($AW42,BE$17,"M",TRUE,Currency2))</f>
        <v>0</v>
      </c>
      <c r="BF42" s="699">
        <f>IF($AW43=0,0,        _xll.qDateNext($AW42,BF$17,"M",TRUE,Currency2))</f>
        <v>0</v>
      </c>
      <c r="BG42" s="699">
        <f>IF($AW43=0,0,        _xll.qDateNext($AW42,BG$17,"M",TRUE,Currency2))</f>
        <v>0</v>
      </c>
      <c r="BH42" s="703">
        <v>0</v>
      </c>
      <c r="BI42" s="703">
        <v>0</v>
      </c>
      <c r="BJ42" s="703">
        <v>0</v>
      </c>
      <c r="BK42" s="703">
        <v>0</v>
      </c>
      <c r="BL42" s="703">
        <f t="shared" si="4"/>
        <v>0</v>
      </c>
      <c r="BM42" s="703">
        <f t="shared" si="10"/>
        <v>0</v>
      </c>
      <c r="BN42" s="703">
        <v>0</v>
      </c>
      <c r="BO42" s="703">
        <v>0</v>
      </c>
      <c r="BP42" s="685">
        <v>0</v>
      </c>
      <c r="BQ42" s="667"/>
      <c r="BR42" s="670">
        <f>IF(AW43=0,0,             IF(ISNUMBER(BQ42),BQ42,             IF(ISTEXT(BQ42),INDEX(BH42:BO42,MATCH(BQ42,$BH$17:$BO$17,0)),           IF(BP42="INT",_xll.qInterp(AW43,AZ42:BG42,BH42:BO42),       INDEX(BH42:BO42,MATCH(BP42,$BH$17:$BO$17,0))))))</f>
        <v>0</v>
      </c>
      <c r="BS42" s="731">
        <f t="shared" si="5"/>
        <v>0</v>
      </c>
      <c r="BT42" s="406">
        <f t="shared" si="6"/>
        <v>0</v>
      </c>
      <c r="BU42" s="284">
        <f>IF($AW43,_xll.qDateYears($AW42,$AW43,DCC_Leg2_Fixed),0)</f>
        <v>0</v>
      </c>
      <c r="BV42" s="284">
        <f>IF($AW43,_xll.qDateYears($AW42,$AW43,DCC_Leg2_Float),0)</f>
        <v>0</v>
      </c>
      <c r="BX42" s="350">
        <f t="shared" si="11"/>
        <v>0</v>
      </c>
      <c r="BY42" s="375">
        <f>IF(GenType_2a="Fixed",GenRate_2a%*$BT41*BU41,          IF(GenType_2a="Float",$BT41*(_xll.qGetFwdRate($J$18,$AW41,$AW42,"T",DCC_Leg2_Float)%+GenRate_2a%%)*$BV41,        IF(GenType_2a="bp (Fixed)",GenRate_2a%%*$BU41*$BT41,   IF(GenType_2a="bp (Float)",GenRate_2a%%*$BT41*$BV41,0))))</f>
        <v>0</v>
      </c>
      <c r="BZ42" s="561"/>
      <c r="CB42" s="341">
        <f t="shared" si="15"/>
        <v>0</v>
      </c>
      <c r="CC42" s="563"/>
      <c r="CD42" s="356"/>
      <c r="CE42" s="341">
        <v>0</v>
      </c>
      <c r="CF42" s="563"/>
      <c r="CG42" s="356"/>
    </row>
    <row r="43" spans="2:85">
      <c r="B43" s="214"/>
      <c r="C43" s="332"/>
      <c r="D43" s="214"/>
      <c r="E43" s="214"/>
      <c r="F43" s="332"/>
      <c r="O43" s="122">
        <v>0</v>
      </c>
      <c r="P43" s="128">
        <f t="shared" si="0"/>
        <v>0</v>
      </c>
      <c r="Q43" s="126">
        <v>0</v>
      </c>
      <c r="R43" s="699">
        <f>IF($O44=0,0,        _xll.qDateNext($O43,R$17,"M",TRUE,Currency1))</f>
        <v>0</v>
      </c>
      <c r="S43" s="699">
        <f>IF($O44=0,0,        _xll.qDateNext($O43,S$17,"M",TRUE,Currency1))</f>
        <v>0</v>
      </c>
      <c r="T43" s="699">
        <f>IF($O44=0,0,        _xll.qDateNext($O43,T$17,"M",TRUE,Currency1))</f>
        <v>0</v>
      </c>
      <c r="U43" s="699">
        <f>IF($O44=0,0,        _xll.qDateNext($O43,U$17,"M",TRUE,Currency1))</f>
        <v>0</v>
      </c>
      <c r="V43" s="699">
        <f>IF($O44=0,0,        _xll.qDateNext($O43,V$17,"M",TRUE,Currency1))</f>
        <v>0</v>
      </c>
      <c r="W43" s="699">
        <f>IF($O44=0,0,        _xll.qDateNext($O43,W$17,"M",TRUE,Currency1))</f>
        <v>0</v>
      </c>
      <c r="X43" s="699">
        <f>IF($O44=0,0,        _xll.qDateNext($O43,X$17,"M",TRUE,Currency1))</f>
        <v>0</v>
      </c>
      <c r="Y43" s="699">
        <f>IF($O44=0,0,        _xll.qDateNext($O43,Y$17,"M",TRUE,Currency1))</f>
        <v>0</v>
      </c>
      <c r="Z43" s="703">
        <f>IF($O44=0,0,           IF(FRM,_xll.qGetFwdRate(Z$14,$O43,R43,"T",DCC_Leg1_Float),_xll.qGetFwdRate(Z$14,$O43,$O44,"T",DCC_Leg1_Float)))</f>
        <v>0</v>
      </c>
      <c r="AA43" s="703">
        <f>IF($O44=0,0,           IF(FRM,_xll.qGetFwdRate(AA$14,$O43,S43,"T",DCC_Leg1_Float),_xll.qGetFwdRate(AA$14,$O43,$O44,"T",DCC_Leg1_Float)))</f>
        <v>0</v>
      </c>
      <c r="AB43" s="703">
        <f t="shared" si="1"/>
        <v>0</v>
      </c>
      <c r="AC43" s="703">
        <f>IF($O44=0,0,           IF(FRM,_xll.qGetFwdRate(AC$14,$O43,U43,"T",DCC_Leg1_Float),_xll.qGetFwdRate(AC$14,$O43,$O44,"T",DCC_Leg1_Float)))</f>
        <v>0</v>
      </c>
      <c r="AD43" s="703">
        <f t="shared" si="7"/>
        <v>0</v>
      </c>
      <c r="AE43" s="703">
        <f t="shared" si="8"/>
        <v>0</v>
      </c>
      <c r="AF43" s="703">
        <f>IF($O44=0,0,           IF(FRM,_xll.qGetFwdRate(AF$14,$O43,X43,"T",DCC_Leg1_Float),_xll.qGetFwdRate(AF$14,$O43,$O44,"T",DCC_Leg1_Float)))</f>
        <v>0</v>
      </c>
      <c r="AG43" s="703">
        <f>IF($O44=0,0,           IF(FRM,_xll.qGetFwdRate(AG$14,$O43,Y43,"T",DCC_Leg1_Float),_xll.qGetFwdRate(AG$14,$O43,$O44,"T",DCC_Leg1_Float)))</f>
        <v>0</v>
      </c>
      <c r="AH43" s="685">
        <v>0</v>
      </c>
      <c r="AI43" s="667"/>
      <c r="AJ43" s="670">
        <f>IF(O44=0,0,             IF(ISNUMBER(AI43),AI43,             IF(ISTEXT(AI43),INDEX(Z43:AG43,MATCH(AI43,$Z$17:$AG$17,0)),           IF(AH43="INT",_xll.qInterp(O44,R43:Y43,Z43:AG43),       INDEX(Z43:AG43,MATCH(AH43,$Z$17:$AG$17,0))))))</f>
        <v>0</v>
      </c>
      <c r="AK43" s="732">
        <v>100</v>
      </c>
      <c r="AL43" s="721">
        <f t="shared" si="2"/>
        <v>0</v>
      </c>
      <c r="AM43" s="284">
        <f>IF($O44,_xll.qDateYears($O43,$O44,DCC_Leg1_Fixed),0)</f>
        <v>0</v>
      </c>
      <c r="AN43" s="284">
        <f>IF($O44,_xll.qDateYears($O43,$O44,DCC_Leg1_Float),0)</f>
        <v>0</v>
      </c>
      <c r="AP43" s="350">
        <f t="shared" si="9"/>
        <v>0</v>
      </c>
      <c r="AQ43" s="375">
        <f>IF(GenType_1a="Fixed",GenRate_1a%*$AL42*AM42,          IF(GenType_1a="Float",$AL42*(_xll.qGetFwdRate($D$18,$O42,$O43,"T",DCC_Leg1_Float)%+GenRate_1a%%)*$AN42,        IF(GenType_1a="bp (Fixed)",GenRate_1a%%*$AM42*$AL42,   IF(GenType_1a="bp (Float)",GenRate_1a%%*$AL42*$AN42,0))))</f>
        <v>0</v>
      </c>
      <c r="AR43" s="561"/>
      <c r="AT43" s="341">
        <f t="shared" si="14"/>
        <v>0</v>
      </c>
      <c r="AV43" s="356"/>
      <c r="AW43" s="122">
        <v>0</v>
      </c>
      <c r="AX43" s="128">
        <f t="shared" si="3"/>
        <v>0</v>
      </c>
      <c r="AY43" s="357">
        <v>0</v>
      </c>
      <c r="AZ43" s="699">
        <f>IF($AW44=0,0,        _xll.qDateNext($AW43,AZ$17,"M",TRUE,Currency2))</f>
        <v>0</v>
      </c>
      <c r="BA43" s="699">
        <f>IF($AW44=0,0,        _xll.qDateNext($AW43,BA$17,"M",TRUE,Currency2))</f>
        <v>0</v>
      </c>
      <c r="BB43" s="699">
        <f>IF($AW44=0,0,        _xll.qDateNext($AW43,BB$17,"M",TRUE,Currency2))</f>
        <v>0</v>
      </c>
      <c r="BC43" s="699">
        <f>IF($AW44=0,0,        _xll.qDateNext($AW43,BC$17,"M",TRUE,Currency2))</f>
        <v>0</v>
      </c>
      <c r="BD43" s="699">
        <f>IF($AW44=0,0,        _xll.qDateNext($AW43,BD$17,"M",TRUE,Currency2))</f>
        <v>0</v>
      </c>
      <c r="BE43" s="699">
        <f>IF($AW44=0,0,        _xll.qDateNext($AW43,BE$17,"M",TRUE,Currency2))</f>
        <v>0</v>
      </c>
      <c r="BF43" s="699">
        <f>IF($AW44=0,0,        _xll.qDateNext($AW43,BF$17,"M",TRUE,Currency2))</f>
        <v>0</v>
      </c>
      <c r="BG43" s="699">
        <f>IF($AW44=0,0,        _xll.qDateNext($AW43,BG$17,"M",TRUE,Currency2))</f>
        <v>0</v>
      </c>
      <c r="BH43" s="703">
        <v>0</v>
      </c>
      <c r="BI43" s="703">
        <v>0</v>
      </c>
      <c r="BJ43" s="703">
        <v>0</v>
      </c>
      <c r="BK43" s="703">
        <v>0</v>
      </c>
      <c r="BL43" s="703">
        <f t="shared" si="4"/>
        <v>0</v>
      </c>
      <c r="BM43" s="703">
        <f t="shared" si="10"/>
        <v>0</v>
      </c>
      <c r="BN43" s="703">
        <v>0</v>
      </c>
      <c r="BO43" s="703">
        <v>0</v>
      </c>
      <c r="BP43" s="685">
        <v>0</v>
      </c>
      <c r="BQ43" s="667"/>
      <c r="BR43" s="670">
        <f>IF(AW44=0,0,             IF(ISNUMBER(BQ43),BQ43,             IF(ISTEXT(BQ43),INDEX(BH43:BO43,MATCH(BQ43,$BH$17:$BO$17,0)),           IF(BP43="INT",_xll.qInterp(AW44,AZ43:BG43,BH43:BO43),       INDEX(BH43:BO43,MATCH(BP43,$BH$17:$BO$17,0))))))</f>
        <v>0</v>
      </c>
      <c r="BS43" s="731">
        <f t="shared" si="5"/>
        <v>0</v>
      </c>
      <c r="BT43" s="406">
        <f t="shared" si="6"/>
        <v>0</v>
      </c>
      <c r="BU43" s="284">
        <f>IF($AW44,_xll.qDateYears($AW43,$AW44,DCC_Leg2_Fixed),0)</f>
        <v>0</v>
      </c>
      <c r="BV43" s="284">
        <f>IF($AW44,_xll.qDateYears($AW43,$AW44,DCC_Leg2_Float),0)</f>
        <v>0</v>
      </c>
      <c r="BX43" s="350">
        <f t="shared" si="11"/>
        <v>0</v>
      </c>
      <c r="BY43" s="375">
        <f>IF(GenType_2a="Fixed",GenRate_2a%*$BT42*BU42,          IF(GenType_2a="Float",$BT42*(_xll.qGetFwdRate($J$18,$AW42,$AW43,"T",DCC_Leg2_Float)%+GenRate_2a%%)*$BV42,        IF(GenType_2a="bp (Fixed)",GenRate_2a%%*$BU42*$BT42,   IF(GenType_2a="bp (Float)",GenRate_2a%%*$BT42*$BV42,0))))</f>
        <v>0</v>
      </c>
      <c r="BZ43" s="561"/>
      <c r="CB43" s="341">
        <f t="shared" si="15"/>
        <v>0</v>
      </c>
      <c r="CC43" s="563"/>
      <c r="CD43" s="356"/>
      <c r="CE43" s="341">
        <v>0</v>
      </c>
      <c r="CF43" s="563"/>
      <c r="CG43" s="356"/>
    </row>
    <row r="44" spans="2:85">
      <c r="B44" s="214"/>
      <c r="C44" s="332"/>
      <c r="D44" s="214"/>
      <c r="E44" s="214"/>
      <c r="F44" s="332"/>
      <c r="O44" s="122">
        <v>0</v>
      </c>
      <c r="P44" s="128">
        <f t="shared" si="0"/>
        <v>0</v>
      </c>
      <c r="Q44" s="126">
        <v>0</v>
      </c>
      <c r="R44" s="699">
        <f>IF($O45=0,0,        _xll.qDateNext($O44,R$17,"M",TRUE,Currency1))</f>
        <v>0</v>
      </c>
      <c r="S44" s="699">
        <f>IF($O45=0,0,        _xll.qDateNext($O44,S$17,"M",TRUE,Currency1))</f>
        <v>0</v>
      </c>
      <c r="T44" s="699">
        <f>IF($O45=0,0,        _xll.qDateNext($O44,T$17,"M",TRUE,Currency1))</f>
        <v>0</v>
      </c>
      <c r="U44" s="699">
        <f>IF($O45=0,0,        _xll.qDateNext($O44,U$17,"M",TRUE,Currency1))</f>
        <v>0</v>
      </c>
      <c r="V44" s="699">
        <f>IF($O45=0,0,        _xll.qDateNext($O44,V$17,"M",TRUE,Currency1))</f>
        <v>0</v>
      </c>
      <c r="W44" s="699">
        <f>IF($O45=0,0,        _xll.qDateNext($O44,W$17,"M",TRUE,Currency1))</f>
        <v>0</v>
      </c>
      <c r="X44" s="699">
        <f>IF($O45=0,0,        _xll.qDateNext($O44,X$17,"M",TRUE,Currency1))</f>
        <v>0</v>
      </c>
      <c r="Y44" s="699">
        <f>IF($O45=0,0,        _xll.qDateNext($O44,Y$17,"M",TRUE,Currency1))</f>
        <v>0</v>
      </c>
      <c r="Z44" s="703">
        <f>IF($O45=0,0,           IF(FRM,_xll.qGetFwdRate(Z$14,$O44,R44,"T",DCC_Leg1_Float),_xll.qGetFwdRate(Z$14,$O44,$O45,"T",DCC_Leg1_Float)))</f>
        <v>0</v>
      </c>
      <c r="AA44" s="703">
        <f>IF($O45=0,0,           IF(FRM,_xll.qGetFwdRate(AA$14,$O44,S44,"T",DCC_Leg1_Float),_xll.qGetFwdRate(AA$14,$O44,$O45,"T",DCC_Leg1_Float)))</f>
        <v>0</v>
      </c>
      <c r="AB44" s="703">
        <f t="shared" si="1"/>
        <v>0</v>
      </c>
      <c r="AC44" s="703">
        <f>IF($O45=0,0,           IF(FRM,_xll.qGetFwdRate(AC$14,$O44,U44,"T",DCC_Leg1_Float),_xll.qGetFwdRate(AC$14,$O44,$O45,"T",DCC_Leg1_Float)))</f>
        <v>0</v>
      </c>
      <c r="AD44" s="703">
        <f t="shared" si="7"/>
        <v>0</v>
      </c>
      <c r="AE44" s="703">
        <f t="shared" si="8"/>
        <v>0</v>
      </c>
      <c r="AF44" s="703">
        <f>IF($O45=0,0,           IF(FRM,_xll.qGetFwdRate(AF$14,$O44,X44,"T",DCC_Leg1_Float),_xll.qGetFwdRate(AF$14,$O44,$O45,"T",DCC_Leg1_Float)))</f>
        <v>0</v>
      </c>
      <c r="AG44" s="703">
        <f>IF($O45=0,0,           IF(FRM,_xll.qGetFwdRate(AG$14,$O44,Y44,"T",DCC_Leg1_Float),_xll.qGetFwdRate(AG$14,$O44,$O45,"T",DCC_Leg1_Float)))</f>
        <v>0</v>
      </c>
      <c r="AH44" s="685">
        <v>0</v>
      </c>
      <c r="AI44" s="667"/>
      <c r="AJ44" s="670">
        <f>IF(O45=0,0,             IF(ISNUMBER(AI44),AI44,             IF(ISTEXT(AI44),INDEX(Z44:AG44,MATCH(AI44,$Z$17:$AG$17,0)),           IF(AH44="INT",_xll.qInterp(O45,R44:Y44,Z44:AG44),       INDEX(Z44:AG44,MATCH(AH44,$Z$17:$AG$17,0))))))</f>
        <v>0</v>
      </c>
      <c r="AK44" s="732">
        <v>100</v>
      </c>
      <c r="AL44" s="721">
        <f t="shared" si="2"/>
        <v>0</v>
      </c>
      <c r="AM44" s="284">
        <f>IF($O45,_xll.qDateYears($O44,$O45,DCC_Leg1_Fixed),0)</f>
        <v>0</v>
      </c>
      <c r="AN44" s="284">
        <f>IF($O45,_xll.qDateYears($O44,$O45,DCC_Leg1_Float),0)</f>
        <v>0</v>
      </c>
      <c r="AP44" s="350">
        <f t="shared" si="9"/>
        <v>0</v>
      </c>
      <c r="AQ44" s="375">
        <f>IF(GenType_1a="Fixed",GenRate_1a%*$AL43*AM43,          IF(GenType_1a="Float",$AL43*(_xll.qGetFwdRate($D$18,$O43,$O44,"T",DCC_Leg1_Float)%+GenRate_1a%%)*$AN43,        IF(GenType_1a="bp (Fixed)",GenRate_1a%%*$AM43*$AL43,   IF(GenType_1a="bp (Float)",GenRate_1a%%*$AL43*$AN43,0))))</f>
        <v>0</v>
      </c>
      <c r="AR44" s="561"/>
      <c r="AT44" s="341">
        <f t="shared" si="14"/>
        <v>0</v>
      </c>
      <c r="AV44" s="356"/>
      <c r="AW44" s="122">
        <v>0</v>
      </c>
      <c r="AX44" s="128">
        <f t="shared" si="3"/>
        <v>0</v>
      </c>
      <c r="AY44" s="357">
        <v>0</v>
      </c>
      <c r="AZ44" s="699">
        <f>IF($AW45=0,0,        _xll.qDateNext($AW44,AZ$17,"M",TRUE,Currency2))</f>
        <v>0</v>
      </c>
      <c r="BA44" s="699">
        <f>IF($AW45=0,0,        _xll.qDateNext($AW44,BA$17,"M",TRUE,Currency2))</f>
        <v>0</v>
      </c>
      <c r="BB44" s="699">
        <f>IF($AW45=0,0,        _xll.qDateNext($AW44,BB$17,"M",TRUE,Currency2))</f>
        <v>0</v>
      </c>
      <c r="BC44" s="699">
        <f>IF($AW45=0,0,        _xll.qDateNext($AW44,BC$17,"M",TRUE,Currency2))</f>
        <v>0</v>
      </c>
      <c r="BD44" s="699">
        <f>IF($AW45=0,0,        _xll.qDateNext($AW44,BD$17,"M",TRUE,Currency2))</f>
        <v>0</v>
      </c>
      <c r="BE44" s="699">
        <f>IF($AW45=0,0,        _xll.qDateNext($AW44,BE$17,"M",TRUE,Currency2))</f>
        <v>0</v>
      </c>
      <c r="BF44" s="699">
        <f>IF($AW45=0,0,        _xll.qDateNext($AW44,BF$17,"M",TRUE,Currency2))</f>
        <v>0</v>
      </c>
      <c r="BG44" s="699">
        <f>IF($AW45=0,0,        _xll.qDateNext($AW44,BG$17,"M",TRUE,Currency2))</f>
        <v>0</v>
      </c>
      <c r="BH44" s="703">
        <v>0</v>
      </c>
      <c r="BI44" s="703">
        <v>0</v>
      </c>
      <c r="BJ44" s="703">
        <v>0</v>
      </c>
      <c r="BK44" s="703">
        <v>0</v>
      </c>
      <c r="BL44" s="703">
        <f t="shared" si="4"/>
        <v>0</v>
      </c>
      <c r="BM44" s="703">
        <f t="shared" si="10"/>
        <v>0</v>
      </c>
      <c r="BN44" s="703">
        <v>0</v>
      </c>
      <c r="BO44" s="703">
        <v>0</v>
      </c>
      <c r="BP44" s="685">
        <v>0</v>
      </c>
      <c r="BQ44" s="667"/>
      <c r="BR44" s="670">
        <f>IF(AW45=0,0,             IF(ISNUMBER(BQ44),BQ44,             IF(ISTEXT(BQ44),INDEX(BH44:BO44,MATCH(BQ44,$BH$17:$BO$17,0)),           IF(BP44="INT",_xll.qInterp(AW45,AZ44:BG44,BH44:BO44),       INDEX(BH44:BO44,MATCH(BP44,$BH$17:$BO$17,0))))))</f>
        <v>0</v>
      </c>
      <c r="BS44" s="731">
        <f t="shared" si="5"/>
        <v>0</v>
      </c>
      <c r="BT44" s="406">
        <f t="shared" si="6"/>
        <v>0</v>
      </c>
      <c r="BU44" s="284">
        <f>IF($AW45,_xll.qDateYears($AW44,$AW45,DCC_Leg2_Fixed),0)</f>
        <v>0</v>
      </c>
      <c r="BV44" s="284">
        <f>IF($AW45,_xll.qDateYears($AW44,$AW45,DCC_Leg2_Float),0)</f>
        <v>0</v>
      </c>
      <c r="BX44" s="350">
        <f t="shared" si="11"/>
        <v>0</v>
      </c>
      <c r="BY44" s="375">
        <f>IF(GenType_2a="Fixed",GenRate_2a%*$BT43*BU43,          IF(GenType_2a="Float",$BT43*(_xll.qGetFwdRate($J$18,$AW43,$AW44,"T",DCC_Leg2_Float)%+GenRate_2a%%)*$BV43,        IF(GenType_2a="bp (Fixed)",GenRate_2a%%*$BU43*$BT43,   IF(GenType_2a="bp (Float)",GenRate_2a%%*$BT43*$BV43,0))))</f>
        <v>0</v>
      </c>
      <c r="BZ44" s="561"/>
      <c r="CB44" s="341">
        <f t="shared" si="15"/>
        <v>0</v>
      </c>
      <c r="CC44" s="563"/>
      <c r="CD44" s="356"/>
      <c r="CE44" s="341">
        <v>0</v>
      </c>
      <c r="CF44" s="563"/>
      <c r="CG44" s="356"/>
    </row>
    <row r="45" spans="2:85">
      <c r="B45" s="214"/>
      <c r="C45" s="332"/>
      <c r="D45" s="214"/>
      <c r="E45" s="214"/>
      <c r="F45" s="332"/>
      <c r="O45" s="122">
        <v>0</v>
      </c>
      <c r="P45" s="128">
        <f t="shared" si="0"/>
        <v>0</v>
      </c>
      <c r="Q45" s="126">
        <v>0</v>
      </c>
      <c r="R45" s="699">
        <f>IF($O46=0,0,        _xll.qDateNext($O45,R$17,"M",TRUE,Currency1))</f>
        <v>0</v>
      </c>
      <c r="S45" s="699">
        <f>IF($O46=0,0,        _xll.qDateNext($O45,S$17,"M",TRUE,Currency1))</f>
        <v>0</v>
      </c>
      <c r="T45" s="699">
        <f>IF($O46=0,0,        _xll.qDateNext($O45,T$17,"M",TRUE,Currency1))</f>
        <v>0</v>
      </c>
      <c r="U45" s="699">
        <f>IF($O46=0,0,        _xll.qDateNext($O45,U$17,"M",TRUE,Currency1))</f>
        <v>0</v>
      </c>
      <c r="V45" s="699">
        <f>IF($O46=0,0,        _xll.qDateNext($O45,V$17,"M",TRUE,Currency1))</f>
        <v>0</v>
      </c>
      <c r="W45" s="699">
        <f>IF($O46=0,0,        _xll.qDateNext($O45,W$17,"M",TRUE,Currency1))</f>
        <v>0</v>
      </c>
      <c r="X45" s="699">
        <f>IF($O46=0,0,        _xll.qDateNext($O45,X$17,"M",TRUE,Currency1))</f>
        <v>0</v>
      </c>
      <c r="Y45" s="699">
        <f>IF($O46=0,0,        _xll.qDateNext($O45,Y$17,"M",TRUE,Currency1))</f>
        <v>0</v>
      </c>
      <c r="Z45" s="703">
        <f>IF($O46=0,0,           IF(FRM,_xll.qGetFwdRate(Z$14,$O45,R45,"T",DCC_Leg1_Float),_xll.qGetFwdRate(Z$14,$O45,$O46,"T",DCC_Leg1_Float)))</f>
        <v>0</v>
      </c>
      <c r="AA45" s="703">
        <f>IF($O46=0,0,           IF(FRM,_xll.qGetFwdRate(AA$14,$O45,S45,"T",DCC_Leg1_Float),_xll.qGetFwdRate(AA$14,$O45,$O46,"T",DCC_Leg1_Float)))</f>
        <v>0</v>
      </c>
      <c r="AB45" s="703">
        <f t="shared" si="1"/>
        <v>0</v>
      </c>
      <c r="AC45" s="703">
        <f>IF($O46=0,0,           IF(FRM,_xll.qGetFwdRate(AC$14,$O45,U45,"T",DCC_Leg1_Float),_xll.qGetFwdRate(AC$14,$O45,$O46,"T",DCC_Leg1_Float)))</f>
        <v>0</v>
      </c>
      <c r="AD45" s="703">
        <f t="shared" si="7"/>
        <v>0</v>
      </c>
      <c r="AE45" s="703">
        <f t="shared" si="8"/>
        <v>0</v>
      </c>
      <c r="AF45" s="703">
        <f>IF($O46=0,0,           IF(FRM,_xll.qGetFwdRate(AF$14,$O45,X45,"T",DCC_Leg1_Float),_xll.qGetFwdRate(AF$14,$O45,$O46,"T",DCC_Leg1_Float)))</f>
        <v>0</v>
      </c>
      <c r="AG45" s="703">
        <f>IF($O46=0,0,           IF(FRM,_xll.qGetFwdRate(AG$14,$O45,Y45,"T",DCC_Leg1_Float),_xll.qGetFwdRate(AG$14,$O45,$O46,"T",DCC_Leg1_Float)))</f>
        <v>0</v>
      </c>
      <c r="AH45" s="685">
        <v>0</v>
      </c>
      <c r="AI45" s="667"/>
      <c r="AJ45" s="670">
        <f>IF(O46=0,0,             IF(ISNUMBER(AI45),AI45,             IF(ISTEXT(AI45),INDEX(Z45:AG45,MATCH(AI45,$Z$17:$AG$17,0)),           IF(AH45="INT",_xll.qInterp(O46,R45:Y45,Z45:AG45),       INDEX(Z45:AG45,MATCH(AH45,$Z$17:$AG$17,0))))))</f>
        <v>0</v>
      </c>
      <c r="AK45" s="732">
        <v>100</v>
      </c>
      <c r="AL45" s="721">
        <f t="shared" si="2"/>
        <v>0</v>
      </c>
      <c r="AM45" s="284">
        <f>IF($O46,_xll.qDateYears($O45,$O46,DCC_Leg1_Fixed),0)</f>
        <v>0</v>
      </c>
      <c r="AN45" s="284">
        <f>IF($O46,_xll.qDateYears($O45,$O46,DCC_Leg1_Float),0)</f>
        <v>0</v>
      </c>
      <c r="AP45" s="350">
        <f t="shared" si="9"/>
        <v>0</v>
      </c>
      <c r="AQ45" s="375">
        <f>IF(GenType_1a="Fixed",GenRate_1a%*$AL44*AM44,          IF(GenType_1a="Float",$AL44*(_xll.qGetFwdRate($D$18,$O44,$O45,"T",DCC_Leg1_Float)%+GenRate_1a%%)*$AN44,        IF(GenType_1a="bp (Fixed)",GenRate_1a%%*$AM44*$AL44,   IF(GenType_1a="bp (Float)",GenRate_1a%%*$AL44*$AN44,0))))</f>
        <v>0</v>
      </c>
      <c r="AR45" s="561"/>
      <c r="AT45" s="341">
        <f t="shared" si="14"/>
        <v>0</v>
      </c>
      <c r="AV45" s="356"/>
      <c r="AW45" s="122">
        <v>0</v>
      </c>
      <c r="AX45" s="128">
        <f t="shared" si="3"/>
        <v>0</v>
      </c>
      <c r="AY45" s="357">
        <v>0</v>
      </c>
      <c r="AZ45" s="699">
        <f>IF($AW46=0,0,        _xll.qDateNext($AW45,AZ$17,"M",TRUE,Currency2))</f>
        <v>0</v>
      </c>
      <c r="BA45" s="699">
        <f>IF($AW46=0,0,        _xll.qDateNext($AW45,BA$17,"M",TRUE,Currency2))</f>
        <v>0</v>
      </c>
      <c r="BB45" s="699">
        <f>IF($AW46=0,0,        _xll.qDateNext($AW45,BB$17,"M",TRUE,Currency2))</f>
        <v>0</v>
      </c>
      <c r="BC45" s="699">
        <f>IF($AW46=0,0,        _xll.qDateNext($AW45,BC$17,"M",TRUE,Currency2))</f>
        <v>0</v>
      </c>
      <c r="BD45" s="699">
        <f>IF($AW46=0,0,        _xll.qDateNext($AW45,BD$17,"M",TRUE,Currency2))</f>
        <v>0</v>
      </c>
      <c r="BE45" s="699">
        <f>IF($AW46=0,0,        _xll.qDateNext($AW45,BE$17,"M",TRUE,Currency2))</f>
        <v>0</v>
      </c>
      <c r="BF45" s="699">
        <f>IF($AW46=0,0,        _xll.qDateNext($AW45,BF$17,"M",TRUE,Currency2))</f>
        <v>0</v>
      </c>
      <c r="BG45" s="699">
        <f>IF($AW46=0,0,        _xll.qDateNext($AW45,BG$17,"M",TRUE,Currency2))</f>
        <v>0</v>
      </c>
      <c r="BH45" s="703">
        <v>0</v>
      </c>
      <c r="BI45" s="703">
        <v>0</v>
      </c>
      <c r="BJ45" s="703">
        <v>0</v>
      </c>
      <c r="BK45" s="703">
        <v>0</v>
      </c>
      <c r="BL45" s="703">
        <f t="shared" si="4"/>
        <v>0</v>
      </c>
      <c r="BM45" s="703">
        <f t="shared" si="10"/>
        <v>0</v>
      </c>
      <c r="BN45" s="703">
        <v>0</v>
      </c>
      <c r="BO45" s="703">
        <v>0</v>
      </c>
      <c r="BP45" s="685">
        <v>0</v>
      </c>
      <c r="BQ45" s="667"/>
      <c r="BR45" s="670">
        <f>IF(AW46=0,0,             IF(ISNUMBER(BQ45),BQ45,             IF(ISTEXT(BQ45),INDEX(BH45:BO45,MATCH(BQ45,$BH$17:$BO$17,0)),           IF(BP45="INT",_xll.qInterp(AW46,AZ45:BG45,BH45:BO45),       INDEX(BH45:BO45,MATCH(BP45,$BH$17:$BO$17,0))))))</f>
        <v>0</v>
      </c>
      <c r="BS45" s="731">
        <f t="shared" si="5"/>
        <v>0</v>
      </c>
      <c r="BT45" s="406">
        <f t="shared" si="6"/>
        <v>0</v>
      </c>
      <c r="BU45" s="284">
        <f>IF($AW46,_xll.qDateYears($AW45,$AW46,DCC_Leg2_Fixed),0)</f>
        <v>0</v>
      </c>
      <c r="BV45" s="284">
        <f>IF($AW46,_xll.qDateYears($AW45,$AW46,DCC_Leg2_Float),0)</f>
        <v>0</v>
      </c>
      <c r="BX45" s="350">
        <f t="shared" si="11"/>
        <v>0</v>
      </c>
      <c r="BY45" s="375">
        <f>IF(GenType_2a="Fixed",GenRate_2a%*$BT44*BU44,          IF(GenType_2a="Float",$BT44*(_xll.qGetFwdRate($J$18,$AW44,$AW45,"T",DCC_Leg2_Float)%+GenRate_2a%%)*$BV44,        IF(GenType_2a="bp (Fixed)",GenRate_2a%%*$BU44*$BT44,   IF(GenType_2a="bp (Float)",GenRate_2a%%*$BT44*$BV44,0))))</f>
        <v>0</v>
      </c>
      <c r="BZ45" s="561"/>
      <c r="CB45" s="341">
        <f t="shared" si="15"/>
        <v>0</v>
      </c>
      <c r="CC45" s="563"/>
      <c r="CD45" s="356"/>
      <c r="CE45" s="341">
        <v>0</v>
      </c>
      <c r="CF45" s="563"/>
      <c r="CG45" s="356"/>
    </row>
    <row r="46" spans="2:85">
      <c r="B46" s="214"/>
      <c r="C46" s="332"/>
      <c r="D46" s="214"/>
      <c r="E46" s="214"/>
      <c r="F46" s="332">
        <v>0.5</v>
      </c>
      <c r="O46" s="122">
        <v>0</v>
      </c>
      <c r="P46" s="128">
        <f t="shared" si="0"/>
        <v>0</v>
      </c>
      <c r="Q46" s="126">
        <v>0</v>
      </c>
      <c r="R46" s="699">
        <f>IF($O47=0,0,        _xll.qDateNext($O46,R$17,"M",TRUE,Currency1))</f>
        <v>0</v>
      </c>
      <c r="S46" s="699">
        <f>IF($O47=0,0,        _xll.qDateNext($O46,S$17,"M",TRUE,Currency1))</f>
        <v>0</v>
      </c>
      <c r="T46" s="699">
        <f>IF($O47=0,0,        _xll.qDateNext($O46,T$17,"M",TRUE,Currency1))</f>
        <v>0</v>
      </c>
      <c r="U46" s="699">
        <f>IF($O47=0,0,        _xll.qDateNext($O46,U$17,"M",TRUE,Currency1))</f>
        <v>0</v>
      </c>
      <c r="V46" s="699">
        <f>IF($O47=0,0,        _xll.qDateNext($O46,V$17,"M",TRUE,Currency1))</f>
        <v>0</v>
      </c>
      <c r="W46" s="699">
        <f>IF($O47=0,0,        _xll.qDateNext($O46,W$17,"M",TRUE,Currency1))</f>
        <v>0</v>
      </c>
      <c r="X46" s="699">
        <f>IF($O47=0,0,        _xll.qDateNext($O46,X$17,"M",TRUE,Currency1))</f>
        <v>0</v>
      </c>
      <c r="Y46" s="699">
        <f>IF($O47=0,0,        _xll.qDateNext($O46,Y$17,"M",TRUE,Currency1))</f>
        <v>0</v>
      </c>
      <c r="Z46" s="703">
        <f>IF($O47=0,0,           IF(FRM,_xll.qGetFwdRate(Z$14,$O46,R46,"T",DCC_Leg1_Float),_xll.qGetFwdRate(Z$14,$O46,$O47,"T",DCC_Leg1_Float)))</f>
        <v>0</v>
      </c>
      <c r="AA46" s="703">
        <f>IF($O47=0,0,           IF(FRM,_xll.qGetFwdRate(AA$14,$O46,S46,"T",DCC_Leg1_Float),_xll.qGetFwdRate(AA$14,$O46,$O47,"T",DCC_Leg1_Float)))</f>
        <v>0</v>
      </c>
      <c r="AB46" s="703">
        <f t="shared" si="1"/>
        <v>0</v>
      </c>
      <c r="AC46" s="703">
        <f>IF($O47=0,0,           IF(FRM,_xll.qGetFwdRate(AC$14,$O46,U46,"T",DCC_Leg1_Float),_xll.qGetFwdRate(AC$14,$O46,$O47,"T",DCC_Leg1_Float)))</f>
        <v>0</v>
      </c>
      <c r="AD46" s="703">
        <f t="shared" si="7"/>
        <v>0</v>
      </c>
      <c r="AE46" s="703">
        <f t="shared" si="8"/>
        <v>0</v>
      </c>
      <c r="AF46" s="703">
        <f>IF($O47=0,0,           IF(FRM,_xll.qGetFwdRate(AF$14,$O46,X46,"T",DCC_Leg1_Float),_xll.qGetFwdRate(AF$14,$O46,$O47,"T",DCC_Leg1_Float)))</f>
        <v>0</v>
      </c>
      <c r="AG46" s="703">
        <f>IF($O47=0,0,           IF(FRM,_xll.qGetFwdRate(AG$14,$O46,Y46,"T",DCC_Leg1_Float),_xll.qGetFwdRate(AG$14,$O46,$O47,"T",DCC_Leg1_Float)))</f>
        <v>0</v>
      </c>
      <c r="AH46" s="685">
        <v>0</v>
      </c>
      <c r="AI46" s="667"/>
      <c r="AJ46" s="670">
        <f>IF(O47=0,0,             IF(ISNUMBER(AI46),AI46,             IF(ISTEXT(AI46),INDEX(Z46:AG46,MATCH(AI46,$Z$17:$AG$17,0)),           IF(AH46="INT",_xll.qInterp(O47,R46:Y46,Z46:AG46),       INDEX(Z46:AG46,MATCH(AH46,$Z$17:$AG$17,0))))))</f>
        <v>0</v>
      </c>
      <c r="AK46" s="732">
        <v>100</v>
      </c>
      <c r="AL46" s="721">
        <f t="shared" si="2"/>
        <v>0</v>
      </c>
      <c r="AM46" s="284">
        <f>IF($O47,_xll.qDateYears($O46,$O47,DCC_Leg1_Fixed),0)</f>
        <v>0</v>
      </c>
      <c r="AN46" s="284">
        <f>IF($O47,_xll.qDateYears($O46,$O47,DCC_Leg1_Float),0)</f>
        <v>0</v>
      </c>
      <c r="AP46" s="350">
        <f t="shared" si="9"/>
        <v>0</v>
      </c>
      <c r="AQ46" s="375">
        <f>IF(GenType_1a="Fixed",GenRate_1a%*$AL45*AM45,          IF(GenType_1a="Float",$AL45*(_xll.qGetFwdRate($D$18,$O45,$O46,"T",DCC_Leg1_Float)%+GenRate_1a%%)*$AN45,        IF(GenType_1a="bp (Fixed)",GenRate_1a%%*$AM45*$AL45,   IF(GenType_1a="bp (Float)",GenRate_1a%%*$AL45*$AN45,0))))</f>
        <v>0</v>
      </c>
      <c r="AR46" s="561"/>
      <c r="AT46" s="341">
        <f t="shared" si="14"/>
        <v>0</v>
      </c>
      <c r="AV46" s="356"/>
      <c r="AW46" s="122">
        <v>0</v>
      </c>
      <c r="AX46" s="128">
        <f t="shared" si="3"/>
        <v>0</v>
      </c>
      <c r="AY46" s="357">
        <v>0</v>
      </c>
      <c r="AZ46" s="699">
        <f>IF($AW47=0,0,        _xll.qDateNext($AW46,AZ$17,"M",TRUE,Currency2))</f>
        <v>0</v>
      </c>
      <c r="BA46" s="699">
        <f>IF($AW47=0,0,        _xll.qDateNext($AW46,BA$17,"M",TRUE,Currency2))</f>
        <v>0</v>
      </c>
      <c r="BB46" s="699">
        <f>IF($AW47=0,0,        _xll.qDateNext($AW46,BB$17,"M",TRUE,Currency2))</f>
        <v>0</v>
      </c>
      <c r="BC46" s="699">
        <f>IF($AW47=0,0,        _xll.qDateNext($AW46,BC$17,"M",TRUE,Currency2))</f>
        <v>0</v>
      </c>
      <c r="BD46" s="699">
        <f>IF($AW47=0,0,        _xll.qDateNext($AW46,BD$17,"M",TRUE,Currency2))</f>
        <v>0</v>
      </c>
      <c r="BE46" s="699">
        <f>IF($AW47=0,0,        _xll.qDateNext($AW46,BE$17,"M",TRUE,Currency2))</f>
        <v>0</v>
      </c>
      <c r="BF46" s="699">
        <f>IF($AW47=0,0,        _xll.qDateNext($AW46,BF$17,"M",TRUE,Currency2))</f>
        <v>0</v>
      </c>
      <c r="BG46" s="699">
        <f>IF($AW47=0,0,        _xll.qDateNext($AW46,BG$17,"M",TRUE,Currency2))</f>
        <v>0</v>
      </c>
      <c r="BH46" s="703">
        <v>0</v>
      </c>
      <c r="BI46" s="703">
        <v>0</v>
      </c>
      <c r="BJ46" s="703">
        <v>0</v>
      </c>
      <c r="BK46" s="703">
        <v>0</v>
      </c>
      <c r="BL46" s="703">
        <f t="shared" si="4"/>
        <v>0</v>
      </c>
      <c r="BM46" s="703">
        <f t="shared" si="10"/>
        <v>0</v>
      </c>
      <c r="BN46" s="703">
        <v>0</v>
      </c>
      <c r="BO46" s="703">
        <v>0</v>
      </c>
      <c r="BP46" s="685">
        <v>0</v>
      </c>
      <c r="BQ46" s="667"/>
      <c r="BR46" s="670">
        <f>IF(AW47=0,0,             IF(ISNUMBER(BQ46),BQ46,             IF(ISTEXT(BQ46),INDEX(BH46:BO46,MATCH(BQ46,$BH$17:$BO$17,0)),           IF(BP46="INT",_xll.qInterp(AW47,AZ46:BG46,BH46:BO46),       INDEX(BH46:BO46,MATCH(BP46,$BH$17:$BO$17,0))))))</f>
        <v>0</v>
      </c>
      <c r="BS46" s="731">
        <f t="shared" si="5"/>
        <v>0</v>
      </c>
      <c r="BT46" s="406">
        <f t="shared" si="6"/>
        <v>0</v>
      </c>
      <c r="BU46" s="284">
        <f>IF($AW47,_xll.qDateYears($AW46,$AW47,DCC_Leg2_Fixed),0)</f>
        <v>0</v>
      </c>
      <c r="BV46" s="284">
        <f>IF($AW47,_xll.qDateYears($AW46,$AW47,DCC_Leg2_Float),0)</f>
        <v>0</v>
      </c>
      <c r="BX46" s="350">
        <f t="shared" si="11"/>
        <v>0</v>
      </c>
      <c r="BY46" s="375">
        <f>IF(GenType_2a="Fixed",GenRate_2a%*$BT45*BU45,          IF(GenType_2a="Float",$BT45*(_xll.qGetFwdRate($J$18,$AW45,$AW46,"T",DCC_Leg2_Float)%+GenRate_2a%%)*$BV45,        IF(GenType_2a="bp (Fixed)",GenRate_2a%%*$BU45*$BT45,   IF(GenType_2a="bp (Float)",GenRate_2a%%*$BT45*$BV45,0))))</f>
        <v>0</v>
      </c>
      <c r="BZ46" s="561"/>
      <c r="CB46" s="341">
        <f t="shared" si="15"/>
        <v>0</v>
      </c>
      <c r="CC46" s="563"/>
      <c r="CD46" s="356"/>
      <c r="CE46" s="341">
        <v>0</v>
      </c>
      <c r="CF46" s="563"/>
      <c r="CG46" s="356"/>
    </row>
    <row r="47" spans="2:85">
      <c r="B47" s="214"/>
      <c r="C47" s="332"/>
      <c r="D47" s="214"/>
      <c r="E47" s="214"/>
      <c r="F47" s="332">
        <v>0.5</v>
      </c>
      <c r="O47" s="122">
        <v>0</v>
      </c>
      <c r="P47" s="128">
        <f t="shared" si="0"/>
        <v>0</v>
      </c>
      <c r="Q47" s="126">
        <v>0</v>
      </c>
      <c r="R47" s="699">
        <f>IF($O48=0,0,        _xll.qDateNext($O47,R$17,"M",TRUE,Currency1))</f>
        <v>0</v>
      </c>
      <c r="S47" s="699">
        <f>IF($O48=0,0,        _xll.qDateNext($O47,S$17,"M",TRUE,Currency1))</f>
        <v>0</v>
      </c>
      <c r="T47" s="699">
        <f>IF($O48=0,0,        _xll.qDateNext($O47,T$17,"M",TRUE,Currency1))</f>
        <v>0</v>
      </c>
      <c r="U47" s="699">
        <f>IF($O48=0,0,        _xll.qDateNext($O47,U$17,"M",TRUE,Currency1))</f>
        <v>0</v>
      </c>
      <c r="V47" s="699">
        <f>IF($O48=0,0,        _xll.qDateNext($O47,V$17,"M",TRUE,Currency1))</f>
        <v>0</v>
      </c>
      <c r="W47" s="699">
        <f>IF($O48=0,0,        _xll.qDateNext($O47,W$17,"M",TRUE,Currency1))</f>
        <v>0</v>
      </c>
      <c r="X47" s="699">
        <f>IF($O48=0,0,        _xll.qDateNext($O47,X$17,"M",TRUE,Currency1))</f>
        <v>0</v>
      </c>
      <c r="Y47" s="699">
        <f>IF($O48=0,0,        _xll.qDateNext($O47,Y$17,"M",TRUE,Currency1))</f>
        <v>0</v>
      </c>
      <c r="Z47" s="703">
        <f>IF($O48=0,0,           IF(FRM,_xll.qGetFwdRate(Z$14,$O47,R47,"T",DCC_Leg1_Float),_xll.qGetFwdRate(Z$14,$O47,$O48,"T",DCC_Leg1_Float)))</f>
        <v>0</v>
      </c>
      <c r="AA47" s="703">
        <f>IF($O48=0,0,           IF(FRM,_xll.qGetFwdRate(AA$14,$O47,S47,"T",DCC_Leg1_Float),_xll.qGetFwdRate(AA$14,$O47,$O48,"T",DCC_Leg1_Float)))</f>
        <v>0</v>
      </c>
      <c r="AB47" s="703">
        <f t="shared" si="1"/>
        <v>0</v>
      </c>
      <c r="AC47" s="703">
        <f>IF($O48=0,0,           IF(FRM,_xll.qGetFwdRate(AC$14,$O47,U47,"T",DCC_Leg1_Float),_xll.qGetFwdRate(AC$14,$O47,$O48,"T",DCC_Leg1_Float)))</f>
        <v>0</v>
      </c>
      <c r="AD47" s="703">
        <f t="shared" si="7"/>
        <v>0</v>
      </c>
      <c r="AE47" s="703">
        <f t="shared" si="8"/>
        <v>0</v>
      </c>
      <c r="AF47" s="703">
        <f>IF($O48=0,0,           IF(FRM,_xll.qGetFwdRate(AF$14,$O47,X47,"T",DCC_Leg1_Float),_xll.qGetFwdRate(AF$14,$O47,$O48,"T",DCC_Leg1_Float)))</f>
        <v>0</v>
      </c>
      <c r="AG47" s="703">
        <f>IF($O48=0,0,           IF(FRM,_xll.qGetFwdRate(AG$14,$O47,Y47,"T",DCC_Leg1_Float),_xll.qGetFwdRate(AG$14,$O47,$O48,"T",DCC_Leg1_Float)))</f>
        <v>0</v>
      </c>
      <c r="AH47" s="685">
        <v>0</v>
      </c>
      <c r="AI47" s="667"/>
      <c r="AJ47" s="670">
        <f>IF(O48=0,0,             IF(ISNUMBER(AI47),AI47,             IF(ISTEXT(AI47),INDEX(Z47:AG47,MATCH(AI47,$Z$17:$AG$17,0)),           IF(AH47="INT",_xll.qInterp(O48,R47:Y47,Z47:AG47),       INDEX(Z47:AG47,MATCH(AH47,$Z$17:$AG$17,0))))))</f>
        <v>0</v>
      </c>
      <c r="AK47" s="732">
        <v>100</v>
      </c>
      <c r="AL47" s="721">
        <f t="shared" si="2"/>
        <v>0</v>
      </c>
      <c r="AM47" s="284">
        <f>IF($O48,_xll.qDateYears($O47,$O48,DCC_Leg1_Fixed),0)</f>
        <v>0</v>
      </c>
      <c r="AN47" s="284">
        <f>IF($O48,_xll.qDateYears($O47,$O48,DCC_Leg1_Float),0)</f>
        <v>0</v>
      </c>
      <c r="AP47" s="350">
        <f t="shared" si="9"/>
        <v>0</v>
      </c>
      <c r="AQ47" s="375">
        <f>IF(GenType_1a="Fixed",GenRate_1a%*$AL46*AM46,          IF(GenType_1a="Float",$AL46*(_xll.qGetFwdRate($D$18,$O46,$O47,"T",DCC_Leg1_Float)%+GenRate_1a%%)*$AN46,        IF(GenType_1a="bp (Fixed)",GenRate_1a%%*$AM46*$AL46,   IF(GenType_1a="bp (Float)",GenRate_1a%%*$AL46*$AN46,0))))</f>
        <v>0</v>
      </c>
      <c r="AR47" s="561"/>
      <c r="AT47" s="341">
        <f t="shared" si="14"/>
        <v>0</v>
      </c>
      <c r="AV47" s="356"/>
      <c r="AW47" s="122">
        <v>0</v>
      </c>
      <c r="AX47" s="128">
        <f t="shared" si="3"/>
        <v>0</v>
      </c>
      <c r="AY47" s="357">
        <v>0</v>
      </c>
      <c r="AZ47" s="699">
        <f>IF($AW48=0,0,        _xll.qDateNext($AW47,AZ$17,"M",TRUE,Currency2))</f>
        <v>0</v>
      </c>
      <c r="BA47" s="699">
        <f>IF($AW48=0,0,        _xll.qDateNext($AW47,BA$17,"M",TRUE,Currency2))</f>
        <v>0</v>
      </c>
      <c r="BB47" s="699">
        <f>IF($AW48=0,0,        _xll.qDateNext($AW47,BB$17,"M",TRUE,Currency2))</f>
        <v>0</v>
      </c>
      <c r="BC47" s="699">
        <f>IF($AW48=0,0,        _xll.qDateNext($AW47,BC$17,"M",TRUE,Currency2))</f>
        <v>0</v>
      </c>
      <c r="BD47" s="699">
        <f>IF($AW48=0,0,        _xll.qDateNext($AW47,BD$17,"M",TRUE,Currency2))</f>
        <v>0</v>
      </c>
      <c r="BE47" s="699">
        <f>IF($AW48=0,0,        _xll.qDateNext($AW47,BE$17,"M",TRUE,Currency2))</f>
        <v>0</v>
      </c>
      <c r="BF47" s="699">
        <f>IF($AW48=0,0,        _xll.qDateNext($AW47,BF$17,"M",TRUE,Currency2))</f>
        <v>0</v>
      </c>
      <c r="BG47" s="699">
        <f>IF($AW48=0,0,        _xll.qDateNext($AW47,BG$17,"M",TRUE,Currency2))</f>
        <v>0</v>
      </c>
      <c r="BH47" s="703">
        <v>0</v>
      </c>
      <c r="BI47" s="703">
        <v>0</v>
      </c>
      <c r="BJ47" s="703">
        <v>0</v>
      </c>
      <c r="BK47" s="703">
        <v>0</v>
      </c>
      <c r="BL47" s="703">
        <f t="shared" si="4"/>
        <v>0</v>
      </c>
      <c r="BM47" s="703">
        <f t="shared" si="10"/>
        <v>0</v>
      </c>
      <c r="BN47" s="703">
        <v>0</v>
      </c>
      <c r="BO47" s="703">
        <v>0</v>
      </c>
      <c r="BP47" s="685">
        <v>0</v>
      </c>
      <c r="BQ47" s="667"/>
      <c r="BR47" s="670">
        <f>IF(AW48=0,0,             IF(ISNUMBER(BQ47),BQ47,             IF(ISTEXT(BQ47),INDEX(BH47:BO47,MATCH(BQ47,$BH$17:$BO$17,0)),           IF(BP47="INT",_xll.qInterp(AW48,AZ47:BG47,BH47:BO47),       INDEX(BH47:BO47,MATCH(BP47,$BH$17:$BO$17,0))))))</f>
        <v>0</v>
      </c>
      <c r="BS47" s="731">
        <f t="shared" si="5"/>
        <v>0</v>
      </c>
      <c r="BT47" s="406">
        <f t="shared" si="6"/>
        <v>0</v>
      </c>
      <c r="BU47" s="284">
        <f>IF($AW48,_xll.qDateYears($AW47,$AW48,DCC_Leg2_Fixed),0)</f>
        <v>0</v>
      </c>
      <c r="BV47" s="284">
        <f>IF($AW48,_xll.qDateYears($AW47,$AW48,DCC_Leg2_Float),0)</f>
        <v>0</v>
      </c>
      <c r="BX47" s="350">
        <f t="shared" si="11"/>
        <v>0</v>
      </c>
      <c r="BY47" s="375">
        <f>IF(GenType_2a="Fixed",GenRate_2a%*$BT46*BU46,          IF(GenType_2a="Float",$BT46*(_xll.qGetFwdRate($J$18,$AW46,$AW47,"T",DCC_Leg2_Float)%+GenRate_2a%%)*$BV46,        IF(GenType_2a="bp (Fixed)",GenRate_2a%%*$BU46*$BT46,   IF(GenType_2a="bp (Float)",GenRate_2a%%*$BT46*$BV46,0))))</f>
        <v>0</v>
      </c>
      <c r="BZ47" s="561"/>
      <c r="CB47" s="341">
        <f t="shared" si="15"/>
        <v>0</v>
      </c>
      <c r="CC47" s="563"/>
      <c r="CD47" s="356"/>
      <c r="CE47" s="341">
        <v>0</v>
      </c>
      <c r="CF47" s="563"/>
      <c r="CG47" s="356"/>
    </row>
    <row r="48" spans="2:85">
      <c r="B48" s="214"/>
      <c r="C48" s="332"/>
      <c r="D48" s="214"/>
      <c r="E48" s="214"/>
      <c r="F48" s="332">
        <v>0.5</v>
      </c>
      <c r="O48" s="122">
        <v>0</v>
      </c>
      <c r="P48" s="128">
        <f t="shared" si="0"/>
        <v>0</v>
      </c>
      <c r="Q48" s="126">
        <v>0</v>
      </c>
      <c r="R48" s="699">
        <f>IF($O49=0,0,        _xll.qDateNext($O48,R$17,"M",TRUE,Currency1))</f>
        <v>0</v>
      </c>
      <c r="S48" s="699">
        <f>IF($O49=0,0,        _xll.qDateNext($O48,S$17,"M",TRUE,Currency1))</f>
        <v>0</v>
      </c>
      <c r="T48" s="699">
        <f>IF($O49=0,0,        _xll.qDateNext($O48,T$17,"M",TRUE,Currency1))</f>
        <v>0</v>
      </c>
      <c r="U48" s="699">
        <f>IF($O49=0,0,        _xll.qDateNext($O48,U$17,"M",TRUE,Currency1))</f>
        <v>0</v>
      </c>
      <c r="V48" s="699">
        <f>IF($O49=0,0,        _xll.qDateNext($O48,V$17,"M",TRUE,Currency1))</f>
        <v>0</v>
      </c>
      <c r="W48" s="699">
        <f>IF($O49=0,0,        _xll.qDateNext($O48,W$17,"M",TRUE,Currency1))</f>
        <v>0</v>
      </c>
      <c r="X48" s="699">
        <f>IF($O49=0,0,        _xll.qDateNext($O48,X$17,"M",TRUE,Currency1))</f>
        <v>0</v>
      </c>
      <c r="Y48" s="699">
        <f>IF($O49=0,0,        _xll.qDateNext($O48,Y$17,"M",TRUE,Currency1))</f>
        <v>0</v>
      </c>
      <c r="Z48" s="703">
        <f>IF($O49=0,0,           IF(FRM,_xll.qGetFwdRate(Z$14,$O48,R48,"T",DCC_Leg1_Float),_xll.qGetFwdRate(Z$14,$O48,$O49,"T",DCC_Leg1_Float)))</f>
        <v>0</v>
      </c>
      <c r="AA48" s="703">
        <f>IF($O49=0,0,           IF(FRM,_xll.qGetFwdRate(AA$14,$O48,S48,"T",DCC_Leg1_Float),_xll.qGetFwdRate(AA$14,$O48,$O49,"T",DCC_Leg1_Float)))</f>
        <v>0</v>
      </c>
      <c r="AB48" s="703">
        <f t="shared" si="1"/>
        <v>0</v>
      </c>
      <c r="AC48" s="703">
        <f>IF($O49=0,0,           IF(FRM,_xll.qGetFwdRate(AC$14,$O48,U48,"T",DCC_Leg1_Float),_xll.qGetFwdRate(AC$14,$O48,$O49,"T",DCC_Leg1_Float)))</f>
        <v>0</v>
      </c>
      <c r="AD48" s="703">
        <f t="shared" si="7"/>
        <v>0</v>
      </c>
      <c r="AE48" s="703">
        <f t="shared" si="8"/>
        <v>0</v>
      </c>
      <c r="AF48" s="703">
        <f>IF($O49=0,0,           IF(FRM,_xll.qGetFwdRate(AF$14,$O48,X48,"T",DCC_Leg1_Float),_xll.qGetFwdRate(AF$14,$O48,$O49,"T",DCC_Leg1_Float)))</f>
        <v>0</v>
      </c>
      <c r="AG48" s="703">
        <f>IF($O49=0,0,           IF(FRM,_xll.qGetFwdRate(AG$14,$O48,Y48,"T",DCC_Leg1_Float),_xll.qGetFwdRate(AG$14,$O48,$O49,"T",DCC_Leg1_Float)))</f>
        <v>0</v>
      </c>
      <c r="AH48" s="685">
        <v>0</v>
      </c>
      <c r="AI48" s="667"/>
      <c r="AJ48" s="670">
        <f>IF(O49=0,0,             IF(ISNUMBER(AI48),AI48,             IF(ISTEXT(AI48),INDEX(Z48:AG48,MATCH(AI48,$Z$17:$AG$17,0)),           IF(AH48="INT",_xll.qInterp(O49,R48:Y48,Z48:AG48),       INDEX(Z48:AG48,MATCH(AH48,$Z$17:$AG$17,0))))))</f>
        <v>0</v>
      </c>
      <c r="AK48" s="732">
        <v>100</v>
      </c>
      <c r="AL48" s="721">
        <f t="shared" si="2"/>
        <v>0</v>
      </c>
      <c r="AM48" s="284">
        <f>IF($O49,_xll.qDateYears($O48,$O49,DCC_Leg1_Fixed),0)</f>
        <v>0</v>
      </c>
      <c r="AN48" s="284">
        <f>IF($O49,_xll.qDateYears($O48,$O49,DCC_Leg1_Float),0)</f>
        <v>0</v>
      </c>
      <c r="AP48" s="350">
        <f t="shared" si="9"/>
        <v>0</v>
      </c>
      <c r="AQ48" s="375">
        <f>IF(GenType_1a="Fixed",GenRate_1a%*$AL47*AM47,          IF(GenType_1a="Float",$AL47*(_xll.qGetFwdRate($D$18,$O47,$O48,"T",DCC_Leg1_Float)%+GenRate_1a%%)*$AN47,        IF(GenType_1a="bp (Fixed)",GenRate_1a%%*$AM47*$AL47,   IF(GenType_1a="bp (Float)",GenRate_1a%%*$AL47*$AN47,0))))</f>
        <v>0</v>
      </c>
      <c r="AR48" s="561"/>
      <c r="AT48" s="341">
        <f t="shared" si="14"/>
        <v>0</v>
      </c>
      <c r="AV48" s="356"/>
      <c r="AW48" s="122">
        <v>0</v>
      </c>
      <c r="AX48" s="128">
        <f t="shared" si="3"/>
        <v>0</v>
      </c>
      <c r="AY48" s="357">
        <v>0</v>
      </c>
      <c r="AZ48" s="699">
        <f>IF($AW49=0,0,        _xll.qDateNext($AW48,AZ$17,"M",TRUE,Currency2))</f>
        <v>0</v>
      </c>
      <c r="BA48" s="699">
        <f>IF($AW49=0,0,        _xll.qDateNext($AW48,BA$17,"M",TRUE,Currency2))</f>
        <v>0</v>
      </c>
      <c r="BB48" s="699">
        <f>IF($AW49=0,0,        _xll.qDateNext($AW48,BB$17,"M",TRUE,Currency2))</f>
        <v>0</v>
      </c>
      <c r="BC48" s="699">
        <f>IF($AW49=0,0,        _xll.qDateNext($AW48,BC$17,"M",TRUE,Currency2))</f>
        <v>0</v>
      </c>
      <c r="BD48" s="699">
        <f>IF($AW49=0,0,        _xll.qDateNext($AW48,BD$17,"M",TRUE,Currency2))</f>
        <v>0</v>
      </c>
      <c r="BE48" s="699">
        <f>IF($AW49=0,0,        _xll.qDateNext($AW48,BE$17,"M",TRUE,Currency2))</f>
        <v>0</v>
      </c>
      <c r="BF48" s="699">
        <f>IF($AW49=0,0,        _xll.qDateNext($AW48,BF$17,"M",TRUE,Currency2))</f>
        <v>0</v>
      </c>
      <c r="BG48" s="699">
        <f>IF($AW49=0,0,        _xll.qDateNext($AW48,BG$17,"M",TRUE,Currency2))</f>
        <v>0</v>
      </c>
      <c r="BH48" s="703">
        <v>0</v>
      </c>
      <c r="BI48" s="703">
        <v>0</v>
      </c>
      <c r="BJ48" s="703">
        <v>0</v>
      </c>
      <c r="BK48" s="703">
        <v>0</v>
      </c>
      <c r="BL48" s="703">
        <f t="shared" si="4"/>
        <v>0</v>
      </c>
      <c r="BM48" s="703">
        <f t="shared" si="10"/>
        <v>0</v>
      </c>
      <c r="BN48" s="703">
        <v>0</v>
      </c>
      <c r="BO48" s="703">
        <v>0</v>
      </c>
      <c r="BP48" s="685">
        <v>0</v>
      </c>
      <c r="BQ48" s="667"/>
      <c r="BR48" s="670">
        <f>IF(AW49=0,0,             IF(ISNUMBER(BQ48),BQ48,             IF(ISTEXT(BQ48),INDEX(BH48:BO48,MATCH(BQ48,$BH$17:$BO$17,0)),           IF(BP48="INT",_xll.qInterp(AW49,AZ48:BG48,BH48:BO48),       INDEX(BH48:BO48,MATCH(BP48,$BH$17:$BO$17,0))))))</f>
        <v>0</v>
      </c>
      <c r="BS48" s="731">
        <f t="shared" si="5"/>
        <v>0</v>
      </c>
      <c r="BT48" s="406">
        <f t="shared" si="6"/>
        <v>0</v>
      </c>
      <c r="BU48" s="284">
        <f>IF($AW49,_xll.qDateYears($AW48,$AW49,DCC_Leg2_Fixed),0)</f>
        <v>0</v>
      </c>
      <c r="BV48" s="284">
        <f>IF($AW49,_xll.qDateYears($AW48,$AW49,DCC_Leg2_Float),0)</f>
        <v>0</v>
      </c>
      <c r="BX48" s="350">
        <f t="shared" si="11"/>
        <v>0</v>
      </c>
      <c r="BY48" s="375">
        <f>IF(GenType_2a="Fixed",GenRate_2a%*$BT47*BU47,          IF(GenType_2a="Float",$BT47*(_xll.qGetFwdRate($J$18,$AW47,$AW48,"T",DCC_Leg2_Float)%+GenRate_2a%%)*$BV47,        IF(GenType_2a="bp (Fixed)",GenRate_2a%%*$BU47*$BT47,   IF(GenType_2a="bp (Float)",GenRate_2a%%*$BT47*$BV47,0))))</f>
        <v>0</v>
      </c>
      <c r="BZ48" s="561"/>
      <c r="CB48" s="341">
        <f t="shared" si="15"/>
        <v>0</v>
      </c>
      <c r="CC48" s="563"/>
      <c r="CD48" s="356"/>
      <c r="CE48" s="341">
        <v>0</v>
      </c>
      <c r="CF48" s="563"/>
      <c r="CG48" s="356"/>
    </row>
    <row r="49" spans="2:85">
      <c r="B49" s="214"/>
      <c r="C49" s="332"/>
      <c r="D49" s="214"/>
      <c r="E49" s="214"/>
      <c r="F49" s="332">
        <v>0.5</v>
      </c>
      <c r="O49" s="122">
        <v>0</v>
      </c>
      <c r="P49" s="128">
        <f t="shared" si="0"/>
        <v>0</v>
      </c>
      <c r="Q49" s="126">
        <v>0</v>
      </c>
      <c r="R49" s="699">
        <f>IF($O50=0,0,        _xll.qDateNext($O49,R$17,"M",TRUE,Currency1))</f>
        <v>0</v>
      </c>
      <c r="S49" s="699">
        <f>IF($O50=0,0,        _xll.qDateNext($O49,S$17,"M",TRUE,Currency1))</f>
        <v>0</v>
      </c>
      <c r="T49" s="699">
        <f>IF($O50=0,0,        _xll.qDateNext($O49,T$17,"M",TRUE,Currency1))</f>
        <v>0</v>
      </c>
      <c r="U49" s="699">
        <f>IF($O50=0,0,        _xll.qDateNext($O49,U$17,"M",TRUE,Currency1))</f>
        <v>0</v>
      </c>
      <c r="V49" s="699">
        <f>IF($O50=0,0,        _xll.qDateNext($O49,V$17,"M",TRUE,Currency1))</f>
        <v>0</v>
      </c>
      <c r="W49" s="699">
        <f>IF($O50=0,0,        _xll.qDateNext($O49,W$17,"M",TRUE,Currency1))</f>
        <v>0</v>
      </c>
      <c r="X49" s="699">
        <f>IF($O50=0,0,        _xll.qDateNext($O49,X$17,"M",TRUE,Currency1))</f>
        <v>0</v>
      </c>
      <c r="Y49" s="699">
        <f>IF($O50=0,0,        _xll.qDateNext($O49,Y$17,"M",TRUE,Currency1))</f>
        <v>0</v>
      </c>
      <c r="Z49" s="703">
        <f>IF($O50=0,0,           IF(FRM,_xll.qGetFwdRate(Z$14,$O49,R49,"T",DCC_Leg1_Float),_xll.qGetFwdRate(Z$14,$O49,$O50,"T",DCC_Leg1_Float)))</f>
        <v>0</v>
      </c>
      <c r="AA49" s="703">
        <f>IF($O50=0,0,           IF(FRM,_xll.qGetFwdRate(AA$14,$O49,S49,"T",DCC_Leg1_Float),_xll.qGetFwdRate(AA$14,$O49,$O50,"T",DCC_Leg1_Float)))</f>
        <v>0</v>
      </c>
      <c r="AB49" s="703">
        <f t="shared" si="1"/>
        <v>0</v>
      </c>
      <c r="AC49" s="703">
        <f>IF($O50=0,0,           IF(FRM,_xll.qGetFwdRate(AC$14,$O49,U49,"T",DCC_Leg1_Float),_xll.qGetFwdRate(AC$14,$O49,$O50,"T",DCC_Leg1_Float)))</f>
        <v>0</v>
      </c>
      <c r="AD49" s="703">
        <f t="shared" si="7"/>
        <v>0</v>
      </c>
      <c r="AE49" s="703">
        <f t="shared" si="8"/>
        <v>0</v>
      </c>
      <c r="AF49" s="703">
        <f>IF($O50=0,0,           IF(FRM,_xll.qGetFwdRate(AF$14,$O49,X49,"T",DCC_Leg1_Float),_xll.qGetFwdRate(AF$14,$O49,$O50,"T",DCC_Leg1_Float)))</f>
        <v>0</v>
      </c>
      <c r="AG49" s="703">
        <f>IF($O50=0,0,           IF(FRM,_xll.qGetFwdRate(AG$14,$O49,Y49,"T",DCC_Leg1_Float),_xll.qGetFwdRate(AG$14,$O49,$O50,"T",DCC_Leg1_Float)))</f>
        <v>0</v>
      </c>
      <c r="AH49" s="685">
        <v>0</v>
      </c>
      <c r="AI49" s="667"/>
      <c r="AJ49" s="670">
        <f>IF(O50=0,0,             IF(ISNUMBER(AI49),AI49,             IF(ISTEXT(AI49),INDEX(Z49:AG49,MATCH(AI49,$Z$17:$AG$17,0)),           IF(AH49="INT",_xll.qInterp(O50,R49:Y49,Z49:AG49),       INDEX(Z49:AG49,MATCH(AH49,$Z$17:$AG$17,0))))))</f>
        <v>0</v>
      </c>
      <c r="AK49" s="732">
        <v>100</v>
      </c>
      <c r="AL49" s="721">
        <f t="shared" si="2"/>
        <v>0</v>
      </c>
      <c r="AM49" s="284">
        <f>IF($O50,_xll.qDateYears($O49,$O50,DCC_Leg1_Fixed),0)</f>
        <v>0</v>
      </c>
      <c r="AN49" s="284">
        <f>IF($O50,_xll.qDateYears($O49,$O50,DCC_Leg1_Float),0)</f>
        <v>0</v>
      </c>
      <c r="AP49" s="350">
        <f t="shared" si="9"/>
        <v>0</v>
      </c>
      <c r="AQ49" s="375">
        <f>IF(GenType_1a="Fixed",GenRate_1a%*$AL48*AM48,          IF(GenType_1a="Float",$AL48*(_xll.qGetFwdRate($D$18,$O48,$O49,"T",DCC_Leg1_Float)%+GenRate_1a%%)*$AN48,        IF(GenType_1a="bp (Fixed)",GenRate_1a%%*$AM48*$AL48,   IF(GenType_1a="bp (Float)",GenRate_1a%%*$AL48*$AN48,0))))</f>
        <v>0</v>
      </c>
      <c r="AR49" s="561"/>
      <c r="AT49" s="341">
        <f t="shared" si="14"/>
        <v>0</v>
      </c>
      <c r="AV49" s="356"/>
      <c r="AW49" s="122">
        <v>0</v>
      </c>
      <c r="AX49" s="128">
        <f t="shared" si="3"/>
        <v>0</v>
      </c>
      <c r="AY49" s="357">
        <v>0</v>
      </c>
      <c r="AZ49" s="699">
        <f>IF($AW50=0,0,        _xll.qDateNext($AW49,AZ$17,"M",TRUE,Currency2))</f>
        <v>0</v>
      </c>
      <c r="BA49" s="699">
        <f>IF($AW50=0,0,        _xll.qDateNext($AW49,BA$17,"M",TRUE,Currency2))</f>
        <v>0</v>
      </c>
      <c r="BB49" s="699">
        <f>IF($AW50=0,0,        _xll.qDateNext($AW49,BB$17,"M",TRUE,Currency2))</f>
        <v>0</v>
      </c>
      <c r="BC49" s="699">
        <f>IF($AW50=0,0,        _xll.qDateNext($AW49,BC$17,"M",TRUE,Currency2))</f>
        <v>0</v>
      </c>
      <c r="BD49" s="699">
        <f>IF($AW50=0,0,        _xll.qDateNext($AW49,BD$17,"M",TRUE,Currency2))</f>
        <v>0</v>
      </c>
      <c r="BE49" s="699">
        <f>IF($AW50=0,0,        _xll.qDateNext($AW49,BE$17,"M",TRUE,Currency2))</f>
        <v>0</v>
      </c>
      <c r="BF49" s="699">
        <f>IF($AW50=0,0,        _xll.qDateNext($AW49,BF$17,"M",TRUE,Currency2))</f>
        <v>0</v>
      </c>
      <c r="BG49" s="699">
        <f>IF($AW50=0,0,        _xll.qDateNext($AW49,BG$17,"M",TRUE,Currency2))</f>
        <v>0</v>
      </c>
      <c r="BH49" s="703">
        <v>0</v>
      </c>
      <c r="BI49" s="703">
        <v>0</v>
      </c>
      <c r="BJ49" s="703">
        <v>0</v>
      </c>
      <c r="BK49" s="703">
        <v>0</v>
      </c>
      <c r="BL49" s="703">
        <f t="shared" si="4"/>
        <v>0</v>
      </c>
      <c r="BM49" s="703">
        <f t="shared" si="10"/>
        <v>0</v>
      </c>
      <c r="BN49" s="703">
        <v>0</v>
      </c>
      <c r="BO49" s="703">
        <v>0</v>
      </c>
      <c r="BP49" s="685">
        <v>0</v>
      </c>
      <c r="BQ49" s="667"/>
      <c r="BR49" s="670">
        <f>IF(AW50=0,0,             IF(ISNUMBER(BQ49),BQ49,             IF(ISTEXT(BQ49),INDEX(BH49:BO49,MATCH(BQ49,$BH$17:$BO$17,0)),           IF(BP49="INT",_xll.qInterp(AW50,AZ49:BG49,BH49:BO49),       INDEX(BH49:BO49,MATCH(BP49,$BH$17:$BO$17,0))))))</f>
        <v>0</v>
      </c>
      <c r="BS49" s="731">
        <f t="shared" si="5"/>
        <v>0</v>
      </c>
      <c r="BT49" s="406">
        <f t="shared" si="6"/>
        <v>0</v>
      </c>
      <c r="BU49" s="284">
        <f>IF($AW50,_xll.qDateYears($AW49,$AW50,DCC_Leg2_Fixed),0)</f>
        <v>0</v>
      </c>
      <c r="BV49" s="284">
        <f>IF($AW50,_xll.qDateYears($AW49,$AW50,DCC_Leg2_Float),0)</f>
        <v>0</v>
      </c>
      <c r="BX49" s="350">
        <f t="shared" si="11"/>
        <v>0</v>
      </c>
      <c r="BY49" s="375">
        <f>IF(GenType_2a="Fixed",GenRate_2a%*$BT48*BU48,          IF(GenType_2a="Float",$BT48*(_xll.qGetFwdRate($J$18,$AW48,$AW49,"T",DCC_Leg2_Float)%+GenRate_2a%%)*$BV48,        IF(GenType_2a="bp (Fixed)",GenRate_2a%%*$BU48*$BT48,   IF(GenType_2a="bp (Float)",GenRate_2a%%*$BT48*$BV48,0))))</f>
        <v>0</v>
      </c>
      <c r="BZ49" s="561"/>
      <c r="CB49" s="341">
        <f t="shared" si="15"/>
        <v>0</v>
      </c>
      <c r="CC49" s="563"/>
      <c r="CD49" s="356"/>
      <c r="CE49" s="341">
        <v>0</v>
      </c>
      <c r="CF49" s="563"/>
      <c r="CG49" s="356"/>
    </row>
    <row r="50" spans="2:85">
      <c r="B50" s="214"/>
      <c r="C50" s="332"/>
      <c r="D50" s="214"/>
      <c r="E50" s="214"/>
      <c r="F50" s="332">
        <v>0.5</v>
      </c>
      <c r="O50" s="122">
        <v>0</v>
      </c>
      <c r="P50" s="128">
        <f t="shared" si="0"/>
        <v>0</v>
      </c>
      <c r="Q50" s="126">
        <v>0</v>
      </c>
      <c r="R50" s="699">
        <f>IF($O51=0,0,        _xll.qDateNext($O50,R$17,"M",TRUE,Currency1))</f>
        <v>0</v>
      </c>
      <c r="S50" s="699">
        <f>IF($O51=0,0,        _xll.qDateNext($O50,S$17,"M",TRUE,Currency1))</f>
        <v>0</v>
      </c>
      <c r="T50" s="699">
        <f>IF($O51=0,0,        _xll.qDateNext($O50,T$17,"M",TRUE,Currency1))</f>
        <v>0</v>
      </c>
      <c r="U50" s="699">
        <f>IF($O51=0,0,        _xll.qDateNext($O50,U$17,"M",TRUE,Currency1))</f>
        <v>0</v>
      </c>
      <c r="V50" s="699">
        <f>IF($O51=0,0,        _xll.qDateNext($O50,V$17,"M",TRUE,Currency1))</f>
        <v>0</v>
      </c>
      <c r="W50" s="699">
        <f>IF($O51=0,0,        _xll.qDateNext($O50,W$17,"M",TRUE,Currency1))</f>
        <v>0</v>
      </c>
      <c r="X50" s="699">
        <f>IF($O51=0,0,        _xll.qDateNext($O50,X$17,"M",TRUE,Currency1))</f>
        <v>0</v>
      </c>
      <c r="Y50" s="699">
        <f>IF($O51=0,0,        _xll.qDateNext($O50,Y$17,"M",TRUE,Currency1))</f>
        <v>0</v>
      </c>
      <c r="Z50" s="703">
        <f>IF($O51=0,0,           IF(FRM,_xll.qGetFwdRate(Z$14,$O50,R50,"T",DCC_Leg1_Float),_xll.qGetFwdRate(Z$14,$O50,$O51,"T",DCC_Leg1_Float)))</f>
        <v>0</v>
      </c>
      <c r="AA50" s="703">
        <f>IF($O51=0,0,           IF(FRM,_xll.qGetFwdRate(AA$14,$O50,S50,"T",DCC_Leg1_Float),_xll.qGetFwdRate(AA$14,$O50,$O51,"T",DCC_Leg1_Float)))</f>
        <v>0</v>
      </c>
      <c r="AB50" s="703">
        <f t="shared" si="1"/>
        <v>0</v>
      </c>
      <c r="AC50" s="703">
        <f>IF($O51=0,0,           IF(FRM,_xll.qGetFwdRate(AC$14,$O50,U50,"T",DCC_Leg1_Float),_xll.qGetFwdRate(AC$14,$O50,$O51,"T",DCC_Leg1_Float)))</f>
        <v>0</v>
      </c>
      <c r="AD50" s="703">
        <f t="shared" si="7"/>
        <v>0</v>
      </c>
      <c r="AE50" s="703">
        <f t="shared" si="8"/>
        <v>0</v>
      </c>
      <c r="AF50" s="703">
        <f>IF($O51=0,0,           IF(FRM,_xll.qGetFwdRate(AF$14,$O50,X50,"T",DCC_Leg1_Float),_xll.qGetFwdRate(AF$14,$O50,$O51,"T",DCC_Leg1_Float)))</f>
        <v>0</v>
      </c>
      <c r="AG50" s="703">
        <f>IF($O51=0,0,           IF(FRM,_xll.qGetFwdRate(AG$14,$O50,Y50,"T",DCC_Leg1_Float),_xll.qGetFwdRate(AG$14,$O50,$O51,"T",DCC_Leg1_Float)))</f>
        <v>0</v>
      </c>
      <c r="AH50" s="685">
        <v>0</v>
      </c>
      <c r="AI50" s="667"/>
      <c r="AJ50" s="670">
        <f>IF(O51=0,0,             IF(ISNUMBER(AI50),AI50,             IF(ISTEXT(AI50),INDEX(Z50:AG50,MATCH(AI50,$Z$17:$AG$17,0)),           IF(AH50="INT",_xll.qInterp(O51,R50:Y50,Z50:AG50),       INDEX(Z50:AG50,MATCH(AH50,$Z$17:$AG$17,0))))))</f>
        <v>0</v>
      </c>
      <c r="AK50" s="732">
        <v>100</v>
      </c>
      <c r="AL50" s="721">
        <f t="shared" si="2"/>
        <v>0</v>
      </c>
      <c r="AM50" s="284">
        <f>IF($O51,_xll.qDateYears($O50,$O51,DCC_Leg1_Fixed),0)</f>
        <v>0</v>
      </c>
      <c r="AN50" s="284">
        <f>IF($O51,_xll.qDateYears($O50,$O51,DCC_Leg1_Float),0)</f>
        <v>0</v>
      </c>
      <c r="AP50" s="350">
        <f t="shared" si="9"/>
        <v>0</v>
      </c>
      <c r="AQ50" s="375">
        <f>IF(GenType_1a="Fixed",GenRate_1a%*$AL49*AM49,          IF(GenType_1a="Float",$AL49*(_xll.qGetFwdRate($D$18,$O49,$O50,"T",DCC_Leg1_Float)%+GenRate_1a%%)*$AN49,        IF(GenType_1a="bp (Fixed)",GenRate_1a%%*$AM49*$AL49,   IF(GenType_1a="bp (Float)",GenRate_1a%%*$AL49*$AN49,0))))</f>
        <v>0</v>
      </c>
      <c r="AR50" s="561"/>
      <c r="AT50" s="341">
        <f t="shared" si="14"/>
        <v>0</v>
      </c>
      <c r="AV50" s="356"/>
      <c r="AW50" s="122">
        <v>0</v>
      </c>
      <c r="AX50" s="128">
        <f t="shared" si="3"/>
        <v>0</v>
      </c>
      <c r="AY50" s="357">
        <v>0</v>
      </c>
      <c r="AZ50" s="699">
        <f>IF($AW51=0,0,        _xll.qDateNext($AW50,AZ$17,"M",TRUE,Currency2))</f>
        <v>0</v>
      </c>
      <c r="BA50" s="699">
        <f>IF($AW51=0,0,        _xll.qDateNext($AW50,BA$17,"M",TRUE,Currency2))</f>
        <v>0</v>
      </c>
      <c r="BB50" s="699">
        <f>IF($AW51=0,0,        _xll.qDateNext($AW50,BB$17,"M",TRUE,Currency2))</f>
        <v>0</v>
      </c>
      <c r="BC50" s="699">
        <f>IF($AW51=0,0,        _xll.qDateNext($AW50,BC$17,"M",TRUE,Currency2))</f>
        <v>0</v>
      </c>
      <c r="BD50" s="699">
        <f>IF($AW51=0,0,        _xll.qDateNext($AW50,BD$17,"M",TRUE,Currency2))</f>
        <v>0</v>
      </c>
      <c r="BE50" s="699">
        <f>IF($AW51=0,0,        _xll.qDateNext($AW50,BE$17,"M",TRUE,Currency2))</f>
        <v>0</v>
      </c>
      <c r="BF50" s="699">
        <f>IF($AW51=0,0,        _xll.qDateNext($AW50,BF$17,"M",TRUE,Currency2))</f>
        <v>0</v>
      </c>
      <c r="BG50" s="699">
        <f>IF($AW51=0,0,        _xll.qDateNext($AW50,BG$17,"M",TRUE,Currency2))</f>
        <v>0</v>
      </c>
      <c r="BH50" s="703">
        <v>0</v>
      </c>
      <c r="BI50" s="703">
        <v>0</v>
      </c>
      <c r="BJ50" s="703">
        <v>0</v>
      </c>
      <c r="BK50" s="703">
        <v>0</v>
      </c>
      <c r="BL50" s="703">
        <f t="shared" si="4"/>
        <v>0</v>
      </c>
      <c r="BM50" s="703">
        <f t="shared" si="10"/>
        <v>0</v>
      </c>
      <c r="BN50" s="703">
        <v>0</v>
      </c>
      <c r="BO50" s="703">
        <v>0</v>
      </c>
      <c r="BP50" s="685">
        <v>0</v>
      </c>
      <c r="BQ50" s="667"/>
      <c r="BR50" s="670">
        <f>IF(AW51=0,0,             IF(ISNUMBER(BQ50),BQ50,             IF(ISTEXT(BQ50),INDEX(BH50:BO50,MATCH(BQ50,$BH$17:$BO$17,0)),           IF(BP50="INT",_xll.qInterp(AW51,AZ50:BG50,BH50:BO50),       INDEX(BH50:BO50,MATCH(BP50,$BH$17:$BO$17,0))))))</f>
        <v>0</v>
      </c>
      <c r="BS50" s="731">
        <f t="shared" si="5"/>
        <v>0</v>
      </c>
      <c r="BT50" s="406">
        <f t="shared" si="6"/>
        <v>0</v>
      </c>
      <c r="BU50" s="284">
        <f>IF($AW51,_xll.qDateYears($AW50,$AW51,DCC_Leg2_Fixed),0)</f>
        <v>0</v>
      </c>
      <c r="BV50" s="284">
        <f>IF($AW51,_xll.qDateYears($AW50,$AW51,DCC_Leg2_Float),0)</f>
        <v>0</v>
      </c>
      <c r="BX50" s="350">
        <f t="shared" si="11"/>
        <v>0</v>
      </c>
      <c r="BY50" s="375">
        <f>IF(GenType_2a="Fixed",GenRate_2a%*$BT49*BU49,          IF(GenType_2a="Float",$BT49*(_xll.qGetFwdRate($J$18,$AW49,$AW50,"T",DCC_Leg2_Float)%+GenRate_2a%%)*$BV49,        IF(GenType_2a="bp (Fixed)",GenRate_2a%%*$BU49*$BT49,   IF(GenType_2a="bp (Float)",GenRate_2a%%*$BT49*$BV49,0))))</f>
        <v>0</v>
      </c>
      <c r="BZ50" s="561"/>
      <c r="CB50" s="341">
        <f t="shared" si="15"/>
        <v>0</v>
      </c>
      <c r="CC50" s="563"/>
      <c r="CD50" s="356"/>
      <c r="CE50" s="341">
        <v>0</v>
      </c>
      <c r="CF50" s="563"/>
      <c r="CG50" s="356"/>
    </row>
    <row r="51" spans="2:85">
      <c r="O51" s="122">
        <v>0</v>
      </c>
      <c r="P51" s="128">
        <f t="shared" si="0"/>
        <v>0</v>
      </c>
      <c r="Q51" s="126">
        <v>0</v>
      </c>
      <c r="R51" s="699">
        <f>IF($O52=0,0,        _xll.qDateNext($O51,R$17,"M",TRUE,Currency1))</f>
        <v>0</v>
      </c>
      <c r="S51" s="699">
        <f>IF($O52=0,0,        _xll.qDateNext($O51,S$17,"M",TRUE,Currency1))</f>
        <v>0</v>
      </c>
      <c r="T51" s="699">
        <f>IF($O52=0,0,        _xll.qDateNext($O51,T$17,"M",TRUE,Currency1))</f>
        <v>0</v>
      </c>
      <c r="U51" s="699">
        <f>IF($O52=0,0,        _xll.qDateNext($O51,U$17,"M",TRUE,Currency1))</f>
        <v>0</v>
      </c>
      <c r="V51" s="699">
        <f>IF($O52=0,0,        _xll.qDateNext($O51,V$17,"M",TRUE,Currency1))</f>
        <v>0</v>
      </c>
      <c r="W51" s="699">
        <f>IF($O52=0,0,        _xll.qDateNext($O51,W$17,"M",TRUE,Currency1))</f>
        <v>0</v>
      </c>
      <c r="X51" s="699">
        <f>IF($O52=0,0,        _xll.qDateNext($O51,X$17,"M",TRUE,Currency1))</f>
        <v>0</v>
      </c>
      <c r="Y51" s="699">
        <f>IF($O52=0,0,        _xll.qDateNext($O51,Y$17,"M",TRUE,Currency1))</f>
        <v>0</v>
      </c>
      <c r="Z51" s="703">
        <f>IF($O52=0,0,           IF(FRM,_xll.qGetFwdRate(Z$14,$O51,R51,"T",DCC_Leg1_Float),_xll.qGetFwdRate(Z$14,$O51,$O52,"T",DCC_Leg1_Float)))</f>
        <v>0</v>
      </c>
      <c r="AA51" s="703">
        <f>IF($O52=0,0,           IF(FRM,_xll.qGetFwdRate(AA$14,$O51,S51,"T",DCC_Leg1_Float),_xll.qGetFwdRate(AA$14,$O51,$O52,"T",DCC_Leg1_Float)))</f>
        <v>0</v>
      </c>
      <c r="AB51" s="703">
        <f t="shared" si="1"/>
        <v>0</v>
      </c>
      <c r="AC51" s="703">
        <f>IF($O52=0,0,           IF(FRM,_xll.qGetFwdRate(AC$14,$O51,U51,"T",DCC_Leg1_Float),_xll.qGetFwdRate(AC$14,$O51,$O52,"T",DCC_Leg1_Float)))</f>
        <v>0</v>
      </c>
      <c r="AD51" s="703">
        <f t="shared" si="7"/>
        <v>0</v>
      </c>
      <c r="AE51" s="703">
        <f t="shared" si="8"/>
        <v>0</v>
      </c>
      <c r="AF51" s="703">
        <f>IF($O52=0,0,           IF(FRM,_xll.qGetFwdRate(AF$14,$O51,X51,"T",DCC_Leg1_Float),_xll.qGetFwdRate(AF$14,$O51,$O52,"T",DCC_Leg1_Float)))</f>
        <v>0</v>
      </c>
      <c r="AG51" s="703">
        <f>IF($O52=0,0,           IF(FRM,_xll.qGetFwdRate(AG$14,$O51,Y51,"T",DCC_Leg1_Float),_xll.qGetFwdRate(AG$14,$O51,$O52,"T",DCC_Leg1_Float)))</f>
        <v>0</v>
      </c>
      <c r="AH51" s="685">
        <v>0</v>
      </c>
      <c r="AI51" s="667"/>
      <c r="AJ51" s="670">
        <f>IF(O52=0,0,             IF(ISNUMBER(AI51),AI51,             IF(ISTEXT(AI51),INDEX(Z51:AG51,MATCH(AI51,$Z$17:$AG$17,0)),           IF(AH51="INT",_xll.qInterp(O52,R51:Y51,Z51:AG51),       INDEX(Z51:AG51,MATCH(AH51,$Z$17:$AG$17,0))))))</f>
        <v>0</v>
      </c>
      <c r="AK51" s="732">
        <v>100</v>
      </c>
      <c r="AL51" s="721">
        <f t="shared" si="2"/>
        <v>0</v>
      </c>
      <c r="AM51" s="284">
        <f>IF($O52,_xll.qDateYears($O51,$O52,DCC_Leg1_Fixed),0)</f>
        <v>0</v>
      </c>
      <c r="AN51" s="284">
        <f>IF($O52,_xll.qDateYears($O51,$O52,DCC_Leg1_Float),0)</f>
        <v>0</v>
      </c>
      <c r="AP51" s="350">
        <f t="shared" si="9"/>
        <v>0</v>
      </c>
      <c r="AQ51" s="375">
        <f>IF(GenType_1a="Fixed",GenRate_1a%*$AL50*AM50,          IF(GenType_1a="Float",$AL50*(_xll.qGetFwdRate($D$18,$O50,$O51,"T",DCC_Leg1_Float)%+GenRate_1a%%)*$AN50,        IF(GenType_1a="bp (Fixed)",GenRate_1a%%*$AM50*$AL50,   IF(GenType_1a="bp (Float)",GenRate_1a%%*$AL50*$AN50,0))))</f>
        <v>0</v>
      </c>
      <c r="AR51" s="561"/>
      <c r="AT51" s="341">
        <f t="shared" si="14"/>
        <v>0</v>
      </c>
      <c r="AV51" s="356"/>
      <c r="AW51" s="122">
        <v>0</v>
      </c>
      <c r="AX51" s="128">
        <f t="shared" si="3"/>
        <v>0</v>
      </c>
      <c r="AY51" s="357">
        <v>0</v>
      </c>
      <c r="AZ51" s="699">
        <f>IF($AW52=0,0,        _xll.qDateNext($AW51,AZ$17,"M",TRUE,Currency2))</f>
        <v>0</v>
      </c>
      <c r="BA51" s="699">
        <f>IF($AW52=0,0,        _xll.qDateNext($AW51,BA$17,"M",TRUE,Currency2))</f>
        <v>0</v>
      </c>
      <c r="BB51" s="699">
        <f>IF($AW52=0,0,        _xll.qDateNext($AW51,BB$17,"M",TRUE,Currency2))</f>
        <v>0</v>
      </c>
      <c r="BC51" s="699">
        <f>IF($AW52=0,0,        _xll.qDateNext($AW51,BC$17,"M",TRUE,Currency2))</f>
        <v>0</v>
      </c>
      <c r="BD51" s="699">
        <f>IF($AW52=0,0,        _xll.qDateNext($AW51,BD$17,"M",TRUE,Currency2))</f>
        <v>0</v>
      </c>
      <c r="BE51" s="699">
        <f>IF($AW52=0,0,        _xll.qDateNext($AW51,BE$17,"M",TRUE,Currency2))</f>
        <v>0</v>
      </c>
      <c r="BF51" s="699">
        <f>IF($AW52=0,0,        _xll.qDateNext($AW51,BF$17,"M",TRUE,Currency2))</f>
        <v>0</v>
      </c>
      <c r="BG51" s="699">
        <f>IF($AW52=0,0,        _xll.qDateNext($AW51,BG$17,"M",TRUE,Currency2))</f>
        <v>0</v>
      </c>
      <c r="BH51" s="703">
        <v>0</v>
      </c>
      <c r="BI51" s="703">
        <v>0</v>
      </c>
      <c r="BJ51" s="703">
        <v>0</v>
      </c>
      <c r="BK51" s="703">
        <v>0</v>
      </c>
      <c r="BL51" s="703">
        <f t="shared" si="4"/>
        <v>0</v>
      </c>
      <c r="BM51" s="703">
        <f t="shared" si="10"/>
        <v>0</v>
      </c>
      <c r="BN51" s="703">
        <v>0</v>
      </c>
      <c r="BO51" s="703">
        <v>0</v>
      </c>
      <c r="BP51" s="685">
        <v>0</v>
      </c>
      <c r="BQ51" s="667"/>
      <c r="BR51" s="670">
        <f>IF(AW52=0,0,             IF(ISNUMBER(BQ51),BQ51,             IF(ISTEXT(BQ51),INDEX(BH51:BO51,MATCH(BQ51,$BH$17:$BO$17,0)),           IF(BP51="INT",_xll.qInterp(AW52,AZ51:BG51,BH51:BO51),       INDEX(BH51:BO51,MATCH(BP51,$BH$17:$BO$17,0))))))</f>
        <v>0</v>
      </c>
      <c r="BS51" s="731">
        <f t="shared" si="5"/>
        <v>0</v>
      </c>
      <c r="BT51" s="406">
        <f t="shared" si="6"/>
        <v>0</v>
      </c>
      <c r="BU51" s="284">
        <f>IF($AW52,_xll.qDateYears($AW51,$AW52,DCC_Leg2_Fixed),0)</f>
        <v>0</v>
      </c>
      <c r="BV51" s="284">
        <f>IF($AW52,_xll.qDateYears($AW51,$AW52,DCC_Leg2_Float),0)</f>
        <v>0</v>
      </c>
      <c r="BX51" s="350">
        <f t="shared" si="11"/>
        <v>0</v>
      </c>
      <c r="BY51" s="375">
        <f>IF(GenType_2a="Fixed",GenRate_2a%*$BT50*BU50,          IF(GenType_2a="Float",$BT50*(_xll.qGetFwdRate($J$18,$AW50,$AW51,"T",DCC_Leg2_Float)%+GenRate_2a%%)*$BV50,        IF(GenType_2a="bp (Fixed)",GenRate_2a%%*$BU50*$BT50,   IF(GenType_2a="bp (Float)",GenRate_2a%%*$BT50*$BV50,0))))</f>
        <v>0</v>
      </c>
      <c r="BZ51" s="561"/>
      <c r="CB51" s="341">
        <f t="shared" si="15"/>
        <v>0</v>
      </c>
      <c r="CC51" s="563"/>
      <c r="CD51" s="356"/>
      <c r="CE51" s="341">
        <v>0</v>
      </c>
      <c r="CF51" s="563"/>
      <c r="CG51" s="356"/>
    </row>
    <row r="52" spans="2:85">
      <c r="O52" s="122">
        <v>0</v>
      </c>
      <c r="P52" s="128">
        <f t="shared" si="0"/>
        <v>0</v>
      </c>
      <c r="Q52" s="126">
        <v>0</v>
      </c>
      <c r="R52" s="699">
        <f>IF($O53=0,0,        _xll.qDateNext($O52,R$17,"M",TRUE,Currency1))</f>
        <v>0</v>
      </c>
      <c r="S52" s="699">
        <f>IF($O53=0,0,        _xll.qDateNext($O52,S$17,"M",TRUE,Currency1))</f>
        <v>0</v>
      </c>
      <c r="T52" s="699">
        <f>IF($O53=0,0,        _xll.qDateNext($O52,T$17,"M",TRUE,Currency1))</f>
        <v>0</v>
      </c>
      <c r="U52" s="699">
        <f>IF($O53=0,0,        _xll.qDateNext($O52,U$17,"M",TRUE,Currency1))</f>
        <v>0</v>
      </c>
      <c r="V52" s="699">
        <f>IF($O53=0,0,        _xll.qDateNext($O52,V$17,"M",TRUE,Currency1))</f>
        <v>0</v>
      </c>
      <c r="W52" s="699">
        <f>IF($O53=0,0,        _xll.qDateNext($O52,W$17,"M",TRUE,Currency1))</f>
        <v>0</v>
      </c>
      <c r="X52" s="699">
        <f>IF($O53=0,0,        _xll.qDateNext($O52,X$17,"M",TRUE,Currency1))</f>
        <v>0</v>
      </c>
      <c r="Y52" s="699">
        <f>IF($O53=0,0,        _xll.qDateNext($O52,Y$17,"M",TRUE,Currency1))</f>
        <v>0</v>
      </c>
      <c r="Z52" s="703">
        <f>IF($O53=0,0,           IF(FRM,_xll.qGetFwdRate(Z$14,$O52,R52,"T",DCC_Leg1_Float),_xll.qGetFwdRate(Z$14,$O52,$O53,"T",DCC_Leg1_Float)))</f>
        <v>0</v>
      </c>
      <c r="AA52" s="703">
        <f>IF($O53=0,0,           IF(FRM,_xll.qGetFwdRate(AA$14,$O52,S52,"T",DCC_Leg1_Float),_xll.qGetFwdRate(AA$14,$O52,$O53,"T",DCC_Leg1_Float)))</f>
        <v>0</v>
      </c>
      <c r="AB52" s="703">
        <f t="shared" si="1"/>
        <v>0</v>
      </c>
      <c r="AC52" s="703">
        <f>IF($O53=0,0,           IF(FRM,_xll.qGetFwdRate(AC$14,$O52,U52,"T",DCC_Leg1_Float),_xll.qGetFwdRate(AC$14,$O52,$O53,"T",DCC_Leg1_Float)))</f>
        <v>0</v>
      </c>
      <c r="AD52" s="703">
        <f t="shared" si="7"/>
        <v>0</v>
      </c>
      <c r="AE52" s="703">
        <f t="shared" si="8"/>
        <v>0</v>
      </c>
      <c r="AF52" s="703">
        <f>IF($O53=0,0,           IF(FRM,_xll.qGetFwdRate(AF$14,$O52,X52,"T",DCC_Leg1_Float),_xll.qGetFwdRate(AF$14,$O52,$O53,"T",DCC_Leg1_Float)))</f>
        <v>0</v>
      </c>
      <c r="AG52" s="703">
        <f>IF($O53=0,0,           IF(FRM,_xll.qGetFwdRate(AG$14,$O52,Y52,"T",DCC_Leg1_Float),_xll.qGetFwdRate(AG$14,$O52,$O53,"T",DCC_Leg1_Float)))</f>
        <v>0</v>
      </c>
      <c r="AH52" s="685">
        <v>0</v>
      </c>
      <c r="AI52" s="667"/>
      <c r="AJ52" s="670">
        <f>IF(O53=0,0,             IF(ISNUMBER(AI52),AI52,             IF(ISTEXT(AI52),INDEX(Z52:AG52,MATCH(AI52,$Z$17:$AG$17,0)),           IF(AH52="INT",_xll.qInterp(O53,R52:Y52,Z52:AG52),       INDEX(Z52:AG52,MATCH(AH52,$Z$17:$AG$17,0))))))</f>
        <v>0</v>
      </c>
      <c r="AK52" s="732">
        <v>100</v>
      </c>
      <c r="AL52" s="721">
        <f t="shared" si="2"/>
        <v>0</v>
      </c>
      <c r="AM52" s="284">
        <f>IF($O53,_xll.qDateYears($O52,$O53,DCC_Leg1_Fixed),0)</f>
        <v>0</v>
      </c>
      <c r="AN52" s="284">
        <f>IF($O53,_xll.qDateYears($O52,$O53,DCC_Leg1_Float),0)</f>
        <v>0</v>
      </c>
      <c r="AP52" s="350">
        <f t="shared" si="9"/>
        <v>0</v>
      </c>
      <c r="AQ52" s="375">
        <f>IF(GenType_1a="Fixed",GenRate_1a%*$AL51*AM51,          IF(GenType_1a="Float",$AL51*(_xll.qGetFwdRate($D$18,$O51,$O52,"T",DCC_Leg1_Float)%+GenRate_1a%%)*$AN51,        IF(GenType_1a="bp (Fixed)",GenRate_1a%%*$AM51*$AL51,   IF(GenType_1a="bp (Float)",GenRate_1a%%*$AL51*$AN51,0))))</f>
        <v>0</v>
      </c>
      <c r="AR52" s="561"/>
      <c r="AT52" s="341">
        <f t="shared" si="14"/>
        <v>0</v>
      </c>
      <c r="AV52" s="356"/>
      <c r="AW52" s="122">
        <v>0</v>
      </c>
      <c r="AX52" s="128">
        <f t="shared" si="3"/>
        <v>0</v>
      </c>
      <c r="AY52" s="357">
        <v>0</v>
      </c>
      <c r="AZ52" s="699">
        <f>IF($AW53=0,0,        _xll.qDateNext($AW52,AZ$17,"M",TRUE,Currency2))</f>
        <v>0</v>
      </c>
      <c r="BA52" s="699">
        <f>IF($AW53=0,0,        _xll.qDateNext($AW52,BA$17,"M",TRUE,Currency2))</f>
        <v>0</v>
      </c>
      <c r="BB52" s="699">
        <f>IF($AW53=0,0,        _xll.qDateNext($AW52,BB$17,"M",TRUE,Currency2))</f>
        <v>0</v>
      </c>
      <c r="BC52" s="699">
        <f>IF($AW53=0,0,        _xll.qDateNext($AW52,BC$17,"M",TRUE,Currency2))</f>
        <v>0</v>
      </c>
      <c r="BD52" s="699">
        <f>IF($AW53=0,0,        _xll.qDateNext($AW52,BD$17,"M",TRUE,Currency2))</f>
        <v>0</v>
      </c>
      <c r="BE52" s="699">
        <f>IF($AW53=0,0,        _xll.qDateNext($AW52,BE$17,"M",TRUE,Currency2))</f>
        <v>0</v>
      </c>
      <c r="BF52" s="699">
        <f>IF($AW53=0,0,        _xll.qDateNext($AW52,BF$17,"M",TRUE,Currency2))</f>
        <v>0</v>
      </c>
      <c r="BG52" s="699">
        <f>IF($AW53=0,0,        _xll.qDateNext($AW52,BG$17,"M",TRUE,Currency2))</f>
        <v>0</v>
      </c>
      <c r="BH52" s="703">
        <v>0</v>
      </c>
      <c r="BI52" s="703">
        <v>0</v>
      </c>
      <c r="BJ52" s="703">
        <v>0</v>
      </c>
      <c r="BK52" s="703">
        <v>0</v>
      </c>
      <c r="BL52" s="703">
        <f t="shared" si="4"/>
        <v>0</v>
      </c>
      <c r="BM52" s="703">
        <f t="shared" si="10"/>
        <v>0</v>
      </c>
      <c r="BN52" s="703">
        <v>0</v>
      </c>
      <c r="BO52" s="703">
        <v>0</v>
      </c>
      <c r="BP52" s="685">
        <v>0</v>
      </c>
      <c r="BQ52" s="667"/>
      <c r="BR52" s="670">
        <f>IF(AW53=0,0,             IF(ISNUMBER(BQ52),BQ52,             IF(ISTEXT(BQ52),INDEX(BH52:BO52,MATCH(BQ52,$BH$17:$BO$17,0)),           IF(BP52="INT",_xll.qInterp(AW53,AZ52:BG52,BH52:BO52),       INDEX(BH52:BO52,MATCH(BP52,$BH$17:$BO$17,0))))))</f>
        <v>0</v>
      </c>
      <c r="BS52" s="731">
        <f t="shared" si="5"/>
        <v>0</v>
      </c>
      <c r="BT52" s="406">
        <f t="shared" si="6"/>
        <v>0</v>
      </c>
      <c r="BU52" s="284">
        <f>IF($AW53,_xll.qDateYears($AW52,$AW53,DCC_Leg2_Fixed),0)</f>
        <v>0</v>
      </c>
      <c r="BV52" s="284">
        <f>IF($AW53,_xll.qDateYears($AW52,$AW53,DCC_Leg2_Float),0)</f>
        <v>0</v>
      </c>
      <c r="BX52" s="350">
        <f t="shared" si="11"/>
        <v>0</v>
      </c>
      <c r="BY52" s="375">
        <f>IF(GenType_2a="Fixed",GenRate_2a%*$BT51*BU51,          IF(GenType_2a="Float",$BT51*(_xll.qGetFwdRate($J$18,$AW51,$AW52,"T",DCC_Leg2_Float)%+GenRate_2a%%)*$BV51,        IF(GenType_2a="bp (Fixed)",GenRate_2a%%*$BU51*$BT51,   IF(GenType_2a="bp (Float)",GenRate_2a%%*$BT51*$BV51,0))))</f>
        <v>0</v>
      </c>
      <c r="BZ52" s="561"/>
      <c r="CB52" s="341">
        <f t="shared" si="15"/>
        <v>0</v>
      </c>
      <c r="CC52" s="563"/>
      <c r="CD52" s="356"/>
      <c r="CE52" s="341">
        <v>0</v>
      </c>
      <c r="CF52" s="563"/>
      <c r="CG52" s="356"/>
    </row>
    <row r="53" spans="2:85">
      <c r="O53" s="122">
        <v>0</v>
      </c>
      <c r="P53" s="128">
        <f t="shared" si="0"/>
        <v>0</v>
      </c>
      <c r="Q53" s="126">
        <v>0</v>
      </c>
      <c r="R53" s="699">
        <f>IF($O54=0,0,        _xll.qDateNext($O53,R$17,"M",TRUE,Currency1))</f>
        <v>0</v>
      </c>
      <c r="S53" s="699">
        <f>IF($O54=0,0,        _xll.qDateNext($O53,S$17,"M",TRUE,Currency1))</f>
        <v>0</v>
      </c>
      <c r="T53" s="699">
        <f>IF($O54=0,0,        _xll.qDateNext($O53,T$17,"M",TRUE,Currency1))</f>
        <v>0</v>
      </c>
      <c r="U53" s="699">
        <f>IF($O54=0,0,        _xll.qDateNext($O53,U$17,"M",TRUE,Currency1))</f>
        <v>0</v>
      </c>
      <c r="V53" s="699">
        <f>IF($O54=0,0,        _xll.qDateNext($O53,V$17,"M",TRUE,Currency1))</f>
        <v>0</v>
      </c>
      <c r="W53" s="699">
        <f>IF($O54=0,0,        _xll.qDateNext($O53,W$17,"M",TRUE,Currency1))</f>
        <v>0</v>
      </c>
      <c r="X53" s="699">
        <f>IF($O54=0,0,        _xll.qDateNext($O53,X$17,"M",TRUE,Currency1))</f>
        <v>0</v>
      </c>
      <c r="Y53" s="699">
        <f>IF($O54=0,0,        _xll.qDateNext($O53,Y$17,"M",TRUE,Currency1))</f>
        <v>0</v>
      </c>
      <c r="Z53" s="703">
        <f>IF($O54=0,0,           IF(FRM,_xll.qGetFwdRate(Z$14,$O53,R53,"T",DCC_Leg1_Float),_xll.qGetFwdRate(Z$14,$O53,$O54,"T",DCC_Leg1_Float)))</f>
        <v>0</v>
      </c>
      <c r="AA53" s="703">
        <f>IF($O54=0,0,           IF(FRM,_xll.qGetFwdRate(AA$14,$O53,S53,"T",DCC_Leg1_Float),_xll.qGetFwdRate(AA$14,$O53,$O54,"T",DCC_Leg1_Float)))</f>
        <v>0</v>
      </c>
      <c r="AB53" s="703">
        <f t="shared" si="1"/>
        <v>0</v>
      </c>
      <c r="AC53" s="703">
        <f>IF($O54=0,0,           IF(FRM,_xll.qGetFwdRate(AC$14,$O53,U53,"T",DCC_Leg1_Float),_xll.qGetFwdRate(AC$14,$O53,$O54,"T",DCC_Leg1_Float)))</f>
        <v>0</v>
      </c>
      <c r="AD53" s="703">
        <f t="shared" si="7"/>
        <v>0</v>
      </c>
      <c r="AE53" s="703">
        <f t="shared" si="8"/>
        <v>0</v>
      </c>
      <c r="AF53" s="703">
        <f>IF($O54=0,0,           IF(FRM,_xll.qGetFwdRate(AF$14,$O53,X53,"T",DCC_Leg1_Float),_xll.qGetFwdRate(AF$14,$O53,$O54,"T",DCC_Leg1_Float)))</f>
        <v>0</v>
      </c>
      <c r="AG53" s="703">
        <f>IF($O54=0,0,           IF(FRM,_xll.qGetFwdRate(AG$14,$O53,Y53,"T",DCC_Leg1_Float),_xll.qGetFwdRate(AG$14,$O53,$O54,"T",DCC_Leg1_Float)))</f>
        <v>0</v>
      </c>
      <c r="AH53" s="685">
        <v>0</v>
      </c>
      <c r="AI53" s="667"/>
      <c r="AJ53" s="670">
        <f>IF(O54=0,0,             IF(ISNUMBER(AI53),AI53,             IF(ISTEXT(AI53),INDEX(Z53:AG53,MATCH(AI53,$Z$17:$AG$17,0)),           IF(AH53="INT",_xll.qInterp(O54,R53:Y53,Z53:AG53),       INDEX(Z53:AG53,MATCH(AH53,$Z$17:$AG$17,0))))))</f>
        <v>0</v>
      </c>
      <c r="AK53" s="732">
        <v>100</v>
      </c>
      <c r="AL53" s="721">
        <f t="shared" si="2"/>
        <v>0</v>
      </c>
      <c r="AM53" s="284">
        <f>IF($O54,_xll.qDateYears($O53,$O54,DCC_Leg1_Fixed),0)</f>
        <v>0</v>
      </c>
      <c r="AN53" s="284">
        <f>IF($O54,_xll.qDateYears($O53,$O54,DCC_Leg1_Float),0)</f>
        <v>0</v>
      </c>
      <c r="AP53" s="350">
        <f t="shared" si="9"/>
        <v>0</v>
      </c>
      <c r="AQ53" s="375">
        <f>IF(GenType_1a="Fixed",GenRate_1a%*$AL52*AM52,          IF(GenType_1a="Float",$AL52*(_xll.qGetFwdRate($D$18,$O52,$O53,"T",DCC_Leg1_Float)%+GenRate_1a%%)*$AN52,        IF(GenType_1a="bp (Fixed)",GenRate_1a%%*$AM52*$AL52,   IF(GenType_1a="bp (Float)",GenRate_1a%%*$AL52*$AN52,0))))</f>
        <v>0</v>
      </c>
      <c r="AR53" s="561"/>
      <c r="AT53" s="341">
        <f t="shared" si="14"/>
        <v>0</v>
      </c>
      <c r="AV53" s="356"/>
      <c r="AW53" s="122">
        <v>0</v>
      </c>
      <c r="AX53" s="128">
        <f t="shared" si="3"/>
        <v>0</v>
      </c>
      <c r="AY53" s="357">
        <v>0</v>
      </c>
      <c r="AZ53" s="699">
        <f>IF($AW54=0,0,        _xll.qDateNext($AW53,AZ$17,"M",TRUE,Currency2))</f>
        <v>0</v>
      </c>
      <c r="BA53" s="699">
        <f>IF($AW54=0,0,        _xll.qDateNext($AW53,BA$17,"M",TRUE,Currency2))</f>
        <v>0</v>
      </c>
      <c r="BB53" s="699">
        <f>IF($AW54=0,0,        _xll.qDateNext($AW53,BB$17,"M",TRUE,Currency2))</f>
        <v>0</v>
      </c>
      <c r="BC53" s="699">
        <f>IF($AW54=0,0,        _xll.qDateNext($AW53,BC$17,"M",TRUE,Currency2))</f>
        <v>0</v>
      </c>
      <c r="BD53" s="699">
        <f>IF($AW54=0,0,        _xll.qDateNext($AW53,BD$17,"M",TRUE,Currency2))</f>
        <v>0</v>
      </c>
      <c r="BE53" s="699">
        <f>IF($AW54=0,0,        _xll.qDateNext($AW53,BE$17,"M",TRUE,Currency2))</f>
        <v>0</v>
      </c>
      <c r="BF53" s="699">
        <f>IF($AW54=0,0,        _xll.qDateNext($AW53,BF$17,"M",TRUE,Currency2))</f>
        <v>0</v>
      </c>
      <c r="BG53" s="699">
        <f>IF($AW54=0,0,        _xll.qDateNext($AW53,BG$17,"M",TRUE,Currency2))</f>
        <v>0</v>
      </c>
      <c r="BH53" s="703">
        <v>0</v>
      </c>
      <c r="BI53" s="703">
        <v>0</v>
      </c>
      <c r="BJ53" s="703">
        <v>0</v>
      </c>
      <c r="BK53" s="703">
        <v>0</v>
      </c>
      <c r="BL53" s="703">
        <f t="shared" si="4"/>
        <v>0</v>
      </c>
      <c r="BM53" s="703">
        <f t="shared" si="10"/>
        <v>0</v>
      </c>
      <c r="BN53" s="703">
        <v>0</v>
      </c>
      <c r="BO53" s="703">
        <v>0</v>
      </c>
      <c r="BP53" s="685">
        <v>0</v>
      </c>
      <c r="BQ53" s="667"/>
      <c r="BR53" s="670">
        <f>IF(AW54=0,0,             IF(ISNUMBER(BQ53),BQ53,             IF(ISTEXT(BQ53),INDEX(BH53:BO53,MATCH(BQ53,$BH$17:$BO$17,0)),           IF(BP53="INT",_xll.qInterp(AW54,AZ53:BG53,BH53:BO53),       INDEX(BH53:BO53,MATCH(BP53,$BH$17:$BO$17,0))))))</f>
        <v>0</v>
      </c>
      <c r="BS53" s="731">
        <f t="shared" si="5"/>
        <v>0</v>
      </c>
      <c r="BT53" s="406">
        <f t="shared" si="6"/>
        <v>0</v>
      </c>
      <c r="BU53" s="284">
        <f>IF($AW54,_xll.qDateYears($AW53,$AW54,DCC_Leg2_Fixed),0)</f>
        <v>0</v>
      </c>
      <c r="BV53" s="284">
        <f>IF($AW54,_xll.qDateYears($AW53,$AW54,DCC_Leg2_Float),0)</f>
        <v>0</v>
      </c>
      <c r="BX53" s="350">
        <f t="shared" si="11"/>
        <v>0</v>
      </c>
      <c r="BY53" s="375">
        <f>IF(GenType_2a="Fixed",GenRate_2a%*$BT52*BU52,          IF(GenType_2a="Float",$BT52*(_xll.qGetFwdRate($J$18,$AW52,$AW53,"T",DCC_Leg2_Float)%+GenRate_2a%%)*$BV52,        IF(GenType_2a="bp (Fixed)",GenRate_2a%%*$BU52*$BT52,   IF(GenType_2a="bp (Float)",GenRate_2a%%*$BT52*$BV52,0))))</f>
        <v>0</v>
      </c>
      <c r="BZ53" s="561"/>
      <c r="CB53" s="341">
        <f t="shared" si="15"/>
        <v>0</v>
      </c>
      <c r="CC53" s="563"/>
      <c r="CD53" s="356"/>
      <c r="CE53" s="341">
        <v>0</v>
      </c>
      <c r="CF53" s="563"/>
      <c r="CG53" s="356"/>
    </row>
    <row r="54" spans="2:85">
      <c r="O54" s="122">
        <v>0</v>
      </c>
      <c r="P54" s="128">
        <f t="shared" si="0"/>
        <v>0</v>
      </c>
      <c r="Q54" s="126">
        <v>0</v>
      </c>
      <c r="R54" s="699">
        <f>IF($O55=0,0,        _xll.qDateNext($O54,R$17,"M",TRUE,Currency1))</f>
        <v>0</v>
      </c>
      <c r="S54" s="699">
        <f>IF($O55=0,0,        _xll.qDateNext($O54,S$17,"M",TRUE,Currency1))</f>
        <v>0</v>
      </c>
      <c r="T54" s="699">
        <f>IF($O55=0,0,        _xll.qDateNext($O54,T$17,"M",TRUE,Currency1))</f>
        <v>0</v>
      </c>
      <c r="U54" s="699">
        <f>IF($O55=0,0,        _xll.qDateNext($O54,U$17,"M",TRUE,Currency1))</f>
        <v>0</v>
      </c>
      <c r="V54" s="699">
        <f>IF($O55=0,0,        _xll.qDateNext($O54,V$17,"M",TRUE,Currency1))</f>
        <v>0</v>
      </c>
      <c r="W54" s="699">
        <f>IF($O55=0,0,        _xll.qDateNext($O54,W$17,"M",TRUE,Currency1))</f>
        <v>0</v>
      </c>
      <c r="X54" s="699">
        <f>IF($O55=0,0,        _xll.qDateNext($O54,X$17,"M",TRUE,Currency1))</f>
        <v>0</v>
      </c>
      <c r="Y54" s="699">
        <f>IF($O55=0,0,        _xll.qDateNext($O54,Y$17,"M",TRUE,Currency1))</f>
        <v>0</v>
      </c>
      <c r="Z54" s="703">
        <f>IF($O55=0,0,           IF(FRM,_xll.qGetFwdRate(Z$14,$O54,R54,"T",DCC_Leg1_Float),_xll.qGetFwdRate(Z$14,$O54,$O55,"T",DCC_Leg1_Float)))</f>
        <v>0</v>
      </c>
      <c r="AA54" s="703">
        <f>IF($O55=0,0,           IF(FRM,_xll.qGetFwdRate(AA$14,$O54,S54,"T",DCC_Leg1_Float),_xll.qGetFwdRate(AA$14,$O54,$O55,"T",DCC_Leg1_Float)))</f>
        <v>0</v>
      </c>
      <c r="AB54" s="703">
        <f t="shared" si="1"/>
        <v>0</v>
      </c>
      <c r="AC54" s="703">
        <f>IF($O55=0,0,           IF(FRM,_xll.qGetFwdRate(AC$14,$O54,U54,"T",DCC_Leg1_Float),_xll.qGetFwdRate(AC$14,$O54,$O55,"T",DCC_Leg1_Float)))</f>
        <v>0</v>
      </c>
      <c r="AD54" s="703">
        <f t="shared" si="7"/>
        <v>0</v>
      </c>
      <c r="AE54" s="703">
        <f t="shared" si="8"/>
        <v>0</v>
      </c>
      <c r="AF54" s="703">
        <f>IF($O55=0,0,           IF(FRM,_xll.qGetFwdRate(AF$14,$O54,X54,"T",DCC_Leg1_Float),_xll.qGetFwdRate(AF$14,$O54,$O55,"T",DCC_Leg1_Float)))</f>
        <v>0</v>
      </c>
      <c r="AG54" s="703">
        <f>IF($O55=0,0,           IF(FRM,_xll.qGetFwdRate(AG$14,$O54,Y54,"T",DCC_Leg1_Float),_xll.qGetFwdRate(AG$14,$O54,$O55,"T",DCC_Leg1_Float)))</f>
        <v>0</v>
      </c>
      <c r="AH54" s="685">
        <v>0</v>
      </c>
      <c r="AI54" s="667"/>
      <c r="AJ54" s="670">
        <f>IF(O55=0,0,             IF(ISNUMBER(AI54),AI54,             IF(ISTEXT(AI54),INDEX(Z54:AG54,MATCH(AI54,$Z$17:$AG$17,0)),           IF(AH54="INT",_xll.qInterp(O55,R54:Y54,Z54:AG54),       INDEX(Z54:AG54,MATCH(AH54,$Z$17:$AG$17,0))))))</f>
        <v>0</v>
      </c>
      <c r="AK54" s="732">
        <v>100</v>
      </c>
      <c r="AL54" s="721">
        <f t="shared" si="2"/>
        <v>0</v>
      </c>
      <c r="AM54" s="284">
        <f>IF($O55,_xll.qDateYears($O54,$O55,DCC_Leg1_Fixed),0)</f>
        <v>0</v>
      </c>
      <c r="AN54" s="284">
        <f>IF($O55,_xll.qDateYears($O54,$O55,DCC_Leg1_Float),0)</f>
        <v>0</v>
      </c>
      <c r="AP54" s="350">
        <f t="shared" si="9"/>
        <v>0</v>
      </c>
      <c r="AQ54" s="375">
        <f>IF(GenType_1a="Fixed",GenRate_1a%*$AL53*AM53,          IF(GenType_1a="Float",$AL53*(_xll.qGetFwdRate($D$18,$O53,$O54,"T",DCC_Leg1_Float)%+GenRate_1a%%)*$AN53,        IF(GenType_1a="bp (Fixed)",GenRate_1a%%*$AM53*$AL53,   IF(GenType_1a="bp (Float)",GenRate_1a%%*$AL53*$AN53,0))))</f>
        <v>0</v>
      </c>
      <c r="AR54" s="561"/>
      <c r="AT54" s="341">
        <f t="shared" si="14"/>
        <v>0</v>
      </c>
      <c r="AV54" s="356"/>
      <c r="AW54" s="122">
        <v>0</v>
      </c>
      <c r="AX54" s="128">
        <f t="shared" si="3"/>
        <v>0</v>
      </c>
      <c r="AY54" s="357">
        <v>0</v>
      </c>
      <c r="AZ54" s="699">
        <f>IF($AW55=0,0,        _xll.qDateNext($AW54,AZ$17,"M",TRUE,Currency2))</f>
        <v>0</v>
      </c>
      <c r="BA54" s="699">
        <f>IF($AW55=0,0,        _xll.qDateNext($AW54,BA$17,"M",TRUE,Currency2))</f>
        <v>0</v>
      </c>
      <c r="BB54" s="699">
        <f>IF($AW55=0,0,        _xll.qDateNext($AW54,BB$17,"M",TRUE,Currency2))</f>
        <v>0</v>
      </c>
      <c r="BC54" s="699">
        <f>IF($AW55=0,0,        _xll.qDateNext($AW54,BC$17,"M",TRUE,Currency2))</f>
        <v>0</v>
      </c>
      <c r="BD54" s="699">
        <f>IF($AW55=0,0,        _xll.qDateNext($AW54,BD$17,"M",TRUE,Currency2))</f>
        <v>0</v>
      </c>
      <c r="BE54" s="699">
        <f>IF($AW55=0,0,        _xll.qDateNext($AW54,BE$17,"M",TRUE,Currency2))</f>
        <v>0</v>
      </c>
      <c r="BF54" s="699">
        <f>IF($AW55=0,0,        _xll.qDateNext($AW54,BF$17,"M",TRUE,Currency2))</f>
        <v>0</v>
      </c>
      <c r="BG54" s="699">
        <f>IF($AW55=0,0,        _xll.qDateNext($AW54,BG$17,"M",TRUE,Currency2))</f>
        <v>0</v>
      </c>
      <c r="BH54" s="703">
        <v>0</v>
      </c>
      <c r="BI54" s="703">
        <v>0</v>
      </c>
      <c r="BJ54" s="703">
        <v>0</v>
      </c>
      <c r="BK54" s="703">
        <v>0</v>
      </c>
      <c r="BL54" s="703">
        <f t="shared" si="4"/>
        <v>0</v>
      </c>
      <c r="BM54" s="703">
        <f t="shared" si="10"/>
        <v>0</v>
      </c>
      <c r="BN54" s="703">
        <v>0</v>
      </c>
      <c r="BO54" s="703">
        <v>0</v>
      </c>
      <c r="BP54" s="685">
        <v>0</v>
      </c>
      <c r="BQ54" s="667"/>
      <c r="BR54" s="670">
        <f>IF(AW55=0,0,             IF(ISNUMBER(BQ54),BQ54,             IF(ISTEXT(BQ54),INDEX(BH54:BO54,MATCH(BQ54,$BH$17:$BO$17,0)),           IF(BP54="INT",_xll.qInterp(AW55,AZ54:BG54,BH54:BO54),       INDEX(BH54:BO54,MATCH(BP54,$BH$17:$BO$17,0))))))</f>
        <v>0</v>
      </c>
      <c r="BS54" s="731">
        <f t="shared" si="5"/>
        <v>0</v>
      </c>
      <c r="BT54" s="406">
        <f t="shared" si="6"/>
        <v>0</v>
      </c>
      <c r="BU54" s="284">
        <f>IF($AW55,_xll.qDateYears($AW54,$AW55,DCC_Leg2_Fixed),0)</f>
        <v>0</v>
      </c>
      <c r="BV54" s="284">
        <f>IF($AW55,_xll.qDateYears($AW54,$AW55,DCC_Leg2_Float),0)</f>
        <v>0</v>
      </c>
      <c r="BX54" s="350">
        <f t="shared" si="11"/>
        <v>0</v>
      </c>
      <c r="BY54" s="375">
        <f>IF(GenType_2a="Fixed",GenRate_2a%*$BT53*BU53,          IF(GenType_2a="Float",$BT53*(_xll.qGetFwdRate($J$18,$AW53,$AW54,"T",DCC_Leg2_Float)%+GenRate_2a%%)*$BV53,        IF(GenType_2a="bp (Fixed)",GenRate_2a%%*$BU53*$BT53,   IF(GenType_2a="bp (Float)",GenRate_2a%%*$BT53*$BV53,0))))</f>
        <v>0</v>
      </c>
      <c r="BZ54" s="561"/>
      <c r="CB54" s="341">
        <f t="shared" si="15"/>
        <v>0</v>
      </c>
      <c r="CC54" s="563"/>
      <c r="CD54" s="356"/>
      <c r="CE54" s="341">
        <v>0</v>
      </c>
      <c r="CF54" s="563"/>
      <c r="CG54" s="356"/>
    </row>
    <row r="55" spans="2:85">
      <c r="O55" s="122">
        <v>0</v>
      </c>
      <c r="P55" s="128">
        <f t="shared" si="0"/>
        <v>0</v>
      </c>
      <c r="Q55" s="126">
        <v>0</v>
      </c>
      <c r="R55" s="699">
        <f>IF($O56=0,0,        _xll.qDateNext($O55,R$17,"M",TRUE,Currency1))</f>
        <v>0</v>
      </c>
      <c r="S55" s="699">
        <f>IF($O56=0,0,        _xll.qDateNext($O55,S$17,"M",TRUE,Currency1))</f>
        <v>0</v>
      </c>
      <c r="T55" s="699">
        <f>IF($O56=0,0,        _xll.qDateNext($O55,T$17,"M",TRUE,Currency1))</f>
        <v>0</v>
      </c>
      <c r="U55" s="699">
        <f>IF($O56=0,0,        _xll.qDateNext($O55,U$17,"M",TRUE,Currency1))</f>
        <v>0</v>
      </c>
      <c r="V55" s="699">
        <f>IF($O56=0,0,        _xll.qDateNext($O55,V$17,"M",TRUE,Currency1))</f>
        <v>0</v>
      </c>
      <c r="W55" s="699">
        <f>IF($O56=0,0,        _xll.qDateNext($O55,W$17,"M",TRUE,Currency1))</f>
        <v>0</v>
      </c>
      <c r="X55" s="699">
        <f>IF($O56=0,0,        _xll.qDateNext($O55,X$17,"M",TRUE,Currency1))</f>
        <v>0</v>
      </c>
      <c r="Y55" s="699">
        <f>IF($O56=0,0,        _xll.qDateNext($O55,Y$17,"M",TRUE,Currency1))</f>
        <v>0</v>
      </c>
      <c r="Z55" s="703">
        <f>IF($O56=0,0,           IF(FRM,_xll.qGetFwdRate(Z$14,$O55,R55,"T",DCC_Leg1_Float),_xll.qGetFwdRate(Z$14,$O55,$O56,"T",DCC_Leg1_Float)))</f>
        <v>0</v>
      </c>
      <c r="AA55" s="703">
        <f>IF($O56=0,0,           IF(FRM,_xll.qGetFwdRate(AA$14,$O55,S55,"T",DCC_Leg1_Float),_xll.qGetFwdRate(AA$14,$O55,$O56,"T",DCC_Leg1_Float)))</f>
        <v>0</v>
      </c>
      <c r="AB55" s="703">
        <f t="shared" si="1"/>
        <v>0</v>
      </c>
      <c r="AC55" s="703">
        <f>IF($O56=0,0,           IF(FRM,_xll.qGetFwdRate(AC$14,$O55,U55,"T",DCC_Leg1_Float),_xll.qGetFwdRate(AC$14,$O55,$O56,"T",DCC_Leg1_Float)))</f>
        <v>0</v>
      </c>
      <c r="AD55" s="703">
        <f t="shared" si="7"/>
        <v>0</v>
      </c>
      <c r="AE55" s="703">
        <f t="shared" si="8"/>
        <v>0</v>
      </c>
      <c r="AF55" s="703">
        <f>IF($O56=0,0,           IF(FRM,_xll.qGetFwdRate(AF$14,$O55,X55,"T",DCC_Leg1_Float),_xll.qGetFwdRate(AF$14,$O55,$O56,"T",DCC_Leg1_Float)))</f>
        <v>0</v>
      </c>
      <c r="AG55" s="703">
        <f>IF($O56=0,0,           IF(FRM,_xll.qGetFwdRate(AG$14,$O55,Y55,"T",DCC_Leg1_Float),_xll.qGetFwdRate(AG$14,$O55,$O56,"T",DCC_Leg1_Float)))</f>
        <v>0</v>
      </c>
      <c r="AH55" s="685">
        <v>0</v>
      </c>
      <c r="AI55" s="667"/>
      <c r="AJ55" s="670">
        <f>IF(O56=0,0,             IF(ISNUMBER(AI55),AI55,             IF(ISTEXT(AI55),INDEX(Z55:AG55,MATCH(AI55,$Z$17:$AG$17,0)),           IF(AH55="INT",_xll.qInterp(O56,R55:Y55,Z55:AG55),       INDEX(Z55:AG55,MATCH(AH55,$Z$17:$AG$17,0))))))</f>
        <v>0</v>
      </c>
      <c r="AK55" s="732">
        <v>100</v>
      </c>
      <c r="AL55" s="721">
        <f t="shared" si="2"/>
        <v>0</v>
      </c>
      <c r="AM55" s="284">
        <f>IF($O56,_xll.qDateYears($O55,$O56,DCC_Leg1_Fixed),0)</f>
        <v>0</v>
      </c>
      <c r="AN55" s="284">
        <f>IF($O56,_xll.qDateYears($O55,$O56,DCC_Leg1_Float),0)</f>
        <v>0</v>
      </c>
      <c r="AP55" s="350">
        <f t="shared" si="9"/>
        <v>0</v>
      </c>
      <c r="AQ55" s="375">
        <f>IF(GenType_1a="Fixed",GenRate_1a%*$AL54*AM54,          IF(GenType_1a="Float",$AL54*(_xll.qGetFwdRate($D$18,$O54,$O55,"T",DCC_Leg1_Float)%+GenRate_1a%%)*$AN54,        IF(GenType_1a="bp (Fixed)",GenRate_1a%%*$AM54*$AL54,   IF(GenType_1a="bp (Float)",GenRate_1a%%*$AL54*$AN54,0))))</f>
        <v>0</v>
      </c>
      <c r="AR55" s="561"/>
      <c r="AT55" s="341">
        <f t="shared" si="14"/>
        <v>0</v>
      </c>
      <c r="AV55" s="356"/>
      <c r="AW55" s="122">
        <v>0</v>
      </c>
      <c r="AX55" s="128">
        <f t="shared" si="3"/>
        <v>0</v>
      </c>
      <c r="AY55" s="357">
        <v>0</v>
      </c>
      <c r="AZ55" s="699">
        <f>IF($AW56=0,0,        _xll.qDateNext($AW55,AZ$17,"M",TRUE,Currency2))</f>
        <v>0</v>
      </c>
      <c r="BA55" s="699">
        <f>IF($AW56=0,0,        _xll.qDateNext($AW55,BA$17,"M",TRUE,Currency2))</f>
        <v>0</v>
      </c>
      <c r="BB55" s="699">
        <f>IF($AW56=0,0,        _xll.qDateNext($AW55,BB$17,"M",TRUE,Currency2))</f>
        <v>0</v>
      </c>
      <c r="BC55" s="699">
        <f>IF($AW56=0,0,        _xll.qDateNext($AW55,BC$17,"M",TRUE,Currency2))</f>
        <v>0</v>
      </c>
      <c r="BD55" s="699">
        <f>IF($AW56=0,0,        _xll.qDateNext($AW55,BD$17,"M",TRUE,Currency2))</f>
        <v>0</v>
      </c>
      <c r="BE55" s="699">
        <f>IF($AW56=0,0,        _xll.qDateNext($AW55,BE$17,"M",TRUE,Currency2))</f>
        <v>0</v>
      </c>
      <c r="BF55" s="699">
        <f>IF($AW56=0,0,        _xll.qDateNext($AW55,BF$17,"M",TRUE,Currency2))</f>
        <v>0</v>
      </c>
      <c r="BG55" s="699">
        <f>IF($AW56=0,0,        _xll.qDateNext($AW55,BG$17,"M",TRUE,Currency2))</f>
        <v>0</v>
      </c>
      <c r="BH55" s="703">
        <v>0</v>
      </c>
      <c r="BI55" s="703">
        <v>0</v>
      </c>
      <c r="BJ55" s="703">
        <v>0</v>
      </c>
      <c r="BK55" s="703">
        <v>0</v>
      </c>
      <c r="BL55" s="703">
        <f t="shared" si="4"/>
        <v>0</v>
      </c>
      <c r="BM55" s="703">
        <f t="shared" si="10"/>
        <v>0</v>
      </c>
      <c r="BN55" s="703">
        <v>0</v>
      </c>
      <c r="BO55" s="703">
        <v>0</v>
      </c>
      <c r="BP55" s="685">
        <v>0</v>
      </c>
      <c r="BQ55" s="667"/>
      <c r="BR55" s="670">
        <f>IF(AW56=0,0,             IF(ISNUMBER(BQ55),BQ55,             IF(ISTEXT(BQ55),INDEX(BH55:BO55,MATCH(BQ55,$BH$17:$BO$17,0)),           IF(BP55="INT",_xll.qInterp(AW56,AZ55:BG55,BH55:BO55),       INDEX(BH55:BO55,MATCH(BP55,$BH$17:$BO$17,0))))))</f>
        <v>0</v>
      </c>
      <c r="BS55" s="731">
        <f t="shared" si="5"/>
        <v>0</v>
      </c>
      <c r="BT55" s="406">
        <f t="shared" si="6"/>
        <v>0</v>
      </c>
      <c r="BU55" s="284">
        <f>IF($AW56,_xll.qDateYears($AW55,$AW56,DCC_Leg2_Fixed),0)</f>
        <v>0</v>
      </c>
      <c r="BV55" s="284">
        <f>IF($AW56,_xll.qDateYears($AW55,$AW56,DCC_Leg2_Float),0)</f>
        <v>0</v>
      </c>
      <c r="BX55" s="350">
        <f t="shared" si="11"/>
        <v>0</v>
      </c>
      <c r="BY55" s="375">
        <f>IF(GenType_2a="Fixed",GenRate_2a%*$BT54*BU54,          IF(GenType_2a="Float",$BT54*(_xll.qGetFwdRate($J$18,$AW54,$AW55,"T",DCC_Leg2_Float)%+GenRate_2a%%)*$BV54,        IF(GenType_2a="bp (Fixed)",GenRate_2a%%*$BU54*$BT54,   IF(GenType_2a="bp (Float)",GenRate_2a%%*$BT54*$BV54,0))))</f>
        <v>0</v>
      </c>
      <c r="BZ55" s="561"/>
      <c r="CB55" s="341">
        <f t="shared" si="15"/>
        <v>0</v>
      </c>
      <c r="CC55" s="563"/>
      <c r="CD55" s="356"/>
      <c r="CE55" s="341">
        <v>0</v>
      </c>
      <c r="CF55" s="563"/>
      <c r="CG55" s="356"/>
    </row>
    <row r="56" spans="2:85">
      <c r="O56" s="122">
        <v>0</v>
      </c>
      <c r="P56" s="128">
        <f t="shared" si="0"/>
        <v>0</v>
      </c>
      <c r="Q56" s="126">
        <v>0</v>
      </c>
      <c r="R56" s="699">
        <f>IF($O57=0,0,        _xll.qDateNext($O56,R$17,"M",TRUE,Currency1))</f>
        <v>0</v>
      </c>
      <c r="S56" s="699">
        <f>IF($O57=0,0,        _xll.qDateNext($O56,S$17,"M",TRUE,Currency1))</f>
        <v>0</v>
      </c>
      <c r="T56" s="699">
        <f>IF($O57=0,0,        _xll.qDateNext($O56,T$17,"M",TRUE,Currency1))</f>
        <v>0</v>
      </c>
      <c r="U56" s="699">
        <f>IF($O57=0,0,        _xll.qDateNext($O56,U$17,"M",TRUE,Currency1))</f>
        <v>0</v>
      </c>
      <c r="V56" s="699">
        <f>IF($O57=0,0,        _xll.qDateNext($O56,V$17,"M",TRUE,Currency1))</f>
        <v>0</v>
      </c>
      <c r="W56" s="699">
        <f>IF($O57=0,0,        _xll.qDateNext($O56,W$17,"M",TRUE,Currency1))</f>
        <v>0</v>
      </c>
      <c r="X56" s="699">
        <f>IF($O57=0,0,        _xll.qDateNext($O56,X$17,"M",TRUE,Currency1))</f>
        <v>0</v>
      </c>
      <c r="Y56" s="699">
        <f>IF($O57=0,0,        _xll.qDateNext($O56,Y$17,"M",TRUE,Currency1))</f>
        <v>0</v>
      </c>
      <c r="Z56" s="703">
        <f>IF($O57=0,0,           IF(FRM,_xll.qGetFwdRate(Z$14,$O56,R56,"T",DCC_Leg1_Float),_xll.qGetFwdRate(Z$14,$O56,$O57,"T",DCC_Leg1_Float)))</f>
        <v>0</v>
      </c>
      <c r="AA56" s="703">
        <f>IF($O57=0,0,           IF(FRM,_xll.qGetFwdRate(AA$14,$O56,S56,"T",DCC_Leg1_Float),_xll.qGetFwdRate(AA$14,$O56,$O57,"T",DCC_Leg1_Float)))</f>
        <v>0</v>
      </c>
      <c r="AB56" s="703">
        <f t="shared" si="1"/>
        <v>0</v>
      </c>
      <c r="AC56" s="703">
        <f>IF($O57=0,0,           IF(FRM,_xll.qGetFwdRate(AC$14,$O56,U56,"T",DCC_Leg1_Float),_xll.qGetFwdRate(AC$14,$O56,$O57,"T",DCC_Leg1_Float)))</f>
        <v>0</v>
      </c>
      <c r="AD56" s="703">
        <f t="shared" si="7"/>
        <v>0</v>
      </c>
      <c r="AE56" s="703">
        <f t="shared" si="8"/>
        <v>0</v>
      </c>
      <c r="AF56" s="703">
        <f>IF($O57=0,0,           IF(FRM,_xll.qGetFwdRate(AF$14,$O56,X56,"T",DCC_Leg1_Float),_xll.qGetFwdRate(AF$14,$O56,$O57,"T",DCC_Leg1_Float)))</f>
        <v>0</v>
      </c>
      <c r="AG56" s="703">
        <f>IF($O57=0,0,           IF(FRM,_xll.qGetFwdRate(AG$14,$O56,Y56,"T",DCC_Leg1_Float),_xll.qGetFwdRate(AG$14,$O56,$O57,"T",DCC_Leg1_Float)))</f>
        <v>0</v>
      </c>
      <c r="AH56" s="685">
        <v>0</v>
      </c>
      <c r="AI56" s="667"/>
      <c r="AJ56" s="670">
        <f>IF(O57=0,0,             IF(ISNUMBER(AI56),AI56,             IF(ISTEXT(AI56),INDEX(Z56:AG56,MATCH(AI56,$Z$17:$AG$17,0)),           IF(AH56="INT",_xll.qInterp(O57,R56:Y56,Z56:AG56),       INDEX(Z56:AG56,MATCH(AH56,$Z$17:$AG$17,0))))))</f>
        <v>0</v>
      </c>
      <c r="AK56" s="732">
        <v>100</v>
      </c>
      <c r="AL56" s="721">
        <f t="shared" si="2"/>
        <v>0</v>
      </c>
      <c r="AM56" s="284">
        <f>IF($O57,_xll.qDateYears($O56,$O57,DCC_Leg1_Fixed),0)</f>
        <v>0</v>
      </c>
      <c r="AN56" s="284">
        <f>IF($O57,_xll.qDateYears($O56,$O57,DCC_Leg1_Float),0)</f>
        <v>0</v>
      </c>
      <c r="AP56" s="350">
        <f t="shared" si="9"/>
        <v>0</v>
      </c>
      <c r="AQ56" s="375">
        <f>IF(GenType_1a="Fixed",GenRate_1a%*$AL55*AM55,          IF(GenType_1a="Float",$AL55*(_xll.qGetFwdRate($D$18,$O55,$O56,"T",DCC_Leg1_Float)%+GenRate_1a%%)*$AN55,        IF(GenType_1a="bp (Fixed)",GenRate_1a%%*$AM55*$AL55,   IF(GenType_1a="bp (Float)",GenRate_1a%%*$AL55*$AN55,0))))</f>
        <v>0</v>
      </c>
      <c r="AR56" s="561"/>
      <c r="AT56" s="341">
        <f t="shared" si="14"/>
        <v>0</v>
      </c>
      <c r="AV56" s="356"/>
      <c r="AW56" s="122">
        <v>0</v>
      </c>
      <c r="AX56" s="128">
        <f t="shared" si="3"/>
        <v>0</v>
      </c>
      <c r="AY56" s="357">
        <v>0</v>
      </c>
      <c r="AZ56" s="699">
        <f>IF($AW57=0,0,        _xll.qDateNext($AW56,AZ$17,"M",TRUE,Currency2))</f>
        <v>0</v>
      </c>
      <c r="BA56" s="699">
        <f>IF($AW57=0,0,        _xll.qDateNext($AW56,BA$17,"M",TRUE,Currency2))</f>
        <v>0</v>
      </c>
      <c r="BB56" s="699">
        <f>IF($AW57=0,0,        _xll.qDateNext($AW56,BB$17,"M",TRUE,Currency2))</f>
        <v>0</v>
      </c>
      <c r="BC56" s="699">
        <f>IF($AW57=0,0,        _xll.qDateNext($AW56,BC$17,"M",TRUE,Currency2))</f>
        <v>0</v>
      </c>
      <c r="BD56" s="699">
        <f>IF($AW57=0,0,        _xll.qDateNext($AW56,BD$17,"M",TRUE,Currency2))</f>
        <v>0</v>
      </c>
      <c r="BE56" s="699">
        <f>IF($AW57=0,0,        _xll.qDateNext($AW56,BE$17,"M",TRUE,Currency2))</f>
        <v>0</v>
      </c>
      <c r="BF56" s="699">
        <f>IF($AW57=0,0,        _xll.qDateNext($AW56,BF$17,"M",TRUE,Currency2))</f>
        <v>0</v>
      </c>
      <c r="BG56" s="699">
        <f>IF($AW57=0,0,        _xll.qDateNext($AW56,BG$17,"M",TRUE,Currency2))</f>
        <v>0</v>
      </c>
      <c r="BH56" s="703">
        <v>0</v>
      </c>
      <c r="BI56" s="703">
        <v>0</v>
      </c>
      <c r="BJ56" s="703">
        <v>0</v>
      </c>
      <c r="BK56" s="703">
        <v>0</v>
      </c>
      <c r="BL56" s="703">
        <f t="shared" si="4"/>
        <v>0</v>
      </c>
      <c r="BM56" s="703">
        <f t="shared" si="10"/>
        <v>0</v>
      </c>
      <c r="BN56" s="703">
        <v>0</v>
      </c>
      <c r="BO56" s="703">
        <v>0</v>
      </c>
      <c r="BP56" s="685">
        <v>0</v>
      </c>
      <c r="BQ56" s="667"/>
      <c r="BR56" s="670">
        <f>IF(AW57=0,0,             IF(ISNUMBER(BQ56),BQ56,             IF(ISTEXT(BQ56),INDEX(BH56:BO56,MATCH(BQ56,$BH$17:$BO$17,0)),           IF(BP56="INT",_xll.qInterp(AW57,AZ56:BG56,BH56:BO56),       INDEX(BH56:BO56,MATCH(BP56,$BH$17:$BO$17,0))))))</f>
        <v>0</v>
      </c>
      <c r="BS56" s="731">
        <f t="shared" si="5"/>
        <v>0</v>
      </c>
      <c r="BT56" s="406">
        <f t="shared" si="6"/>
        <v>0</v>
      </c>
      <c r="BU56" s="284">
        <f>IF($AW57,_xll.qDateYears($AW56,$AW57,DCC_Leg2_Fixed),0)</f>
        <v>0</v>
      </c>
      <c r="BV56" s="284">
        <f>IF($AW57,_xll.qDateYears($AW56,$AW57,DCC_Leg2_Float),0)</f>
        <v>0</v>
      </c>
      <c r="BX56" s="350">
        <f t="shared" si="11"/>
        <v>0</v>
      </c>
      <c r="BY56" s="375">
        <f>IF(GenType_2a="Fixed",GenRate_2a%*$BT55*BU55,          IF(GenType_2a="Float",$BT55*(_xll.qGetFwdRate($J$18,$AW55,$AW56,"T",DCC_Leg2_Float)%+GenRate_2a%%)*$BV55,        IF(GenType_2a="bp (Fixed)",GenRate_2a%%*$BU55*$BT55,   IF(GenType_2a="bp (Float)",GenRate_2a%%*$BT55*$BV55,0))))</f>
        <v>0</v>
      </c>
      <c r="BZ56" s="561"/>
      <c r="CB56" s="341">
        <f t="shared" si="15"/>
        <v>0</v>
      </c>
      <c r="CC56" s="563"/>
      <c r="CD56" s="356"/>
      <c r="CE56" s="341">
        <v>0</v>
      </c>
      <c r="CF56" s="563"/>
      <c r="CG56" s="356"/>
    </row>
    <row r="57" spans="2:85">
      <c r="O57" s="122">
        <v>0</v>
      </c>
      <c r="P57" s="128">
        <f t="shared" si="0"/>
        <v>0</v>
      </c>
      <c r="Q57" s="126">
        <v>0</v>
      </c>
      <c r="R57" s="699">
        <f>IF($O58=0,0,        _xll.qDateNext($O57,R$17,"M",TRUE,Currency1))</f>
        <v>0</v>
      </c>
      <c r="S57" s="699">
        <f>IF($O58=0,0,        _xll.qDateNext($O57,S$17,"M",TRUE,Currency1))</f>
        <v>0</v>
      </c>
      <c r="T57" s="699">
        <f>IF($O58=0,0,        _xll.qDateNext($O57,T$17,"M",TRUE,Currency1))</f>
        <v>0</v>
      </c>
      <c r="U57" s="699">
        <f>IF($O58=0,0,        _xll.qDateNext($O57,U$17,"M",TRUE,Currency1))</f>
        <v>0</v>
      </c>
      <c r="V57" s="699">
        <f>IF($O58=0,0,        _xll.qDateNext($O57,V$17,"M",TRUE,Currency1))</f>
        <v>0</v>
      </c>
      <c r="W57" s="699">
        <f>IF($O58=0,0,        _xll.qDateNext($O57,W$17,"M",TRUE,Currency1))</f>
        <v>0</v>
      </c>
      <c r="X57" s="699">
        <f>IF($O58=0,0,        _xll.qDateNext($O57,X$17,"M",TRUE,Currency1))</f>
        <v>0</v>
      </c>
      <c r="Y57" s="699">
        <f>IF($O58=0,0,        _xll.qDateNext($O57,Y$17,"M",TRUE,Currency1))</f>
        <v>0</v>
      </c>
      <c r="Z57" s="703">
        <f>IF($O58=0,0,           IF(FRM,_xll.qGetFwdRate(Z$14,$O57,R57,"T",DCC_Leg1_Float),_xll.qGetFwdRate(Z$14,$O57,$O58,"T",DCC_Leg1_Float)))</f>
        <v>0</v>
      </c>
      <c r="AA57" s="703">
        <f>IF($O58=0,0,           IF(FRM,_xll.qGetFwdRate(AA$14,$O57,S57,"T",DCC_Leg1_Float),_xll.qGetFwdRate(AA$14,$O57,$O58,"T",DCC_Leg1_Float)))</f>
        <v>0</v>
      </c>
      <c r="AB57" s="703">
        <f t="shared" si="1"/>
        <v>0</v>
      </c>
      <c r="AC57" s="703">
        <f>IF($O58=0,0,           IF(FRM,_xll.qGetFwdRate(AC$14,$O57,U57,"T",DCC_Leg1_Float),_xll.qGetFwdRate(AC$14,$O57,$O58,"T",DCC_Leg1_Float)))</f>
        <v>0</v>
      </c>
      <c r="AD57" s="703">
        <f t="shared" si="7"/>
        <v>0</v>
      </c>
      <c r="AE57" s="703">
        <f t="shared" si="8"/>
        <v>0</v>
      </c>
      <c r="AF57" s="703">
        <f>IF($O58=0,0,           IF(FRM,_xll.qGetFwdRate(AF$14,$O57,X57,"T",DCC_Leg1_Float),_xll.qGetFwdRate(AF$14,$O57,$O58,"T",DCC_Leg1_Float)))</f>
        <v>0</v>
      </c>
      <c r="AG57" s="703">
        <f>IF($O58=0,0,           IF(FRM,_xll.qGetFwdRate(AG$14,$O57,Y57,"T",DCC_Leg1_Float),_xll.qGetFwdRate(AG$14,$O57,$O58,"T",DCC_Leg1_Float)))</f>
        <v>0</v>
      </c>
      <c r="AH57" s="685">
        <v>0</v>
      </c>
      <c r="AI57" s="667"/>
      <c r="AJ57" s="670">
        <f>IF(O58=0,0,             IF(ISNUMBER(AI57),AI57,             IF(ISTEXT(AI57),INDEX(Z57:AG57,MATCH(AI57,$Z$17:$AG$17,0)),           IF(AH57="INT",_xll.qInterp(O58,R57:Y57,Z57:AG57),       INDEX(Z57:AG57,MATCH(AH57,$Z$17:$AG$17,0))))))</f>
        <v>0</v>
      </c>
      <c r="AK57" s="732">
        <v>100</v>
      </c>
      <c r="AL57" s="721">
        <f t="shared" si="2"/>
        <v>0</v>
      </c>
      <c r="AM57" s="284">
        <f>IF($O58,_xll.qDateYears($O57,$O58,DCC_Leg1_Fixed),0)</f>
        <v>0</v>
      </c>
      <c r="AN57" s="284">
        <f>IF($O58,_xll.qDateYears($O57,$O58,DCC_Leg1_Float),0)</f>
        <v>0</v>
      </c>
      <c r="AP57" s="350">
        <f t="shared" si="9"/>
        <v>0</v>
      </c>
      <c r="AQ57" s="375">
        <f>IF(GenType_1a="Fixed",GenRate_1a%*$AL56*AM56,          IF(GenType_1a="Float",$AL56*(_xll.qGetFwdRate($D$18,$O56,$O57,"T",DCC_Leg1_Float)%+GenRate_1a%%)*$AN56,        IF(GenType_1a="bp (Fixed)",GenRate_1a%%*$AM56*$AL56,   IF(GenType_1a="bp (Float)",GenRate_1a%%*$AL56*$AN56,0))))</f>
        <v>0</v>
      </c>
      <c r="AR57" s="561"/>
      <c r="AT57" s="341">
        <f t="shared" si="14"/>
        <v>0</v>
      </c>
      <c r="AV57" s="356"/>
      <c r="AW57" s="122">
        <v>0</v>
      </c>
      <c r="AX57" s="128">
        <f t="shared" si="3"/>
        <v>0</v>
      </c>
      <c r="AY57" s="357">
        <v>0</v>
      </c>
      <c r="AZ57" s="699">
        <f>IF($AW58=0,0,        _xll.qDateNext($AW57,AZ$17,"M",TRUE,Currency2))</f>
        <v>0</v>
      </c>
      <c r="BA57" s="699">
        <f>IF($AW58=0,0,        _xll.qDateNext($AW57,BA$17,"M",TRUE,Currency2))</f>
        <v>0</v>
      </c>
      <c r="BB57" s="699">
        <f>IF($AW58=0,0,        _xll.qDateNext($AW57,BB$17,"M",TRUE,Currency2))</f>
        <v>0</v>
      </c>
      <c r="BC57" s="699">
        <f>IF($AW58=0,0,        _xll.qDateNext($AW57,BC$17,"M",TRUE,Currency2))</f>
        <v>0</v>
      </c>
      <c r="BD57" s="699">
        <f>IF($AW58=0,0,        _xll.qDateNext($AW57,BD$17,"M",TRUE,Currency2))</f>
        <v>0</v>
      </c>
      <c r="BE57" s="699">
        <f>IF($AW58=0,0,        _xll.qDateNext($AW57,BE$17,"M",TRUE,Currency2))</f>
        <v>0</v>
      </c>
      <c r="BF57" s="699">
        <f>IF($AW58=0,0,        _xll.qDateNext($AW57,BF$17,"M",TRUE,Currency2))</f>
        <v>0</v>
      </c>
      <c r="BG57" s="699">
        <f>IF($AW58=0,0,        _xll.qDateNext($AW57,BG$17,"M",TRUE,Currency2))</f>
        <v>0</v>
      </c>
      <c r="BH57" s="703">
        <v>0</v>
      </c>
      <c r="BI57" s="703">
        <v>0</v>
      </c>
      <c r="BJ57" s="703">
        <v>0</v>
      </c>
      <c r="BK57" s="703">
        <v>0</v>
      </c>
      <c r="BL57" s="703">
        <f t="shared" si="4"/>
        <v>0</v>
      </c>
      <c r="BM57" s="703">
        <f t="shared" si="10"/>
        <v>0</v>
      </c>
      <c r="BN57" s="703">
        <v>0</v>
      </c>
      <c r="BO57" s="703">
        <v>0</v>
      </c>
      <c r="BP57" s="685">
        <v>0</v>
      </c>
      <c r="BQ57" s="667"/>
      <c r="BR57" s="670">
        <f>IF(AW58=0,0,             IF(ISNUMBER(BQ57),BQ57,             IF(ISTEXT(BQ57),INDEX(BH57:BO57,MATCH(BQ57,$BH$17:$BO$17,0)),           IF(BP57="INT",_xll.qInterp(AW58,AZ57:BG57,BH57:BO57),       INDEX(BH57:BO57,MATCH(BP57,$BH$17:$BO$17,0))))))</f>
        <v>0</v>
      </c>
      <c r="BS57" s="731">
        <f t="shared" si="5"/>
        <v>0</v>
      </c>
      <c r="BT57" s="406">
        <f t="shared" si="6"/>
        <v>0</v>
      </c>
      <c r="BU57" s="284">
        <f>IF($AW58,_xll.qDateYears($AW57,$AW58,DCC_Leg2_Fixed),0)</f>
        <v>0</v>
      </c>
      <c r="BV57" s="284">
        <f>IF($AW58,_xll.qDateYears($AW57,$AW58,DCC_Leg2_Float),0)</f>
        <v>0</v>
      </c>
      <c r="BX57" s="350">
        <f t="shared" si="11"/>
        <v>0</v>
      </c>
      <c r="BY57" s="375">
        <f>IF(GenType_2a="Fixed",GenRate_2a%*$BT56*BU56,          IF(GenType_2a="Float",$BT56*(_xll.qGetFwdRate($J$18,$AW56,$AW57,"T",DCC_Leg2_Float)%+GenRate_2a%%)*$BV56,        IF(GenType_2a="bp (Fixed)",GenRate_2a%%*$BU56*$BT56,   IF(GenType_2a="bp (Float)",GenRate_2a%%*$BT56*$BV56,0))))</f>
        <v>0</v>
      </c>
      <c r="BZ57" s="561"/>
      <c r="CB57" s="341">
        <f t="shared" si="15"/>
        <v>0</v>
      </c>
      <c r="CC57" s="563"/>
      <c r="CD57" s="356"/>
      <c r="CE57" s="341">
        <v>0</v>
      </c>
      <c r="CF57" s="563"/>
      <c r="CG57" s="356"/>
    </row>
    <row r="58" spans="2:85">
      <c r="O58" s="122">
        <v>0</v>
      </c>
      <c r="P58" s="128">
        <f t="shared" si="0"/>
        <v>0</v>
      </c>
      <c r="Q58" s="126">
        <v>0</v>
      </c>
      <c r="R58" s="699">
        <f>IF($O59=0,0,        _xll.qDateNext($O58,R$17,"M",TRUE,Currency1))</f>
        <v>0</v>
      </c>
      <c r="S58" s="699">
        <f>IF($O59=0,0,        _xll.qDateNext($O58,S$17,"M",TRUE,Currency1))</f>
        <v>0</v>
      </c>
      <c r="T58" s="699">
        <f>IF($O59=0,0,        _xll.qDateNext($O58,T$17,"M",TRUE,Currency1))</f>
        <v>0</v>
      </c>
      <c r="U58" s="699">
        <f>IF($O59=0,0,        _xll.qDateNext($O58,U$17,"M",TRUE,Currency1))</f>
        <v>0</v>
      </c>
      <c r="V58" s="699">
        <f>IF($O59=0,0,        _xll.qDateNext($O58,V$17,"M",TRUE,Currency1))</f>
        <v>0</v>
      </c>
      <c r="W58" s="699">
        <f>IF($O59=0,0,        _xll.qDateNext($O58,W$17,"M",TRUE,Currency1))</f>
        <v>0</v>
      </c>
      <c r="X58" s="699">
        <f>IF($O59=0,0,        _xll.qDateNext($O58,X$17,"M",TRUE,Currency1))</f>
        <v>0</v>
      </c>
      <c r="Y58" s="699">
        <f>IF($O59=0,0,        _xll.qDateNext($O58,Y$17,"M",TRUE,Currency1))</f>
        <v>0</v>
      </c>
      <c r="Z58" s="703">
        <f>IF($O59=0,0,           IF(FRM,_xll.qGetFwdRate(Z$14,$O58,R58,"T",DCC_Leg1_Float),_xll.qGetFwdRate(Z$14,$O58,$O59,"T",DCC_Leg1_Float)))</f>
        <v>0</v>
      </c>
      <c r="AA58" s="703">
        <f>IF($O59=0,0,           IF(FRM,_xll.qGetFwdRate(AA$14,$O58,S58,"T",DCC_Leg1_Float),_xll.qGetFwdRate(AA$14,$O58,$O59,"T",DCC_Leg1_Float)))</f>
        <v>0</v>
      </c>
      <c r="AB58" s="703">
        <f t="shared" si="1"/>
        <v>0</v>
      </c>
      <c r="AC58" s="703">
        <f>IF($O59=0,0,           IF(FRM,_xll.qGetFwdRate(AC$14,$O58,U58,"T",DCC_Leg1_Float),_xll.qGetFwdRate(AC$14,$O58,$O59,"T",DCC_Leg1_Float)))</f>
        <v>0</v>
      </c>
      <c r="AD58" s="703">
        <f t="shared" si="7"/>
        <v>0</v>
      </c>
      <c r="AE58" s="703">
        <f t="shared" si="8"/>
        <v>0</v>
      </c>
      <c r="AF58" s="703">
        <f>IF($O59=0,0,           IF(FRM,_xll.qGetFwdRate(AF$14,$O58,X58,"T",DCC_Leg1_Float),_xll.qGetFwdRate(AF$14,$O58,$O59,"T",DCC_Leg1_Float)))</f>
        <v>0</v>
      </c>
      <c r="AG58" s="703">
        <f>IF($O59=0,0,           IF(FRM,_xll.qGetFwdRate(AG$14,$O58,Y58,"T",DCC_Leg1_Float),_xll.qGetFwdRate(AG$14,$O58,$O59,"T",DCC_Leg1_Float)))</f>
        <v>0</v>
      </c>
      <c r="AH58" s="685">
        <v>0</v>
      </c>
      <c r="AI58" s="667"/>
      <c r="AJ58" s="670">
        <f>IF(O59=0,0,             IF(ISNUMBER(AI58),AI58,             IF(ISTEXT(AI58),INDEX(Z58:AG58,MATCH(AI58,$Z$17:$AG$17,0)),           IF(AH58="INT",_xll.qInterp(O59,R58:Y58,Z58:AG58),       INDEX(Z58:AG58,MATCH(AH58,$Z$17:$AG$17,0))))))</f>
        <v>0</v>
      </c>
      <c r="AK58" s="732">
        <v>100</v>
      </c>
      <c r="AL58" s="721">
        <f t="shared" si="2"/>
        <v>0</v>
      </c>
      <c r="AM58" s="284">
        <f>IF($O59,_xll.qDateYears($O58,$O59,DCC_Leg1_Fixed),0)</f>
        <v>0</v>
      </c>
      <c r="AN58" s="284">
        <f>IF($O59,_xll.qDateYears($O58,$O59,DCC_Leg1_Float),0)</f>
        <v>0</v>
      </c>
      <c r="AP58" s="350">
        <f t="shared" si="9"/>
        <v>0</v>
      </c>
      <c r="AQ58" s="375">
        <f>IF(GenType_1a="Fixed",GenRate_1a%*$AL57*AM57,          IF(GenType_1a="Float",$AL57*(_xll.qGetFwdRate($D$18,$O57,$O58,"T",DCC_Leg1_Float)%+GenRate_1a%%)*$AN57,        IF(GenType_1a="bp (Fixed)",GenRate_1a%%*$AM57*$AL57,   IF(GenType_1a="bp (Float)",GenRate_1a%%*$AL57*$AN57,0))))</f>
        <v>0</v>
      </c>
      <c r="AR58" s="561"/>
      <c r="AT58" s="341">
        <f t="shared" si="14"/>
        <v>0</v>
      </c>
      <c r="AV58" s="356"/>
      <c r="AW58" s="122">
        <v>0</v>
      </c>
      <c r="AX58" s="128">
        <f t="shared" si="3"/>
        <v>0</v>
      </c>
      <c r="AY58" s="357">
        <v>0</v>
      </c>
      <c r="AZ58" s="699">
        <f>IF($AW59=0,0,        _xll.qDateNext($AW58,AZ$17,"M",TRUE,Currency2))</f>
        <v>0</v>
      </c>
      <c r="BA58" s="699">
        <f>IF($AW59=0,0,        _xll.qDateNext($AW58,BA$17,"M",TRUE,Currency2))</f>
        <v>0</v>
      </c>
      <c r="BB58" s="699">
        <f>IF($AW59=0,0,        _xll.qDateNext($AW58,BB$17,"M",TRUE,Currency2))</f>
        <v>0</v>
      </c>
      <c r="BC58" s="699">
        <f>IF($AW59=0,0,        _xll.qDateNext($AW58,BC$17,"M",TRUE,Currency2))</f>
        <v>0</v>
      </c>
      <c r="BD58" s="699">
        <f>IF($AW59=0,0,        _xll.qDateNext($AW58,BD$17,"M",TRUE,Currency2))</f>
        <v>0</v>
      </c>
      <c r="BE58" s="699">
        <f>IF($AW59=0,0,        _xll.qDateNext($AW58,BE$17,"M",TRUE,Currency2))</f>
        <v>0</v>
      </c>
      <c r="BF58" s="699">
        <f>IF($AW59=0,0,        _xll.qDateNext($AW58,BF$17,"M",TRUE,Currency2))</f>
        <v>0</v>
      </c>
      <c r="BG58" s="699">
        <f>IF($AW59=0,0,        _xll.qDateNext($AW58,BG$17,"M",TRUE,Currency2))</f>
        <v>0</v>
      </c>
      <c r="BH58" s="703">
        <v>0</v>
      </c>
      <c r="BI58" s="703">
        <v>0</v>
      </c>
      <c r="BJ58" s="703">
        <v>0</v>
      </c>
      <c r="BK58" s="703">
        <v>0</v>
      </c>
      <c r="BL58" s="703">
        <f t="shared" si="4"/>
        <v>0</v>
      </c>
      <c r="BM58" s="703">
        <f t="shared" si="10"/>
        <v>0</v>
      </c>
      <c r="BN58" s="703">
        <v>0</v>
      </c>
      <c r="BO58" s="703">
        <v>0</v>
      </c>
      <c r="BP58" s="685">
        <v>0</v>
      </c>
      <c r="BQ58" s="667"/>
      <c r="BR58" s="670">
        <f>IF(AW59=0,0,             IF(ISNUMBER(BQ58),BQ58,             IF(ISTEXT(BQ58),INDEX(BH58:BO58,MATCH(BQ58,$BH$17:$BO$17,0)),           IF(BP58="INT",_xll.qInterp(AW59,AZ58:BG58,BH58:BO58),       INDEX(BH58:BO58,MATCH(BP58,$BH$17:$BO$17,0))))))</f>
        <v>0</v>
      </c>
      <c r="BS58" s="731">
        <f t="shared" si="5"/>
        <v>0</v>
      </c>
      <c r="BT58" s="406">
        <f t="shared" si="6"/>
        <v>0</v>
      </c>
      <c r="BU58" s="284">
        <f>IF($AW59,_xll.qDateYears($AW58,$AW59,DCC_Leg2_Fixed),0)</f>
        <v>0</v>
      </c>
      <c r="BV58" s="284">
        <f>IF($AW59,_xll.qDateYears($AW58,$AW59,DCC_Leg2_Float),0)</f>
        <v>0</v>
      </c>
      <c r="BX58" s="350">
        <f t="shared" si="11"/>
        <v>0</v>
      </c>
      <c r="BY58" s="375">
        <f>IF(GenType_2a="Fixed",GenRate_2a%*$BT57*BU57,          IF(GenType_2a="Float",$BT57*(_xll.qGetFwdRate($J$18,$AW57,$AW58,"T",DCC_Leg2_Float)%+GenRate_2a%%)*$BV57,        IF(GenType_2a="bp (Fixed)",GenRate_2a%%*$BU57*$BT57,   IF(GenType_2a="bp (Float)",GenRate_2a%%*$BT57*$BV57,0))))</f>
        <v>0</v>
      </c>
      <c r="BZ58" s="561"/>
      <c r="CB58" s="341">
        <f t="shared" si="15"/>
        <v>0</v>
      </c>
      <c r="CC58" s="563"/>
      <c r="CD58" s="356"/>
      <c r="CE58" s="341">
        <v>0</v>
      </c>
      <c r="CF58" s="563"/>
      <c r="CG58" s="356"/>
    </row>
    <row r="59" spans="2:85">
      <c r="O59" s="122">
        <v>0</v>
      </c>
      <c r="P59" s="128">
        <f t="shared" si="0"/>
        <v>0</v>
      </c>
      <c r="Q59" s="126">
        <v>0</v>
      </c>
      <c r="R59" s="699">
        <f>IF($O60=0,0,        _xll.qDateNext($O59,R$17,"M",TRUE,Currency1))</f>
        <v>0</v>
      </c>
      <c r="S59" s="699">
        <f>IF($O60=0,0,        _xll.qDateNext($O59,S$17,"M",TRUE,Currency1))</f>
        <v>0</v>
      </c>
      <c r="T59" s="699">
        <f>IF($O60=0,0,        _xll.qDateNext($O59,T$17,"M",TRUE,Currency1))</f>
        <v>0</v>
      </c>
      <c r="U59" s="699">
        <f>IF($O60=0,0,        _xll.qDateNext($O59,U$17,"M",TRUE,Currency1))</f>
        <v>0</v>
      </c>
      <c r="V59" s="699">
        <f>IF($O60=0,0,        _xll.qDateNext($O59,V$17,"M",TRUE,Currency1))</f>
        <v>0</v>
      </c>
      <c r="W59" s="699">
        <f>IF($O60=0,0,        _xll.qDateNext($O59,W$17,"M",TRUE,Currency1))</f>
        <v>0</v>
      </c>
      <c r="X59" s="699">
        <f>IF($O60=0,0,        _xll.qDateNext($O59,X$17,"M",TRUE,Currency1))</f>
        <v>0</v>
      </c>
      <c r="Y59" s="699">
        <f>IF($O60=0,0,        _xll.qDateNext($O59,Y$17,"M",TRUE,Currency1))</f>
        <v>0</v>
      </c>
      <c r="Z59" s="703">
        <f>IF($O60=0,0,           IF(FRM,_xll.qGetFwdRate(Z$14,$O59,R59,"T",DCC_Leg1_Float),_xll.qGetFwdRate(Z$14,$O59,$O60,"T",DCC_Leg1_Float)))</f>
        <v>0</v>
      </c>
      <c r="AA59" s="703">
        <f>IF($O60=0,0,           IF(FRM,_xll.qGetFwdRate(AA$14,$O59,S59,"T",DCC_Leg1_Float),_xll.qGetFwdRate(AA$14,$O59,$O60,"T",DCC_Leg1_Float)))</f>
        <v>0</v>
      </c>
      <c r="AB59" s="703">
        <f t="shared" si="1"/>
        <v>0</v>
      </c>
      <c r="AC59" s="703">
        <f>IF($O60=0,0,           IF(FRM,_xll.qGetFwdRate(AC$14,$O59,U59,"T",DCC_Leg1_Float),_xll.qGetFwdRate(AC$14,$O59,$O60,"T",DCC_Leg1_Float)))</f>
        <v>0</v>
      </c>
      <c r="AD59" s="703">
        <f t="shared" si="7"/>
        <v>0</v>
      </c>
      <c r="AE59" s="703">
        <f t="shared" si="8"/>
        <v>0</v>
      </c>
      <c r="AF59" s="703">
        <f>IF($O60=0,0,           IF(FRM,_xll.qGetFwdRate(AF$14,$O59,X59,"T",DCC_Leg1_Float),_xll.qGetFwdRate(AF$14,$O59,$O60,"T",DCC_Leg1_Float)))</f>
        <v>0</v>
      </c>
      <c r="AG59" s="703">
        <f>IF($O60=0,0,           IF(FRM,_xll.qGetFwdRate(AG$14,$O59,Y59,"T",DCC_Leg1_Float),_xll.qGetFwdRate(AG$14,$O59,$O60,"T",DCC_Leg1_Float)))</f>
        <v>0</v>
      </c>
      <c r="AH59" s="685">
        <v>0</v>
      </c>
      <c r="AI59" s="667"/>
      <c r="AJ59" s="670">
        <f>IF(O60=0,0,             IF(ISNUMBER(AI59),AI59,             IF(ISTEXT(AI59),INDEX(Z59:AG59,MATCH(AI59,$Z$17:$AG$17,0)),           IF(AH59="INT",_xll.qInterp(O60,R59:Y59,Z59:AG59),       INDEX(Z59:AG59,MATCH(AH59,$Z$17:$AG$17,0))))))</f>
        <v>0</v>
      </c>
      <c r="AK59" s="732">
        <v>100</v>
      </c>
      <c r="AL59" s="721">
        <f t="shared" si="2"/>
        <v>0</v>
      </c>
      <c r="AM59" s="284">
        <f>IF($O60,_xll.qDateYears($O59,$O60,DCC_Leg1_Fixed),0)</f>
        <v>0</v>
      </c>
      <c r="AN59" s="284">
        <f>IF($O60,_xll.qDateYears($O59,$O60,DCC_Leg1_Float),0)</f>
        <v>0</v>
      </c>
      <c r="AP59" s="350">
        <f t="shared" si="9"/>
        <v>0</v>
      </c>
      <c r="AQ59" s="375">
        <f>IF(GenType_1a="Fixed",GenRate_1a%*$AL58*AM58,          IF(GenType_1a="Float",$AL58*(_xll.qGetFwdRate($D$18,$O58,$O59,"T",DCC_Leg1_Float)%+GenRate_1a%%)*$AN58,        IF(GenType_1a="bp (Fixed)",GenRate_1a%%*$AM58*$AL58,   IF(GenType_1a="bp (Float)",GenRate_1a%%*$AL58*$AN58,0))))</f>
        <v>0</v>
      </c>
      <c r="AR59" s="561"/>
      <c r="AT59" s="341">
        <f t="shared" si="14"/>
        <v>0</v>
      </c>
      <c r="AV59" s="356"/>
      <c r="AW59" s="122">
        <v>0</v>
      </c>
      <c r="AX59" s="128">
        <f t="shared" si="3"/>
        <v>0</v>
      </c>
      <c r="AY59" s="357">
        <v>0</v>
      </c>
      <c r="AZ59" s="699">
        <f>IF($AW60=0,0,        _xll.qDateNext($AW59,AZ$17,"M",TRUE,Currency2))</f>
        <v>0</v>
      </c>
      <c r="BA59" s="699">
        <f>IF($AW60=0,0,        _xll.qDateNext($AW59,BA$17,"M",TRUE,Currency2))</f>
        <v>0</v>
      </c>
      <c r="BB59" s="699">
        <f>IF($AW60=0,0,        _xll.qDateNext($AW59,BB$17,"M",TRUE,Currency2))</f>
        <v>0</v>
      </c>
      <c r="BC59" s="699">
        <f>IF($AW60=0,0,        _xll.qDateNext($AW59,BC$17,"M",TRUE,Currency2))</f>
        <v>0</v>
      </c>
      <c r="BD59" s="699">
        <f>IF($AW60=0,0,        _xll.qDateNext($AW59,BD$17,"M",TRUE,Currency2))</f>
        <v>0</v>
      </c>
      <c r="BE59" s="699">
        <f>IF($AW60=0,0,        _xll.qDateNext($AW59,BE$17,"M",TRUE,Currency2))</f>
        <v>0</v>
      </c>
      <c r="BF59" s="699">
        <f>IF($AW60=0,0,        _xll.qDateNext($AW59,BF$17,"M",TRUE,Currency2))</f>
        <v>0</v>
      </c>
      <c r="BG59" s="699">
        <f>IF($AW60=0,0,        _xll.qDateNext($AW59,BG$17,"M",TRUE,Currency2))</f>
        <v>0</v>
      </c>
      <c r="BH59" s="703">
        <v>0</v>
      </c>
      <c r="BI59" s="703">
        <v>0</v>
      </c>
      <c r="BJ59" s="703">
        <v>0</v>
      </c>
      <c r="BK59" s="703">
        <v>0</v>
      </c>
      <c r="BL59" s="703">
        <f t="shared" si="4"/>
        <v>0</v>
      </c>
      <c r="BM59" s="703">
        <f t="shared" si="10"/>
        <v>0</v>
      </c>
      <c r="BN59" s="703">
        <v>0</v>
      </c>
      <c r="BO59" s="703">
        <v>0</v>
      </c>
      <c r="BP59" s="685">
        <v>0</v>
      </c>
      <c r="BQ59" s="667"/>
      <c r="BR59" s="670">
        <f>IF(AW60=0,0,             IF(ISNUMBER(BQ59),BQ59,             IF(ISTEXT(BQ59),INDEX(BH59:BO59,MATCH(BQ59,$BH$17:$BO$17,0)),           IF(BP59="INT",_xll.qInterp(AW60,AZ59:BG59,BH59:BO59),       INDEX(BH59:BO59,MATCH(BP59,$BH$17:$BO$17,0))))))</f>
        <v>0</v>
      </c>
      <c r="BS59" s="731">
        <f t="shared" si="5"/>
        <v>0</v>
      </c>
      <c r="BT59" s="406">
        <f t="shared" si="6"/>
        <v>0</v>
      </c>
      <c r="BU59" s="284">
        <f>IF($AW60,_xll.qDateYears($AW59,$AW60,DCC_Leg2_Fixed),0)</f>
        <v>0</v>
      </c>
      <c r="BV59" s="284">
        <f>IF($AW60,_xll.qDateYears($AW59,$AW60,DCC_Leg2_Float),0)</f>
        <v>0</v>
      </c>
      <c r="BX59" s="350">
        <f t="shared" si="11"/>
        <v>0</v>
      </c>
      <c r="BY59" s="375">
        <f>IF(GenType_2a="Fixed",GenRate_2a%*$BT58*BU58,          IF(GenType_2a="Float",$BT58*(_xll.qGetFwdRate($J$18,$AW58,$AW59,"T",DCC_Leg2_Float)%+GenRate_2a%%)*$BV58,        IF(GenType_2a="bp (Fixed)",GenRate_2a%%*$BU58*$BT58,   IF(GenType_2a="bp (Float)",GenRate_2a%%*$BT58*$BV58,0))))</f>
        <v>0</v>
      </c>
      <c r="BZ59" s="561"/>
      <c r="CB59" s="341">
        <f t="shared" si="15"/>
        <v>0</v>
      </c>
      <c r="CC59" s="563"/>
      <c r="CD59" s="356"/>
      <c r="CE59" s="341">
        <v>0</v>
      </c>
      <c r="CF59" s="563"/>
      <c r="CG59" s="356"/>
    </row>
    <row r="60" spans="2:85">
      <c r="O60" s="122">
        <v>0</v>
      </c>
      <c r="P60" s="128">
        <f t="shared" si="0"/>
        <v>0</v>
      </c>
      <c r="Q60" s="126">
        <v>0</v>
      </c>
      <c r="R60" s="699">
        <f>IF($O61=0,0,        _xll.qDateNext($O60,R$17,"M",TRUE,Currency1))</f>
        <v>0</v>
      </c>
      <c r="S60" s="699">
        <f>IF($O61=0,0,        _xll.qDateNext($O60,S$17,"M",TRUE,Currency1))</f>
        <v>0</v>
      </c>
      <c r="T60" s="699">
        <f>IF($O61=0,0,        _xll.qDateNext($O60,T$17,"M",TRUE,Currency1))</f>
        <v>0</v>
      </c>
      <c r="U60" s="699">
        <f>IF($O61=0,0,        _xll.qDateNext($O60,U$17,"M",TRUE,Currency1))</f>
        <v>0</v>
      </c>
      <c r="V60" s="699">
        <f>IF($O61=0,0,        _xll.qDateNext($O60,V$17,"M",TRUE,Currency1))</f>
        <v>0</v>
      </c>
      <c r="W60" s="699">
        <f>IF($O61=0,0,        _xll.qDateNext($O60,W$17,"M",TRUE,Currency1))</f>
        <v>0</v>
      </c>
      <c r="X60" s="699">
        <f>IF($O61=0,0,        _xll.qDateNext($O60,X$17,"M",TRUE,Currency1))</f>
        <v>0</v>
      </c>
      <c r="Y60" s="699">
        <f>IF($O61=0,0,        _xll.qDateNext($O60,Y$17,"M",TRUE,Currency1))</f>
        <v>0</v>
      </c>
      <c r="Z60" s="703">
        <f>IF($O61=0,0,           IF(FRM,_xll.qGetFwdRate(Z$14,$O60,R60,"T",DCC_Leg1_Float),_xll.qGetFwdRate(Z$14,$O60,$O61,"T",DCC_Leg1_Float)))</f>
        <v>0</v>
      </c>
      <c r="AA60" s="703">
        <f>IF($O61=0,0,           IF(FRM,_xll.qGetFwdRate(AA$14,$O60,S60,"T",DCC_Leg1_Float),_xll.qGetFwdRate(AA$14,$O60,$O61,"T",DCC_Leg1_Float)))</f>
        <v>0</v>
      </c>
      <c r="AB60" s="703">
        <f t="shared" si="1"/>
        <v>0</v>
      </c>
      <c r="AC60" s="703">
        <f>IF($O61=0,0,           IF(FRM,_xll.qGetFwdRate(AC$14,$O60,U60,"T",DCC_Leg1_Float),_xll.qGetFwdRate(AC$14,$O60,$O61,"T",DCC_Leg1_Float)))</f>
        <v>0</v>
      </c>
      <c r="AD60" s="703">
        <f t="shared" si="7"/>
        <v>0</v>
      </c>
      <c r="AE60" s="703">
        <f t="shared" si="8"/>
        <v>0</v>
      </c>
      <c r="AF60" s="703">
        <f>IF($O61=0,0,           IF(FRM,_xll.qGetFwdRate(AF$14,$O60,X60,"T",DCC_Leg1_Float),_xll.qGetFwdRate(AF$14,$O60,$O61,"T",DCC_Leg1_Float)))</f>
        <v>0</v>
      </c>
      <c r="AG60" s="703">
        <f>IF($O61=0,0,           IF(FRM,_xll.qGetFwdRate(AG$14,$O60,Y60,"T",DCC_Leg1_Float),_xll.qGetFwdRate(AG$14,$O60,$O61,"T",DCC_Leg1_Float)))</f>
        <v>0</v>
      </c>
      <c r="AH60" s="685">
        <v>0</v>
      </c>
      <c r="AI60" s="667"/>
      <c r="AJ60" s="670">
        <f>IF(O61=0,0,             IF(ISNUMBER(AI60),AI60,             IF(ISTEXT(AI60),INDEX(Z60:AG60,MATCH(AI60,$Z$17:$AG$17,0)),           IF(AH60="INT",_xll.qInterp(O61,R60:Y60,Z60:AG60),       INDEX(Z60:AG60,MATCH(AH60,$Z$17:$AG$17,0))))))</f>
        <v>0</v>
      </c>
      <c r="AK60" s="732">
        <v>100</v>
      </c>
      <c r="AL60" s="721">
        <f t="shared" si="2"/>
        <v>0</v>
      </c>
      <c r="AM60" s="284">
        <f>IF($O61,_xll.qDateYears($O60,$O61,DCC_Leg1_Fixed),0)</f>
        <v>0</v>
      </c>
      <c r="AN60" s="284">
        <f>IF($O61,_xll.qDateYears($O60,$O61,DCC_Leg1_Float),0)</f>
        <v>0</v>
      </c>
      <c r="AP60" s="350">
        <f t="shared" si="9"/>
        <v>0</v>
      </c>
      <c r="AQ60" s="375">
        <f>IF(GenType_1a="Fixed",GenRate_1a%*$AL59*AM59,          IF(GenType_1a="Float",$AL59*(_xll.qGetFwdRate($D$18,$O59,$O60,"T",DCC_Leg1_Float)%+GenRate_1a%%)*$AN59,        IF(GenType_1a="bp (Fixed)",GenRate_1a%%*$AM59*$AL59,   IF(GenType_1a="bp (Float)",GenRate_1a%%*$AL59*$AN59,0))))</f>
        <v>0</v>
      </c>
      <c r="AR60" s="561"/>
      <c r="AT60" s="341">
        <f t="shared" si="14"/>
        <v>0</v>
      </c>
      <c r="AV60" s="356"/>
      <c r="AW60" s="122">
        <v>0</v>
      </c>
      <c r="AX60" s="128">
        <f t="shared" si="3"/>
        <v>0</v>
      </c>
      <c r="AY60" s="357">
        <v>0</v>
      </c>
      <c r="AZ60" s="699">
        <f>IF($AW61=0,0,        _xll.qDateNext($AW60,AZ$17,"M",TRUE,Currency2))</f>
        <v>0</v>
      </c>
      <c r="BA60" s="699">
        <f>IF($AW61=0,0,        _xll.qDateNext($AW60,BA$17,"M",TRUE,Currency2))</f>
        <v>0</v>
      </c>
      <c r="BB60" s="699">
        <f>IF($AW61=0,0,        _xll.qDateNext($AW60,BB$17,"M",TRUE,Currency2))</f>
        <v>0</v>
      </c>
      <c r="BC60" s="699">
        <f>IF($AW61=0,0,        _xll.qDateNext($AW60,BC$17,"M",TRUE,Currency2))</f>
        <v>0</v>
      </c>
      <c r="BD60" s="699">
        <f>IF($AW61=0,0,        _xll.qDateNext($AW60,BD$17,"M",TRUE,Currency2))</f>
        <v>0</v>
      </c>
      <c r="BE60" s="699">
        <f>IF($AW61=0,0,        _xll.qDateNext($AW60,BE$17,"M",TRUE,Currency2))</f>
        <v>0</v>
      </c>
      <c r="BF60" s="699">
        <f>IF($AW61=0,0,        _xll.qDateNext($AW60,BF$17,"M",TRUE,Currency2))</f>
        <v>0</v>
      </c>
      <c r="BG60" s="699">
        <f>IF($AW61=0,0,        _xll.qDateNext($AW60,BG$17,"M",TRUE,Currency2))</f>
        <v>0</v>
      </c>
      <c r="BH60" s="703">
        <v>0</v>
      </c>
      <c r="BI60" s="703">
        <v>0</v>
      </c>
      <c r="BJ60" s="703">
        <v>0</v>
      </c>
      <c r="BK60" s="703">
        <v>0</v>
      </c>
      <c r="BL60" s="703">
        <f t="shared" si="4"/>
        <v>0</v>
      </c>
      <c r="BM60" s="703">
        <f t="shared" si="10"/>
        <v>0</v>
      </c>
      <c r="BN60" s="703">
        <v>0</v>
      </c>
      <c r="BO60" s="703">
        <v>0</v>
      </c>
      <c r="BP60" s="685">
        <v>0</v>
      </c>
      <c r="BQ60" s="667"/>
      <c r="BR60" s="670">
        <f>IF(AW61=0,0,             IF(ISNUMBER(BQ60),BQ60,             IF(ISTEXT(BQ60),INDEX(BH60:BO60,MATCH(BQ60,$BH$17:$BO$17,0)),           IF(BP60="INT",_xll.qInterp(AW61,AZ60:BG60,BH60:BO60),       INDEX(BH60:BO60,MATCH(BP60,$BH$17:$BO$17,0))))))</f>
        <v>0</v>
      </c>
      <c r="BS60" s="731">
        <f t="shared" si="5"/>
        <v>0</v>
      </c>
      <c r="BT60" s="406">
        <f t="shared" si="6"/>
        <v>0</v>
      </c>
      <c r="BU60" s="284">
        <f>IF($AW61,_xll.qDateYears($AW60,$AW61,DCC_Leg2_Fixed),0)</f>
        <v>0</v>
      </c>
      <c r="BV60" s="284">
        <f>IF($AW61,_xll.qDateYears($AW60,$AW61,DCC_Leg2_Float),0)</f>
        <v>0</v>
      </c>
      <c r="BX60" s="350">
        <f t="shared" si="11"/>
        <v>0</v>
      </c>
      <c r="BY60" s="375">
        <f>IF(GenType_2a="Fixed",GenRate_2a%*$BT59*BU59,          IF(GenType_2a="Float",$BT59*(_xll.qGetFwdRate($J$18,$AW59,$AW60,"T",DCC_Leg2_Float)%+GenRate_2a%%)*$BV59,        IF(GenType_2a="bp (Fixed)",GenRate_2a%%*$BU59*$BT59,   IF(GenType_2a="bp (Float)",GenRate_2a%%*$BT59*$BV59,0))))</f>
        <v>0</v>
      </c>
      <c r="BZ60" s="561"/>
      <c r="CB60" s="341">
        <f t="shared" si="15"/>
        <v>0</v>
      </c>
      <c r="CC60" s="563"/>
      <c r="CD60" s="356"/>
      <c r="CE60" s="341">
        <v>0</v>
      </c>
      <c r="CF60" s="563"/>
      <c r="CG60" s="356"/>
    </row>
    <row r="61" spans="2:85">
      <c r="O61" s="122">
        <v>0</v>
      </c>
      <c r="P61" s="128">
        <f t="shared" si="0"/>
        <v>0</v>
      </c>
      <c r="Q61" s="126">
        <v>0</v>
      </c>
      <c r="R61" s="699">
        <f>IF($O62=0,0,        _xll.qDateNext($O61,R$17,"M",TRUE,Currency1))</f>
        <v>0</v>
      </c>
      <c r="S61" s="699">
        <f>IF($O62=0,0,        _xll.qDateNext($O61,S$17,"M",TRUE,Currency1))</f>
        <v>0</v>
      </c>
      <c r="T61" s="699">
        <f>IF($O62=0,0,        _xll.qDateNext($O61,T$17,"M",TRUE,Currency1))</f>
        <v>0</v>
      </c>
      <c r="U61" s="699">
        <f>IF($O62=0,0,        _xll.qDateNext($O61,U$17,"M",TRUE,Currency1))</f>
        <v>0</v>
      </c>
      <c r="V61" s="699">
        <f>IF($O62=0,0,        _xll.qDateNext($O61,V$17,"M",TRUE,Currency1))</f>
        <v>0</v>
      </c>
      <c r="W61" s="699">
        <f>IF($O62=0,0,        _xll.qDateNext($O61,W$17,"M",TRUE,Currency1))</f>
        <v>0</v>
      </c>
      <c r="X61" s="699">
        <f>IF($O62=0,0,        _xll.qDateNext($O61,X$17,"M",TRUE,Currency1))</f>
        <v>0</v>
      </c>
      <c r="Y61" s="699">
        <f>IF($O62=0,0,        _xll.qDateNext($O61,Y$17,"M",TRUE,Currency1))</f>
        <v>0</v>
      </c>
      <c r="Z61" s="703">
        <f>IF($O62=0,0,           IF(FRM,_xll.qGetFwdRate(Z$14,$O61,R61,"T",DCC_Leg1_Float),_xll.qGetFwdRate(Z$14,$O61,$O62,"T",DCC_Leg1_Float)))</f>
        <v>0</v>
      </c>
      <c r="AA61" s="703">
        <f>IF($O62=0,0,           IF(FRM,_xll.qGetFwdRate(AA$14,$O61,S61,"T",DCC_Leg1_Float),_xll.qGetFwdRate(AA$14,$O61,$O62,"T",DCC_Leg1_Float)))</f>
        <v>0</v>
      </c>
      <c r="AB61" s="703">
        <f t="shared" si="1"/>
        <v>0</v>
      </c>
      <c r="AC61" s="703">
        <f>IF($O62=0,0,           IF(FRM,_xll.qGetFwdRate(AC$14,$O61,U61,"T",DCC_Leg1_Float),_xll.qGetFwdRate(AC$14,$O61,$O62,"T",DCC_Leg1_Float)))</f>
        <v>0</v>
      </c>
      <c r="AD61" s="703">
        <f t="shared" si="7"/>
        <v>0</v>
      </c>
      <c r="AE61" s="703">
        <f t="shared" si="8"/>
        <v>0</v>
      </c>
      <c r="AF61" s="703">
        <f>IF($O62=0,0,           IF(FRM,_xll.qGetFwdRate(AF$14,$O61,X61,"T",DCC_Leg1_Float),_xll.qGetFwdRate(AF$14,$O61,$O62,"T",DCC_Leg1_Float)))</f>
        <v>0</v>
      </c>
      <c r="AG61" s="703">
        <f>IF($O62=0,0,           IF(FRM,_xll.qGetFwdRate(AG$14,$O61,Y61,"T",DCC_Leg1_Float),_xll.qGetFwdRate(AG$14,$O61,$O62,"T",DCC_Leg1_Float)))</f>
        <v>0</v>
      </c>
      <c r="AH61" s="685">
        <v>0</v>
      </c>
      <c r="AI61" s="667"/>
      <c r="AJ61" s="670">
        <f>IF(O62=0,0,             IF(ISNUMBER(AI61),AI61,             IF(ISTEXT(AI61),INDEX(Z61:AG61,MATCH(AI61,$Z$17:$AG$17,0)),           IF(AH61="INT",_xll.qInterp(O62,R61:Y61,Z61:AG61),       INDEX(Z61:AG61,MATCH(AH61,$Z$17:$AG$17,0))))))</f>
        <v>0</v>
      </c>
      <c r="AK61" s="732">
        <v>100</v>
      </c>
      <c r="AL61" s="721">
        <f t="shared" si="2"/>
        <v>0</v>
      </c>
      <c r="AM61" s="284">
        <f>IF($O62,_xll.qDateYears($O61,$O62,DCC_Leg1_Fixed),0)</f>
        <v>0</v>
      </c>
      <c r="AN61" s="284">
        <f>IF($O62,_xll.qDateYears($O61,$O62,DCC_Leg1_Float),0)</f>
        <v>0</v>
      </c>
      <c r="AP61" s="350">
        <f t="shared" si="9"/>
        <v>0</v>
      </c>
      <c r="AQ61" s="375">
        <f>IF(GenType_1a="Fixed",GenRate_1a%*$AL60*AM60,          IF(GenType_1a="Float",$AL60*(_xll.qGetFwdRate($D$18,$O60,$O61,"T",DCC_Leg1_Float)%+GenRate_1a%%)*$AN60,        IF(GenType_1a="bp (Fixed)",GenRate_1a%%*$AM60*$AL60,   IF(GenType_1a="bp (Float)",GenRate_1a%%*$AL60*$AN60,0))))</f>
        <v>0</v>
      </c>
      <c r="AR61" s="561"/>
      <c r="AT61" s="341">
        <f t="shared" si="14"/>
        <v>0</v>
      </c>
      <c r="AV61" s="356"/>
      <c r="AW61" s="122">
        <v>0</v>
      </c>
      <c r="AX61" s="128">
        <f t="shared" si="3"/>
        <v>0</v>
      </c>
      <c r="AY61" s="357">
        <v>0</v>
      </c>
      <c r="AZ61" s="699">
        <f>IF($AW62=0,0,        _xll.qDateNext($AW61,AZ$17,"M",TRUE,Currency2))</f>
        <v>0</v>
      </c>
      <c r="BA61" s="699">
        <f>IF($AW62=0,0,        _xll.qDateNext($AW61,BA$17,"M",TRUE,Currency2))</f>
        <v>0</v>
      </c>
      <c r="BB61" s="699">
        <f>IF($AW62=0,0,        _xll.qDateNext($AW61,BB$17,"M",TRUE,Currency2))</f>
        <v>0</v>
      </c>
      <c r="BC61" s="699">
        <f>IF($AW62=0,0,        _xll.qDateNext($AW61,BC$17,"M",TRUE,Currency2))</f>
        <v>0</v>
      </c>
      <c r="BD61" s="699">
        <f>IF($AW62=0,0,        _xll.qDateNext($AW61,BD$17,"M",TRUE,Currency2))</f>
        <v>0</v>
      </c>
      <c r="BE61" s="699">
        <f>IF($AW62=0,0,        _xll.qDateNext($AW61,BE$17,"M",TRUE,Currency2))</f>
        <v>0</v>
      </c>
      <c r="BF61" s="699">
        <f>IF($AW62=0,0,        _xll.qDateNext($AW61,BF$17,"M",TRUE,Currency2))</f>
        <v>0</v>
      </c>
      <c r="BG61" s="699">
        <f>IF($AW62=0,0,        _xll.qDateNext($AW61,BG$17,"M",TRUE,Currency2))</f>
        <v>0</v>
      </c>
      <c r="BH61" s="703">
        <v>0</v>
      </c>
      <c r="BI61" s="703">
        <v>0</v>
      </c>
      <c r="BJ61" s="703">
        <v>0</v>
      </c>
      <c r="BK61" s="703">
        <v>0</v>
      </c>
      <c r="BL61" s="703">
        <f t="shared" si="4"/>
        <v>0</v>
      </c>
      <c r="BM61" s="703">
        <f t="shared" si="10"/>
        <v>0</v>
      </c>
      <c r="BN61" s="703">
        <v>0</v>
      </c>
      <c r="BO61" s="703">
        <v>0</v>
      </c>
      <c r="BP61" s="685">
        <v>0</v>
      </c>
      <c r="BQ61" s="667"/>
      <c r="BR61" s="670">
        <f>IF(AW62=0,0,             IF(ISNUMBER(BQ61),BQ61,             IF(ISTEXT(BQ61),INDEX(BH61:BO61,MATCH(BQ61,$BH$17:$BO$17,0)),           IF(BP61="INT",_xll.qInterp(AW62,AZ61:BG61,BH61:BO61),       INDEX(BH61:BO61,MATCH(BP61,$BH$17:$BO$17,0))))))</f>
        <v>0</v>
      </c>
      <c r="BS61" s="731">
        <f t="shared" si="5"/>
        <v>0</v>
      </c>
      <c r="BT61" s="406">
        <f t="shared" si="6"/>
        <v>0</v>
      </c>
      <c r="BU61" s="284">
        <f>IF($AW62,_xll.qDateYears($AW61,$AW62,DCC_Leg2_Fixed),0)</f>
        <v>0</v>
      </c>
      <c r="BV61" s="284">
        <f>IF($AW62,_xll.qDateYears($AW61,$AW62,DCC_Leg2_Float),0)</f>
        <v>0</v>
      </c>
      <c r="BX61" s="350">
        <f t="shared" si="11"/>
        <v>0</v>
      </c>
      <c r="BY61" s="375">
        <f>IF(GenType_2a="Fixed",GenRate_2a%*$BT60*BU60,          IF(GenType_2a="Float",$BT60*(_xll.qGetFwdRate($J$18,$AW60,$AW61,"T",DCC_Leg2_Float)%+GenRate_2a%%)*$BV60,        IF(GenType_2a="bp (Fixed)",GenRate_2a%%*$BU60*$BT60,   IF(GenType_2a="bp (Float)",GenRate_2a%%*$BT60*$BV60,0))))</f>
        <v>0</v>
      </c>
      <c r="BZ61" s="561"/>
      <c r="CB61" s="341">
        <f t="shared" si="15"/>
        <v>0</v>
      </c>
      <c r="CC61" s="563"/>
      <c r="CD61" s="356"/>
      <c r="CE61" s="341">
        <v>0</v>
      </c>
      <c r="CF61" s="563"/>
      <c r="CG61" s="356"/>
    </row>
    <row r="62" spans="2:85">
      <c r="O62" s="122">
        <v>0</v>
      </c>
      <c r="P62" s="128">
        <f t="shared" si="0"/>
        <v>0</v>
      </c>
      <c r="Q62" s="126">
        <v>0</v>
      </c>
      <c r="R62" s="699">
        <f>IF($O63=0,0,        _xll.qDateNext($O62,R$17,"M",TRUE,Currency1))</f>
        <v>0</v>
      </c>
      <c r="S62" s="699">
        <f>IF($O63=0,0,        _xll.qDateNext($O62,S$17,"M",TRUE,Currency1))</f>
        <v>0</v>
      </c>
      <c r="T62" s="699">
        <f>IF($O63=0,0,        _xll.qDateNext($O62,T$17,"M",TRUE,Currency1))</f>
        <v>0</v>
      </c>
      <c r="U62" s="699">
        <f>IF($O63=0,0,        _xll.qDateNext($O62,U$17,"M",TRUE,Currency1))</f>
        <v>0</v>
      </c>
      <c r="V62" s="699">
        <f>IF($O63=0,0,        _xll.qDateNext($O62,V$17,"M",TRUE,Currency1))</f>
        <v>0</v>
      </c>
      <c r="W62" s="699">
        <f>IF($O63=0,0,        _xll.qDateNext($O62,W$17,"M",TRUE,Currency1))</f>
        <v>0</v>
      </c>
      <c r="X62" s="699">
        <f>IF($O63=0,0,        _xll.qDateNext($O62,X$17,"M",TRUE,Currency1))</f>
        <v>0</v>
      </c>
      <c r="Y62" s="699">
        <f>IF($O63=0,0,        _xll.qDateNext($O62,Y$17,"M",TRUE,Currency1))</f>
        <v>0</v>
      </c>
      <c r="Z62" s="703">
        <f>IF($O63=0,0,           IF(FRM,_xll.qGetFwdRate(Z$14,$O62,R62,"T",DCC_Leg1_Float),_xll.qGetFwdRate(Z$14,$O62,$O63,"T",DCC_Leg1_Float)))</f>
        <v>0</v>
      </c>
      <c r="AA62" s="703">
        <f>IF($O63=0,0,           IF(FRM,_xll.qGetFwdRate(AA$14,$O62,S62,"T",DCC_Leg1_Float),_xll.qGetFwdRate(AA$14,$O62,$O63,"T",DCC_Leg1_Float)))</f>
        <v>0</v>
      </c>
      <c r="AB62" s="703">
        <f t="shared" si="1"/>
        <v>0</v>
      </c>
      <c r="AC62" s="703">
        <f>IF($O63=0,0,           IF(FRM,_xll.qGetFwdRate(AC$14,$O62,U62,"T",DCC_Leg1_Float),_xll.qGetFwdRate(AC$14,$O62,$O63,"T",DCC_Leg1_Float)))</f>
        <v>0</v>
      </c>
      <c r="AD62" s="703">
        <f t="shared" si="7"/>
        <v>0</v>
      </c>
      <c r="AE62" s="703">
        <f t="shared" si="8"/>
        <v>0</v>
      </c>
      <c r="AF62" s="703">
        <f>IF($O63=0,0,           IF(FRM,_xll.qGetFwdRate(AF$14,$O62,X62,"T",DCC_Leg1_Float),_xll.qGetFwdRate(AF$14,$O62,$O63,"T",DCC_Leg1_Float)))</f>
        <v>0</v>
      </c>
      <c r="AG62" s="703">
        <f>IF($O63=0,0,           IF(FRM,_xll.qGetFwdRate(AG$14,$O62,Y62,"T",DCC_Leg1_Float),_xll.qGetFwdRate(AG$14,$O62,$O63,"T",DCC_Leg1_Float)))</f>
        <v>0</v>
      </c>
      <c r="AH62" s="685">
        <v>0</v>
      </c>
      <c r="AI62" s="667"/>
      <c r="AJ62" s="670">
        <f>IF(O63=0,0,             IF(ISNUMBER(AI62),AI62,             IF(ISTEXT(AI62),INDEX(Z62:AG62,MATCH(AI62,$Z$17:$AG$17,0)),           IF(AH62="INT",_xll.qInterp(O63,R62:Y62,Z62:AG62),       INDEX(Z62:AG62,MATCH(AH62,$Z$17:$AG$17,0))))))</f>
        <v>0</v>
      </c>
      <c r="AK62" s="732">
        <v>100</v>
      </c>
      <c r="AL62" s="721">
        <f t="shared" si="2"/>
        <v>0</v>
      </c>
      <c r="AM62" s="284">
        <f>IF($O63,_xll.qDateYears($O62,$O63,DCC_Leg1_Fixed),0)</f>
        <v>0</v>
      </c>
      <c r="AN62" s="284">
        <f>IF($O63,_xll.qDateYears($O62,$O63,DCC_Leg1_Float),0)</f>
        <v>0</v>
      </c>
      <c r="AP62" s="350">
        <f t="shared" si="9"/>
        <v>0</v>
      </c>
      <c r="AQ62" s="375">
        <f>IF(GenType_1a="Fixed",GenRate_1a%*$AL61*AM61,          IF(GenType_1a="Float",$AL61*(_xll.qGetFwdRate($D$18,$O61,$O62,"T",DCC_Leg1_Float)%+GenRate_1a%%)*$AN61,        IF(GenType_1a="bp (Fixed)",GenRate_1a%%*$AM61*$AL61,   IF(GenType_1a="bp (Float)",GenRate_1a%%*$AL61*$AN61,0))))</f>
        <v>0</v>
      </c>
      <c r="AR62" s="561"/>
      <c r="AT62" s="341">
        <f t="shared" si="14"/>
        <v>0</v>
      </c>
      <c r="AV62" s="356"/>
      <c r="AW62" s="122">
        <v>0</v>
      </c>
      <c r="AX62" s="128">
        <f t="shared" si="3"/>
        <v>0</v>
      </c>
      <c r="AY62" s="357">
        <v>0</v>
      </c>
      <c r="AZ62" s="699">
        <f>IF($AW63=0,0,        _xll.qDateNext($AW62,AZ$17,"M",TRUE,Currency2))</f>
        <v>0</v>
      </c>
      <c r="BA62" s="699">
        <f>IF($AW63=0,0,        _xll.qDateNext($AW62,BA$17,"M",TRUE,Currency2))</f>
        <v>0</v>
      </c>
      <c r="BB62" s="699">
        <f>IF($AW63=0,0,        _xll.qDateNext($AW62,BB$17,"M",TRUE,Currency2))</f>
        <v>0</v>
      </c>
      <c r="BC62" s="699">
        <f>IF($AW63=0,0,        _xll.qDateNext($AW62,BC$17,"M",TRUE,Currency2))</f>
        <v>0</v>
      </c>
      <c r="BD62" s="699">
        <f>IF($AW63=0,0,        _xll.qDateNext($AW62,BD$17,"M",TRUE,Currency2))</f>
        <v>0</v>
      </c>
      <c r="BE62" s="699">
        <f>IF($AW63=0,0,        _xll.qDateNext($AW62,BE$17,"M",TRUE,Currency2))</f>
        <v>0</v>
      </c>
      <c r="BF62" s="699">
        <f>IF($AW63=0,0,        _xll.qDateNext($AW62,BF$17,"M",TRUE,Currency2))</f>
        <v>0</v>
      </c>
      <c r="BG62" s="699">
        <f>IF($AW63=0,0,        _xll.qDateNext($AW62,BG$17,"M",TRUE,Currency2))</f>
        <v>0</v>
      </c>
      <c r="BH62" s="703">
        <v>0</v>
      </c>
      <c r="BI62" s="703">
        <v>0</v>
      </c>
      <c r="BJ62" s="703">
        <v>0</v>
      </c>
      <c r="BK62" s="703">
        <v>0</v>
      </c>
      <c r="BL62" s="703">
        <f t="shared" si="4"/>
        <v>0</v>
      </c>
      <c r="BM62" s="703">
        <f t="shared" si="10"/>
        <v>0</v>
      </c>
      <c r="BN62" s="703">
        <v>0</v>
      </c>
      <c r="BO62" s="703">
        <v>0</v>
      </c>
      <c r="BP62" s="685">
        <v>0</v>
      </c>
      <c r="BQ62" s="667"/>
      <c r="BR62" s="670">
        <f>IF(AW63=0,0,             IF(ISNUMBER(BQ62),BQ62,             IF(ISTEXT(BQ62),INDEX(BH62:BO62,MATCH(BQ62,$BH$17:$BO$17,0)),           IF(BP62="INT",_xll.qInterp(AW63,AZ62:BG62,BH62:BO62),       INDEX(BH62:BO62,MATCH(BP62,$BH$17:$BO$17,0))))))</f>
        <v>0</v>
      </c>
      <c r="BS62" s="731">
        <f t="shared" si="5"/>
        <v>0</v>
      </c>
      <c r="BT62" s="406">
        <f t="shared" si="6"/>
        <v>0</v>
      </c>
      <c r="BU62" s="284">
        <f>IF($AW63,_xll.qDateYears($AW62,$AW63,DCC_Leg2_Fixed),0)</f>
        <v>0</v>
      </c>
      <c r="BV62" s="284">
        <f>IF($AW63,_xll.qDateYears($AW62,$AW63,DCC_Leg2_Float),0)</f>
        <v>0</v>
      </c>
      <c r="BX62" s="350">
        <f t="shared" si="11"/>
        <v>0</v>
      </c>
      <c r="BY62" s="375">
        <f>IF(GenType_2a="Fixed",GenRate_2a%*$BT61*BU61,          IF(GenType_2a="Float",$BT61*(_xll.qGetFwdRate($J$18,$AW61,$AW62,"T",DCC_Leg2_Float)%+GenRate_2a%%)*$BV61,        IF(GenType_2a="bp (Fixed)",GenRate_2a%%*$BU61*$BT61,   IF(GenType_2a="bp (Float)",GenRate_2a%%*$BT61*$BV61,0))))</f>
        <v>0</v>
      </c>
      <c r="BZ62" s="561"/>
      <c r="CB62" s="341">
        <f t="shared" si="15"/>
        <v>0</v>
      </c>
      <c r="CC62" s="563"/>
      <c r="CD62" s="356"/>
      <c r="CE62" s="341">
        <v>0</v>
      </c>
      <c r="CF62" s="563"/>
      <c r="CG62" s="356"/>
    </row>
    <row r="63" spans="2:85">
      <c r="O63" s="122">
        <v>0</v>
      </c>
      <c r="P63" s="128">
        <f t="shared" si="0"/>
        <v>0</v>
      </c>
      <c r="Q63" s="126">
        <v>0</v>
      </c>
      <c r="R63" s="699">
        <f>IF($O64=0,0,        _xll.qDateNext($O63,R$17,"M",TRUE,Currency1))</f>
        <v>0</v>
      </c>
      <c r="S63" s="699">
        <f>IF($O64=0,0,        _xll.qDateNext($O63,S$17,"M",TRUE,Currency1))</f>
        <v>0</v>
      </c>
      <c r="T63" s="699">
        <f>IF($O64=0,0,        _xll.qDateNext($O63,T$17,"M",TRUE,Currency1))</f>
        <v>0</v>
      </c>
      <c r="U63" s="699">
        <f>IF($O64=0,0,        _xll.qDateNext($O63,U$17,"M",TRUE,Currency1))</f>
        <v>0</v>
      </c>
      <c r="V63" s="699">
        <f>IF($O64=0,0,        _xll.qDateNext($O63,V$17,"M",TRUE,Currency1))</f>
        <v>0</v>
      </c>
      <c r="W63" s="699">
        <f>IF($O64=0,0,        _xll.qDateNext($O63,W$17,"M",TRUE,Currency1))</f>
        <v>0</v>
      </c>
      <c r="X63" s="699">
        <f>IF($O64=0,0,        _xll.qDateNext($O63,X$17,"M",TRUE,Currency1))</f>
        <v>0</v>
      </c>
      <c r="Y63" s="699">
        <f>IF($O64=0,0,        _xll.qDateNext($O63,Y$17,"M",TRUE,Currency1))</f>
        <v>0</v>
      </c>
      <c r="Z63" s="703">
        <f>IF($O64=0,0,           IF(FRM,_xll.qGetFwdRate(Z$14,$O63,R63,"T",DCC_Leg1_Float),_xll.qGetFwdRate(Z$14,$O63,$O64,"T",DCC_Leg1_Float)))</f>
        <v>0</v>
      </c>
      <c r="AA63" s="703">
        <f>IF($O64=0,0,           IF(FRM,_xll.qGetFwdRate(AA$14,$O63,S63,"T",DCC_Leg1_Float),_xll.qGetFwdRate(AA$14,$O63,$O64,"T",DCC_Leg1_Float)))</f>
        <v>0</v>
      </c>
      <c r="AB63" s="703">
        <f t="shared" si="1"/>
        <v>0</v>
      </c>
      <c r="AC63" s="703">
        <f>IF($O64=0,0,           IF(FRM,_xll.qGetFwdRate(AC$14,$O63,U63,"T",DCC_Leg1_Float),_xll.qGetFwdRate(AC$14,$O63,$O64,"T",DCC_Leg1_Float)))</f>
        <v>0</v>
      </c>
      <c r="AD63" s="703">
        <f t="shared" si="7"/>
        <v>0</v>
      </c>
      <c r="AE63" s="703">
        <f t="shared" si="8"/>
        <v>0</v>
      </c>
      <c r="AF63" s="703">
        <f>IF($O64=0,0,           IF(FRM,_xll.qGetFwdRate(AF$14,$O63,X63,"T",DCC_Leg1_Float),_xll.qGetFwdRate(AF$14,$O63,$O64,"T",DCC_Leg1_Float)))</f>
        <v>0</v>
      </c>
      <c r="AG63" s="703">
        <f>IF($O64=0,0,           IF(FRM,_xll.qGetFwdRate(AG$14,$O63,Y63,"T",DCC_Leg1_Float),_xll.qGetFwdRate(AG$14,$O63,$O64,"T",DCC_Leg1_Float)))</f>
        <v>0</v>
      </c>
      <c r="AH63" s="685">
        <v>0</v>
      </c>
      <c r="AI63" s="667"/>
      <c r="AJ63" s="670">
        <f>IF(O64=0,0,             IF(ISNUMBER(AI63),AI63,             IF(ISTEXT(AI63),INDEX(Z63:AG63,MATCH(AI63,$Z$17:$AG$17,0)),           IF(AH63="INT",_xll.qInterp(O64,R63:Y63,Z63:AG63),       INDEX(Z63:AG63,MATCH(AH63,$Z$17:$AG$17,0))))))</f>
        <v>0</v>
      </c>
      <c r="AK63" s="732">
        <v>100</v>
      </c>
      <c r="AL63" s="721">
        <f t="shared" si="2"/>
        <v>0</v>
      </c>
      <c r="AM63" s="284">
        <f>IF($O64,_xll.qDateYears($O63,$O64,DCC_Leg1_Fixed),0)</f>
        <v>0</v>
      </c>
      <c r="AN63" s="284">
        <f>IF($O64,_xll.qDateYears($O63,$O64,DCC_Leg1_Float),0)</f>
        <v>0</v>
      </c>
      <c r="AP63" s="350">
        <f t="shared" si="9"/>
        <v>0</v>
      </c>
      <c r="AQ63" s="375">
        <f>IF(GenType_1a="Fixed",GenRate_1a%*$AL62*AM62,          IF(GenType_1a="Float",$AL62*(_xll.qGetFwdRate($D$18,$O62,$O63,"T",DCC_Leg1_Float)%+GenRate_1a%%)*$AN62,        IF(GenType_1a="bp (Fixed)",GenRate_1a%%*$AM62*$AL62,   IF(GenType_1a="bp (Float)",GenRate_1a%%*$AL62*$AN62,0))))</f>
        <v>0</v>
      </c>
      <c r="AR63" s="561"/>
      <c r="AT63" s="341">
        <f t="shared" si="14"/>
        <v>0</v>
      </c>
      <c r="AV63" s="356"/>
      <c r="AW63" s="122">
        <v>0</v>
      </c>
      <c r="AX63" s="128">
        <f t="shared" si="3"/>
        <v>0</v>
      </c>
      <c r="AY63" s="357">
        <v>0</v>
      </c>
      <c r="AZ63" s="699">
        <f>IF($AW64=0,0,        _xll.qDateNext($AW63,AZ$17,"M",TRUE,Currency2))</f>
        <v>0</v>
      </c>
      <c r="BA63" s="699">
        <f>IF($AW64=0,0,        _xll.qDateNext($AW63,BA$17,"M",TRUE,Currency2))</f>
        <v>0</v>
      </c>
      <c r="BB63" s="699">
        <f>IF($AW64=0,0,        _xll.qDateNext($AW63,BB$17,"M",TRUE,Currency2))</f>
        <v>0</v>
      </c>
      <c r="BC63" s="699">
        <f>IF($AW64=0,0,        _xll.qDateNext($AW63,BC$17,"M",TRUE,Currency2))</f>
        <v>0</v>
      </c>
      <c r="BD63" s="699">
        <f>IF($AW64=0,0,        _xll.qDateNext($AW63,BD$17,"M",TRUE,Currency2))</f>
        <v>0</v>
      </c>
      <c r="BE63" s="699">
        <f>IF($AW64=0,0,        _xll.qDateNext($AW63,BE$17,"M",TRUE,Currency2))</f>
        <v>0</v>
      </c>
      <c r="BF63" s="699">
        <f>IF($AW64=0,0,        _xll.qDateNext($AW63,BF$17,"M",TRUE,Currency2))</f>
        <v>0</v>
      </c>
      <c r="BG63" s="699">
        <f>IF($AW64=0,0,        _xll.qDateNext($AW63,BG$17,"M",TRUE,Currency2))</f>
        <v>0</v>
      </c>
      <c r="BH63" s="703">
        <v>0</v>
      </c>
      <c r="BI63" s="703">
        <v>0</v>
      </c>
      <c r="BJ63" s="703">
        <v>0</v>
      </c>
      <c r="BK63" s="703">
        <v>0</v>
      </c>
      <c r="BL63" s="703">
        <f t="shared" si="4"/>
        <v>0</v>
      </c>
      <c r="BM63" s="703">
        <f t="shared" si="10"/>
        <v>0</v>
      </c>
      <c r="BN63" s="703">
        <v>0</v>
      </c>
      <c r="BO63" s="703">
        <v>0</v>
      </c>
      <c r="BP63" s="685">
        <v>0</v>
      </c>
      <c r="BQ63" s="667"/>
      <c r="BR63" s="670">
        <f>IF(AW64=0,0,             IF(ISNUMBER(BQ63),BQ63,             IF(ISTEXT(BQ63),INDEX(BH63:BO63,MATCH(BQ63,$BH$17:$BO$17,0)),           IF(BP63="INT",_xll.qInterp(AW64,AZ63:BG63,BH63:BO63),       INDEX(BH63:BO63,MATCH(BP63,$BH$17:$BO$17,0))))))</f>
        <v>0</v>
      </c>
      <c r="BS63" s="731">
        <f t="shared" si="5"/>
        <v>0</v>
      </c>
      <c r="BT63" s="406">
        <f t="shared" si="6"/>
        <v>0</v>
      </c>
      <c r="BU63" s="284">
        <f>IF($AW64,_xll.qDateYears($AW63,$AW64,DCC_Leg2_Fixed),0)</f>
        <v>0</v>
      </c>
      <c r="BV63" s="284">
        <f>IF($AW64,_xll.qDateYears($AW63,$AW64,DCC_Leg2_Float),0)</f>
        <v>0</v>
      </c>
      <c r="BX63" s="350">
        <f t="shared" si="11"/>
        <v>0</v>
      </c>
      <c r="BY63" s="375">
        <f>IF(GenType_2a="Fixed",GenRate_2a%*$BT62*BU62,          IF(GenType_2a="Float",$BT62*(_xll.qGetFwdRate($J$18,$AW62,$AW63,"T",DCC_Leg2_Float)%+GenRate_2a%%)*$BV62,        IF(GenType_2a="bp (Fixed)",GenRate_2a%%*$BU62*$BT62,   IF(GenType_2a="bp (Float)",GenRate_2a%%*$BT62*$BV62,0))))</f>
        <v>0</v>
      </c>
      <c r="BZ63" s="561"/>
      <c r="CB63" s="341">
        <f t="shared" si="15"/>
        <v>0</v>
      </c>
      <c r="CC63" s="563"/>
      <c r="CD63" s="356"/>
      <c r="CE63" s="341">
        <v>0</v>
      </c>
      <c r="CF63" s="563"/>
      <c r="CG63" s="356"/>
    </row>
    <row r="64" spans="2:85">
      <c r="O64" s="122">
        <v>0</v>
      </c>
      <c r="P64" s="128">
        <f t="shared" si="0"/>
        <v>0</v>
      </c>
      <c r="Q64" s="126">
        <v>0</v>
      </c>
      <c r="R64" s="699">
        <f>IF($O65=0,0,        _xll.qDateNext($O64,R$17,"M",TRUE,Currency1))</f>
        <v>0</v>
      </c>
      <c r="S64" s="699">
        <f>IF($O65=0,0,        _xll.qDateNext($O64,S$17,"M",TRUE,Currency1))</f>
        <v>0</v>
      </c>
      <c r="T64" s="699">
        <f>IF($O65=0,0,        _xll.qDateNext($O64,T$17,"M",TRUE,Currency1))</f>
        <v>0</v>
      </c>
      <c r="U64" s="699">
        <f>IF($O65=0,0,        _xll.qDateNext($O64,U$17,"M",TRUE,Currency1))</f>
        <v>0</v>
      </c>
      <c r="V64" s="699">
        <f>IF($O65=0,0,        _xll.qDateNext($O64,V$17,"M",TRUE,Currency1))</f>
        <v>0</v>
      </c>
      <c r="W64" s="699">
        <f>IF($O65=0,0,        _xll.qDateNext($O64,W$17,"M",TRUE,Currency1))</f>
        <v>0</v>
      </c>
      <c r="X64" s="699">
        <f>IF($O65=0,0,        _xll.qDateNext($O64,X$17,"M",TRUE,Currency1))</f>
        <v>0</v>
      </c>
      <c r="Y64" s="699">
        <f>IF($O65=0,0,        _xll.qDateNext($O64,Y$17,"M",TRUE,Currency1))</f>
        <v>0</v>
      </c>
      <c r="Z64" s="703">
        <f>IF($O65=0,0,           IF(FRM,_xll.qGetFwdRate(Z$14,$O64,R64,"T",DCC_Leg1_Float),_xll.qGetFwdRate(Z$14,$O64,$O65,"T",DCC_Leg1_Float)))</f>
        <v>0</v>
      </c>
      <c r="AA64" s="703">
        <f>IF($O65=0,0,           IF(FRM,_xll.qGetFwdRate(AA$14,$O64,S64,"T",DCC_Leg1_Float),_xll.qGetFwdRate(AA$14,$O64,$O65,"T",DCC_Leg1_Float)))</f>
        <v>0</v>
      </c>
      <c r="AB64" s="703">
        <f t="shared" si="1"/>
        <v>0</v>
      </c>
      <c r="AC64" s="703">
        <f>IF($O65=0,0,           IF(FRM,_xll.qGetFwdRate(AC$14,$O64,U64,"T",DCC_Leg1_Float),_xll.qGetFwdRate(AC$14,$O64,$O65,"T",DCC_Leg1_Float)))</f>
        <v>0</v>
      </c>
      <c r="AD64" s="703">
        <f t="shared" si="7"/>
        <v>0</v>
      </c>
      <c r="AE64" s="703">
        <f t="shared" si="8"/>
        <v>0</v>
      </c>
      <c r="AF64" s="703">
        <f>IF($O65=0,0,           IF(FRM,_xll.qGetFwdRate(AF$14,$O64,X64,"T",DCC_Leg1_Float),_xll.qGetFwdRate(AF$14,$O64,$O65,"T",DCC_Leg1_Float)))</f>
        <v>0</v>
      </c>
      <c r="AG64" s="703">
        <f>IF($O65=0,0,           IF(FRM,_xll.qGetFwdRate(AG$14,$O64,Y64,"T",DCC_Leg1_Float),_xll.qGetFwdRate(AG$14,$O64,$O65,"T",DCC_Leg1_Float)))</f>
        <v>0</v>
      </c>
      <c r="AH64" s="685">
        <v>0</v>
      </c>
      <c r="AI64" s="667"/>
      <c r="AJ64" s="670">
        <f>IF(O65=0,0,             IF(ISNUMBER(AI64),AI64,             IF(ISTEXT(AI64),INDEX(Z64:AG64,MATCH(AI64,$Z$17:$AG$17,0)),           IF(AH64="INT",_xll.qInterp(O65,R64:Y64,Z64:AG64),       INDEX(Z64:AG64,MATCH(AH64,$Z$17:$AG$17,0))))))</f>
        <v>0</v>
      </c>
      <c r="AK64" s="732">
        <v>100</v>
      </c>
      <c r="AL64" s="721">
        <f t="shared" si="2"/>
        <v>0</v>
      </c>
      <c r="AM64" s="284">
        <f>IF($O65,_xll.qDateYears($O64,$O65,DCC_Leg1_Fixed),0)</f>
        <v>0</v>
      </c>
      <c r="AN64" s="284">
        <f>IF($O65,_xll.qDateYears($O64,$O65,DCC_Leg1_Float),0)</f>
        <v>0</v>
      </c>
      <c r="AP64" s="350">
        <f t="shared" si="9"/>
        <v>0</v>
      </c>
      <c r="AQ64" s="375">
        <f>IF(GenType_1a="Fixed",GenRate_1a%*$AL63*AM63,          IF(GenType_1a="Float",$AL63*(_xll.qGetFwdRate($D$18,$O63,$O64,"T",DCC_Leg1_Float)%+GenRate_1a%%)*$AN63,        IF(GenType_1a="bp (Fixed)",GenRate_1a%%*$AM63*$AL63,   IF(GenType_1a="bp (Float)",GenRate_1a%%*$AL63*$AN63,0))))</f>
        <v>0</v>
      </c>
      <c r="AR64" s="561"/>
      <c r="AT64" s="341">
        <f t="shared" si="14"/>
        <v>0</v>
      </c>
      <c r="AV64" s="356"/>
      <c r="AW64" s="122">
        <v>0</v>
      </c>
      <c r="AX64" s="128">
        <f t="shared" si="3"/>
        <v>0</v>
      </c>
      <c r="AY64" s="357">
        <v>0</v>
      </c>
      <c r="AZ64" s="699">
        <f>IF($AW65=0,0,        _xll.qDateNext($AW64,AZ$17,"M",TRUE,Currency2))</f>
        <v>0</v>
      </c>
      <c r="BA64" s="699">
        <f>IF($AW65=0,0,        _xll.qDateNext($AW64,BA$17,"M",TRUE,Currency2))</f>
        <v>0</v>
      </c>
      <c r="BB64" s="699">
        <f>IF($AW65=0,0,        _xll.qDateNext($AW64,BB$17,"M",TRUE,Currency2))</f>
        <v>0</v>
      </c>
      <c r="BC64" s="699">
        <f>IF($AW65=0,0,        _xll.qDateNext($AW64,BC$17,"M",TRUE,Currency2))</f>
        <v>0</v>
      </c>
      <c r="BD64" s="699">
        <f>IF($AW65=0,0,        _xll.qDateNext($AW64,BD$17,"M",TRUE,Currency2))</f>
        <v>0</v>
      </c>
      <c r="BE64" s="699">
        <f>IF($AW65=0,0,        _xll.qDateNext($AW64,BE$17,"M",TRUE,Currency2))</f>
        <v>0</v>
      </c>
      <c r="BF64" s="699">
        <f>IF($AW65=0,0,        _xll.qDateNext($AW64,BF$17,"M",TRUE,Currency2))</f>
        <v>0</v>
      </c>
      <c r="BG64" s="699">
        <f>IF($AW65=0,0,        _xll.qDateNext($AW64,BG$17,"M",TRUE,Currency2))</f>
        <v>0</v>
      </c>
      <c r="BH64" s="703">
        <v>0</v>
      </c>
      <c r="BI64" s="703">
        <v>0</v>
      </c>
      <c r="BJ64" s="703">
        <v>0</v>
      </c>
      <c r="BK64" s="703">
        <v>0</v>
      </c>
      <c r="BL64" s="703">
        <f t="shared" si="4"/>
        <v>0</v>
      </c>
      <c r="BM64" s="703">
        <f t="shared" si="10"/>
        <v>0</v>
      </c>
      <c r="BN64" s="703">
        <v>0</v>
      </c>
      <c r="BO64" s="703">
        <v>0</v>
      </c>
      <c r="BP64" s="685">
        <v>0</v>
      </c>
      <c r="BQ64" s="667"/>
      <c r="BR64" s="670">
        <f>IF(AW65=0,0,             IF(ISNUMBER(BQ64),BQ64,             IF(ISTEXT(BQ64),INDEX(BH64:BO64,MATCH(BQ64,$BH$17:$BO$17,0)),           IF(BP64="INT",_xll.qInterp(AW65,AZ64:BG64,BH64:BO64),       INDEX(BH64:BO64,MATCH(BP64,$BH$17:$BO$17,0))))))</f>
        <v>0</v>
      </c>
      <c r="BS64" s="731">
        <f t="shared" si="5"/>
        <v>0</v>
      </c>
      <c r="BT64" s="406">
        <f t="shared" si="6"/>
        <v>0</v>
      </c>
      <c r="BU64" s="284">
        <f>IF($AW65,_xll.qDateYears($AW64,$AW65,DCC_Leg2_Fixed),0)</f>
        <v>0</v>
      </c>
      <c r="BV64" s="284">
        <f>IF($AW65,_xll.qDateYears($AW64,$AW65,DCC_Leg2_Float),0)</f>
        <v>0</v>
      </c>
      <c r="BX64" s="350">
        <f t="shared" si="11"/>
        <v>0</v>
      </c>
      <c r="BY64" s="375">
        <f>IF(GenType_2a="Fixed",GenRate_2a%*$BT63*BU63,          IF(GenType_2a="Float",$BT63*(_xll.qGetFwdRate($J$18,$AW63,$AW64,"T",DCC_Leg2_Float)%+GenRate_2a%%)*$BV63,        IF(GenType_2a="bp (Fixed)",GenRate_2a%%*$BU63*$BT63,   IF(GenType_2a="bp (Float)",GenRate_2a%%*$BT63*$BV63,0))))</f>
        <v>0</v>
      </c>
      <c r="BZ64" s="561"/>
      <c r="CB64" s="341">
        <f t="shared" si="15"/>
        <v>0</v>
      </c>
      <c r="CC64" s="563"/>
      <c r="CD64" s="356"/>
      <c r="CE64" s="341">
        <v>0</v>
      </c>
      <c r="CF64" s="563"/>
      <c r="CG64" s="356"/>
    </row>
    <row r="65" spans="15:85">
      <c r="O65" s="122">
        <v>0</v>
      </c>
      <c r="P65" s="128">
        <f t="shared" si="0"/>
        <v>0</v>
      </c>
      <c r="Q65" s="126">
        <v>0</v>
      </c>
      <c r="R65" s="699">
        <f>IF($O66=0,0,        _xll.qDateNext($O65,R$17,"M",TRUE,Currency1))</f>
        <v>0</v>
      </c>
      <c r="S65" s="699">
        <f>IF($O66=0,0,        _xll.qDateNext($O65,S$17,"M",TRUE,Currency1))</f>
        <v>0</v>
      </c>
      <c r="T65" s="699">
        <f>IF($O66=0,0,        _xll.qDateNext($O65,T$17,"M",TRUE,Currency1))</f>
        <v>0</v>
      </c>
      <c r="U65" s="699">
        <f>IF($O66=0,0,        _xll.qDateNext($O65,U$17,"M",TRUE,Currency1))</f>
        <v>0</v>
      </c>
      <c r="V65" s="699">
        <f>IF($O66=0,0,        _xll.qDateNext($O65,V$17,"M",TRUE,Currency1))</f>
        <v>0</v>
      </c>
      <c r="W65" s="699">
        <f>IF($O66=0,0,        _xll.qDateNext($O65,W$17,"M",TRUE,Currency1))</f>
        <v>0</v>
      </c>
      <c r="X65" s="699">
        <f>IF($O66=0,0,        _xll.qDateNext($O65,X$17,"M",TRUE,Currency1))</f>
        <v>0</v>
      </c>
      <c r="Y65" s="699">
        <f>IF($O66=0,0,        _xll.qDateNext($O65,Y$17,"M",TRUE,Currency1))</f>
        <v>0</v>
      </c>
      <c r="Z65" s="703">
        <f>IF($O66=0,0,           IF(FRM,_xll.qGetFwdRate(Z$14,$O65,R65,"T",DCC_Leg1_Float),_xll.qGetFwdRate(Z$14,$O65,$O66,"T",DCC_Leg1_Float)))</f>
        <v>0</v>
      </c>
      <c r="AA65" s="703">
        <f>IF($O66=0,0,           IF(FRM,_xll.qGetFwdRate(AA$14,$O65,S65,"T",DCC_Leg1_Float),_xll.qGetFwdRate(AA$14,$O65,$O66,"T",DCC_Leg1_Float)))</f>
        <v>0</v>
      </c>
      <c r="AB65" s="703">
        <f t="shared" si="1"/>
        <v>0</v>
      </c>
      <c r="AC65" s="703">
        <f>IF($O66=0,0,           IF(FRM,_xll.qGetFwdRate(AC$14,$O65,U65,"T",DCC_Leg1_Float),_xll.qGetFwdRate(AC$14,$O65,$O66,"T",DCC_Leg1_Float)))</f>
        <v>0</v>
      </c>
      <c r="AD65" s="703">
        <f t="shared" si="7"/>
        <v>0</v>
      </c>
      <c r="AE65" s="703">
        <f t="shared" si="8"/>
        <v>0</v>
      </c>
      <c r="AF65" s="703">
        <f>IF($O66=0,0,           IF(FRM,_xll.qGetFwdRate(AF$14,$O65,X65,"T",DCC_Leg1_Float),_xll.qGetFwdRate(AF$14,$O65,$O66,"T",DCC_Leg1_Float)))</f>
        <v>0</v>
      </c>
      <c r="AG65" s="703">
        <f>IF($O66=0,0,           IF(FRM,_xll.qGetFwdRate(AG$14,$O65,Y65,"T",DCC_Leg1_Float),_xll.qGetFwdRate(AG$14,$O65,$O66,"T",DCC_Leg1_Float)))</f>
        <v>0</v>
      </c>
      <c r="AH65" s="685">
        <v>0</v>
      </c>
      <c r="AI65" s="667"/>
      <c r="AJ65" s="670">
        <f>IF(O66=0,0,             IF(ISNUMBER(AI65),AI65,             IF(ISTEXT(AI65),INDEX(Z65:AG65,MATCH(AI65,$Z$17:$AG$17,0)),           IF(AH65="INT",_xll.qInterp(O66,R65:Y65,Z65:AG65),       INDEX(Z65:AG65,MATCH(AH65,$Z$17:$AG$17,0))))))</f>
        <v>0</v>
      </c>
      <c r="AK65" s="732">
        <v>100</v>
      </c>
      <c r="AL65" s="721">
        <f t="shared" si="2"/>
        <v>0</v>
      </c>
      <c r="AM65" s="284">
        <f>IF($O66,_xll.qDateYears($O65,$O66,DCC_Leg1_Fixed),0)</f>
        <v>0</v>
      </c>
      <c r="AN65" s="284">
        <f>IF($O66,_xll.qDateYears($O65,$O66,DCC_Leg1_Float),0)</f>
        <v>0</v>
      </c>
      <c r="AP65" s="350">
        <f t="shared" si="9"/>
        <v>0</v>
      </c>
      <c r="AQ65" s="375">
        <f>IF(GenType_1a="Fixed",GenRate_1a%*$AL64*AM64,          IF(GenType_1a="Float",$AL64*(_xll.qGetFwdRate($D$18,$O64,$O65,"T",DCC_Leg1_Float)%+GenRate_1a%%)*$AN64,        IF(GenType_1a="bp (Fixed)",GenRate_1a%%*$AM64*$AL64,   IF(GenType_1a="bp (Float)",GenRate_1a%%*$AL64*$AN64,0))))</f>
        <v>0</v>
      </c>
      <c r="AR65" s="561"/>
      <c r="AT65" s="341">
        <f t="shared" si="14"/>
        <v>0</v>
      </c>
      <c r="AV65" s="356"/>
      <c r="AW65" s="122">
        <v>0</v>
      </c>
      <c r="AX65" s="128">
        <f t="shared" si="3"/>
        <v>0</v>
      </c>
      <c r="AY65" s="357">
        <v>0</v>
      </c>
      <c r="AZ65" s="699">
        <f>IF($AW66=0,0,        _xll.qDateNext($AW65,AZ$17,"M",TRUE,Currency2))</f>
        <v>0</v>
      </c>
      <c r="BA65" s="699">
        <f>IF($AW66=0,0,        _xll.qDateNext($AW65,BA$17,"M",TRUE,Currency2))</f>
        <v>0</v>
      </c>
      <c r="BB65" s="699">
        <f>IF($AW66=0,0,        _xll.qDateNext($AW65,BB$17,"M",TRUE,Currency2))</f>
        <v>0</v>
      </c>
      <c r="BC65" s="699">
        <f>IF($AW66=0,0,        _xll.qDateNext($AW65,BC$17,"M",TRUE,Currency2))</f>
        <v>0</v>
      </c>
      <c r="BD65" s="699">
        <f>IF($AW66=0,0,        _xll.qDateNext($AW65,BD$17,"M",TRUE,Currency2))</f>
        <v>0</v>
      </c>
      <c r="BE65" s="699">
        <f>IF($AW66=0,0,        _xll.qDateNext($AW65,BE$17,"M",TRUE,Currency2))</f>
        <v>0</v>
      </c>
      <c r="BF65" s="699">
        <f>IF($AW66=0,0,        _xll.qDateNext($AW65,BF$17,"M",TRUE,Currency2))</f>
        <v>0</v>
      </c>
      <c r="BG65" s="699">
        <f>IF($AW66=0,0,        _xll.qDateNext($AW65,BG$17,"M",TRUE,Currency2))</f>
        <v>0</v>
      </c>
      <c r="BH65" s="703">
        <v>0</v>
      </c>
      <c r="BI65" s="703">
        <v>0</v>
      </c>
      <c r="BJ65" s="703">
        <v>0</v>
      </c>
      <c r="BK65" s="703">
        <v>0</v>
      </c>
      <c r="BL65" s="703">
        <f t="shared" si="4"/>
        <v>0</v>
      </c>
      <c r="BM65" s="703">
        <f t="shared" si="10"/>
        <v>0</v>
      </c>
      <c r="BN65" s="703">
        <v>0</v>
      </c>
      <c r="BO65" s="703">
        <v>0</v>
      </c>
      <c r="BP65" s="685">
        <v>0</v>
      </c>
      <c r="BQ65" s="667"/>
      <c r="BR65" s="670">
        <f>IF(AW66=0,0,             IF(ISNUMBER(BQ65),BQ65,             IF(ISTEXT(BQ65),INDEX(BH65:BO65,MATCH(BQ65,$BH$17:$BO$17,0)),           IF(BP65="INT",_xll.qInterp(AW66,AZ65:BG65,BH65:BO65),       INDEX(BH65:BO65,MATCH(BP65,$BH$17:$BO$17,0))))))</f>
        <v>0</v>
      </c>
      <c r="BS65" s="731">
        <f t="shared" si="5"/>
        <v>0</v>
      </c>
      <c r="BT65" s="406">
        <f t="shared" si="6"/>
        <v>0</v>
      </c>
      <c r="BU65" s="284">
        <f>IF($AW66,_xll.qDateYears($AW65,$AW66,DCC_Leg2_Fixed),0)</f>
        <v>0</v>
      </c>
      <c r="BV65" s="284">
        <f>IF($AW66,_xll.qDateYears($AW65,$AW66,DCC_Leg2_Float),0)</f>
        <v>0</v>
      </c>
      <c r="BX65" s="350">
        <f t="shared" si="11"/>
        <v>0</v>
      </c>
      <c r="BY65" s="375">
        <f>IF(GenType_2a="Fixed",GenRate_2a%*$BT64*BU64,          IF(GenType_2a="Float",$BT64*(_xll.qGetFwdRate($J$18,$AW64,$AW65,"T",DCC_Leg2_Float)%+GenRate_2a%%)*$BV64,        IF(GenType_2a="bp (Fixed)",GenRate_2a%%*$BU64*$BT64,   IF(GenType_2a="bp (Float)",GenRate_2a%%*$BT64*$BV64,0))))</f>
        <v>0</v>
      </c>
      <c r="BZ65" s="561"/>
      <c r="CB65" s="341">
        <f t="shared" si="15"/>
        <v>0</v>
      </c>
      <c r="CC65" s="563"/>
      <c r="CD65" s="356"/>
      <c r="CE65" s="341">
        <v>0</v>
      </c>
      <c r="CF65" s="563"/>
      <c r="CG65" s="356"/>
    </row>
    <row r="66" spans="15:85">
      <c r="O66" s="122">
        <v>0</v>
      </c>
      <c r="P66" s="128">
        <f t="shared" si="0"/>
        <v>0</v>
      </c>
      <c r="Q66" s="126">
        <v>0</v>
      </c>
      <c r="R66" s="699">
        <f>IF($O67=0,0,        _xll.qDateNext($O66,R$17,"M",TRUE,Currency1))</f>
        <v>0</v>
      </c>
      <c r="S66" s="699">
        <f>IF($O67=0,0,        _xll.qDateNext($O66,S$17,"M",TRUE,Currency1))</f>
        <v>0</v>
      </c>
      <c r="T66" s="699">
        <f>IF($O67=0,0,        _xll.qDateNext($O66,T$17,"M",TRUE,Currency1))</f>
        <v>0</v>
      </c>
      <c r="U66" s="699">
        <f>IF($O67=0,0,        _xll.qDateNext($O66,U$17,"M",TRUE,Currency1))</f>
        <v>0</v>
      </c>
      <c r="V66" s="699">
        <f>IF($O67=0,0,        _xll.qDateNext($O66,V$17,"M",TRUE,Currency1))</f>
        <v>0</v>
      </c>
      <c r="W66" s="699">
        <f>IF($O67=0,0,        _xll.qDateNext($O66,W$17,"M",TRUE,Currency1))</f>
        <v>0</v>
      </c>
      <c r="X66" s="699">
        <f>IF($O67=0,0,        _xll.qDateNext($O66,X$17,"M",TRUE,Currency1))</f>
        <v>0</v>
      </c>
      <c r="Y66" s="699">
        <f>IF($O67=0,0,        _xll.qDateNext($O66,Y$17,"M",TRUE,Currency1))</f>
        <v>0</v>
      </c>
      <c r="Z66" s="703">
        <f>IF($O67=0,0,           IF(FRM,_xll.qGetFwdRate(Z$14,$O66,R66,"T",DCC_Leg1_Float),_xll.qGetFwdRate(Z$14,$O66,$O67,"T",DCC_Leg1_Float)))</f>
        <v>0</v>
      </c>
      <c r="AA66" s="703">
        <f>IF($O67=0,0,           IF(FRM,_xll.qGetFwdRate(AA$14,$O66,S66,"T",DCC_Leg1_Float),_xll.qGetFwdRate(AA$14,$O66,$O67,"T",DCC_Leg1_Float)))</f>
        <v>0</v>
      </c>
      <c r="AB66" s="703">
        <f t="shared" si="1"/>
        <v>0</v>
      </c>
      <c r="AC66" s="703">
        <f>IF($O67=0,0,           IF(FRM,_xll.qGetFwdRate(AC$14,$O66,U66,"T",DCC_Leg1_Float),_xll.qGetFwdRate(AC$14,$O66,$O67,"T",DCC_Leg1_Float)))</f>
        <v>0</v>
      </c>
      <c r="AD66" s="703">
        <f t="shared" si="7"/>
        <v>0</v>
      </c>
      <c r="AE66" s="703">
        <f t="shared" si="8"/>
        <v>0</v>
      </c>
      <c r="AF66" s="703">
        <f>IF($O67=0,0,           IF(FRM,_xll.qGetFwdRate(AF$14,$O66,X66,"T",DCC_Leg1_Float),_xll.qGetFwdRate(AF$14,$O66,$O67,"T",DCC_Leg1_Float)))</f>
        <v>0</v>
      </c>
      <c r="AG66" s="703">
        <f>IF($O67=0,0,           IF(FRM,_xll.qGetFwdRate(AG$14,$O66,Y66,"T",DCC_Leg1_Float),_xll.qGetFwdRate(AG$14,$O66,$O67,"T",DCC_Leg1_Float)))</f>
        <v>0</v>
      </c>
      <c r="AH66" s="685">
        <v>0</v>
      </c>
      <c r="AI66" s="667"/>
      <c r="AJ66" s="670">
        <f>IF(O67=0,0,             IF(ISNUMBER(AI66),AI66,             IF(ISTEXT(AI66),INDEX(Z66:AG66,MATCH(AI66,$Z$17:$AG$17,0)),           IF(AH66="INT",_xll.qInterp(O67,R66:Y66,Z66:AG66),       INDEX(Z66:AG66,MATCH(AH66,$Z$17:$AG$17,0))))))</f>
        <v>0</v>
      </c>
      <c r="AK66" s="732">
        <v>100</v>
      </c>
      <c r="AL66" s="721">
        <f t="shared" si="2"/>
        <v>0</v>
      </c>
      <c r="AM66" s="284">
        <f>IF($O67,_xll.qDateYears($O66,$O67,DCC_Leg1_Fixed),0)</f>
        <v>0</v>
      </c>
      <c r="AN66" s="284">
        <f>IF($O67,_xll.qDateYears($O66,$O67,DCC_Leg1_Float),0)</f>
        <v>0</v>
      </c>
      <c r="AP66" s="350">
        <f t="shared" si="9"/>
        <v>0</v>
      </c>
      <c r="AQ66" s="375">
        <f>IF(GenType_1a="Fixed",GenRate_1a%*$AL65*AM65,          IF(GenType_1a="Float",$AL65*(_xll.qGetFwdRate($D$18,$O65,$O66,"T",DCC_Leg1_Float)%+GenRate_1a%%)*$AN65,        IF(GenType_1a="bp (Fixed)",GenRate_1a%%*$AM65*$AL65,   IF(GenType_1a="bp (Float)",GenRate_1a%%*$AL65*$AN65,0))))</f>
        <v>0</v>
      </c>
      <c r="AR66" s="561"/>
      <c r="AT66" s="341">
        <f t="shared" si="14"/>
        <v>0</v>
      </c>
      <c r="AV66" s="356"/>
      <c r="AW66" s="122">
        <v>0</v>
      </c>
      <c r="AX66" s="128">
        <f t="shared" si="3"/>
        <v>0</v>
      </c>
      <c r="AY66" s="357">
        <v>0</v>
      </c>
      <c r="AZ66" s="699">
        <f>IF($AW67=0,0,        _xll.qDateNext($AW66,AZ$17,"M",TRUE,Currency2))</f>
        <v>0</v>
      </c>
      <c r="BA66" s="699">
        <f>IF($AW67=0,0,        _xll.qDateNext($AW66,BA$17,"M",TRUE,Currency2))</f>
        <v>0</v>
      </c>
      <c r="BB66" s="699">
        <f>IF($AW67=0,0,        _xll.qDateNext($AW66,BB$17,"M",TRUE,Currency2))</f>
        <v>0</v>
      </c>
      <c r="BC66" s="699">
        <f>IF($AW67=0,0,        _xll.qDateNext($AW66,BC$17,"M",TRUE,Currency2))</f>
        <v>0</v>
      </c>
      <c r="BD66" s="699">
        <f>IF($AW67=0,0,        _xll.qDateNext($AW66,BD$17,"M",TRUE,Currency2))</f>
        <v>0</v>
      </c>
      <c r="BE66" s="699">
        <f>IF($AW67=0,0,        _xll.qDateNext($AW66,BE$17,"M",TRUE,Currency2))</f>
        <v>0</v>
      </c>
      <c r="BF66" s="699">
        <f>IF($AW67=0,0,        _xll.qDateNext($AW66,BF$17,"M",TRUE,Currency2))</f>
        <v>0</v>
      </c>
      <c r="BG66" s="699">
        <f>IF($AW67=0,0,        _xll.qDateNext($AW66,BG$17,"M",TRUE,Currency2))</f>
        <v>0</v>
      </c>
      <c r="BH66" s="703">
        <v>0</v>
      </c>
      <c r="BI66" s="703">
        <v>0</v>
      </c>
      <c r="BJ66" s="703">
        <v>0</v>
      </c>
      <c r="BK66" s="703">
        <v>0</v>
      </c>
      <c r="BL66" s="703">
        <f t="shared" si="4"/>
        <v>0</v>
      </c>
      <c r="BM66" s="703">
        <f t="shared" si="10"/>
        <v>0</v>
      </c>
      <c r="BN66" s="703">
        <v>0</v>
      </c>
      <c r="BO66" s="703">
        <v>0</v>
      </c>
      <c r="BP66" s="685">
        <v>0</v>
      </c>
      <c r="BQ66" s="667"/>
      <c r="BR66" s="670">
        <f>IF(AW67=0,0,             IF(ISNUMBER(BQ66),BQ66,             IF(ISTEXT(BQ66),INDEX(BH66:BO66,MATCH(BQ66,$BH$17:$BO$17,0)),           IF(BP66="INT",_xll.qInterp(AW67,AZ66:BG66,BH66:BO66),       INDEX(BH66:BO66,MATCH(BP66,$BH$17:$BO$17,0))))))</f>
        <v>0</v>
      </c>
      <c r="BS66" s="731">
        <f t="shared" si="5"/>
        <v>0</v>
      </c>
      <c r="BT66" s="406">
        <f t="shared" si="6"/>
        <v>0</v>
      </c>
      <c r="BU66" s="284">
        <f>IF($AW67,_xll.qDateYears($AW66,$AW67,DCC_Leg2_Fixed),0)</f>
        <v>0</v>
      </c>
      <c r="BV66" s="284">
        <f>IF($AW67,_xll.qDateYears($AW66,$AW67,DCC_Leg2_Float),0)</f>
        <v>0</v>
      </c>
      <c r="BX66" s="350">
        <f t="shared" si="11"/>
        <v>0</v>
      </c>
      <c r="BY66" s="375">
        <f>IF(GenType_2a="Fixed",GenRate_2a%*$BT65*BU65,          IF(GenType_2a="Float",$BT65*(_xll.qGetFwdRate($J$18,$AW65,$AW66,"T",DCC_Leg2_Float)%+GenRate_2a%%)*$BV65,        IF(GenType_2a="bp (Fixed)",GenRate_2a%%*$BU65*$BT65,   IF(GenType_2a="bp (Float)",GenRate_2a%%*$BT65*$BV65,0))))</f>
        <v>0</v>
      </c>
      <c r="BZ66" s="561"/>
      <c r="CB66" s="341">
        <f t="shared" si="15"/>
        <v>0</v>
      </c>
      <c r="CC66" s="563"/>
      <c r="CD66" s="356"/>
      <c r="CE66" s="341">
        <v>0</v>
      </c>
      <c r="CF66" s="563"/>
      <c r="CG66" s="356"/>
    </row>
    <row r="67" spans="15:85">
      <c r="O67" s="122">
        <v>0</v>
      </c>
      <c r="P67" s="128">
        <f t="shared" si="0"/>
        <v>0</v>
      </c>
      <c r="Q67" s="126">
        <v>0</v>
      </c>
      <c r="R67" s="699">
        <f>IF($O68=0,0,        _xll.qDateNext($O67,R$17,"M",TRUE,Currency1))</f>
        <v>0</v>
      </c>
      <c r="S67" s="699">
        <f>IF($O68=0,0,        _xll.qDateNext($O67,S$17,"M",TRUE,Currency1))</f>
        <v>0</v>
      </c>
      <c r="T67" s="699">
        <f>IF($O68=0,0,        _xll.qDateNext($O67,T$17,"M",TRUE,Currency1))</f>
        <v>0</v>
      </c>
      <c r="U67" s="699">
        <f>IF($O68=0,0,        _xll.qDateNext($O67,U$17,"M",TRUE,Currency1))</f>
        <v>0</v>
      </c>
      <c r="V67" s="699">
        <f>IF($O68=0,0,        _xll.qDateNext($O67,V$17,"M",TRUE,Currency1))</f>
        <v>0</v>
      </c>
      <c r="W67" s="699">
        <f>IF($O68=0,0,        _xll.qDateNext($O67,W$17,"M",TRUE,Currency1))</f>
        <v>0</v>
      </c>
      <c r="X67" s="699">
        <f>IF($O68=0,0,        _xll.qDateNext($O67,X$17,"M",TRUE,Currency1))</f>
        <v>0</v>
      </c>
      <c r="Y67" s="699">
        <f>IF($O68=0,0,        _xll.qDateNext($O67,Y$17,"M",TRUE,Currency1))</f>
        <v>0</v>
      </c>
      <c r="Z67" s="703">
        <f>IF($O68=0,0,           IF(FRM,_xll.qGetFwdRate(Z$14,$O67,R67,"T",DCC_Leg1_Float),_xll.qGetFwdRate(Z$14,$O67,$O68,"T",DCC_Leg1_Float)))</f>
        <v>0</v>
      </c>
      <c r="AA67" s="703">
        <f>IF($O68=0,0,           IF(FRM,_xll.qGetFwdRate(AA$14,$O67,S67,"T",DCC_Leg1_Float),_xll.qGetFwdRate(AA$14,$O67,$O68,"T",DCC_Leg1_Float)))</f>
        <v>0</v>
      </c>
      <c r="AB67" s="703">
        <f t="shared" si="1"/>
        <v>0</v>
      </c>
      <c r="AC67" s="703">
        <f>IF($O68=0,0,           IF(FRM,_xll.qGetFwdRate(AC$14,$O67,U67,"T",DCC_Leg1_Float),_xll.qGetFwdRate(AC$14,$O67,$O68,"T",DCC_Leg1_Float)))</f>
        <v>0</v>
      </c>
      <c r="AD67" s="703">
        <f t="shared" si="7"/>
        <v>0</v>
      </c>
      <c r="AE67" s="703">
        <f t="shared" si="8"/>
        <v>0</v>
      </c>
      <c r="AF67" s="703">
        <f>IF($O68=0,0,           IF(FRM,_xll.qGetFwdRate(AF$14,$O67,X67,"T",DCC_Leg1_Float),_xll.qGetFwdRate(AF$14,$O67,$O68,"T",DCC_Leg1_Float)))</f>
        <v>0</v>
      </c>
      <c r="AG67" s="703">
        <f>IF($O68=0,0,           IF(FRM,_xll.qGetFwdRate(AG$14,$O67,Y67,"T",DCC_Leg1_Float),_xll.qGetFwdRate(AG$14,$O67,$O68,"T",DCC_Leg1_Float)))</f>
        <v>0</v>
      </c>
      <c r="AH67" s="685">
        <v>0</v>
      </c>
      <c r="AI67" s="667"/>
      <c r="AJ67" s="670">
        <f>IF(O68=0,0,             IF(ISNUMBER(AI67),AI67,             IF(ISTEXT(AI67),INDEX(Z67:AG67,MATCH(AI67,$Z$17:$AG$17,0)),           IF(AH67="INT",_xll.qInterp(O68,R67:Y67,Z67:AG67),       INDEX(Z67:AG67,MATCH(AH67,$Z$17:$AG$17,0))))))</f>
        <v>0</v>
      </c>
      <c r="AK67" s="732">
        <v>100</v>
      </c>
      <c r="AL67" s="721">
        <f t="shared" si="2"/>
        <v>0</v>
      </c>
      <c r="AM67" s="284">
        <f>IF($O68,_xll.qDateYears($O67,$O68,DCC_Leg1_Fixed),0)</f>
        <v>0</v>
      </c>
      <c r="AN67" s="284">
        <f>IF($O68,_xll.qDateYears($O67,$O68,DCC_Leg1_Float),0)</f>
        <v>0</v>
      </c>
      <c r="AP67" s="350">
        <f t="shared" si="9"/>
        <v>0</v>
      </c>
      <c r="AQ67" s="375">
        <f>IF(GenType_1a="Fixed",GenRate_1a%*$AL66*AM66,          IF(GenType_1a="Float",$AL66*(_xll.qGetFwdRate($D$18,$O66,$O67,"T",DCC_Leg1_Float)%+GenRate_1a%%)*$AN66,        IF(GenType_1a="bp (Fixed)",GenRate_1a%%*$AM66*$AL66,   IF(GenType_1a="bp (Float)",GenRate_1a%%*$AL66*$AN66,0))))</f>
        <v>0</v>
      </c>
      <c r="AR67" s="561"/>
      <c r="AT67" s="341">
        <f t="shared" si="14"/>
        <v>0</v>
      </c>
      <c r="AV67" s="356"/>
      <c r="AW67" s="122">
        <v>0</v>
      </c>
      <c r="AX67" s="128">
        <f t="shared" si="3"/>
        <v>0</v>
      </c>
      <c r="AY67" s="357">
        <v>0</v>
      </c>
      <c r="AZ67" s="699">
        <f>IF($AW68=0,0,        _xll.qDateNext($AW67,AZ$17,"M",TRUE,Currency2))</f>
        <v>0</v>
      </c>
      <c r="BA67" s="699">
        <f>IF($AW68=0,0,        _xll.qDateNext($AW67,BA$17,"M",TRUE,Currency2))</f>
        <v>0</v>
      </c>
      <c r="BB67" s="699">
        <f>IF($AW68=0,0,        _xll.qDateNext($AW67,BB$17,"M",TRUE,Currency2))</f>
        <v>0</v>
      </c>
      <c r="BC67" s="699">
        <f>IF($AW68=0,0,        _xll.qDateNext($AW67,BC$17,"M",TRUE,Currency2))</f>
        <v>0</v>
      </c>
      <c r="BD67" s="699">
        <f>IF($AW68=0,0,        _xll.qDateNext($AW67,BD$17,"M",TRUE,Currency2))</f>
        <v>0</v>
      </c>
      <c r="BE67" s="699">
        <f>IF($AW68=0,0,        _xll.qDateNext($AW67,BE$17,"M",TRUE,Currency2))</f>
        <v>0</v>
      </c>
      <c r="BF67" s="699">
        <f>IF($AW68=0,0,        _xll.qDateNext($AW67,BF$17,"M",TRUE,Currency2))</f>
        <v>0</v>
      </c>
      <c r="BG67" s="699">
        <f>IF($AW68=0,0,        _xll.qDateNext($AW67,BG$17,"M",TRUE,Currency2))</f>
        <v>0</v>
      </c>
      <c r="BH67" s="703">
        <v>0</v>
      </c>
      <c r="BI67" s="703">
        <v>0</v>
      </c>
      <c r="BJ67" s="703">
        <v>0</v>
      </c>
      <c r="BK67" s="703">
        <v>0</v>
      </c>
      <c r="BL67" s="703">
        <f t="shared" si="4"/>
        <v>0</v>
      </c>
      <c r="BM67" s="703">
        <f t="shared" si="10"/>
        <v>0</v>
      </c>
      <c r="BN67" s="703">
        <v>0</v>
      </c>
      <c r="BO67" s="703">
        <v>0</v>
      </c>
      <c r="BP67" s="685">
        <v>0</v>
      </c>
      <c r="BQ67" s="667"/>
      <c r="BR67" s="670">
        <f>IF(AW68=0,0,             IF(ISNUMBER(BQ67),BQ67,             IF(ISTEXT(BQ67),INDEX(BH67:BO67,MATCH(BQ67,$BH$17:$BO$17,0)),           IF(BP67="INT",_xll.qInterp(AW68,AZ67:BG67,BH67:BO67),       INDEX(BH67:BO67,MATCH(BP67,$BH$17:$BO$17,0))))))</f>
        <v>0</v>
      </c>
      <c r="BS67" s="731">
        <f t="shared" si="5"/>
        <v>0</v>
      </c>
      <c r="BT67" s="406">
        <f t="shared" si="6"/>
        <v>0</v>
      </c>
      <c r="BU67" s="284">
        <f>IF($AW68,_xll.qDateYears($AW67,$AW68,DCC_Leg2_Fixed),0)</f>
        <v>0</v>
      </c>
      <c r="BV67" s="284">
        <f>IF($AW68,_xll.qDateYears($AW67,$AW68,DCC_Leg2_Float),0)</f>
        <v>0</v>
      </c>
      <c r="BX67" s="350">
        <f t="shared" si="11"/>
        <v>0</v>
      </c>
      <c r="BY67" s="375">
        <f>IF(GenType_2a="Fixed",GenRate_2a%*$BT66*BU66,          IF(GenType_2a="Float",$BT66*(_xll.qGetFwdRate($J$18,$AW66,$AW67,"T",DCC_Leg2_Float)%+GenRate_2a%%)*$BV66,        IF(GenType_2a="bp (Fixed)",GenRate_2a%%*$BU66*$BT66,   IF(GenType_2a="bp (Float)",GenRate_2a%%*$BT66*$BV66,0))))</f>
        <v>0</v>
      </c>
      <c r="BZ67" s="561"/>
      <c r="CB67" s="341">
        <f t="shared" si="15"/>
        <v>0</v>
      </c>
      <c r="CC67" s="563"/>
      <c r="CD67" s="356"/>
      <c r="CE67" s="341">
        <v>0</v>
      </c>
      <c r="CF67" s="563"/>
      <c r="CG67" s="356"/>
    </row>
    <row r="68" spans="15:85">
      <c r="O68" s="122">
        <v>0</v>
      </c>
      <c r="P68" s="128">
        <f t="shared" si="0"/>
        <v>0</v>
      </c>
      <c r="Q68" s="126">
        <v>0</v>
      </c>
      <c r="R68" s="699">
        <f>IF($O69=0,0,        _xll.qDateNext($O68,R$17,"M",TRUE,Currency1))</f>
        <v>0</v>
      </c>
      <c r="S68" s="699">
        <f>IF($O69=0,0,        _xll.qDateNext($O68,S$17,"M",TRUE,Currency1))</f>
        <v>0</v>
      </c>
      <c r="T68" s="699">
        <f>IF($O69=0,0,        _xll.qDateNext($O68,T$17,"M",TRUE,Currency1))</f>
        <v>0</v>
      </c>
      <c r="U68" s="699">
        <f>IF($O69=0,0,        _xll.qDateNext($O68,U$17,"M",TRUE,Currency1))</f>
        <v>0</v>
      </c>
      <c r="V68" s="699">
        <f>IF($O69=0,0,        _xll.qDateNext($O68,V$17,"M",TRUE,Currency1))</f>
        <v>0</v>
      </c>
      <c r="W68" s="699">
        <f>IF($O69=0,0,        _xll.qDateNext($O68,W$17,"M",TRUE,Currency1))</f>
        <v>0</v>
      </c>
      <c r="X68" s="699">
        <f>IF($O69=0,0,        _xll.qDateNext($O68,X$17,"M",TRUE,Currency1))</f>
        <v>0</v>
      </c>
      <c r="Y68" s="699">
        <f>IF($O69=0,0,        _xll.qDateNext($O68,Y$17,"M",TRUE,Currency1))</f>
        <v>0</v>
      </c>
      <c r="Z68" s="703">
        <f>IF($O69=0,0,           IF(FRM,_xll.qGetFwdRate(Z$14,$O68,R68,"T",DCC_Leg1_Float),_xll.qGetFwdRate(Z$14,$O68,$O69,"T",DCC_Leg1_Float)))</f>
        <v>0</v>
      </c>
      <c r="AA68" s="703">
        <f>IF($O69=0,0,           IF(FRM,_xll.qGetFwdRate(AA$14,$O68,S68,"T",DCC_Leg1_Float),_xll.qGetFwdRate(AA$14,$O68,$O69,"T",DCC_Leg1_Float)))</f>
        <v>0</v>
      </c>
      <c r="AB68" s="703">
        <f t="shared" si="1"/>
        <v>0</v>
      </c>
      <c r="AC68" s="703">
        <f>IF($O69=0,0,           IF(FRM,_xll.qGetFwdRate(AC$14,$O68,U68,"T",DCC_Leg1_Float),_xll.qGetFwdRate(AC$14,$O68,$O69,"T",DCC_Leg1_Float)))</f>
        <v>0</v>
      </c>
      <c r="AD68" s="703">
        <f t="shared" si="7"/>
        <v>0</v>
      </c>
      <c r="AE68" s="703">
        <f t="shared" si="8"/>
        <v>0</v>
      </c>
      <c r="AF68" s="703">
        <f>IF($O69=0,0,           IF(FRM,_xll.qGetFwdRate(AF$14,$O68,X68,"T",DCC_Leg1_Float),_xll.qGetFwdRate(AF$14,$O68,$O69,"T",DCC_Leg1_Float)))</f>
        <v>0</v>
      </c>
      <c r="AG68" s="703">
        <f>IF($O69=0,0,           IF(FRM,_xll.qGetFwdRate(AG$14,$O68,Y68,"T",DCC_Leg1_Float),_xll.qGetFwdRate(AG$14,$O68,$O69,"T",DCC_Leg1_Float)))</f>
        <v>0</v>
      </c>
      <c r="AH68" s="685">
        <v>0</v>
      </c>
      <c r="AI68" s="667"/>
      <c r="AJ68" s="670">
        <f>IF(O69=0,0,             IF(ISNUMBER(AI68),AI68,             IF(ISTEXT(AI68),INDEX(Z68:AG68,MATCH(AI68,$Z$17:$AG$17,0)),           IF(AH68="INT",_xll.qInterp(O69,R68:Y68,Z68:AG68),       INDEX(Z68:AG68,MATCH(AH68,$Z$17:$AG$17,0))))))</f>
        <v>0</v>
      </c>
      <c r="AK68" s="732">
        <v>100</v>
      </c>
      <c r="AL68" s="721">
        <f t="shared" si="2"/>
        <v>0</v>
      </c>
      <c r="AM68" s="284">
        <f>IF($O69,_xll.qDateYears($O68,$O69,DCC_Leg1_Fixed),0)</f>
        <v>0</v>
      </c>
      <c r="AN68" s="284">
        <f>IF($O69,_xll.qDateYears($O68,$O69,DCC_Leg1_Float),0)</f>
        <v>0</v>
      </c>
      <c r="AP68" s="350">
        <f t="shared" si="9"/>
        <v>0</v>
      </c>
      <c r="AQ68" s="375">
        <f>IF(GenType_1a="Fixed",GenRate_1a%*$AL67*AM67,          IF(GenType_1a="Float",$AL67*(_xll.qGetFwdRate($D$18,$O67,$O68,"T",DCC_Leg1_Float)%+GenRate_1a%%)*$AN67,        IF(GenType_1a="bp (Fixed)",GenRate_1a%%*$AM67*$AL67,   IF(GenType_1a="bp (Float)",GenRate_1a%%*$AL67*$AN67,0))))</f>
        <v>0</v>
      </c>
      <c r="AR68" s="561"/>
      <c r="AT68" s="341">
        <f t="shared" si="14"/>
        <v>0</v>
      </c>
      <c r="AV68" s="356"/>
      <c r="AW68" s="122">
        <v>0</v>
      </c>
      <c r="AX68" s="128">
        <f t="shared" si="3"/>
        <v>0</v>
      </c>
      <c r="AY68" s="357">
        <v>0</v>
      </c>
      <c r="AZ68" s="699">
        <f>IF($AW69=0,0,        _xll.qDateNext($AW68,AZ$17,"M",TRUE,Currency2))</f>
        <v>0</v>
      </c>
      <c r="BA68" s="699">
        <f>IF($AW69=0,0,        _xll.qDateNext($AW68,BA$17,"M",TRUE,Currency2))</f>
        <v>0</v>
      </c>
      <c r="BB68" s="699">
        <f>IF($AW69=0,0,        _xll.qDateNext($AW68,BB$17,"M",TRUE,Currency2))</f>
        <v>0</v>
      </c>
      <c r="BC68" s="699">
        <f>IF($AW69=0,0,        _xll.qDateNext($AW68,BC$17,"M",TRUE,Currency2))</f>
        <v>0</v>
      </c>
      <c r="BD68" s="699">
        <f>IF($AW69=0,0,        _xll.qDateNext($AW68,BD$17,"M",TRUE,Currency2))</f>
        <v>0</v>
      </c>
      <c r="BE68" s="699">
        <f>IF($AW69=0,0,        _xll.qDateNext($AW68,BE$17,"M",TRUE,Currency2))</f>
        <v>0</v>
      </c>
      <c r="BF68" s="699">
        <f>IF($AW69=0,0,        _xll.qDateNext($AW68,BF$17,"M",TRUE,Currency2))</f>
        <v>0</v>
      </c>
      <c r="BG68" s="699">
        <f>IF($AW69=0,0,        _xll.qDateNext($AW68,BG$17,"M",TRUE,Currency2))</f>
        <v>0</v>
      </c>
      <c r="BH68" s="703">
        <v>0</v>
      </c>
      <c r="BI68" s="703">
        <v>0</v>
      </c>
      <c r="BJ68" s="703">
        <v>0</v>
      </c>
      <c r="BK68" s="703">
        <v>0</v>
      </c>
      <c r="BL68" s="703">
        <f t="shared" si="4"/>
        <v>0</v>
      </c>
      <c r="BM68" s="703">
        <f t="shared" si="10"/>
        <v>0</v>
      </c>
      <c r="BN68" s="703">
        <v>0</v>
      </c>
      <c r="BO68" s="703">
        <v>0</v>
      </c>
      <c r="BP68" s="685">
        <v>0</v>
      </c>
      <c r="BQ68" s="667"/>
      <c r="BR68" s="670">
        <f>IF(AW69=0,0,             IF(ISNUMBER(BQ68),BQ68,             IF(ISTEXT(BQ68),INDEX(BH68:BO68,MATCH(BQ68,$BH$17:$BO$17,0)),           IF(BP68="INT",_xll.qInterp(AW69,AZ68:BG68,BH68:BO68),       INDEX(BH68:BO68,MATCH(BP68,$BH$17:$BO$17,0))))))</f>
        <v>0</v>
      </c>
      <c r="BS68" s="731">
        <f t="shared" si="5"/>
        <v>0</v>
      </c>
      <c r="BT68" s="406">
        <f t="shared" si="6"/>
        <v>0</v>
      </c>
      <c r="BU68" s="284">
        <f>IF($AW69,_xll.qDateYears($AW68,$AW69,DCC_Leg2_Fixed),0)</f>
        <v>0</v>
      </c>
      <c r="BV68" s="284">
        <f>IF($AW69,_xll.qDateYears($AW68,$AW69,DCC_Leg2_Float),0)</f>
        <v>0</v>
      </c>
      <c r="BX68" s="350">
        <f t="shared" si="11"/>
        <v>0</v>
      </c>
      <c r="BY68" s="375">
        <f>IF(GenType_2a="Fixed",GenRate_2a%*$BT67*BU67,          IF(GenType_2a="Float",$BT67*(_xll.qGetFwdRate($J$18,$AW67,$AW68,"T",DCC_Leg2_Float)%+GenRate_2a%%)*$BV67,        IF(GenType_2a="bp (Fixed)",GenRate_2a%%*$BU67*$BT67,   IF(GenType_2a="bp (Float)",GenRate_2a%%*$BT67*$BV67,0))))</f>
        <v>0</v>
      </c>
      <c r="BZ68" s="561"/>
      <c r="CB68" s="341">
        <f t="shared" si="15"/>
        <v>0</v>
      </c>
      <c r="CC68" s="563"/>
      <c r="CD68" s="356"/>
      <c r="CE68" s="341">
        <v>0</v>
      </c>
      <c r="CF68" s="563"/>
      <c r="CG68" s="356"/>
    </row>
    <row r="69" spans="15:85">
      <c r="O69" s="122">
        <v>0</v>
      </c>
      <c r="P69" s="128">
        <f t="shared" si="0"/>
        <v>0</v>
      </c>
      <c r="Q69" s="126">
        <v>0</v>
      </c>
      <c r="R69" s="699">
        <f>IF($O70=0,0,        _xll.qDateNext($O69,R$17,"M",TRUE,Currency1))</f>
        <v>0</v>
      </c>
      <c r="S69" s="699">
        <f>IF($O70=0,0,        _xll.qDateNext($O69,S$17,"M",TRUE,Currency1))</f>
        <v>0</v>
      </c>
      <c r="T69" s="699">
        <f>IF($O70=0,0,        _xll.qDateNext($O69,T$17,"M",TRUE,Currency1))</f>
        <v>0</v>
      </c>
      <c r="U69" s="699">
        <f>IF($O70=0,0,        _xll.qDateNext($O69,U$17,"M",TRUE,Currency1))</f>
        <v>0</v>
      </c>
      <c r="V69" s="699">
        <f>IF($O70=0,0,        _xll.qDateNext($O69,V$17,"M",TRUE,Currency1))</f>
        <v>0</v>
      </c>
      <c r="W69" s="699">
        <f>IF($O70=0,0,        _xll.qDateNext($O69,W$17,"M",TRUE,Currency1))</f>
        <v>0</v>
      </c>
      <c r="X69" s="699">
        <f>IF($O70=0,0,        _xll.qDateNext($O69,X$17,"M",TRUE,Currency1))</f>
        <v>0</v>
      </c>
      <c r="Y69" s="699">
        <f>IF($O70=0,0,        _xll.qDateNext($O69,Y$17,"M",TRUE,Currency1))</f>
        <v>0</v>
      </c>
      <c r="Z69" s="703">
        <f>IF($O70=0,0,           IF(FRM,_xll.qGetFwdRate(Z$14,$O69,R69,"T",DCC_Leg1_Float),_xll.qGetFwdRate(Z$14,$O69,$O70,"T",DCC_Leg1_Float)))</f>
        <v>0</v>
      </c>
      <c r="AA69" s="703">
        <f>IF($O70=0,0,           IF(FRM,_xll.qGetFwdRate(AA$14,$O69,S69,"T",DCC_Leg1_Float),_xll.qGetFwdRate(AA$14,$O69,$O70,"T",DCC_Leg1_Float)))</f>
        <v>0</v>
      </c>
      <c r="AB69" s="703">
        <f t="shared" si="1"/>
        <v>0</v>
      </c>
      <c r="AC69" s="703">
        <f>IF($O70=0,0,           IF(FRM,_xll.qGetFwdRate(AC$14,$O69,U69,"T",DCC_Leg1_Float),_xll.qGetFwdRate(AC$14,$O69,$O70,"T",DCC_Leg1_Float)))</f>
        <v>0</v>
      </c>
      <c r="AD69" s="703">
        <f t="shared" si="7"/>
        <v>0</v>
      </c>
      <c r="AE69" s="703">
        <f t="shared" si="8"/>
        <v>0</v>
      </c>
      <c r="AF69" s="703">
        <f>IF($O70=0,0,           IF(FRM,_xll.qGetFwdRate(AF$14,$O69,X69,"T",DCC_Leg1_Float),_xll.qGetFwdRate(AF$14,$O69,$O70,"T",DCC_Leg1_Float)))</f>
        <v>0</v>
      </c>
      <c r="AG69" s="703">
        <f>IF($O70=0,0,           IF(FRM,_xll.qGetFwdRate(AG$14,$O69,Y69,"T",DCC_Leg1_Float),_xll.qGetFwdRate(AG$14,$O69,$O70,"T",DCC_Leg1_Float)))</f>
        <v>0</v>
      </c>
      <c r="AH69" s="685">
        <v>0</v>
      </c>
      <c r="AI69" s="667"/>
      <c r="AJ69" s="670">
        <f>IF(O70=0,0,             IF(ISNUMBER(AI69),AI69,             IF(ISTEXT(AI69),INDEX(Z69:AG69,MATCH(AI69,$Z$17:$AG$17,0)),           IF(AH69="INT",_xll.qInterp(O70,R69:Y69,Z69:AG69),       INDEX(Z69:AG69,MATCH(AH69,$Z$17:$AG$17,0))))))</f>
        <v>0</v>
      </c>
      <c r="AK69" s="732">
        <v>100</v>
      </c>
      <c r="AL69" s="721">
        <f t="shared" si="2"/>
        <v>0</v>
      </c>
      <c r="AM69" s="284">
        <f>IF($O70,_xll.qDateYears($O69,$O70,DCC_Leg1_Fixed),0)</f>
        <v>0</v>
      </c>
      <c r="AN69" s="284">
        <f>IF($O70,_xll.qDateYears($O69,$O70,DCC_Leg1_Float),0)</f>
        <v>0</v>
      </c>
      <c r="AP69" s="350">
        <f t="shared" si="9"/>
        <v>0</v>
      </c>
      <c r="AQ69" s="375">
        <f>IF(GenType_1a="Fixed",GenRate_1a%*$AL68*AM68,          IF(GenType_1a="Float",$AL68*(_xll.qGetFwdRate($D$18,$O68,$O69,"T",DCC_Leg1_Float)%+GenRate_1a%%)*$AN68,        IF(GenType_1a="bp (Fixed)",GenRate_1a%%*$AM68*$AL68,   IF(GenType_1a="bp (Float)",GenRate_1a%%*$AL68*$AN68,0))))</f>
        <v>0</v>
      </c>
      <c r="AR69" s="561"/>
      <c r="AT69" s="341">
        <f t="shared" si="14"/>
        <v>0</v>
      </c>
      <c r="AV69" s="356"/>
      <c r="AW69" s="122">
        <v>0</v>
      </c>
      <c r="AX69" s="128">
        <f t="shared" si="3"/>
        <v>0</v>
      </c>
      <c r="AY69" s="357">
        <v>0</v>
      </c>
      <c r="AZ69" s="699">
        <f>IF($AW70=0,0,        _xll.qDateNext($AW69,AZ$17,"M",TRUE,Currency2))</f>
        <v>0</v>
      </c>
      <c r="BA69" s="699">
        <f>IF($AW70=0,0,        _xll.qDateNext($AW69,BA$17,"M",TRUE,Currency2))</f>
        <v>0</v>
      </c>
      <c r="BB69" s="699">
        <f>IF($AW70=0,0,        _xll.qDateNext($AW69,BB$17,"M",TRUE,Currency2))</f>
        <v>0</v>
      </c>
      <c r="BC69" s="699">
        <f>IF($AW70=0,0,        _xll.qDateNext($AW69,BC$17,"M",TRUE,Currency2))</f>
        <v>0</v>
      </c>
      <c r="BD69" s="699">
        <f>IF($AW70=0,0,        _xll.qDateNext($AW69,BD$17,"M",TRUE,Currency2))</f>
        <v>0</v>
      </c>
      <c r="BE69" s="699">
        <f>IF($AW70=0,0,        _xll.qDateNext($AW69,BE$17,"M",TRUE,Currency2))</f>
        <v>0</v>
      </c>
      <c r="BF69" s="699">
        <f>IF($AW70=0,0,        _xll.qDateNext($AW69,BF$17,"M",TRUE,Currency2))</f>
        <v>0</v>
      </c>
      <c r="BG69" s="699">
        <f>IF($AW70=0,0,        _xll.qDateNext($AW69,BG$17,"M",TRUE,Currency2))</f>
        <v>0</v>
      </c>
      <c r="BH69" s="703">
        <v>0</v>
      </c>
      <c r="BI69" s="703">
        <v>0</v>
      </c>
      <c r="BJ69" s="703">
        <v>0</v>
      </c>
      <c r="BK69" s="703">
        <v>0</v>
      </c>
      <c r="BL69" s="703">
        <f t="shared" si="4"/>
        <v>0</v>
      </c>
      <c r="BM69" s="703">
        <f t="shared" si="10"/>
        <v>0</v>
      </c>
      <c r="BN69" s="703">
        <v>0</v>
      </c>
      <c r="BO69" s="703">
        <v>0</v>
      </c>
      <c r="BP69" s="685">
        <v>0</v>
      </c>
      <c r="BQ69" s="667"/>
      <c r="BR69" s="670">
        <f>IF(AW70=0,0,             IF(ISNUMBER(BQ69),BQ69,             IF(ISTEXT(BQ69),INDEX(BH69:BO69,MATCH(BQ69,$BH$17:$BO$17,0)),           IF(BP69="INT",_xll.qInterp(AW70,AZ69:BG69,BH69:BO69),       INDEX(BH69:BO69,MATCH(BP69,$BH$17:$BO$17,0))))))</f>
        <v>0</v>
      </c>
      <c r="BS69" s="731">
        <f t="shared" si="5"/>
        <v>0</v>
      </c>
      <c r="BT69" s="406">
        <f t="shared" si="6"/>
        <v>0</v>
      </c>
      <c r="BU69" s="284">
        <f>IF($AW70,_xll.qDateYears($AW69,$AW70,DCC_Leg2_Fixed),0)</f>
        <v>0</v>
      </c>
      <c r="BV69" s="284">
        <f>IF($AW70,_xll.qDateYears($AW69,$AW70,DCC_Leg2_Float),0)</f>
        <v>0</v>
      </c>
      <c r="BX69" s="350">
        <f t="shared" si="11"/>
        <v>0</v>
      </c>
      <c r="BY69" s="375">
        <f>IF(GenType_2a="Fixed",GenRate_2a%*$BT68*BU68,          IF(GenType_2a="Float",$BT68*(_xll.qGetFwdRate($J$18,$AW68,$AW69,"T",DCC_Leg2_Float)%+GenRate_2a%%)*$BV68,        IF(GenType_2a="bp (Fixed)",GenRate_2a%%*$BU68*$BT68,   IF(GenType_2a="bp (Float)",GenRate_2a%%*$BT68*$BV68,0))))</f>
        <v>0</v>
      </c>
      <c r="BZ69" s="561"/>
      <c r="CB69" s="341">
        <f t="shared" si="15"/>
        <v>0</v>
      </c>
      <c r="CC69" s="563"/>
      <c r="CD69" s="356"/>
      <c r="CE69" s="341">
        <v>0</v>
      </c>
      <c r="CF69" s="563"/>
      <c r="CG69" s="356"/>
    </row>
    <row r="70" spans="15:85">
      <c r="O70" s="122">
        <v>0</v>
      </c>
      <c r="P70" s="128">
        <f t="shared" si="0"/>
        <v>0</v>
      </c>
      <c r="Q70" s="126">
        <v>0</v>
      </c>
      <c r="R70" s="699">
        <f>IF($O71=0,0,        _xll.qDateNext($O70,R$17,"M",TRUE,Currency1))</f>
        <v>0</v>
      </c>
      <c r="S70" s="699">
        <f>IF($O71=0,0,        _xll.qDateNext($O70,S$17,"M",TRUE,Currency1))</f>
        <v>0</v>
      </c>
      <c r="T70" s="699">
        <f>IF($O71=0,0,        _xll.qDateNext($O70,T$17,"M",TRUE,Currency1))</f>
        <v>0</v>
      </c>
      <c r="U70" s="699">
        <f>IF($O71=0,0,        _xll.qDateNext($O70,U$17,"M",TRUE,Currency1))</f>
        <v>0</v>
      </c>
      <c r="V70" s="699">
        <f>IF($O71=0,0,        _xll.qDateNext($O70,V$17,"M",TRUE,Currency1))</f>
        <v>0</v>
      </c>
      <c r="W70" s="699">
        <f>IF($O71=0,0,        _xll.qDateNext($O70,W$17,"M",TRUE,Currency1))</f>
        <v>0</v>
      </c>
      <c r="X70" s="699">
        <f>IF($O71=0,0,        _xll.qDateNext($O70,X$17,"M",TRUE,Currency1))</f>
        <v>0</v>
      </c>
      <c r="Y70" s="699">
        <f>IF($O71=0,0,        _xll.qDateNext($O70,Y$17,"M",TRUE,Currency1))</f>
        <v>0</v>
      </c>
      <c r="Z70" s="703">
        <f>IF($O71=0,0,           IF(FRM,_xll.qGetFwdRate(Z$14,$O70,R70,"T",DCC_Leg1_Float),_xll.qGetFwdRate(Z$14,$O70,$O71,"T",DCC_Leg1_Float)))</f>
        <v>0</v>
      </c>
      <c r="AA70" s="703">
        <f>IF($O71=0,0,           IF(FRM,_xll.qGetFwdRate(AA$14,$O70,S70,"T",DCC_Leg1_Float),_xll.qGetFwdRate(AA$14,$O70,$O71,"T",DCC_Leg1_Float)))</f>
        <v>0</v>
      </c>
      <c r="AB70" s="703">
        <f t="shared" si="1"/>
        <v>0</v>
      </c>
      <c r="AC70" s="703">
        <f>IF($O71=0,0,           IF(FRM,_xll.qGetFwdRate(AC$14,$O70,U70,"T",DCC_Leg1_Float),_xll.qGetFwdRate(AC$14,$O70,$O71,"T",DCC_Leg1_Float)))</f>
        <v>0</v>
      </c>
      <c r="AD70" s="703">
        <f t="shared" si="7"/>
        <v>0</v>
      </c>
      <c r="AE70" s="703">
        <f t="shared" si="8"/>
        <v>0</v>
      </c>
      <c r="AF70" s="703">
        <f>IF($O71=0,0,           IF(FRM,_xll.qGetFwdRate(AF$14,$O70,X70,"T",DCC_Leg1_Float),_xll.qGetFwdRate(AF$14,$O70,$O71,"T",DCC_Leg1_Float)))</f>
        <v>0</v>
      </c>
      <c r="AG70" s="703">
        <f>IF($O71=0,0,           IF(FRM,_xll.qGetFwdRate(AG$14,$O70,Y70,"T",DCC_Leg1_Float),_xll.qGetFwdRate(AG$14,$O70,$O71,"T",DCC_Leg1_Float)))</f>
        <v>0</v>
      </c>
      <c r="AH70" s="685">
        <v>0</v>
      </c>
      <c r="AI70" s="667"/>
      <c r="AJ70" s="670">
        <f>IF(O71=0,0,             IF(ISNUMBER(AI70),AI70,             IF(ISTEXT(AI70),INDEX(Z70:AG70,MATCH(AI70,$Z$17:$AG$17,0)),           IF(AH70="INT",_xll.qInterp(O71,R70:Y70,Z70:AG70),       INDEX(Z70:AG70,MATCH(AH70,$Z$17:$AG$17,0))))))</f>
        <v>0</v>
      </c>
      <c r="AK70" s="732">
        <v>100</v>
      </c>
      <c r="AL70" s="721">
        <f t="shared" si="2"/>
        <v>0</v>
      </c>
      <c r="AM70" s="284">
        <f>IF($O71,_xll.qDateYears($O70,$O71,DCC_Leg1_Fixed),0)</f>
        <v>0</v>
      </c>
      <c r="AN70" s="284">
        <f>IF($O71,_xll.qDateYears($O70,$O71,DCC_Leg1_Float),0)</f>
        <v>0</v>
      </c>
      <c r="AP70" s="350">
        <f t="shared" si="9"/>
        <v>0</v>
      </c>
      <c r="AQ70" s="375">
        <f>IF(GenType_1a="Fixed",GenRate_1a%*$AL69*AM69,          IF(GenType_1a="Float",$AL69*(_xll.qGetFwdRate($D$18,$O69,$O70,"T",DCC_Leg1_Float)%+GenRate_1a%%)*$AN69,        IF(GenType_1a="bp (Fixed)",GenRate_1a%%*$AM69*$AL69,   IF(GenType_1a="bp (Float)",GenRate_1a%%*$AL69*$AN69,0))))</f>
        <v>0</v>
      </c>
      <c r="AR70" s="561"/>
      <c r="AT70" s="341">
        <f t="shared" si="14"/>
        <v>0</v>
      </c>
      <c r="AV70" s="356"/>
      <c r="AW70" s="122">
        <v>0</v>
      </c>
      <c r="AX70" s="128">
        <f t="shared" si="3"/>
        <v>0</v>
      </c>
      <c r="AY70" s="357">
        <v>0</v>
      </c>
      <c r="AZ70" s="699">
        <f>IF($AW71=0,0,        _xll.qDateNext($AW70,AZ$17,"M",TRUE,Currency2))</f>
        <v>0</v>
      </c>
      <c r="BA70" s="699">
        <f>IF($AW71=0,0,        _xll.qDateNext($AW70,BA$17,"M",TRUE,Currency2))</f>
        <v>0</v>
      </c>
      <c r="BB70" s="699">
        <f>IF($AW71=0,0,        _xll.qDateNext($AW70,BB$17,"M",TRUE,Currency2))</f>
        <v>0</v>
      </c>
      <c r="BC70" s="699">
        <f>IF($AW71=0,0,        _xll.qDateNext($AW70,BC$17,"M",TRUE,Currency2))</f>
        <v>0</v>
      </c>
      <c r="BD70" s="699">
        <f>IF($AW71=0,0,        _xll.qDateNext($AW70,BD$17,"M",TRUE,Currency2))</f>
        <v>0</v>
      </c>
      <c r="BE70" s="699">
        <f>IF($AW71=0,0,        _xll.qDateNext($AW70,BE$17,"M",TRUE,Currency2))</f>
        <v>0</v>
      </c>
      <c r="BF70" s="699">
        <f>IF($AW71=0,0,        _xll.qDateNext($AW70,BF$17,"M",TRUE,Currency2))</f>
        <v>0</v>
      </c>
      <c r="BG70" s="699">
        <f>IF($AW71=0,0,        _xll.qDateNext($AW70,BG$17,"M",TRUE,Currency2))</f>
        <v>0</v>
      </c>
      <c r="BH70" s="703">
        <v>0</v>
      </c>
      <c r="BI70" s="703">
        <v>0</v>
      </c>
      <c r="BJ70" s="703">
        <v>0</v>
      </c>
      <c r="BK70" s="703">
        <v>0</v>
      </c>
      <c r="BL70" s="703">
        <f t="shared" si="4"/>
        <v>0</v>
      </c>
      <c r="BM70" s="703">
        <f t="shared" si="10"/>
        <v>0</v>
      </c>
      <c r="BN70" s="703">
        <v>0</v>
      </c>
      <c r="BO70" s="703">
        <v>0</v>
      </c>
      <c r="BP70" s="685">
        <v>0</v>
      </c>
      <c r="BQ70" s="667"/>
      <c r="BR70" s="670">
        <f>IF(AW71=0,0,             IF(ISNUMBER(BQ70),BQ70,             IF(ISTEXT(BQ70),INDEX(BH70:BO70,MATCH(BQ70,$BH$17:$BO$17,0)),           IF(BP70="INT",_xll.qInterp(AW71,AZ70:BG70,BH70:BO70),       INDEX(BH70:BO70,MATCH(BP70,$BH$17:$BO$17,0))))))</f>
        <v>0</v>
      </c>
      <c r="BS70" s="731">
        <f t="shared" si="5"/>
        <v>0</v>
      </c>
      <c r="BT70" s="406">
        <f t="shared" si="6"/>
        <v>0</v>
      </c>
      <c r="BU70" s="284">
        <f>IF($AW71,_xll.qDateYears($AW70,$AW71,DCC_Leg2_Fixed),0)</f>
        <v>0</v>
      </c>
      <c r="BV70" s="284">
        <f>IF($AW71,_xll.qDateYears($AW70,$AW71,DCC_Leg2_Float),0)</f>
        <v>0</v>
      </c>
      <c r="BX70" s="350">
        <f t="shared" si="11"/>
        <v>0</v>
      </c>
      <c r="BY70" s="375">
        <f>IF(GenType_2a="Fixed",GenRate_2a%*$BT69*BU69,          IF(GenType_2a="Float",$BT69*(_xll.qGetFwdRate($J$18,$AW69,$AW70,"T",DCC_Leg2_Float)%+GenRate_2a%%)*$BV69,        IF(GenType_2a="bp (Fixed)",GenRate_2a%%*$BU69*$BT69,   IF(GenType_2a="bp (Float)",GenRate_2a%%*$BT69*$BV69,0))))</f>
        <v>0</v>
      </c>
      <c r="BZ70" s="561"/>
      <c r="CB70" s="341">
        <f t="shared" si="15"/>
        <v>0</v>
      </c>
      <c r="CC70" s="563"/>
      <c r="CD70" s="356"/>
      <c r="CE70" s="341">
        <v>0</v>
      </c>
      <c r="CF70" s="563"/>
      <c r="CG70" s="356"/>
    </row>
    <row r="71" spans="15:85">
      <c r="O71" s="122">
        <v>0</v>
      </c>
      <c r="P71" s="128">
        <f t="shared" si="0"/>
        <v>0</v>
      </c>
      <c r="Q71" s="126">
        <v>0</v>
      </c>
      <c r="R71" s="699">
        <f>IF($O72=0,0,        _xll.qDateNext($O71,R$17,"M",TRUE,Currency1))</f>
        <v>0</v>
      </c>
      <c r="S71" s="699">
        <f>IF($O72=0,0,        _xll.qDateNext($O71,S$17,"M",TRUE,Currency1))</f>
        <v>0</v>
      </c>
      <c r="T71" s="699">
        <f>IF($O72=0,0,        _xll.qDateNext($O71,T$17,"M",TRUE,Currency1))</f>
        <v>0</v>
      </c>
      <c r="U71" s="699">
        <f>IF($O72=0,0,        _xll.qDateNext($O71,U$17,"M",TRUE,Currency1))</f>
        <v>0</v>
      </c>
      <c r="V71" s="699">
        <f>IF($O72=0,0,        _xll.qDateNext($O71,V$17,"M",TRUE,Currency1))</f>
        <v>0</v>
      </c>
      <c r="W71" s="699">
        <f>IF($O72=0,0,        _xll.qDateNext($O71,W$17,"M",TRUE,Currency1))</f>
        <v>0</v>
      </c>
      <c r="X71" s="699">
        <f>IF($O72=0,0,        _xll.qDateNext($O71,X$17,"M",TRUE,Currency1))</f>
        <v>0</v>
      </c>
      <c r="Y71" s="699">
        <f>IF($O72=0,0,        _xll.qDateNext($O71,Y$17,"M",TRUE,Currency1))</f>
        <v>0</v>
      </c>
      <c r="Z71" s="703">
        <f>IF($O72=0,0,           IF(FRM,_xll.qGetFwdRate(Z$14,$O71,R71,"T",DCC_Leg1_Float),_xll.qGetFwdRate(Z$14,$O71,$O72,"T",DCC_Leg1_Float)))</f>
        <v>0</v>
      </c>
      <c r="AA71" s="703">
        <f>IF($O72=0,0,           IF(FRM,_xll.qGetFwdRate(AA$14,$O71,S71,"T",DCC_Leg1_Float),_xll.qGetFwdRate(AA$14,$O71,$O72,"T",DCC_Leg1_Float)))</f>
        <v>0</v>
      </c>
      <c r="AB71" s="703">
        <f t="shared" si="1"/>
        <v>0</v>
      </c>
      <c r="AC71" s="703">
        <f>IF($O72=0,0,           IF(FRM,_xll.qGetFwdRate(AC$14,$O71,U71,"T",DCC_Leg1_Float),_xll.qGetFwdRate(AC$14,$O71,$O72,"T",DCC_Leg1_Float)))</f>
        <v>0</v>
      </c>
      <c r="AD71" s="703">
        <f t="shared" si="7"/>
        <v>0</v>
      </c>
      <c r="AE71" s="703">
        <f t="shared" si="8"/>
        <v>0</v>
      </c>
      <c r="AF71" s="703">
        <f>IF($O72=0,0,           IF(FRM,_xll.qGetFwdRate(AF$14,$O71,X71,"T",DCC_Leg1_Float),_xll.qGetFwdRate(AF$14,$O71,$O72,"T",DCC_Leg1_Float)))</f>
        <v>0</v>
      </c>
      <c r="AG71" s="703">
        <f>IF($O72=0,0,           IF(FRM,_xll.qGetFwdRate(AG$14,$O71,Y71,"T",DCC_Leg1_Float),_xll.qGetFwdRate(AG$14,$O71,$O72,"T",DCC_Leg1_Float)))</f>
        <v>0</v>
      </c>
      <c r="AH71" s="685">
        <v>0</v>
      </c>
      <c r="AI71" s="667"/>
      <c r="AJ71" s="670">
        <f>IF(O72=0,0,             IF(ISNUMBER(AI71),AI71,             IF(ISTEXT(AI71),INDEX(Z71:AG71,MATCH(AI71,$Z$17:$AG$17,0)),           IF(AH71="INT",_xll.qInterp(O72,R71:Y71,Z71:AG71),       INDEX(Z71:AG71,MATCH(AH71,$Z$17:$AG$17,0))))))</f>
        <v>0</v>
      </c>
      <c r="AK71" s="732">
        <v>100</v>
      </c>
      <c r="AL71" s="721">
        <f t="shared" si="2"/>
        <v>0</v>
      </c>
      <c r="AM71" s="284">
        <f>IF($O72,_xll.qDateYears($O71,$O72,DCC_Leg1_Fixed),0)</f>
        <v>0</v>
      </c>
      <c r="AN71" s="284">
        <f>IF($O72,_xll.qDateYears($O71,$O72,DCC_Leg1_Float),0)</f>
        <v>0</v>
      </c>
      <c r="AP71" s="350">
        <f t="shared" si="9"/>
        <v>0</v>
      </c>
      <c r="AQ71" s="375">
        <f>IF(GenType_1a="Fixed",GenRate_1a%*$AL70*AM70,          IF(GenType_1a="Float",$AL70*(_xll.qGetFwdRate($D$18,$O70,$O71,"T",DCC_Leg1_Float)%+GenRate_1a%%)*$AN70,        IF(GenType_1a="bp (Fixed)",GenRate_1a%%*$AM70*$AL70,   IF(GenType_1a="bp (Float)",GenRate_1a%%*$AL70*$AN70,0))))</f>
        <v>0</v>
      </c>
      <c r="AR71" s="561"/>
      <c r="AT71" s="341">
        <f t="shared" si="14"/>
        <v>0</v>
      </c>
      <c r="AV71" s="356"/>
      <c r="AW71" s="122">
        <v>0</v>
      </c>
      <c r="AX71" s="128">
        <f t="shared" si="3"/>
        <v>0</v>
      </c>
      <c r="AY71" s="357">
        <v>0</v>
      </c>
      <c r="AZ71" s="699">
        <f>IF($AW72=0,0,        _xll.qDateNext($AW71,AZ$17,"M",TRUE,Currency2))</f>
        <v>0</v>
      </c>
      <c r="BA71" s="699">
        <f>IF($AW72=0,0,        _xll.qDateNext($AW71,BA$17,"M",TRUE,Currency2))</f>
        <v>0</v>
      </c>
      <c r="BB71" s="699">
        <f>IF($AW72=0,0,        _xll.qDateNext($AW71,BB$17,"M",TRUE,Currency2))</f>
        <v>0</v>
      </c>
      <c r="BC71" s="699">
        <f>IF($AW72=0,0,        _xll.qDateNext($AW71,BC$17,"M",TRUE,Currency2))</f>
        <v>0</v>
      </c>
      <c r="BD71" s="699">
        <f>IF($AW72=0,0,        _xll.qDateNext($AW71,BD$17,"M",TRUE,Currency2))</f>
        <v>0</v>
      </c>
      <c r="BE71" s="699">
        <f>IF($AW72=0,0,        _xll.qDateNext($AW71,BE$17,"M",TRUE,Currency2))</f>
        <v>0</v>
      </c>
      <c r="BF71" s="699">
        <f>IF($AW72=0,0,        _xll.qDateNext($AW71,BF$17,"M",TRUE,Currency2))</f>
        <v>0</v>
      </c>
      <c r="BG71" s="699">
        <f>IF($AW72=0,0,        _xll.qDateNext($AW71,BG$17,"M",TRUE,Currency2))</f>
        <v>0</v>
      </c>
      <c r="BH71" s="703">
        <v>0</v>
      </c>
      <c r="BI71" s="703">
        <v>0</v>
      </c>
      <c r="BJ71" s="703">
        <v>0</v>
      </c>
      <c r="BK71" s="703">
        <v>0</v>
      </c>
      <c r="BL71" s="703">
        <f t="shared" si="4"/>
        <v>0</v>
      </c>
      <c r="BM71" s="703">
        <f t="shared" si="10"/>
        <v>0</v>
      </c>
      <c r="BN71" s="703">
        <v>0</v>
      </c>
      <c r="BO71" s="703">
        <v>0</v>
      </c>
      <c r="BP71" s="685">
        <v>0</v>
      </c>
      <c r="BQ71" s="667"/>
      <c r="BR71" s="670">
        <f>IF(AW72=0,0,             IF(ISNUMBER(BQ71),BQ71,             IF(ISTEXT(BQ71),INDEX(BH71:BO71,MATCH(BQ71,$BH$17:$BO$17,0)),           IF(BP71="INT",_xll.qInterp(AW72,AZ71:BG71,BH71:BO71),       INDEX(BH71:BO71,MATCH(BP71,$BH$17:$BO$17,0))))))</f>
        <v>0</v>
      </c>
      <c r="BS71" s="731">
        <f t="shared" si="5"/>
        <v>0</v>
      </c>
      <c r="BT71" s="406">
        <f t="shared" si="6"/>
        <v>0</v>
      </c>
      <c r="BU71" s="284">
        <f>IF($AW72,_xll.qDateYears($AW71,$AW72,DCC_Leg2_Fixed),0)</f>
        <v>0</v>
      </c>
      <c r="BV71" s="284">
        <f>IF($AW72,_xll.qDateYears($AW71,$AW72,DCC_Leg2_Float),0)</f>
        <v>0</v>
      </c>
      <c r="BX71" s="350">
        <f t="shared" si="11"/>
        <v>0</v>
      </c>
      <c r="BY71" s="375">
        <f>IF(GenType_2a="Fixed",GenRate_2a%*$BT70*BU70,          IF(GenType_2a="Float",$BT70*(_xll.qGetFwdRate($J$18,$AW70,$AW71,"T",DCC_Leg2_Float)%+GenRate_2a%%)*$BV70,        IF(GenType_2a="bp (Fixed)",GenRate_2a%%*$BU70*$BT70,   IF(GenType_2a="bp (Float)",GenRate_2a%%*$BT70*$BV70,0))))</f>
        <v>0</v>
      </c>
      <c r="BZ71" s="561"/>
      <c r="CB71" s="341">
        <f t="shared" si="15"/>
        <v>0</v>
      </c>
      <c r="CC71" s="563"/>
      <c r="CD71" s="356"/>
      <c r="CE71" s="341">
        <v>0</v>
      </c>
      <c r="CF71" s="563"/>
      <c r="CG71" s="356"/>
    </row>
    <row r="72" spans="15:85">
      <c r="O72" s="122">
        <v>0</v>
      </c>
      <c r="P72" s="128">
        <f t="shared" si="0"/>
        <v>0</v>
      </c>
      <c r="Q72" s="126">
        <v>0</v>
      </c>
      <c r="R72" s="699">
        <f>IF($O73=0,0,        _xll.qDateNext($O72,R$17,"M",TRUE,Currency1))</f>
        <v>0</v>
      </c>
      <c r="S72" s="699">
        <f>IF($O73=0,0,        _xll.qDateNext($O72,S$17,"M",TRUE,Currency1))</f>
        <v>0</v>
      </c>
      <c r="T72" s="699">
        <f>IF($O73=0,0,        _xll.qDateNext($O72,T$17,"M",TRUE,Currency1))</f>
        <v>0</v>
      </c>
      <c r="U72" s="699">
        <f>IF($O73=0,0,        _xll.qDateNext($O72,U$17,"M",TRUE,Currency1))</f>
        <v>0</v>
      </c>
      <c r="V72" s="699">
        <f>IF($O73=0,0,        _xll.qDateNext($O72,V$17,"M",TRUE,Currency1))</f>
        <v>0</v>
      </c>
      <c r="W72" s="699">
        <f>IF($O73=0,0,        _xll.qDateNext($O72,W$17,"M",TRUE,Currency1))</f>
        <v>0</v>
      </c>
      <c r="X72" s="699">
        <f>IF($O73=0,0,        _xll.qDateNext($O72,X$17,"M",TRUE,Currency1))</f>
        <v>0</v>
      </c>
      <c r="Y72" s="699">
        <f>IF($O73=0,0,        _xll.qDateNext($O72,Y$17,"M",TRUE,Currency1))</f>
        <v>0</v>
      </c>
      <c r="Z72" s="703">
        <f>IF($O73=0,0,           IF(FRM,_xll.qGetFwdRate(Z$14,$O72,R72,"T",DCC_Leg1_Float),_xll.qGetFwdRate(Z$14,$O72,$O73,"T",DCC_Leg1_Float)))</f>
        <v>0</v>
      </c>
      <c r="AA72" s="703">
        <f>IF($O73=0,0,           IF(FRM,_xll.qGetFwdRate(AA$14,$O72,S72,"T",DCC_Leg1_Float),_xll.qGetFwdRate(AA$14,$O72,$O73,"T",DCC_Leg1_Float)))</f>
        <v>0</v>
      </c>
      <c r="AB72" s="703">
        <f t="shared" si="1"/>
        <v>0</v>
      </c>
      <c r="AC72" s="703">
        <f>IF($O73=0,0,           IF(FRM,_xll.qGetFwdRate(AC$14,$O72,U72,"T",DCC_Leg1_Float),_xll.qGetFwdRate(AC$14,$O72,$O73,"T",DCC_Leg1_Float)))</f>
        <v>0</v>
      </c>
      <c r="AD72" s="703">
        <f t="shared" si="7"/>
        <v>0</v>
      </c>
      <c r="AE72" s="703">
        <f t="shared" si="8"/>
        <v>0</v>
      </c>
      <c r="AF72" s="703">
        <f>IF($O73=0,0,           IF(FRM,_xll.qGetFwdRate(AF$14,$O72,X72,"T",DCC_Leg1_Float),_xll.qGetFwdRate(AF$14,$O72,$O73,"T",DCC_Leg1_Float)))</f>
        <v>0</v>
      </c>
      <c r="AG72" s="703">
        <f>IF($O73=0,0,           IF(FRM,_xll.qGetFwdRate(AG$14,$O72,Y72,"T",DCC_Leg1_Float),_xll.qGetFwdRate(AG$14,$O72,$O73,"T",DCC_Leg1_Float)))</f>
        <v>0</v>
      </c>
      <c r="AH72" s="685">
        <v>0</v>
      </c>
      <c r="AI72" s="667"/>
      <c r="AJ72" s="670">
        <f>IF(O73=0,0,             IF(ISNUMBER(AI72),AI72,             IF(ISTEXT(AI72),INDEX(Z72:AG72,MATCH(AI72,$Z$17:$AG$17,0)),           IF(AH72="INT",_xll.qInterp(O73,R72:Y72,Z72:AG72),       INDEX(Z72:AG72,MATCH(AH72,$Z$17:$AG$17,0))))))</f>
        <v>0</v>
      </c>
      <c r="AK72" s="732">
        <v>100</v>
      </c>
      <c r="AL72" s="721">
        <f t="shared" si="2"/>
        <v>0</v>
      </c>
      <c r="AM72" s="284">
        <f>IF($O73,_xll.qDateYears($O72,$O73,DCC_Leg1_Fixed),0)</f>
        <v>0</v>
      </c>
      <c r="AN72" s="284">
        <f>IF($O73,_xll.qDateYears($O72,$O73,DCC_Leg1_Float),0)</f>
        <v>0</v>
      </c>
      <c r="AP72" s="350">
        <f t="shared" si="9"/>
        <v>0</v>
      </c>
      <c r="AQ72" s="375">
        <f>IF(GenType_1a="Fixed",GenRate_1a%*$AL71*AM71,          IF(GenType_1a="Float",$AL71*(_xll.qGetFwdRate($D$18,$O71,$O72,"T",DCC_Leg1_Float)%+GenRate_1a%%)*$AN71,        IF(GenType_1a="bp (Fixed)",GenRate_1a%%*$AM71*$AL71,   IF(GenType_1a="bp (Float)",GenRate_1a%%*$AL71*$AN71,0))))</f>
        <v>0</v>
      </c>
      <c r="AR72" s="561"/>
      <c r="AT72" s="341">
        <f t="shared" si="14"/>
        <v>0</v>
      </c>
      <c r="AV72" s="356"/>
      <c r="AW72" s="122">
        <v>0</v>
      </c>
      <c r="AX72" s="128">
        <f t="shared" si="3"/>
        <v>0</v>
      </c>
      <c r="AY72" s="357">
        <v>0</v>
      </c>
      <c r="AZ72" s="699">
        <f>IF($AW73=0,0,        _xll.qDateNext($AW72,AZ$17,"M",TRUE,Currency2))</f>
        <v>0</v>
      </c>
      <c r="BA72" s="699">
        <f>IF($AW73=0,0,        _xll.qDateNext($AW72,BA$17,"M",TRUE,Currency2))</f>
        <v>0</v>
      </c>
      <c r="BB72" s="699">
        <f>IF($AW73=0,0,        _xll.qDateNext($AW72,BB$17,"M",TRUE,Currency2))</f>
        <v>0</v>
      </c>
      <c r="BC72" s="699">
        <f>IF($AW73=0,0,        _xll.qDateNext($AW72,BC$17,"M",TRUE,Currency2))</f>
        <v>0</v>
      </c>
      <c r="BD72" s="699">
        <f>IF($AW73=0,0,        _xll.qDateNext($AW72,BD$17,"M",TRUE,Currency2))</f>
        <v>0</v>
      </c>
      <c r="BE72" s="699">
        <f>IF($AW73=0,0,        _xll.qDateNext($AW72,BE$17,"M",TRUE,Currency2))</f>
        <v>0</v>
      </c>
      <c r="BF72" s="699">
        <f>IF($AW73=0,0,        _xll.qDateNext($AW72,BF$17,"M",TRUE,Currency2))</f>
        <v>0</v>
      </c>
      <c r="BG72" s="699">
        <f>IF($AW73=0,0,        _xll.qDateNext($AW72,BG$17,"M",TRUE,Currency2))</f>
        <v>0</v>
      </c>
      <c r="BH72" s="703">
        <v>0</v>
      </c>
      <c r="BI72" s="703">
        <v>0</v>
      </c>
      <c r="BJ72" s="703">
        <v>0</v>
      </c>
      <c r="BK72" s="703">
        <v>0</v>
      </c>
      <c r="BL72" s="703">
        <f t="shared" si="4"/>
        <v>0</v>
      </c>
      <c r="BM72" s="703">
        <f t="shared" si="10"/>
        <v>0</v>
      </c>
      <c r="BN72" s="703">
        <v>0</v>
      </c>
      <c r="BO72" s="703">
        <v>0</v>
      </c>
      <c r="BP72" s="685">
        <v>0</v>
      </c>
      <c r="BQ72" s="667"/>
      <c r="BR72" s="670">
        <f>IF(AW73=0,0,             IF(ISNUMBER(BQ72),BQ72,             IF(ISTEXT(BQ72),INDEX(BH72:BO72,MATCH(BQ72,$BH$17:$BO$17,0)),           IF(BP72="INT",_xll.qInterp(AW73,AZ72:BG72,BH72:BO72),       INDEX(BH72:BO72,MATCH(BP72,$BH$17:$BO$17,0))))))</f>
        <v>0</v>
      </c>
      <c r="BS72" s="731">
        <f t="shared" si="5"/>
        <v>0</v>
      </c>
      <c r="BT72" s="406">
        <f t="shared" si="6"/>
        <v>0</v>
      </c>
      <c r="BU72" s="284">
        <f>IF($AW73,_xll.qDateYears($AW72,$AW73,DCC_Leg2_Fixed),0)</f>
        <v>0</v>
      </c>
      <c r="BV72" s="284">
        <f>IF($AW73,_xll.qDateYears($AW72,$AW73,DCC_Leg2_Float),0)</f>
        <v>0</v>
      </c>
      <c r="BX72" s="350">
        <f t="shared" si="11"/>
        <v>0</v>
      </c>
      <c r="BY72" s="375">
        <f>IF(GenType_2a="Fixed",GenRate_2a%*$BT71*BU71,          IF(GenType_2a="Float",$BT71*(_xll.qGetFwdRate($J$18,$AW71,$AW72,"T",DCC_Leg2_Float)%+GenRate_2a%%)*$BV71,        IF(GenType_2a="bp (Fixed)",GenRate_2a%%*$BU71*$BT71,   IF(GenType_2a="bp (Float)",GenRate_2a%%*$BT71*$BV71,0))))</f>
        <v>0</v>
      </c>
      <c r="BZ72" s="561"/>
      <c r="CB72" s="341">
        <f t="shared" si="15"/>
        <v>0</v>
      </c>
      <c r="CC72" s="563"/>
      <c r="CD72" s="356"/>
      <c r="CE72" s="341">
        <v>0</v>
      </c>
      <c r="CF72" s="563"/>
      <c r="CG72" s="356"/>
    </row>
    <row r="73" spans="15:85">
      <c r="O73" s="122">
        <v>0</v>
      </c>
      <c r="P73" s="128">
        <f t="shared" si="0"/>
        <v>0</v>
      </c>
      <c r="Q73" s="126">
        <v>0</v>
      </c>
      <c r="R73" s="699">
        <f>IF($O74=0,0,        _xll.qDateNext($O73,R$17,"M",TRUE,Currency1))</f>
        <v>0</v>
      </c>
      <c r="S73" s="699">
        <f>IF($O74=0,0,        _xll.qDateNext($O73,S$17,"M",TRUE,Currency1))</f>
        <v>0</v>
      </c>
      <c r="T73" s="699">
        <f>IF($O74=0,0,        _xll.qDateNext($O73,T$17,"M",TRUE,Currency1))</f>
        <v>0</v>
      </c>
      <c r="U73" s="699">
        <f>IF($O74=0,0,        _xll.qDateNext($O73,U$17,"M",TRUE,Currency1))</f>
        <v>0</v>
      </c>
      <c r="V73" s="699">
        <f>IF($O74=0,0,        _xll.qDateNext($O73,V$17,"M",TRUE,Currency1))</f>
        <v>0</v>
      </c>
      <c r="W73" s="699">
        <f>IF($O74=0,0,        _xll.qDateNext($O73,W$17,"M",TRUE,Currency1))</f>
        <v>0</v>
      </c>
      <c r="X73" s="699">
        <f>IF($O74=0,0,        _xll.qDateNext($O73,X$17,"M",TRUE,Currency1))</f>
        <v>0</v>
      </c>
      <c r="Y73" s="699">
        <f>IF($O74=0,0,        _xll.qDateNext($O73,Y$17,"M",TRUE,Currency1))</f>
        <v>0</v>
      </c>
      <c r="Z73" s="703">
        <f>IF($O74=0,0,           IF(FRM,_xll.qGetFwdRate(Z$14,$O73,R73,"T",DCC_Leg1_Float),_xll.qGetFwdRate(Z$14,$O73,$O74,"T",DCC_Leg1_Float)))</f>
        <v>0</v>
      </c>
      <c r="AA73" s="703">
        <f>IF($O74=0,0,           IF(FRM,_xll.qGetFwdRate(AA$14,$O73,S73,"T",DCC_Leg1_Float),_xll.qGetFwdRate(AA$14,$O73,$O74,"T",DCC_Leg1_Float)))</f>
        <v>0</v>
      </c>
      <c r="AB73" s="703">
        <f t="shared" si="1"/>
        <v>0</v>
      </c>
      <c r="AC73" s="703">
        <f>IF($O74=0,0,           IF(FRM,_xll.qGetFwdRate(AC$14,$O73,U73,"T",DCC_Leg1_Float),_xll.qGetFwdRate(AC$14,$O73,$O74,"T",DCC_Leg1_Float)))</f>
        <v>0</v>
      </c>
      <c r="AD73" s="703">
        <f t="shared" si="7"/>
        <v>0</v>
      </c>
      <c r="AE73" s="703">
        <f t="shared" si="8"/>
        <v>0</v>
      </c>
      <c r="AF73" s="703">
        <f>IF($O74=0,0,           IF(FRM,_xll.qGetFwdRate(AF$14,$O73,X73,"T",DCC_Leg1_Float),_xll.qGetFwdRate(AF$14,$O73,$O74,"T",DCC_Leg1_Float)))</f>
        <v>0</v>
      </c>
      <c r="AG73" s="703">
        <f>IF($O74=0,0,           IF(FRM,_xll.qGetFwdRate(AG$14,$O73,Y73,"T",DCC_Leg1_Float),_xll.qGetFwdRate(AG$14,$O73,$O74,"T",DCC_Leg1_Float)))</f>
        <v>0</v>
      </c>
      <c r="AH73" s="685">
        <v>0</v>
      </c>
      <c r="AI73" s="667"/>
      <c r="AJ73" s="670">
        <f>IF(O74=0,0,             IF(ISNUMBER(AI73),AI73,             IF(ISTEXT(AI73),INDEX(Z73:AG73,MATCH(AI73,$Z$17:$AG$17,0)),           IF(AH73="INT",_xll.qInterp(O74,R73:Y73,Z73:AG73),       INDEX(Z73:AG73,MATCH(AH73,$Z$17:$AG$17,0))))))</f>
        <v>0</v>
      </c>
      <c r="AK73" s="732">
        <v>100</v>
      </c>
      <c r="AL73" s="721">
        <f t="shared" si="2"/>
        <v>0</v>
      </c>
      <c r="AM73" s="284">
        <f>IF($O74,_xll.qDateYears($O73,$O74,DCC_Leg1_Fixed),0)</f>
        <v>0</v>
      </c>
      <c r="AN73" s="284">
        <f>IF($O74,_xll.qDateYears($O73,$O74,DCC_Leg1_Float),0)</f>
        <v>0</v>
      </c>
      <c r="AP73" s="350">
        <f t="shared" si="9"/>
        <v>0</v>
      </c>
      <c r="AQ73" s="375">
        <f>IF(GenType_1a="Fixed",GenRate_1a%*$AL72*AM72,          IF(GenType_1a="Float",$AL72*(_xll.qGetFwdRate($D$18,$O72,$O73,"T",DCC_Leg1_Float)%+GenRate_1a%%)*$AN72,        IF(GenType_1a="bp (Fixed)",GenRate_1a%%*$AM72*$AL72,   IF(GenType_1a="bp (Float)",GenRate_1a%%*$AL72*$AN72,0))))</f>
        <v>0</v>
      </c>
      <c r="AR73" s="561"/>
      <c r="AT73" s="341">
        <f t="shared" si="14"/>
        <v>0</v>
      </c>
      <c r="AV73" s="356"/>
      <c r="AW73" s="122">
        <v>0</v>
      </c>
      <c r="AX73" s="128">
        <f t="shared" si="3"/>
        <v>0</v>
      </c>
      <c r="AY73" s="357">
        <v>0</v>
      </c>
      <c r="AZ73" s="699">
        <f>IF($AW74=0,0,        _xll.qDateNext($AW73,AZ$17,"M",TRUE,Currency2))</f>
        <v>0</v>
      </c>
      <c r="BA73" s="699">
        <f>IF($AW74=0,0,        _xll.qDateNext($AW73,BA$17,"M",TRUE,Currency2))</f>
        <v>0</v>
      </c>
      <c r="BB73" s="699">
        <f>IF($AW74=0,0,        _xll.qDateNext($AW73,BB$17,"M",TRUE,Currency2))</f>
        <v>0</v>
      </c>
      <c r="BC73" s="699">
        <f>IF($AW74=0,0,        _xll.qDateNext($AW73,BC$17,"M",TRUE,Currency2))</f>
        <v>0</v>
      </c>
      <c r="BD73" s="699">
        <f>IF($AW74=0,0,        _xll.qDateNext($AW73,BD$17,"M",TRUE,Currency2))</f>
        <v>0</v>
      </c>
      <c r="BE73" s="699">
        <f>IF($AW74=0,0,        _xll.qDateNext($AW73,BE$17,"M",TRUE,Currency2))</f>
        <v>0</v>
      </c>
      <c r="BF73" s="699">
        <f>IF($AW74=0,0,        _xll.qDateNext($AW73,BF$17,"M",TRUE,Currency2))</f>
        <v>0</v>
      </c>
      <c r="BG73" s="699">
        <f>IF($AW74=0,0,        _xll.qDateNext($AW73,BG$17,"M",TRUE,Currency2))</f>
        <v>0</v>
      </c>
      <c r="BH73" s="703">
        <v>0</v>
      </c>
      <c r="BI73" s="703">
        <v>0</v>
      </c>
      <c r="BJ73" s="703">
        <v>0</v>
      </c>
      <c r="BK73" s="703">
        <v>0</v>
      </c>
      <c r="BL73" s="703">
        <f t="shared" si="4"/>
        <v>0</v>
      </c>
      <c r="BM73" s="703">
        <f t="shared" si="10"/>
        <v>0</v>
      </c>
      <c r="BN73" s="703">
        <v>0</v>
      </c>
      <c r="BO73" s="703">
        <v>0</v>
      </c>
      <c r="BP73" s="685">
        <v>0</v>
      </c>
      <c r="BQ73" s="667"/>
      <c r="BR73" s="670">
        <f>IF(AW74=0,0,             IF(ISNUMBER(BQ73),BQ73,             IF(ISTEXT(BQ73),INDEX(BH73:BO73,MATCH(BQ73,$BH$17:$BO$17,0)),           IF(BP73="INT",_xll.qInterp(AW74,AZ73:BG73,BH73:BO73),       INDEX(BH73:BO73,MATCH(BP73,$BH$17:$BO$17,0))))))</f>
        <v>0</v>
      </c>
      <c r="BS73" s="731">
        <f t="shared" si="5"/>
        <v>0</v>
      </c>
      <c r="BT73" s="406">
        <f t="shared" si="6"/>
        <v>0</v>
      </c>
      <c r="BU73" s="284">
        <f>IF($AW74,_xll.qDateYears($AW73,$AW74,DCC_Leg2_Fixed),0)</f>
        <v>0</v>
      </c>
      <c r="BV73" s="284">
        <f>IF($AW74,_xll.qDateYears($AW73,$AW74,DCC_Leg2_Float),0)</f>
        <v>0</v>
      </c>
      <c r="BX73" s="350">
        <f t="shared" si="11"/>
        <v>0</v>
      </c>
      <c r="BY73" s="375">
        <f>IF(GenType_2a="Fixed",GenRate_2a%*$BT72*BU72,          IF(GenType_2a="Float",$BT72*(_xll.qGetFwdRate($J$18,$AW72,$AW73,"T",DCC_Leg2_Float)%+GenRate_2a%%)*$BV72,        IF(GenType_2a="bp (Fixed)",GenRate_2a%%*$BU72*$BT72,   IF(GenType_2a="bp (Float)",GenRate_2a%%*$BT72*$BV72,0))))</f>
        <v>0</v>
      </c>
      <c r="BZ73" s="561"/>
      <c r="CB73" s="341">
        <f t="shared" si="15"/>
        <v>0</v>
      </c>
      <c r="CC73" s="563"/>
      <c r="CD73" s="356"/>
      <c r="CE73" s="341">
        <v>0</v>
      </c>
      <c r="CF73" s="563"/>
      <c r="CG73" s="356"/>
    </row>
    <row r="74" spans="15:85">
      <c r="O74" s="122">
        <v>0</v>
      </c>
      <c r="P74" s="128">
        <f t="shared" si="0"/>
        <v>0</v>
      </c>
      <c r="Q74" s="126">
        <v>0</v>
      </c>
      <c r="R74" s="699">
        <f>IF($O75=0,0,        _xll.qDateNext($O74,R$17,"M",TRUE,Currency1))</f>
        <v>0</v>
      </c>
      <c r="S74" s="699">
        <f>IF($O75=0,0,        _xll.qDateNext($O74,S$17,"M",TRUE,Currency1))</f>
        <v>0</v>
      </c>
      <c r="T74" s="699">
        <f>IF($O75=0,0,        _xll.qDateNext($O74,T$17,"M",TRUE,Currency1))</f>
        <v>0</v>
      </c>
      <c r="U74" s="699">
        <f>IF($O75=0,0,        _xll.qDateNext($O74,U$17,"M",TRUE,Currency1))</f>
        <v>0</v>
      </c>
      <c r="V74" s="699">
        <f>IF($O75=0,0,        _xll.qDateNext($O74,V$17,"M",TRUE,Currency1))</f>
        <v>0</v>
      </c>
      <c r="W74" s="699">
        <f>IF($O75=0,0,        _xll.qDateNext($O74,W$17,"M",TRUE,Currency1))</f>
        <v>0</v>
      </c>
      <c r="X74" s="699">
        <f>IF($O75=0,0,        _xll.qDateNext($O74,X$17,"M",TRUE,Currency1))</f>
        <v>0</v>
      </c>
      <c r="Y74" s="699">
        <f>IF($O75=0,0,        _xll.qDateNext($O74,Y$17,"M",TRUE,Currency1))</f>
        <v>0</v>
      </c>
      <c r="Z74" s="703">
        <f>IF($O75=0,0,           IF(FRM,_xll.qGetFwdRate(Z$14,$O74,R74,"T",DCC_Leg1_Float),_xll.qGetFwdRate(Z$14,$O74,$O75,"T",DCC_Leg1_Float)))</f>
        <v>0</v>
      </c>
      <c r="AA74" s="703">
        <f>IF($O75=0,0,           IF(FRM,_xll.qGetFwdRate(AA$14,$O74,S74,"T",DCC_Leg1_Float),_xll.qGetFwdRate(AA$14,$O74,$O75,"T",DCC_Leg1_Float)))</f>
        <v>0</v>
      </c>
      <c r="AB74" s="703">
        <f t="shared" si="1"/>
        <v>0</v>
      </c>
      <c r="AC74" s="703">
        <f>IF($O75=0,0,           IF(FRM,_xll.qGetFwdRate(AC$14,$O74,U74,"T",DCC_Leg1_Float),_xll.qGetFwdRate(AC$14,$O74,$O75,"T",DCC_Leg1_Float)))</f>
        <v>0</v>
      </c>
      <c r="AD74" s="703">
        <f t="shared" si="7"/>
        <v>0</v>
      </c>
      <c r="AE74" s="703">
        <f t="shared" si="8"/>
        <v>0</v>
      </c>
      <c r="AF74" s="703">
        <f>IF($O75=0,0,           IF(FRM,_xll.qGetFwdRate(AF$14,$O74,X74,"T",DCC_Leg1_Float),_xll.qGetFwdRate(AF$14,$O74,$O75,"T",DCC_Leg1_Float)))</f>
        <v>0</v>
      </c>
      <c r="AG74" s="703">
        <f>IF($O75=0,0,           IF(FRM,_xll.qGetFwdRate(AG$14,$O74,Y74,"T",DCC_Leg1_Float),_xll.qGetFwdRate(AG$14,$O74,$O75,"T",DCC_Leg1_Float)))</f>
        <v>0</v>
      </c>
      <c r="AH74" s="685">
        <v>0</v>
      </c>
      <c r="AI74" s="667"/>
      <c r="AJ74" s="670">
        <f>IF(O75=0,0,             IF(ISNUMBER(AI74),AI74,             IF(ISTEXT(AI74),INDEX(Z74:AG74,MATCH(AI74,$Z$17:$AG$17,0)),           IF(AH74="INT",_xll.qInterp(O75,R74:Y74,Z74:AG74),       INDEX(Z74:AG74,MATCH(AH74,$Z$17:$AG$17,0))))))</f>
        <v>0</v>
      </c>
      <c r="AK74" s="732">
        <v>100</v>
      </c>
      <c r="AL74" s="721">
        <f t="shared" si="2"/>
        <v>0</v>
      </c>
      <c r="AM74" s="284">
        <f>IF($O75,_xll.qDateYears($O74,$O75,DCC_Leg1_Fixed),0)</f>
        <v>0</v>
      </c>
      <c r="AN74" s="284">
        <f>IF($O75,_xll.qDateYears($O74,$O75,DCC_Leg1_Float),0)</f>
        <v>0</v>
      </c>
      <c r="AP74" s="350">
        <f t="shared" si="9"/>
        <v>0</v>
      </c>
      <c r="AQ74" s="375">
        <f>IF(GenType_1a="Fixed",GenRate_1a%*$AL73*AM73,          IF(GenType_1a="Float",$AL73*(_xll.qGetFwdRate($D$18,$O73,$O74,"T",DCC_Leg1_Float)%+GenRate_1a%%)*$AN73,        IF(GenType_1a="bp (Fixed)",GenRate_1a%%*$AM73*$AL73,   IF(GenType_1a="bp (Float)",GenRate_1a%%*$AL73*$AN73,0))))</f>
        <v>0</v>
      </c>
      <c r="AR74" s="561"/>
      <c r="AT74" s="341">
        <f t="shared" si="14"/>
        <v>0</v>
      </c>
      <c r="AV74" s="356"/>
      <c r="AW74" s="122">
        <v>0</v>
      </c>
      <c r="AX74" s="128">
        <f t="shared" si="3"/>
        <v>0</v>
      </c>
      <c r="AY74" s="357">
        <v>0</v>
      </c>
      <c r="AZ74" s="699">
        <f>IF($AW75=0,0,        _xll.qDateNext($AW74,AZ$17,"M",TRUE,Currency2))</f>
        <v>0</v>
      </c>
      <c r="BA74" s="699">
        <f>IF($AW75=0,0,        _xll.qDateNext($AW74,BA$17,"M",TRUE,Currency2))</f>
        <v>0</v>
      </c>
      <c r="BB74" s="699">
        <f>IF($AW75=0,0,        _xll.qDateNext($AW74,BB$17,"M",TRUE,Currency2))</f>
        <v>0</v>
      </c>
      <c r="BC74" s="699">
        <f>IF($AW75=0,0,        _xll.qDateNext($AW74,BC$17,"M",TRUE,Currency2))</f>
        <v>0</v>
      </c>
      <c r="BD74" s="699">
        <f>IF($AW75=0,0,        _xll.qDateNext($AW74,BD$17,"M",TRUE,Currency2))</f>
        <v>0</v>
      </c>
      <c r="BE74" s="699">
        <f>IF($AW75=0,0,        _xll.qDateNext($AW74,BE$17,"M",TRUE,Currency2))</f>
        <v>0</v>
      </c>
      <c r="BF74" s="699">
        <f>IF($AW75=0,0,        _xll.qDateNext($AW74,BF$17,"M",TRUE,Currency2))</f>
        <v>0</v>
      </c>
      <c r="BG74" s="699">
        <f>IF($AW75=0,0,        _xll.qDateNext($AW74,BG$17,"M",TRUE,Currency2))</f>
        <v>0</v>
      </c>
      <c r="BH74" s="703">
        <v>0</v>
      </c>
      <c r="BI74" s="703">
        <v>0</v>
      </c>
      <c r="BJ74" s="703">
        <v>0</v>
      </c>
      <c r="BK74" s="703">
        <v>0</v>
      </c>
      <c r="BL74" s="703">
        <f t="shared" si="4"/>
        <v>0</v>
      </c>
      <c r="BM74" s="703">
        <f t="shared" si="10"/>
        <v>0</v>
      </c>
      <c r="BN74" s="703">
        <v>0</v>
      </c>
      <c r="BO74" s="703">
        <v>0</v>
      </c>
      <c r="BP74" s="685">
        <v>0</v>
      </c>
      <c r="BQ74" s="667"/>
      <c r="BR74" s="670">
        <f>IF(AW75=0,0,             IF(ISNUMBER(BQ74),BQ74,             IF(ISTEXT(BQ74),INDEX(BH74:BO74,MATCH(BQ74,$BH$17:$BO$17,0)),           IF(BP74="INT",_xll.qInterp(AW75,AZ74:BG74,BH74:BO74),       INDEX(BH74:BO74,MATCH(BP74,$BH$17:$BO$17,0))))))</f>
        <v>0</v>
      </c>
      <c r="BS74" s="731">
        <f t="shared" si="5"/>
        <v>0</v>
      </c>
      <c r="BT74" s="406">
        <f t="shared" si="6"/>
        <v>0</v>
      </c>
      <c r="BU74" s="284">
        <f>IF($AW75,_xll.qDateYears($AW74,$AW75,DCC_Leg2_Fixed),0)</f>
        <v>0</v>
      </c>
      <c r="BV74" s="284">
        <f>IF($AW75,_xll.qDateYears($AW74,$AW75,DCC_Leg2_Float),0)</f>
        <v>0</v>
      </c>
      <c r="BX74" s="350">
        <f t="shared" si="11"/>
        <v>0</v>
      </c>
      <c r="BY74" s="375">
        <f>IF(GenType_2a="Fixed",GenRate_2a%*$BT73*BU73,          IF(GenType_2a="Float",$BT73*(_xll.qGetFwdRate($J$18,$AW73,$AW74,"T",DCC_Leg2_Float)%+GenRate_2a%%)*$BV73,        IF(GenType_2a="bp (Fixed)",GenRate_2a%%*$BU73*$BT73,   IF(GenType_2a="bp (Float)",GenRate_2a%%*$BT73*$BV73,0))))</f>
        <v>0</v>
      </c>
      <c r="BZ74" s="561"/>
      <c r="CB74" s="341">
        <f t="shared" si="15"/>
        <v>0</v>
      </c>
      <c r="CC74" s="563"/>
      <c r="CD74" s="356"/>
      <c r="CE74" s="341">
        <v>0</v>
      </c>
      <c r="CF74" s="563"/>
      <c r="CG74" s="356"/>
    </row>
    <row r="75" spans="15:85">
      <c r="O75" s="122">
        <v>0</v>
      </c>
      <c r="P75" s="128">
        <f t="shared" si="0"/>
        <v>0</v>
      </c>
      <c r="Q75" s="126">
        <v>0</v>
      </c>
      <c r="R75" s="699">
        <f>IF($O76=0,0,        _xll.qDateNext($O75,R$17,"M",TRUE,Currency1))</f>
        <v>0</v>
      </c>
      <c r="S75" s="699">
        <f>IF($O76=0,0,        _xll.qDateNext($O75,S$17,"M",TRUE,Currency1))</f>
        <v>0</v>
      </c>
      <c r="T75" s="699">
        <f>IF($O76=0,0,        _xll.qDateNext($O75,T$17,"M",TRUE,Currency1))</f>
        <v>0</v>
      </c>
      <c r="U75" s="699">
        <f>IF($O76=0,0,        _xll.qDateNext($O75,U$17,"M",TRUE,Currency1))</f>
        <v>0</v>
      </c>
      <c r="V75" s="699">
        <f>IF($O76=0,0,        _xll.qDateNext($O75,V$17,"M",TRUE,Currency1))</f>
        <v>0</v>
      </c>
      <c r="W75" s="699">
        <f>IF($O76=0,0,        _xll.qDateNext($O75,W$17,"M",TRUE,Currency1))</f>
        <v>0</v>
      </c>
      <c r="X75" s="699">
        <f>IF($O76=0,0,        _xll.qDateNext($O75,X$17,"M",TRUE,Currency1))</f>
        <v>0</v>
      </c>
      <c r="Y75" s="699">
        <f>IF($O76=0,0,        _xll.qDateNext($O75,Y$17,"M",TRUE,Currency1))</f>
        <v>0</v>
      </c>
      <c r="Z75" s="703">
        <f>IF($O76=0,0,           IF(FRM,_xll.qGetFwdRate(Z$14,$O75,R75,"T",DCC_Leg1_Float),_xll.qGetFwdRate(Z$14,$O75,$O76,"T",DCC_Leg1_Float)))</f>
        <v>0</v>
      </c>
      <c r="AA75" s="703">
        <f>IF($O76=0,0,           IF(FRM,_xll.qGetFwdRate(AA$14,$O75,S75,"T",DCC_Leg1_Float),_xll.qGetFwdRate(AA$14,$O75,$O76,"T",DCC_Leg1_Float)))</f>
        <v>0</v>
      </c>
      <c r="AB75" s="703">
        <f t="shared" si="1"/>
        <v>0</v>
      </c>
      <c r="AC75" s="703">
        <f>IF($O76=0,0,           IF(FRM,_xll.qGetFwdRate(AC$14,$O75,U75,"T",DCC_Leg1_Float),_xll.qGetFwdRate(AC$14,$O75,$O76,"T",DCC_Leg1_Float)))</f>
        <v>0</v>
      </c>
      <c r="AD75" s="703">
        <f t="shared" si="7"/>
        <v>0</v>
      </c>
      <c r="AE75" s="703">
        <f t="shared" si="8"/>
        <v>0</v>
      </c>
      <c r="AF75" s="703">
        <f>IF($O76=0,0,           IF(FRM,_xll.qGetFwdRate(AF$14,$O75,X75,"T",DCC_Leg1_Float),_xll.qGetFwdRate(AF$14,$O75,$O76,"T",DCC_Leg1_Float)))</f>
        <v>0</v>
      </c>
      <c r="AG75" s="703">
        <f>IF($O76=0,0,           IF(FRM,_xll.qGetFwdRate(AG$14,$O75,Y75,"T",DCC_Leg1_Float),_xll.qGetFwdRate(AG$14,$O75,$O76,"T",DCC_Leg1_Float)))</f>
        <v>0</v>
      </c>
      <c r="AH75" s="685">
        <v>0</v>
      </c>
      <c r="AI75" s="667"/>
      <c r="AJ75" s="670">
        <f>IF(O76=0,0,             IF(ISNUMBER(AI75),AI75,             IF(ISTEXT(AI75),INDEX(Z75:AG75,MATCH(AI75,$Z$17:$AG$17,0)),           IF(AH75="INT",_xll.qInterp(O76,R75:Y75,Z75:AG75),       INDEX(Z75:AG75,MATCH(AH75,$Z$17:$AG$17,0))))))</f>
        <v>0</v>
      </c>
      <c r="AK75" s="732">
        <v>100</v>
      </c>
      <c r="AL75" s="721">
        <f t="shared" si="2"/>
        <v>0</v>
      </c>
      <c r="AM75" s="284">
        <f>IF($O76,_xll.qDateYears($O75,$O76,DCC_Leg1_Fixed),0)</f>
        <v>0</v>
      </c>
      <c r="AN75" s="284">
        <f>IF($O76,_xll.qDateYears($O75,$O76,DCC_Leg1_Float),0)</f>
        <v>0</v>
      </c>
      <c r="AP75" s="350">
        <f t="shared" si="9"/>
        <v>0</v>
      </c>
      <c r="AQ75" s="375">
        <f>IF(GenType_1a="Fixed",GenRate_1a%*$AL74*AM74,          IF(GenType_1a="Float",$AL74*(_xll.qGetFwdRate($D$18,$O74,$O75,"T",DCC_Leg1_Float)%+GenRate_1a%%)*$AN74,        IF(GenType_1a="bp (Fixed)",GenRate_1a%%*$AM74*$AL74,   IF(GenType_1a="bp (Float)",GenRate_1a%%*$AL74*$AN74,0))))</f>
        <v>0</v>
      </c>
      <c r="AR75" s="561"/>
      <c r="AT75" s="341">
        <f t="shared" si="14"/>
        <v>0</v>
      </c>
      <c r="AV75" s="356"/>
      <c r="AW75" s="122">
        <v>0</v>
      </c>
      <c r="AX75" s="128">
        <f t="shared" si="3"/>
        <v>0</v>
      </c>
      <c r="AY75" s="357">
        <v>0</v>
      </c>
      <c r="AZ75" s="699">
        <f>IF($AW76=0,0,        _xll.qDateNext($AW75,AZ$17,"M",TRUE,Currency2))</f>
        <v>0</v>
      </c>
      <c r="BA75" s="699">
        <f>IF($AW76=0,0,        _xll.qDateNext($AW75,BA$17,"M",TRUE,Currency2))</f>
        <v>0</v>
      </c>
      <c r="BB75" s="699">
        <f>IF($AW76=0,0,        _xll.qDateNext($AW75,BB$17,"M",TRUE,Currency2))</f>
        <v>0</v>
      </c>
      <c r="BC75" s="699">
        <f>IF($AW76=0,0,        _xll.qDateNext($AW75,BC$17,"M",TRUE,Currency2))</f>
        <v>0</v>
      </c>
      <c r="BD75" s="699">
        <f>IF($AW76=0,0,        _xll.qDateNext($AW75,BD$17,"M",TRUE,Currency2))</f>
        <v>0</v>
      </c>
      <c r="BE75" s="699">
        <f>IF($AW76=0,0,        _xll.qDateNext($AW75,BE$17,"M",TRUE,Currency2))</f>
        <v>0</v>
      </c>
      <c r="BF75" s="699">
        <f>IF($AW76=0,0,        _xll.qDateNext($AW75,BF$17,"M",TRUE,Currency2))</f>
        <v>0</v>
      </c>
      <c r="BG75" s="699">
        <f>IF($AW76=0,0,        _xll.qDateNext($AW75,BG$17,"M",TRUE,Currency2))</f>
        <v>0</v>
      </c>
      <c r="BH75" s="703">
        <v>0</v>
      </c>
      <c r="BI75" s="703">
        <v>0</v>
      </c>
      <c r="BJ75" s="703">
        <v>0</v>
      </c>
      <c r="BK75" s="703">
        <v>0</v>
      </c>
      <c r="BL75" s="703">
        <f t="shared" si="4"/>
        <v>0</v>
      </c>
      <c r="BM75" s="703">
        <f t="shared" si="10"/>
        <v>0</v>
      </c>
      <c r="BN75" s="703">
        <v>0</v>
      </c>
      <c r="BO75" s="703">
        <v>0</v>
      </c>
      <c r="BP75" s="685">
        <v>0</v>
      </c>
      <c r="BQ75" s="667"/>
      <c r="BR75" s="670">
        <f>IF(AW76=0,0,             IF(ISNUMBER(BQ75),BQ75,             IF(ISTEXT(BQ75),INDEX(BH75:BO75,MATCH(BQ75,$BH$17:$BO$17,0)),           IF(BP75="INT",_xll.qInterp(AW76,AZ75:BG75,BH75:BO75),       INDEX(BH75:BO75,MATCH(BP75,$BH$17:$BO$17,0))))))</f>
        <v>0</v>
      </c>
      <c r="BS75" s="731">
        <f t="shared" si="5"/>
        <v>0</v>
      </c>
      <c r="BT75" s="406">
        <f t="shared" si="6"/>
        <v>0</v>
      </c>
      <c r="BU75" s="284">
        <f>IF($AW76,_xll.qDateYears($AW75,$AW76,DCC_Leg2_Fixed),0)</f>
        <v>0</v>
      </c>
      <c r="BV75" s="284">
        <f>IF($AW76,_xll.qDateYears($AW75,$AW76,DCC_Leg2_Float),0)</f>
        <v>0</v>
      </c>
      <c r="BX75" s="350">
        <f t="shared" si="11"/>
        <v>0</v>
      </c>
      <c r="BY75" s="375">
        <f>IF(GenType_2a="Fixed",GenRate_2a%*$BT74*BU74,          IF(GenType_2a="Float",$BT74*(_xll.qGetFwdRate($J$18,$AW74,$AW75,"T",DCC_Leg2_Float)%+GenRate_2a%%)*$BV74,        IF(GenType_2a="bp (Fixed)",GenRate_2a%%*$BU74*$BT74,   IF(GenType_2a="bp (Float)",GenRate_2a%%*$BT74*$BV74,0))))</f>
        <v>0</v>
      </c>
      <c r="BZ75" s="561"/>
      <c r="CB75" s="341">
        <f t="shared" si="15"/>
        <v>0</v>
      </c>
      <c r="CC75" s="563"/>
      <c r="CD75" s="356"/>
      <c r="CE75" s="341">
        <v>0</v>
      </c>
      <c r="CF75" s="563"/>
      <c r="CG75" s="356"/>
    </row>
    <row r="76" spans="15:85">
      <c r="O76" s="122">
        <v>0</v>
      </c>
      <c r="P76" s="128">
        <f t="shared" si="0"/>
        <v>0</v>
      </c>
      <c r="Q76" s="126">
        <v>0</v>
      </c>
      <c r="R76" s="699">
        <f>IF($O77=0,0,        _xll.qDateNext($O76,R$17,"M",TRUE,Currency1))</f>
        <v>0</v>
      </c>
      <c r="S76" s="699">
        <f>IF($O77=0,0,        _xll.qDateNext($O76,S$17,"M",TRUE,Currency1))</f>
        <v>0</v>
      </c>
      <c r="T76" s="699">
        <f>IF($O77=0,0,        _xll.qDateNext($O76,T$17,"M",TRUE,Currency1))</f>
        <v>0</v>
      </c>
      <c r="U76" s="699">
        <f>IF($O77=0,0,        _xll.qDateNext($O76,U$17,"M",TRUE,Currency1))</f>
        <v>0</v>
      </c>
      <c r="V76" s="699">
        <f>IF($O77=0,0,        _xll.qDateNext($O76,V$17,"M",TRUE,Currency1))</f>
        <v>0</v>
      </c>
      <c r="W76" s="699">
        <f>IF($O77=0,0,        _xll.qDateNext($O76,W$17,"M",TRUE,Currency1))</f>
        <v>0</v>
      </c>
      <c r="X76" s="699">
        <f>IF($O77=0,0,        _xll.qDateNext($O76,X$17,"M",TRUE,Currency1))</f>
        <v>0</v>
      </c>
      <c r="Y76" s="699">
        <f>IF($O77=0,0,        _xll.qDateNext($O76,Y$17,"M",TRUE,Currency1))</f>
        <v>0</v>
      </c>
      <c r="Z76" s="703">
        <f>IF($O77=0,0,           IF(FRM,_xll.qGetFwdRate(Z$14,$O76,R76,"T",DCC_Leg1_Float),_xll.qGetFwdRate(Z$14,$O76,$O77,"T",DCC_Leg1_Float)))</f>
        <v>0</v>
      </c>
      <c r="AA76" s="703">
        <f>IF($O77=0,0,           IF(FRM,_xll.qGetFwdRate(AA$14,$O76,S76,"T",DCC_Leg1_Float),_xll.qGetFwdRate(AA$14,$O76,$O77,"T",DCC_Leg1_Float)))</f>
        <v>0</v>
      </c>
      <c r="AB76" s="703">
        <f t="shared" si="1"/>
        <v>0</v>
      </c>
      <c r="AC76" s="703">
        <f>IF($O77=0,0,           IF(FRM,_xll.qGetFwdRate(AC$14,$O76,U76,"T",DCC_Leg1_Float),_xll.qGetFwdRate(AC$14,$O76,$O77,"T",DCC_Leg1_Float)))</f>
        <v>0</v>
      </c>
      <c r="AD76" s="703">
        <f t="shared" si="7"/>
        <v>0</v>
      </c>
      <c r="AE76" s="703">
        <f t="shared" si="8"/>
        <v>0</v>
      </c>
      <c r="AF76" s="703">
        <f>IF($O77=0,0,           IF(FRM,_xll.qGetFwdRate(AF$14,$O76,X76,"T",DCC_Leg1_Float),_xll.qGetFwdRate(AF$14,$O76,$O77,"T",DCC_Leg1_Float)))</f>
        <v>0</v>
      </c>
      <c r="AG76" s="703">
        <f>IF($O77=0,0,           IF(FRM,_xll.qGetFwdRate(AG$14,$O76,Y76,"T",DCC_Leg1_Float),_xll.qGetFwdRate(AG$14,$O76,$O77,"T",DCC_Leg1_Float)))</f>
        <v>0</v>
      </c>
      <c r="AH76" s="685">
        <v>0</v>
      </c>
      <c r="AI76" s="667"/>
      <c r="AJ76" s="670">
        <f>IF(O77=0,0,             IF(ISNUMBER(AI76),AI76,             IF(ISTEXT(AI76),INDEX(Z76:AG76,MATCH(AI76,$Z$17:$AG$17,0)),           IF(AH76="INT",_xll.qInterp(O77,R76:Y76,Z76:AG76),       INDEX(Z76:AG76,MATCH(AH76,$Z$17:$AG$17,0))))))</f>
        <v>0</v>
      </c>
      <c r="AK76" s="732">
        <v>100</v>
      </c>
      <c r="AL76" s="721">
        <f t="shared" si="2"/>
        <v>0</v>
      </c>
      <c r="AM76" s="284">
        <f>IF($O77,_xll.qDateYears($O76,$O77,DCC_Leg1_Fixed),0)</f>
        <v>0</v>
      </c>
      <c r="AN76" s="284">
        <f>IF($O77,_xll.qDateYears($O76,$O77,DCC_Leg1_Float),0)</f>
        <v>0</v>
      </c>
      <c r="AP76" s="350">
        <f t="shared" si="9"/>
        <v>0</v>
      </c>
      <c r="AQ76" s="375">
        <f>IF(GenType_1a="Fixed",GenRate_1a%*$AL75*AM75,          IF(GenType_1a="Float",$AL75*(_xll.qGetFwdRate($D$18,$O75,$O76,"T",DCC_Leg1_Float)%+GenRate_1a%%)*$AN75,        IF(GenType_1a="bp (Fixed)",GenRate_1a%%*$AM75*$AL75,   IF(GenType_1a="bp (Float)",GenRate_1a%%*$AL75*$AN75,0))))</f>
        <v>0</v>
      </c>
      <c r="AR76" s="561"/>
      <c r="AT76" s="341">
        <f t="shared" si="14"/>
        <v>0</v>
      </c>
      <c r="AV76" s="356"/>
      <c r="AW76" s="122">
        <v>0</v>
      </c>
      <c r="AX76" s="128">
        <f t="shared" si="3"/>
        <v>0</v>
      </c>
      <c r="AY76" s="357">
        <v>0</v>
      </c>
      <c r="AZ76" s="699">
        <f>IF($AW77=0,0,        _xll.qDateNext($AW76,AZ$17,"M",TRUE,Currency2))</f>
        <v>0</v>
      </c>
      <c r="BA76" s="699">
        <f>IF($AW77=0,0,        _xll.qDateNext($AW76,BA$17,"M",TRUE,Currency2))</f>
        <v>0</v>
      </c>
      <c r="BB76" s="699">
        <f>IF($AW77=0,0,        _xll.qDateNext($AW76,BB$17,"M",TRUE,Currency2))</f>
        <v>0</v>
      </c>
      <c r="BC76" s="699">
        <f>IF($AW77=0,0,        _xll.qDateNext($AW76,BC$17,"M",TRUE,Currency2))</f>
        <v>0</v>
      </c>
      <c r="BD76" s="699">
        <f>IF($AW77=0,0,        _xll.qDateNext($AW76,BD$17,"M",TRUE,Currency2))</f>
        <v>0</v>
      </c>
      <c r="BE76" s="699">
        <f>IF($AW77=0,0,        _xll.qDateNext($AW76,BE$17,"M",TRUE,Currency2))</f>
        <v>0</v>
      </c>
      <c r="BF76" s="699">
        <f>IF($AW77=0,0,        _xll.qDateNext($AW76,BF$17,"M",TRUE,Currency2))</f>
        <v>0</v>
      </c>
      <c r="BG76" s="699">
        <f>IF($AW77=0,0,        _xll.qDateNext($AW76,BG$17,"M",TRUE,Currency2))</f>
        <v>0</v>
      </c>
      <c r="BH76" s="703">
        <v>0</v>
      </c>
      <c r="BI76" s="703">
        <v>0</v>
      </c>
      <c r="BJ76" s="703">
        <v>0</v>
      </c>
      <c r="BK76" s="703">
        <v>0</v>
      </c>
      <c r="BL76" s="703">
        <f t="shared" si="4"/>
        <v>0</v>
      </c>
      <c r="BM76" s="703">
        <f t="shared" si="10"/>
        <v>0</v>
      </c>
      <c r="BN76" s="703">
        <v>0</v>
      </c>
      <c r="BO76" s="703">
        <v>0</v>
      </c>
      <c r="BP76" s="685">
        <v>0</v>
      </c>
      <c r="BQ76" s="667"/>
      <c r="BR76" s="670">
        <f>IF(AW77=0,0,             IF(ISNUMBER(BQ76),BQ76,             IF(ISTEXT(BQ76),INDEX(BH76:BO76,MATCH(BQ76,$BH$17:$BO$17,0)),           IF(BP76="INT",_xll.qInterp(AW77,AZ76:BG76,BH76:BO76),       INDEX(BH76:BO76,MATCH(BP76,$BH$17:$BO$17,0))))))</f>
        <v>0</v>
      </c>
      <c r="BS76" s="731">
        <f t="shared" si="5"/>
        <v>0</v>
      </c>
      <c r="BT76" s="406">
        <f t="shared" si="6"/>
        <v>0</v>
      </c>
      <c r="BU76" s="284">
        <f>IF($AW77,_xll.qDateYears($AW76,$AW77,DCC_Leg2_Fixed),0)</f>
        <v>0</v>
      </c>
      <c r="BV76" s="284">
        <f>IF($AW77,_xll.qDateYears($AW76,$AW77,DCC_Leg2_Float),0)</f>
        <v>0</v>
      </c>
      <c r="BX76" s="350">
        <f t="shared" si="11"/>
        <v>0</v>
      </c>
      <c r="BY76" s="375">
        <f>IF(GenType_2a="Fixed",GenRate_2a%*$BT75*BU75,          IF(GenType_2a="Float",$BT75*(_xll.qGetFwdRate($J$18,$AW75,$AW76,"T",DCC_Leg2_Float)%+GenRate_2a%%)*$BV75,        IF(GenType_2a="bp (Fixed)",GenRate_2a%%*$BU75*$BT75,   IF(GenType_2a="bp (Float)",GenRate_2a%%*$BT75*$BV75,0))))</f>
        <v>0</v>
      </c>
      <c r="BZ76" s="561"/>
      <c r="CB76" s="341">
        <f t="shared" si="15"/>
        <v>0</v>
      </c>
      <c r="CC76" s="563"/>
      <c r="CD76" s="356"/>
      <c r="CE76" s="341">
        <v>0</v>
      </c>
      <c r="CF76" s="563"/>
      <c r="CG76" s="356"/>
    </row>
    <row r="77" spans="15:85">
      <c r="O77" s="122">
        <v>0</v>
      </c>
      <c r="P77" s="128">
        <f t="shared" si="0"/>
        <v>0</v>
      </c>
      <c r="Q77" s="126">
        <v>0</v>
      </c>
      <c r="R77" s="699">
        <f>IF($O78=0,0,        _xll.qDateNext($O77,R$17,"M",TRUE,Currency1))</f>
        <v>0</v>
      </c>
      <c r="S77" s="699">
        <f>IF($O78=0,0,        _xll.qDateNext($O77,S$17,"M",TRUE,Currency1))</f>
        <v>0</v>
      </c>
      <c r="T77" s="699">
        <f>IF($O78=0,0,        _xll.qDateNext($O77,T$17,"M",TRUE,Currency1))</f>
        <v>0</v>
      </c>
      <c r="U77" s="699">
        <f>IF($O78=0,0,        _xll.qDateNext($O77,U$17,"M",TRUE,Currency1))</f>
        <v>0</v>
      </c>
      <c r="V77" s="699">
        <f>IF($O78=0,0,        _xll.qDateNext($O77,V$17,"M",TRUE,Currency1))</f>
        <v>0</v>
      </c>
      <c r="W77" s="699">
        <f>IF($O78=0,0,        _xll.qDateNext($O77,W$17,"M",TRUE,Currency1))</f>
        <v>0</v>
      </c>
      <c r="X77" s="699">
        <f>IF($O78=0,0,        _xll.qDateNext($O77,X$17,"M",TRUE,Currency1))</f>
        <v>0</v>
      </c>
      <c r="Y77" s="699">
        <f>IF($O78=0,0,        _xll.qDateNext($O77,Y$17,"M",TRUE,Currency1))</f>
        <v>0</v>
      </c>
      <c r="Z77" s="703">
        <f>IF($O78=0,0,           IF(FRM,_xll.qGetFwdRate(Z$14,$O77,R77,"T",DCC_Leg1_Float),_xll.qGetFwdRate(Z$14,$O77,$O78,"T",DCC_Leg1_Float)))</f>
        <v>0</v>
      </c>
      <c r="AA77" s="703">
        <f>IF($O78=0,0,           IF(FRM,_xll.qGetFwdRate(AA$14,$O77,S77,"T",DCC_Leg1_Float),_xll.qGetFwdRate(AA$14,$O77,$O78,"T",DCC_Leg1_Float)))</f>
        <v>0</v>
      </c>
      <c r="AB77" s="703">
        <f t="shared" si="1"/>
        <v>0</v>
      </c>
      <c r="AC77" s="703">
        <f>IF($O78=0,0,           IF(FRM,_xll.qGetFwdRate(AC$14,$O77,U77,"T",DCC_Leg1_Float),_xll.qGetFwdRate(AC$14,$O77,$O78,"T",DCC_Leg1_Float)))</f>
        <v>0</v>
      </c>
      <c r="AD77" s="703">
        <f t="shared" si="7"/>
        <v>0</v>
      </c>
      <c r="AE77" s="703">
        <f t="shared" si="8"/>
        <v>0</v>
      </c>
      <c r="AF77" s="703">
        <f>IF($O78=0,0,           IF(FRM,_xll.qGetFwdRate(AF$14,$O77,X77,"T",DCC_Leg1_Float),_xll.qGetFwdRate(AF$14,$O77,$O78,"T",DCC_Leg1_Float)))</f>
        <v>0</v>
      </c>
      <c r="AG77" s="703">
        <f>IF($O78=0,0,           IF(FRM,_xll.qGetFwdRate(AG$14,$O77,Y77,"T",DCC_Leg1_Float),_xll.qGetFwdRate(AG$14,$O77,$O78,"T",DCC_Leg1_Float)))</f>
        <v>0</v>
      </c>
      <c r="AH77" s="685">
        <v>0</v>
      </c>
      <c r="AI77" s="667"/>
      <c r="AJ77" s="670">
        <f>IF(O78=0,0,             IF(ISNUMBER(AI77),AI77,             IF(ISTEXT(AI77),INDEX(Z77:AG77,MATCH(AI77,$Z$17:$AG$17,0)),           IF(AH77="INT",_xll.qInterp(O78,R77:Y77,Z77:AG77),       INDEX(Z77:AG77,MATCH(AH77,$Z$17:$AG$17,0))))))</f>
        <v>0</v>
      </c>
      <c r="AK77" s="732">
        <v>100</v>
      </c>
      <c r="AL77" s="721">
        <f t="shared" si="2"/>
        <v>0</v>
      </c>
      <c r="AM77" s="284">
        <f>IF($O78,_xll.qDateYears($O77,$O78,DCC_Leg1_Fixed),0)</f>
        <v>0</v>
      </c>
      <c r="AN77" s="284">
        <f>IF($O78,_xll.qDateYears($O77,$O78,DCC_Leg1_Float),0)</f>
        <v>0</v>
      </c>
      <c r="AP77" s="350">
        <f t="shared" si="9"/>
        <v>0</v>
      </c>
      <c r="AQ77" s="375">
        <f>IF(GenType_1a="Fixed",GenRate_1a%*$AL76*AM76,          IF(GenType_1a="Float",$AL76*(_xll.qGetFwdRate($D$18,$O76,$O77,"T",DCC_Leg1_Float)%+GenRate_1a%%)*$AN76,        IF(GenType_1a="bp (Fixed)",GenRate_1a%%*$AM76*$AL76,   IF(GenType_1a="bp (Float)",GenRate_1a%%*$AL76*$AN76,0))))</f>
        <v>0</v>
      </c>
      <c r="AR77" s="561"/>
      <c r="AT77" s="341">
        <f t="shared" si="14"/>
        <v>0</v>
      </c>
      <c r="AV77" s="356"/>
      <c r="AW77" s="122">
        <v>0</v>
      </c>
      <c r="AX77" s="128">
        <f t="shared" si="3"/>
        <v>0</v>
      </c>
      <c r="AY77" s="357">
        <v>0</v>
      </c>
      <c r="AZ77" s="699">
        <f>IF($AW78=0,0,        _xll.qDateNext($AW77,AZ$17,"M",TRUE,Currency2))</f>
        <v>0</v>
      </c>
      <c r="BA77" s="699">
        <f>IF($AW78=0,0,        _xll.qDateNext($AW77,BA$17,"M",TRUE,Currency2))</f>
        <v>0</v>
      </c>
      <c r="BB77" s="699">
        <f>IF($AW78=0,0,        _xll.qDateNext($AW77,BB$17,"M",TRUE,Currency2))</f>
        <v>0</v>
      </c>
      <c r="BC77" s="699">
        <f>IF($AW78=0,0,        _xll.qDateNext($AW77,BC$17,"M",TRUE,Currency2))</f>
        <v>0</v>
      </c>
      <c r="BD77" s="699">
        <f>IF($AW78=0,0,        _xll.qDateNext($AW77,BD$17,"M",TRUE,Currency2))</f>
        <v>0</v>
      </c>
      <c r="BE77" s="699">
        <f>IF($AW78=0,0,        _xll.qDateNext($AW77,BE$17,"M",TRUE,Currency2))</f>
        <v>0</v>
      </c>
      <c r="BF77" s="699">
        <f>IF($AW78=0,0,        _xll.qDateNext($AW77,BF$17,"M",TRUE,Currency2))</f>
        <v>0</v>
      </c>
      <c r="BG77" s="699">
        <f>IF($AW78=0,0,        _xll.qDateNext($AW77,BG$17,"M",TRUE,Currency2))</f>
        <v>0</v>
      </c>
      <c r="BH77" s="703">
        <v>0</v>
      </c>
      <c r="BI77" s="703">
        <v>0</v>
      </c>
      <c r="BJ77" s="703">
        <v>0</v>
      </c>
      <c r="BK77" s="703">
        <v>0</v>
      </c>
      <c r="BL77" s="703">
        <f t="shared" si="4"/>
        <v>0</v>
      </c>
      <c r="BM77" s="703">
        <f t="shared" si="10"/>
        <v>0</v>
      </c>
      <c r="BN77" s="703">
        <v>0</v>
      </c>
      <c r="BO77" s="703">
        <v>0</v>
      </c>
      <c r="BP77" s="685">
        <v>0</v>
      </c>
      <c r="BQ77" s="667"/>
      <c r="BR77" s="670">
        <f>IF(AW78=0,0,             IF(ISNUMBER(BQ77),BQ77,             IF(ISTEXT(BQ77),INDEX(BH77:BO77,MATCH(BQ77,$BH$17:$BO$17,0)),           IF(BP77="INT",_xll.qInterp(AW78,AZ77:BG77,BH77:BO77),       INDEX(BH77:BO77,MATCH(BP77,$BH$17:$BO$17,0))))))</f>
        <v>0</v>
      </c>
      <c r="BS77" s="731">
        <f t="shared" si="5"/>
        <v>0</v>
      </c>
      <c r="BT77" s="406">
        <f t="shared" si="6"/>
        <v>0</v>
      </c>
      <c r="BU77" s="284">
        <f>IF($AW78,_xll.qDateYears($AW77,$AW78,DCC_Leg2_Fixed),0)</f>
        <v>0</v>
      </c>
      <c r="BV77" s="284">
        <f>IF($AW78,_xll.qDateYears($AW77,$AW78,DCC_Leg2_Float),0)</f>
        <v>0</v>
      </c>
      <c r="BX77" s="350">
        <f t="shared" si="11"/>
        <v>0</v>
      </c>
      <c r="BY77" s="375">
        <f>IF(GenType_2a="Fixed",GenRate_2a%*$BT76*BU76,          IF(GenType_2a="Float",$BT76*(_xll.qGetFwdRate($J$18,$AW76,$AW77,"T",DCC_Leg2_Float)%+GenRate_2a%%)*$BV76,        IF(GenType_2a="bp (Fixed)",GenRate_2a%%*$BU76*$BT76,   IF(GenType_2a="bp (Float)",GenRate_2a%%*$BT76*$BV76,0))))</f>
        <v>0</v>
      </c>
      <c r="BZ77" s="561"/>
      <c r="CB77" s="341">
        <f t="shared" si="15"/>
        <v>0</v>
      </c>
      <c r="CC77" s="563"/>
      <c r="CD77" s="356"/>
      <c r="CE77" s="341">
        <v>0</v>
      </c>
      <c r="CF77" s="563"/>
      <c r="CG77" s="356"/>
    </row>
    <row r="78" spans="15:85">
      <c r="O78" s="122">
        <v>0</v>
      </c>
      <c r="P78" s="128">
        <f t="shared" si="0"/>
        <v>0</v>
      </c>
      <c r="Q78" s="126">
        <v>0</v>
      </c>
      <c r="R78" s="699">
        <f>IF($O79=0,0,        _xll.qDateNext($O78,R$17,"M",TRUE,Currency1))</f>
        <v>0</v>
      </c>
      <c r="S78" s="699">
        <f>IF($O79=0,0,        _xll.qDateNext($O78,S$17,"M",TRUE,Currency1))</f>
        <v>0</v>
      </c>
      <c r="T78" s="699">
        <f>IF($O79=0,0,        _xll.qDateNext($O78,T$17,"M",TRUE,Currency1))</f>
        <v>0</v>
      </c>
      <c r="U78" s="699">
        <f>IF($O79=0,0,        _xll.qDateNext($O78,U$17,"M",TRUE,Currency1))</f>
        <v>0</v>
      </c>
      <c r="V78" s="699">
        <f>IF($O79=0,0,        _xll.qDateNext($O78,V$17,"M",TRUE,Currency1))</f>
        <v>0</v>
      </c>
      <c r="W78" s="699">
        <f>IF($O79=0,0,        _xll.qDateNext($O78,W$17,"M",TRUE,Currency1))</f>
        <v>0</v>
      </c>
      <c r="X78" s="699">
        <f>IF($O79=0,0,        _xll.qDateNext($O78,X$17,"M",TRUE,Currency1))</f>
        <v>0</v>
      </c>
      <c r="Y78" s="699">
        <f>IF($O79=0,0,        _xll.qDateNext($O78,Y$17,"M",TRUE,Currency1))</f>
        <v>0</v>
      </c>
      <c r="Z78" s="703">
        <f>IF($O79=0,0,           IF(FRM,_xll.qGetFwdRate(Z$14,$O78,R78,"T",DCC_Leg1_Float),_xll.qGetFwdRate(Z$14,$O78,$O79,"T",DCC_Leg1_Float)))</f>
        <v>0</v>
      </c>
      <c r="AA78" s="703">
        <f>IF($O79=0,0,           IF(FRM,_xll.qGetFwdRate(AA$14,$O78,S78,"T",DCC_Leg1_Float),_xll.qGetFwdRate(AA$14,$O78,$O79,"T",DCC_Leg1_Float)))</f>
        <v>0</v>
      </c>
      <c r="AB78" s="703">
        <f t="shared" si="1"/>
        <v>0</v>
      </c>
      <c r="AC78" s="703">
        <f>IF($O79=0,0,           IF(FRM,_xll.qGetFwdRate(AC$14,$O78,U78,"T",DCC_Leg1_Float),_xll.qGetFwdRate(AC$14,$O78,$O79,"T",DCC_Leg1_Float)))</f>
        <v>0</v>
      </c>
      <c r="AD78" s="703">
        <f t="shared" si="7"/>
        <v>0</v>
      </c>
      <c r="AE78" s="703">
        <f t="shared" si="8"/>
        <v>0</v>
      </c>
      <c r="AF78" s="703">
        <f>IF($O79=0,0,           IF(FRM,_xll.qGetFwdRate(AF$14,$O78,X78,"T",DCC_Leg1_Float),_xll.qGetFwdRate(AF$14,$O78,$O79,"T",DCC_Leg1_Float)))</f>
        <v>0</v>
      </c>
      <c r="AG78" s="703">
        <f>IF($O79=0,0,           IF(FRM,_xll.qGetFwdRate(AG$14,$O78,Y78,"T",DCC_Leg1_Float),_xll.qGetFwdRate(AG$14,$O78,$O79,"T",DCC_Leg1_Float)))</f>
        <v>0</v>
      </c>
      <c r="AH78" s="685">
        <v>0</v>
      </c>
      <c r="AI78" s="667"/>
      <c r="AJ78" s="670">
        <f>IF(O79=0,0,             IF(ISNUMBER(AI78),AI78,             IF(ISTEXT(AI78),INDEX(Z78:AG78,MATCH(AI78,$Z$17:$AG$17,0)),           IF(AH78="INT",_xll.qInterp(O79,R78:Y78,Z78:AG78),       INDEX(Z78:AG78,MATCH(AH78,$Z$17:$AG$17,0))))))</f>
        <v>0</v>
      </c>
      <c r="AK78" s="732">
        <v>100</v>
      </c>
      <c r="AL78" s="721">
        <f t="shared" si="2"/>
        <v>0</v>
      </c>
      <c r="AM78" s="284">
        <f>IF($O79,_xll.qDateYears($O78,$O79,DCC_Leg1_Fixed),0)</f>
        <v>0</v>
      </c>
      <c r="AN78" s="284">
        <f>IF($O79,_xll.qDateYears($O78,$O79,DCC_Leg1_Float),0)</f>
        <v>0</v>
      </c>
      <c r="AP78" s="350">
        <f t="shared" si="9"/>
        <v>0</v>
      </c>
      <c r="AQ78" s="375">
        <f>IF(GenType_1a="Fixed",GenRate_1a%*$AL77*AM77,          IF(GenType_1a="Float",$AL77*(_xll.qGetFwdRate($D$18,$O77,$O78,"T",DCC_Leg1_Float)%+GenRate_1a%%)*$AN77,        IF(GenType_1a="bp (Fixed)",GenRate_1a%%*$AM77*$AL77,   IF(GenType_1a="bp (Float)",GenRate_1a%%*$AL77*$AN77,0))))</f>
        <v>0</v>
      </c>
      <c r="AR78" s="561"/>
      <c r="AT78" s="341">
        <f t="shared" si="14"/>
        <v>0</v>
      </c>
      <c r="AV78" s="356"/>
      <c r="AW78" s="122">
        <v>0</v>
      </c>
      <c r="AX78" s="128">
        <f t="shared" si="3"/>
        <v>0</v>
      </c>
      <c r="AY78" s="357">
        <v>0</v>
      </c>
      <c r="AZ78" s="699">
        <f>IF($AW79=0,0,        _xll.qDateNext($AW78,AZ$17,"M",TRUE,Currency2))</f>
        <v>0</v>
      </c>
      <c r="BA78" s="699">
        <f>IF($AW79=0,0,        _xll.qDateNext($AW78,BA$17,"M",TRUE,Currency2))</f>
        <v>0</v>
      </c>
      <c r="BB78" s="699">
        <f>IF($AW79=0,0,        _xll.qDateNext($AW78,BB$17,"M",TRUE,Currency2))</f>
        <v>0</v>
      </c>
      <c r="BC78" s="699">
        <f>IF($AW79=0,0,        _xll.qDateNext($AW78,BC$17,"M",TRUE,Currency2))</f>
        <v>0</v>
      </c>
      <c r="BD78" s="699">
        <f>IF($AW79=0,0,        _xll.qDateNext($AW78,BD$17,"M",TRUE,Currency2))</f>
        <v>0</v>
      </c>
      <c r="BE78" s="699">
        <f>IF($AW79=0,0,        _xll.qDateNext($AW78,BE$17,"M",TRUE,Currency2))</f>
        <v>0</v>
      </c>
      <c r="BF78" s="699">
        <f>IF($AW79=0,0,        _xll.qDateNext($AW78,BF$17,"M",TRUE,Currency2))</f>
        <v>0</v>
      </c>
      <c r="BG78" s="699">
        <f>IF($AW79=0,0,        _xll.qDateNext($AW78,BG$17,"M",TRUE,Currency2))</f>
        <v>0</v>
      </c>
      <c r="BH78" s="703">
        <v>0</v>
      </c>
      <c r="BI78" s="703">
        <v>0</v>
      </c>
      <c r="BJ78" s="703">
        <v>0</v>
      </c>
      <c r="BK78" s="703">
        <v>0</v>
      </c>
      <c r="BL78" s="703">
        <f t="shared" si="4"/>
        <v>0</v>
      </c>
      <c r="BM78" s="703">
        <f t="shared" si="10"/>
        <v>0</v>
      </c>
      <c r="BN78" s="703">
        <v>0</v>
      </c>
      <c r="BO78" s="703">
        <v>0</v>
      </c>
      <c r="BP78" s="685">
        <v>0</v>
      </c>
      <c r="BQ78" s="667"/>
      <c r="BR78" s="670">
        <f>IF(AW79=0,0,             IF(ISNUMBER(BQ78),BQ78,             IF(ISTEXT(BQ78),INDEX(BH78:BO78,MATCH(BQ78,$BH$17:$BO$17,0)),           IF(BP78="INT",_xll.qInterp(AW79,AZ78:BG78,BH78:BO78),       INDEX(BH78:BO78,MATCH(BP78,$BH$17:$BO$17,0))))))</f>
        <v>0</v>
      </c>
      <c r="BS78" s="731">
        <f t="shared" si="5"/>
        <v>0</v>
      </c>
      <c r="BT78" s="406">
        <f t="shared" si="6"/>
        <v>0</v>
      </c>
      <c r="BU78" s="284">
        <f>IF($AW79,_xll.qDateYears($AW78,$AW79,DCC_Leg2_Fixed),0)</f>
        <v>0</v>
      </c>
      <c r="BV78" s="284">
        <f>IF($AW79,_xll.qDateYears($AW78,$AW79,DCC_Leg2_Float),0)</f>
        <v>0</v>
      </c>
      <c r="BX78" s="350">
        <f t="shared" si="11"/>
        <v>0</v>
      </c>
      <c r="BY78" s="375">
        <f>IF(GenType_2a="Fixed",GenRate_2a%*$BT77*BU77,          IF(GenType_2a="Float",$BT77*(_xll.qGetFwdRate($J$18,$AW77,$AW78,"T",DCC_Leg2_Float)%+GenRate_2a%%)*$BV77,        IF(GenType_2a="bp (Fixed)",GenRate_2a%%*$BU77*$BT77,   IF(GenType_2a="bp (Float)",GenRate_2a%%*$BT77*$BV77,0))))</f>
        <v>0</v>
      </c>
      <c r="BZ78" s="561"/>
      <c r="CB78" s="341">
        <f t="shared" si="15"/>
        <v>0</v>
      </c>
      <c r="CC78" s="563"/>
      <c r="CD78" s="356"/>
      <c r="CE78" s="341">
        <v>0</v>
      </c>
      <c r="CF78" s="563"/>
      <c r="CG78" s="356"/>
    </row>
    <row r="79" spans="15:85">
      <c r="O79" s="122">
        <v>0</v>
      </c>
      <c r="P79" s="128">
        <f t="shared" si="0"/>
        <v>0</v>
      </c>
      <c r="Q79" s="126">
        <v>0</v>
      </c>
      <c r="R79" s="699">
        <f>IF($O80=0,0,        _xll.qDateNext($O79,R$17,"M",TRUE,Currency1))</f>
        <v>0</v>
      </c>
      <c r="S79" s="699">
        <f>IF($O80=0,0,        _xll.qDateNext($O79,S$17,"M",TRUE,Currency1))</f>
        <v>0</v>
      </c>
      <c r="T79" s="699">
        <f>IF($O80=0,0,        _xll.qDateNext($O79,T$17,"M",TRUE,Currency1))</f>
        <v>0</v>
      </c>
      <c r="U79" s="699">
        <f>IF($O80=0,0,        _xll.qDateNext($O79,U$17,"M",TRUE,Currency1))</f>
        <v>0</v>
      </c>
      <c r="V79" s="699">
        <f>IF($O80=0,0,        _xll.qDateNext($O79,V$17,"M",TRUE,Currency1))</f>
        <v>0</v>
      </c>
      <c r="W79" s="699">
        <f>IF($O80=0,0,        _xll.qDateNext($O79,W$17,"M",TRUE,Currency1))</f>
        <v>0</v>
      </c>
      <c r="X79" s="699">
        <f>IF($O80=0,0,        _xll.qDateNext($O79,X$17,"M",TRUE,Currency1))</f>
        <v>0</v>
      </c>
      <c r="Y79" s="699">
        <f>IF($O80=0,0,        _xll.qDateNext($O79,Y$17,"M",TRUE,Currency1))</f>
        <v>0</v>
      </c>
      <c r="Z79" s="703">
        <f>IF($O80=0,0,           IF(FRM,_xll.qGetFwdRate(Z$14,$O79,R79,"T",DCC_Leg1_Float),_xll.qGetFwdRate(Z$14,$O79,$O80,"T",DCC_Leg1_Float)))</f>
        <v>0</v>
      </c>
      <c r="AA79" s="703">
        <f>IF($O80=0,0,           IF(FRM,_xll.qGetFwdRate(AA$14,$O79,S79,"T",DCC_Leg1_Float),_xll.qGetFwdRate(AA$14,$O79,$O80,"T",DCC_Leg1_Float)))</f>
        <v>0</v>
      </c>
      <c r="AB79" s="703">
        <f t="shared" si="1"/>
        <v>0</v>
      </c>
      <c r="AC79" s="703">
        <f>IF($O80=0,0,           IF(FRM,_xll.qGetFwdRate(AC$14,$O79,U79,"T",DCC_Leg1_Float),_xll.qGetFwdRate(AC$14,$O79,$O80,"T",DCC_Leg1_Float)))</f>
        <v>0</v>
      </c>
      <c r="AD79" s="703">
        <f t="shared" si="7"/>
        <v>0</v>
      </c>
      <c r="AE79" s="703">
        <f t="shared" si="8"/>
        <v>0</v>
      </c>
      <c r="AF79" s="703">
        <f>IF($O80=0,0,           IF(FRM,_xll.qGetFwdRate(AF$14,$O79,X79,"T",DCC_Leg1_Float),_xll.qGetFwdRate(AF$14,$O79,$O80,"T",DCC_Leg1_Float)))</f>
        <v>0</v>
      </c>
      <c r="AG79" s="703">
        <f>IF($O80=0,0,           IF(FRM,_xll.qGetFwdRate(AG$14,$O79,Y79,"T",DCC_Leg1_Float),_xll.qGetFwdRate(AG$14,$O79,$O80,"T",DCC_Leg1_Float)))</f>
        <v>0</v>
      </c>
      <c r="AH79" s="685">
        <v>0</v>
      </c>
      <c r="AI79" s="667"/>
      <c r="AJ79" s="670">
        <f>IF(O80=0,0,             IF(ISNUMBER(AI79),AI79,             IF(ISTEXT(AI79),INDEX(Z79:AG79,MATCH(AI79,$Z$17:$AG$17,0)),           IF(AH79="INT",_xll.qInterp(O80,R79:Y79,Z79:AG79),       INDEX(Z79:AG79,MATCH(AH79,$Z$17:$AG$17,0))))))</f>
        <v>0</v>
      </c>
      <c r="AK79" s="732">
        <v>100</v>
      </c>
      <c r="AL79" s="721">
        <f t="shared" si="2"/>
        <v>0</v>
      </c>
      <c r="AM79" s="284">
        <f>IF($O80,_xll.qDateYears($O79,$O80,DCC_Leg1_Fixed),0)</f>
        <v>0</v>
      </c>
      <c r="AN79" s="284">
        <f>IF($O80,_xll.qDateYears($O79,$O80,DCC_Leg1_Float),0)</f>
        <v>0</v>
      </c>
      <c r="AP79" s="350">
        <f t="shared" si="9"/>
        <v>0</v>
      </c>
      <c r="AQ79" s="375">
        <f>IF(GenType_1a="Fixed",GenRate_1a%*$AL78*AM78,          IF(GenType_1a="Float",$AL78*(_xll.qGetFwdRate($D$18,$O78,$O79,"T",DCC_Leg1_Float)%+GenRate_1a%%)*$AN78,        IF(GenType_1a="bp (Fixed)",GenRate_1a%%*$AM78*$AL78,   IF(GenType_1a="bp (Float)",GenRate_1a%%*$AL78*$AN78,0))))</f>
        <v>0</v>
      </c>
      <c r="AR79" s="561"/>
      <c r="AT79" s="341">
        <f t="shared" si="14"/>
        <v>0</v>
      </c>
      <c r="AV79" s="356"/>
      <c r="AW79" s="122">
        <v>0</v>
      </c>
      <c r="AX79" s="128">
        <f t="shared" si="3"/>
        <v>0</v>
      </c>
      <c r="AY79" s="357">
        <v>0</v>
      </c>
      <c r="AZ79" s="699">
        <f>IF($AW80=0,0,        _xll.qDateNext($AW79,AZ$17,"M",TRUE,Currency2))</f>
        <v>0</v>
      </c>
      <c r="BA79" s="699">
        <f>IF($AW80=0,0,        _xll.qDateNext($AW79,BA$17,"M",TRUE,Currency2))</f>
        <v>0</v>
      </c>
      <c r="BB79" s="699">
        <f>IF($AW80=0,0,        _xll.qDateNext($AW79,BB$17,"M",TRUE,Currency2))</f>
        <v>0</v>
      </c>
      <c r="BC79" s="699">
        <f>IF($AW80=0,0,        _xll.qDateNext($AW79,BC$17,"M",TRUE,Currency2))</f>
        <v>0</v>
      </c>
      <c r="BD79" s="699">
        <f>IF($AW80=0,0,        _xll.qDateNext($AW79,BD$17,"M",TRUE,Currency2))</f>
        <v>0</v>
      </c>
      <c r="BE79" s="699">
        <f>IF($AW80=0,0,        _xll.qDateNext($AW79,BE$17,"M",TRUE,Currency2))</f>
        <v>0</v>
      </c>
      <c r="BF79" s="699">
        <f>IF($AW80=0,0,        _xll.qDateNext($AW79,BF$17,"M",TRUE,Currency2))</f>
        <v>0</v>
      </c>
      <c r="BG79" s="699">
        <f>IF($AW80=0,0,        _xll.qDateNext($AW79,BG$17,"M",TRUE,Currency2))</f>
        <v>0</v>
      </c>
      <c r="BH79" s="703">
        <v>0</v>
      </c>
      <c r="BI79" s="703">
        <v>0</v>
      </c>
      <c r="BJ79" s="703">
        <v>0</v>
      </c>
      <c r="BK79" s="703">
        <v>0</v>
      </c>
      <c r="BL79" s="703">
        <f t="shared" si="4"/>
        <v>0</v>
      </c>
      <c r="BM79" s="703">
        <f t="shared" si="10"/>
        <v>0</v>
      </c>
      <c r="BN79" s="703">
        <v>0</v>
      </c>
      <c r="BO79" s="703">
        <v>0</v>
      </c>
      <c r="BP79" s="685">
        <v>0</v>
      </c>
      <c r="BQ79" s="667"/>
      <c r="BR79" s="670">
        <f>IF(AW80=0,0,             IF(ISNUMBER(BQ79),BQ79,             IF(ISTEXT(BQ79),INDEX(BH79:BO79,MATCH(BQ79,$BH$17:$BO$17,0)),           IF(BP79="INT",_xll.qInterp(AW80,AZ79:BG79,BH79:BO79),       INDEX(BH79:BO79,MATCH(BP79,$BH$17:$BO$17,0))))))</f>
        <v>0</v>
      </c>
      <c r="BS79" s="731">
        <f t="shared" si="5"/>
        <v>0</v>
      </c>
      <c r="BT79" s="406">
        <f t="shared" si="6"/>
        <v>0</v>
      </c>
      <c r="BU79" s="284">
        <f>IF($AW80,_xll.qDateYears($AW79,$AW80,DCC_Leg2_Fixed),0)</f>
        <v>0</v>
      </c>
      <c r="BV79" s="284">
        <f>IF($AW80,_xll.qDateYears($AW79,$AW80,DCC_Leg2_Float),0)</f>
        <v>0</v>
      </c>
      <c r="BX79" s="350">
        <f t="shared" si="11"/>
        <v>0</v>
      </c>
      <c r="BY79" s="375">
        <f>IF(GenType_2a="Fixed",GenRate_2a%*$BT78*BU78,          IF(GenType_2a="Float",$BT78*(_xll.qGetFwdRate($J$18,$AW78,$AW79,"T",DCC_Leg2_Float)%+GenRate_2a%%)*$BV78,        IF(GenType_2a="bp (Fixed)",GenRate_2a%%*$BU78*$BT78,   IF(GenType_2a="bp (Float)",GenRate_2a%%*$BT78*$BV78,0))))</f>
        <v>0</v>
      </c>
      <c r="BZ79" s="561"/>
      <c r="CB79" s="341">
        <f t="shared" si="15"/>
        <v>0</v>
      </c>
      <c r="CC79" s="563"/>
      <c r="CD79" s="356"/>
      <c r="CE79" s="341">
        <v>0</v>
      </c>
      <c r="CF79" s="563"/>
      <c r="CG79" s="356"/>
    </row>
    <row r="80" spans="15:85">
      <c r="O80" s="122">
        <v>0</v>
      </c>
      <c r="P80" s="128">
        <f t="shared" si="0"/>
        <v>0</v>
      </c>
      <c r="Q80" s="126">
        <v>0</v>
      </c>
      <c r="R80" s="699">
        <f>IF($O81=0,0,        _xll.qDateNext($O80,R$17,"M",TRUE,Currency1))</f>
        <v>0</v>
      </c>
      <c r="S80" s="699">
        <f>IF($O81=0,0,        _xll.qDateNext($O80,S$17,"M",TRUE,Currency1))</f>
        <v>0</v>
      </c>
      <c r="T80" s="699">
        <f>IF($O81=0,0,        _xll.qDateNext($O80,T$17,"M",TRUE,Currency1))</f>
        <v>0</v>
      </c>
      <c r="U80" s="699">
        <f>IF($O81=0,0,        _xll.qDateNext($O80,U$17,"M",TRUE,Currency1))</f>
        <v>0</v>
      </c>
      <c r="V80" s="699">
        <f>IF($O81=0,0,        _xll.qDateNext($O80,V$17,"M",TRUE,Currency1))</f>
        <v>0</v>
      </c>
      <c r="W80" s="699">
        <f>IF($O81=0,0,        _xll.qDateNext($O80,W$17,"M",TRUE,Currency1))</f>
        <v>0</v>
      </c>
      <c r="X80" s="699">
        <f>IF($O81=0,0,        _xll.qDateNext($O80,X$17,"M",TRUE,Currency1))</f>
        <v>0</v>
      </c>
      <c r="Y80" s="699">
        <f>IF($O81=0,0,        _xll.qDateNext($O80,Y$17,"M",TRUE,Currency1))</f>
        <v>0</v>
      </c>
      <c r="Z80" s="703">
        <f>IF($O81=0,0,           IF(FRM,_xll.qGetFwdRate(Z$14,$O80,R80,"T",DCC_Leg1_Float),_xll.qGetFwdRate(Z$14,$O80,$O81,"T",DCC_Leg1_Float)))</f>
        <v>0</v>
      </c>
      <c r="AA80" s="703">
        <f>IF($O81=0,0,           IF(FRM,_xll.qGetFwdRate(AA$14,$O80,S80,"T",DCC_Leg1_Float),_xll.qGetFwdRate(AA$14,$O80,$O81,"T",DCC_Leg1_Float)))</f>
        <v>0</v>
      </c>
      <c r="AB80" s="703">
        <f t="shared" si="1"/>
        <v>0</v>
      </c>
      <c r="AC80" s="703">
        <f>IF($O81=0,0,           IF(FRM,_xll.qGetFwdRate(AC$14,$O80,U80,"T",DCC_Leg1_Float),_xll.qGetFwdRate(AC$14,$O80,$O81,"T",DCC_Leg1_Float)))</f>
        <v>0</v>
      </c>
      <c r="AD80" s="703">
        <f t="shared" si="7"/>
        <v>0</v>
      </c>
      <c r="AE80" s="703">
        <f t="shared" si="8"/>
        <v>0</v>
      </c>
      <c r="AF80" s="703">
        <f>IF($O81=0,0,           IF(FRM,_xll.qGetFwdRate(AF$14,$O80,X80,"T",DCC_Leg1_Float),_xll.qGetFwdRate(AF$14,$O80,$O81,"T",DCC_Leg1_Float)))</f>
        <v>0</v>
      </c>
      <c r="AG80" s="703">
        <f>IF($O81=0,0,           IF(FRM,_xll.qGetFwdRate(AG$14,$O80,Y80,"T",DCC_Leg1_Float),_xll.qGetFwdRate(AG$14,$O80,$O81,"T",DCC_Leg1_Float)))</f>
        <v>0</v>
      </c>
      <c r="AH80" s="685">
        <v>0</v>
      </c>
      <c r="AI80" s="667"/>
      <c r="AJ80" s="670">
        <f>IF(O81=0,0,             IF(ISNUMBER(AI80),AI80,             IF(ISTEXT(AI80),INDEX(Z80:AG80,MATCH(AI80,$Z$17:$AG$17,0)),           IF(AH80="INT",_xll.qInterp(O81,R80:Y80,Z80:AG80),       INDEX(Z80:AG80,MATCH(AH80,$Z$17:$AG$17,0))))))</f>
        <v>0</v>
      </c>
      <c r="AK80" s="732">
        <v>100</v>
      </c>
      <c r="AL80" s="721">
        <f t="shared" si="2"/>
        <v>0</v>
      </c>
      <c r="AM80" s="284">
        <f>IF($O81,_xll.qDateYears($O80,$O81,DCC_Leg1_Fixed),0)</f>
        <v>0</v>
      </c>
      <c r="AN80" s="284">
        <f>IF($O81,_xll.qDateYears($O80,$O81,DCC_Leg1_Float),0)</f>
        <v>0</v>
      </c>
      <c r="AP80" s="350">
        <f t="shared" si="9"/>
        <v>0</v>
      </c>
      <c r="AQ80" s="375">
        <f>IF(GenType_1a="Fixed",GenRate_1a%*$AL79*AM79,          IF(GenType_1a="Float",$AL79*(_xll.qGetFwdRate($D$18,$O79,$O80,"T",DCC_Leg1_Float)%+GenRate_1a%%)*$AN79,        IF(GenType_1a="bp (Fixed)",GenRate_1a%%*$AM79*$AL79,   IF(GenType_1a="bp (Float)",GenRate_1a%%*$AL79*$AN79,0))))</f>
        <v>0</v>
      </c>
      <c r="AR80" s="561"/>
      <c r="AT80" s="341">
        <f t="shared" si="14"/>
        <v>0</v>
      </c>
      <c r="AV80" s="356"/>
      <c r="AW80" s="122">
        <v>0</v>
      </c>
      <c r="AX80" s="128">
        <f t="shared" si="3"/>
        <v>0</v>
      </c>
      <c r="AY80" s="357">
        <v>0</v>
      </c>
      <c r="AZ80" s="699">
        <f>IF($AW81=0,0,        _xll.qDateNext($AW80,AZ$17,"M",TRUE,Currency2))</f>
        <v>0</v>
      </c>
      <c r="BA80" s="699">
        <f>IF($AW81=0,0,        _xll.qDateNext($AW80,BA$17,"M",TRUE,Currency2))</f>
        <v>0</v>
      </c>
      <c r="BB80" s="699">
        <f>IF($AW81=0,0,        _xll.qDateNext($AW80,BB$17,"M",TRUE,Currency2))</f>
        <v>0</v>
      </c>
      <c r="BC80" s="699">
        <f>IF($AW81=0,0,        _xll.qDateNext($AW80,BC$17,"M",TRUE,Currency2))</f>
        <v>0</v>
      </c>
      <c r="BD80" s="699">
        <f>IF($AW81=0,0,        _xll.qDateNext($AW80,BD$17,"M",TRUE,Currency2))</f>
        <v>0</v>
      </c>
      <c r="BE80" s="699">
        <f>IF($AW81=0,0,        _xll.qDateNext($AW80,BE$17,"M",TRUE,Currency2))</f>
        <v>0</v>
      </c>
      <c r="BF80" s="699">
        <f>IF($AW81=0,0,        _xll.qDateNext($AW80,BF$17,"M",TRUE,Currency2))</f>
        <v>0</v>
      </c>
      <c r="BG80" s="699">
        <f>IF($AW81=0,0,        _xll.qDateNext($AW80,BG$17,"M",TRUE,Currency2))</f>
        <v>0</v>
      </c>
      <c r="BH80" s="703">
        <v>0</v>
      </c>
      <c r="BI80" s="703">
        <v>0</v>
      </c>
      <c r="BJ80" s="703">
        <v>0</v>
      </c>
      <c r="BK80" s="703">
        <v>0</v>
      </c>
      <c r="BL80" s="703">
        <f t="shared" si="4"/>
        <v>0</v>
      </c>
      <c r="BM80" s="703">
        <f t="shared" si="10"/>
        <v>0</v>
      </c>
      <c r="BN80" s="703">
        <v>0</v>
      </c>
      <c r="BO80" s="703">
        <v>0</v>
      </c>
      <c r="BP80" s="685">
        <v>0</v>
      </c>
      <c r="BQ80" s="667"/>
      <c r="BR80" s="670">
        <f>IF(AW81=0,0,             IF(ISNUMBER(BQ80),BQ80,             IF(ISTEXT(BQ80),INDEX(BH80:BO80,MATCH(BQ80,$BH$17:$BO$17,0)),           IF(BP80="INT",_xll.qInterp(AW81,AZ80:BG80,BH80:BO80),       INDEX(BH80:BO80,MATCH(BP80,$BH$17:$BO$17,0))))))</f>
        <v>0</v>
      </c>
      <c r="BS80" s="731">
        <f t="shared" si="5"/>
        <v>0</v>
      </c>
      <c r="BT80" s="406">
        <f t="shared" si="6"/>
        <v>0</v>
      </c>
      <c r="BU80" s="284">
        <f>IF($AW81,_xll.qDateYears($AW80,$AW81,DCC_Leg2_Fixed),0)</f>
        <v>0</v>
      </c>
      <c r="BV80" s="284">
        <f>IF($AW81,_xll.qDateYears($AW80,$AW81,DCC_Leg2_Float),0)</f>
        <v>0</v>
      </c>
      <c r="BX80" s="350">
        <f t="shared" si="11"/>
        <v>0</v>
      </c>
      <c r="BY80" s="375">
        <f>IF(GenType_2a="Fixed",GenRate_2a%*$BT79*BU79,          IF(GenType_2a="Float",$BT79*(_xll.qGetFwdRate($J$18,$AW79,$AW80,"T",DCC_Leg2_Float)%+GenRate_2a%%)*$BV79,        IF(GenType_2a="bp (Fixed)",GenRate_2a%%*$BU79*$BT79,   IF(GenType_2a="bp (Float)",GenRate_2a%%*$BT79*$BV79,0))))</f>
        <v>0</v>
      </c>
      <c r="BZ80" s="561"/>
      <c r="CB80" s="341">
        <f t="shared" si="15"/>
        <v>0</v>
      </c>
      <c r="CC80" s="563"/>
      <c r="CD80" s="356"/>
      <c r="CE80" s="341">
        <v>0</v>
      </c>
      <c r="CF80" s="563"/>
      <c r="CG80" s="356"/>
    </row>
    <row r="81" spans="15:85">
      <c r="O81" s="122">
        <v>0</v>
      </c>
      <c r="P81" s="128">
        <f t="shared" si="0"/>
        <v>0</v>
      </c>
      <c r="Q81" s="126">
        <v>0</v>
      </c>
      <c r="R81" s="699">
        <f>IF($O82=0,0,        _xll.qDateNext($O81,R$17,"M",TRUE,Currency1))</f>
        <v>0</v>
      </c>
      <c r="S81" s="699">
        <f>IF($O82=0,0,        _xll.qDateNext($O81,S$17,"M",TRUE,Currency1))</f>
        <v>0</v>
      </c>
      <c r="T81" s="699">
        <f>IF($O82=0,0,        _xll.qDateNext($O81,T$17,"M",TRUE,Currency1))</f>
        <v>0</v>
      </c>
      <c r="U81" s="699">
        <f>IF($O82=0,0,        _xll.qDateNext($O81,U$17,"M",TRUE,Currency1))</f>
        <v>0</v>
      </c>
      <c r="V81" s="699">
        <f>IF($O82=0,0,        _xll.qDateNext($O81,V$17,"M",TRUE,Currency1))</f>
        <v>0</v>
      </c>
      <c r="W81" s="699">
        <f>IF($O82=0,0,        _xll.qDateNext($O81,W$17,"M",TRUE,Currency1))</f>
        <v>0</v>
      </c>
      <c r="X81" s="699">
        <f>IF($O82=0,0,        _xll.qDateNext($O81,X$17,"M",TRUE,Currency1))</f>
        <v>0</v>
      </c>
      <c r="Y81" s="699">
        <f>IF($O82=0,0,        _xll.qDateNext($O81,Y$17,"M",TRUE,Currency1))</f>
        <v>0</v>
      </c>
      <c r="Z81" s="703">
        <f>IF($O82=0,0,           IF(FRM,_xll.qGetFwdRate(Z$14,$O81,R81,"T",DCC_Leg1_Float),_xll.qGetFwdRate(Z$14,$O81,$O82,"T",DCC_Leg1_Float)))</f>
        <v>0</v>
      </c>
      <c r="AA81" s="703">
        <f>IF($O82=0,0,           IF(FRM,_xll.qGetFwdRate(AA$14,$O81,S81,"T",DCC_Leg1_Float),_xll.qGetFwdRate(AA$14,$O81,$O82,"T",DCC_Leg1_Float)))</f>
        <v>0</v>
      </c>
      <c r="AB81" s="703">
        <f t="shared" si="1"/>
        <v>0</v>
      </c>
      <c r="AC81" s="703">
        <f>IF($O82=0,0,           IF(FRM,_xll.qGetFwdRate(AC$14,$O81,U81,"T",DCC_Leg1_Float),_xll.qGetFwdRate(AC$14,$O81,$O82,"T",DCC_Leg1_Float)))</f>
        <v>0</v>
      </c>
      <c r="AD81" s="703">
        <f t="shared" si="7"/>
        <v>0</v>
      </c>
      <c r="AE81" s="703">
        <f t="shared" si="8"/>
        <v>0</v>
      </c>
      <c r="AF81" s="703">
        <f>IF($O82=0,0,           IF(FRM,_xll.qGetFwdRate(AF$14,$O81,X81,"T",DCC_Leg1_Float),_xll.qGetFwdRate(AF$14,$O81,$O82,"T",DCC_Leg1_Float)))</f>
        <v>0</v>
      </c>
      <c r="AG81" s="703">
        <f>IF($O82=0,0,           IF(FRM,_xll.qGetFwdRate(AG$14,$O81,Y81,"T",DCC_Leg1_Float),_xll.qGetFwdRate(AG$14,$O81,$O82,"T",DCC_Leg1_Float)))</f>
        <v>0</v>
      </c>
      <c r="AH81" s="685">
        <v>0</v>
      </c>
      <c r="AI81" s="667"/>
      <c r="AJ81" s="670">
        <f>IF(O82=0,0,             IF(ISNUMBER(AI81),AI81,             IF(ISTEXT(AI81),INDEX(Z81:AG81,MATCH(AI81,$Z$17:$AG$17,0)),           IF(AH81="INT",_xll.qInterp(O82,R81:Y81,Z81:AG81),       INDEX(Z81:AG81,MATCH(AH81,$Z$17:$AG$17,0))))))</f>
        <v>0</v>
      </c>
      <c r="AK81" s="732">
        <v>100</v>
      </c>
      <c r="AL81" s="721">
        <f t="shared" si="2"/>
        <v>0</v>
      </c>
      <c r="AM81" s="284">
        <f>IF($O82,_xll.qDateYears($O81,$O82,DCC_Leg1_Fixed),0)</f>
        <v>0</v>
      </c>
      <c r="AN81" s="284">
        <f>IF($O82,_xll.qDateYears($O81,$O82,DCC_Leg1_Float),0)</f>
        <v>0</v>
      </c>
      <c r="AP81" s="350">
        <f t="shared" si="9"/>
        <v>0</v>
      </c>
      <c r="AQ81" s="375">
        <f>IF(GenType_1a="Fixed",GenRate_1a%*$AL80*AM80,          IF(GenType_1a="Float",$AL80*(_xll.qGetFwdRate($D$18,$O80,$O81,"T",DCC_Leg1_Float)%+GenRate_1a%%)*$AN80,        IF(GenType_1a="bp (Fixed)",GenRate_1a%%*$AM80*$AL80,   IF(GenType_1a="bp (Float)",GenRate_1a%%*$AL80*$AN80,0))))</f>
        <v>0</v>
      </c>
      <c r="AR81" s="561"/>
      <c r="AT81" s="341">
        <f t="shared" si="14"/>
        <v>0</v>
      </c>
      <c r="AV81" s="356"/>
      <c r="AW81" s="122">
        <v>0</v>
      </c>
      <c r="AX81" s="128">
        <f t="shared" si="3"/>
        <v>0</v>
      </c>
      <c r="AY81" s="357">
        <v>0</v>
      </c>
      <c r="AZ81" s="699">
        <f>IF($AW82=0,0,        _xll.qDateNext($AW81,AZ$17,"M",TRUE,Currency2))</f>
        <v>0</v>
      </c>
      <c r="BA81" s="699">
        <f>IF($AW82=0,0,        _xll.qDateNext($AW81,BA$17,"M",TRUE,Currency2))</f>
        <v>0</v>
      </c>
      <c r="BB81" s="699">
        <f>IF($AW82=0,0,        _xll.qDateNext($AW81,BB$17,"M",TRUE,Currency2))</f>
        <v>0</v>
      </c>
      <c r="BC81" s="699">
        <f>IF($AW82=0,0,        _xll.qDateNext($AW81,BC$17,"M",TRUE,Currency2))</f>
        <v>0</v>
      </c>
      <c r="BD81" s="699">
        <f>IF($AW82=0,0,        _xll.qDateNext($AW81,BD$17,"M",TRUE,Currency2))</f>
        <v>0</v>
      </c>
      <c r="BE81" s="699">
        <f>IF($AW82=0,0,        _xll.qDateNext($AW81,BE$17,"M",TRUE,Currency2))</f>
        <v>0</v>
      </c>
      <c r="BF81" s="699">
        <f>IF($AW82=0,0,        _xll.qDateNext($AW81,BF$17,"M",TRUE,Currency2))</f>
        <v>0</v>
      </c>
      <c r="BG81" s="699">
        <f>IF($AW82=0,0,        _xll.qDateNext($AW81,BG$17,"M",TRUE,Currency2))</f>
        <v>0</v>
      </c>
      <c r="BH81" s="703">
        <v>0</v>
      </c>
      <c r="BI81" s="703">
        <v>0</v>
      </c>
      <c r="BJ81" s="703">
        <v>0</v>
      </c>
      <c r="BK81" s="703">
        <v>0</v>
      </c>
      <c r="BL81" s="703">
        <f t="shared" si="4"/>
        <v>0</v>
      </c>
      <c r="BM81" s="703">
        <f t="shared" si="10"/>
        <v>0</v>
      </c>
      <c r="BN81" s="703">
        <v>0</v>
      </c>
      <c r="BO81" s="703">
        <v>0</v>
      </c>
      <c r="BP81" s="685">
        <v>0</v>
      </c>
      <c r="BQ81" s="667"/>
      <c r="BR81" s="670">
        <f>IF(AW82=0,0,             IF(ISNUMBER(BQ81),BQ81,             IF(ISTEXT(BQ81),INDEX(BH81:BO81,MATCH(BQ81,$BH$17:$BO$17,0)),           IF(BP81="INT",_xll.qInterp(AW82,AZ81:BG81,BH81:BO81),       INDEX(BH81:BO81,MATCH(BP81,$BH$17:$BO$17,0))))))</f>
        <v>0</v>
      </c>
      <c r="BS81" s="731">
        <f t="shared" si="5"/>
        <v>0</v>
      </c>
      <c r="BT81" s="406">
        <f t="shared" si="6"/>
        <v>0</v>
      </c>
      <c r="BU81" s="284">
        <f>IF($AW82,_xll.qDateYears($AW81,$AW82,DCC_Leg2_Fixed),0)</f>
        <v>0</v>
      </c>
      <c r="BV81" s="284">
        <f>IF($AW82,_xll.qDateYears($AW81,$AW82,DCC_Leg2_Float),0)</f>
        <v>0</v>
      </c>
      <c r="BX81" s="350">
        <f t="shared" si="11"/>
        <v>0</v>
      </c>
      <c r="BY81" s="375">
        <f>IF(GenType_2a="Fixed",GenRate_2a%*$BT80*BU80,          IF(GenType_2a="Float",$BT80*(_xll.qGetFwdRate($J$18,$AW80,$AW81,"T",DCC_Leg2_Float)%+GenRate_2a%%)*$BV80,        IF(GenType_2a="bp (Fixed)",GenRate_2a%%*$BU80*$BT80,   IF(GenType_2a="bp (Float)",GenRate_2a%%*$BT80*$BV80,0))))</f>
        <v>0</v>
      </c>
      <c r="BZ81" s="561"/>
      <c r="CB81" s="341">
        <f t="shared" si="15"/>
        <v>0</v>
      </c>
      <c r="CC81" s="563"/>
      <c r="CD81" s="356"/>
      <c r="CE81" s="341">
        <v>0</v>
      </c>
      <c r="CF81" s="563"/>
      <c r="CG81" s="356"/>
    </row>
    <row r="82" spans="15:85">
      <c r="O82" s="122">
        <v>0</v>
      </c>
      <c r="P82" s="128">
        <f t="shared" ref="P82:P145" si="16">IF(O83,O83-O82,0)</f>
        <v>0</v>
      </c>
      <c r="Q82" s="126">
        <v>0</v>
      </c>
      <c r="R82" s="699">
        <f>IF($O83=0,0,        _xll.qDateNext($O82,R$17,"M",TRUE,Currency1))</f>
        <v>0</v>
      </c>
      <c r="S82" s="699">
        <f>IF($O83=0,0,        _xll.qDateNext($O82,S$17,"M",TRUE,Currency1))</f>
        <v>0</v>
      </c>
      <c r="T82" s="699">
        <f>IF($O83=0,0,        _xll.qDateNext($O82,T$17,"M",TRUE,Currency1))</f>
        <v>0</v>
      </c>
      <c r="U82" s="699">
        <f>IF($O83=0,0,        _xll.qDateNext($O82,U$17,"M",TRUE,Currency1))</f>
        <v>0</v>
      </c>
      <c r="V82" s="699">
        <f>IF($O83=0,0,        _xll.qDateNext($O82,V$17,"M",TRUE,Currency1))</f>
        <v>0</v>
      </c>
      <c r="W82" s="699">
        <f>IF($O83=0,0,        _xll.qDateNext($O82,W$17,"M",TRUE,Currency1))</f>
        <v>0</v>
      </c>
      <c r="X82" s="699">
        <f>IF($O83=0,0,        _xll.qDateNext($O82,X$17,"M",TRUE,Currency1))</f>
        <v>0</v>
      </c>
      <c r="Y82" s="699">
        <f>IF($O83=0,0,        _xll.qDateNext($O82,Y$17,"M",TRUE,Currency1))</f>
        <v>0</v>
      </c>
      <c r="Z82" s="703">
        <f>IF($O83=0,0,           IF(FRM,_xll.qGetFwdRate(Z$14,$O82,R82,"T",DCC_Leg1_Float),_xll.qGetFwdRate(Z$14,$O82,$O83,"T",DCC_Leg1_Float)))</f>
        <v>0</v>
      </c>
      <c r="AA82" s="703">
        <f>IF($O83=0,0,           IF(FRM,_xll.qGetFwdRate(AA$14,$O82,S82,"T",DCC_Leg1_Float),_xll.qGetFwdRate(AA$14,$O82,$O83,"T",DCC_Leg1_Float)))</f>
        <v>0</v>
      </c>
      <c r="AB82" s="703">
        <f t="shared" ref="AB82:AB145" si="17">AVERAGE(AA82,AC82)</f>
        <v>0</v>
      </c>
      <c r="AC82" s="703">
        <f>IF($O83=0,0,           IF(FRM,_xll.qGetFwdRate(AC$14,$O82,U82,"T",DCC_Leg1_Float),_xll.qGetFwdRate(AC$14,$O82,$O83,"T",DCC_Leg1_Float)))</f>
        <v>0</v>
      </c>
      <c r="AD82" s="703">
        <f t="shared" si="7"/>
        <v>0</v>
      </c>
      <c r="AE82" s="703">
        <f t="shared" si="8"/>
        <v>0</v>
      </c>
      <c r="AF82" s="703">
        <f>IF($O83=0,0,           IF(FRM,_xll.qGetFwdRate(AF$14,$O82,X82,"T",DCC_Leg1_Float),_xll.qGetFwdRate(AF$14,$O82,$O83,"T",DCC_Leg1_Float)))</f>
        <v>0</v>
      </c>
      <c r="AG82" s="703">
        <f>IF($O83=0,0,           IF(FRM,_xll.qGetFwdRate(AG$14,$O82,Y82,"T",DCC_Leg1_Float),_xll.qGetFwdRate(AG$14,$O82,$O83,"T",DCC_Leg1_Float)))</f>
        <v>0</v>
      </c>
      <c r="AH82" s="685">
        <v>0</v>
      </c>
      <c r="AI82" s="667"/>
      <c r="AJ82" s="670">
        <f>IF(O83=0,0,             IF(ISNUMBER(AI82),AI82,             IF(ISTEXT(AI82),INDEX(Z82:AG82,MATCH(AI82,$Z$17:$AG$17,0)),           IF(AH82="INT",_xll.qInterp(O83,R82:Y82,Z82:AG82),       INDEX(Z82:AG82,MATCH(AH82,$Z$17:$AG$17,0))))))</f>
        <v>0</v>
      </c>
      <c r="AK82" s="732">
        <v>100</v>
      </c>
      <c r="AL82" s="721">
        <f t="shared" ref="AL82:AL145" si="18">IF(O83,AK82*1000000*$AN$11,0)</f>
        <v>0</v>
      </c>
      <c r="AM82" s="284">
        <f>IF($O83,_xll.qDateYears($O82,$O83,DCC_Leg1_Fixed),0)</f>
        <v>0</v>
      </c>
      <c r="AN82" s="284">
        <f>IF($O83,_xll.qDateYears($O82,$O83,DCC_Leg1_Float),0)</f>
        <v>0</v>
      </c>
      <c r="AP82" s="350">
        <f t="shared" si="9"/>
        <v>0</v>
      </c>
      <c r="AQ82" s="375">
        <f>IF(GenType_1a="Fixed",GenRate_1a%*$AL81*AM81,          IF(GenType_1a="Float",$AL81*(_xll.qGetFwdRate($D$18,$O81,$O82,"T",DCC_Leg1_Float)%+GenRate_1a%%)*$AN81,        IF(GenType_1a="bp (Fixed)",GenRate_1a%%*$AM81*$AL81,   IF(GenType_1a="bp (Float)",GenRate_1a%%*$AL81*$AN81,0))))</f>
        <v>0</v>
      </c>
      <c r="AR82" s="561"/>
      <c r="AT82" s="341">
        <f t="shared" si="14"/>
        <v>0</v>
      </c>
      <c r="AV82" s="356"/>
      <c r="AW82" s="122">
        <v>0</v>
      </c>
      <c r="AX82" s="128">
        <f t="shared" ref="AX82:AX145" si="19">IF(AW83,AW83-AW82,0)</f>
        <v>0</v>
      </c>
      <c r="AY82" s="357">
        <v>0</v>
      </c>
      <c r="AZ82" s="699">
        <f>IF($AW83=0,0,        _xll.qDateNext($AW82,AZ$17,"M",TRUE,Currency2))</f>
        <v>0</v>
      </c>
      <c r="BA82" s="699">
        <f>IF($AW83=0,0,        _xll.qDateNext($AW82,BA$17,"M",TRUE,Currency2))</f>
        <v>0</v>
      </c>
      <c r="BB82" s="699">
        <f>IF($AW83=0,0,        _xll.qDateNext($AW82,BB$17,"M",TRUE,Currency2))</f>
        <v>0</v>
      </c>
      <c r="BC82" s="699">
        <f>IF($AW83=0,0,        _xll.qDateNext($AW82,BC$17,"M",TRUE,Currency2))</f>
        <v>0</v>
      </c>
      <c r="BD82" s="699">
        <f>IF($AW83=0,0,        _xll.qDateNext($AW82,BD$17,"M",TRUE,Currency2))</f>
        <v>0</v>
      </c>
      <c r="BE82" s="699">
        <f>IF($AW83=0,0,        _xll.qDateNext($AW82,BE$17,"M",TRUE,Currency2))</f>
        <v>0</v>
      </c>
      <c r="BF82" s="699">
        <f>IF($AW83=0,0,        _xll.qDateNext($AW82,BF$17,"M",TRUE,Currency2))</f>
        <v>0</v>
      </c>
      <c r="BG82" s="699">
        <f>IF($AW83=0,0,        _xll.qDateNext($AW82,BG$17,"M",TRUE,Currency2))</f>
        <v>0</v>
      </c>
      <c r="BH82" s="703">
        <v>0</v>
      </c>
      <c r="BI82" s="703">
        <v>0</v>
      </c>
      <c r="BJ82" s="703">
        <v>0</v>
      </c>
      <c r="BK82" s="703">
        <v>0</v>
      </c>
      <c r="BL82" s="703">
        <f t="shared" si="4"/>
        <v>0</v>
      </c>
      <c r="BM82" s="703">
        <f t="shared" si="10"/>
        <v>0</v>
      </c>
      <c r="BN82" s="703">
        <v>0</v>
      </c>
      <c r="BO82" s="703">
        <v>0</v>
      </c>
      <c r="BP82" s="685">
        <v>0</v>
      </c>
      <c r="BQ82" s="667"/>
      <c r="BR82" s="670">
        <f>IF(AW83=0,0,             IF(ISNUMBER(BQ82),BQ82,             IF(ISTEXT(BQ82),INDEX(BH82:BO82,MATCH(BQ82,$BH$17:$BO$17,0)),           IF(BP82="INT",_xll.qInterp(AW83,AZ82:BG82,BH82:BO82),       INDEX(BH82:BO82,MATCH(BP82,$BH$17:$BO$17,0))))))</f>
        <v>0</v>
      </c>
      <c r="BS82" s="731">
        <f t="shared" ref="BS82:BS145" si="20">IF(AW83,INDEX($AK$18:$AK$516,MATCH(AW82,OFFSET($O$18,0,0,$AN$12,1)))*$F$6,0)</f>
        <v>0</v>
      </c>
      <c r="BT82" s="406">
        <f t="shared" ref="BT82:BT145" si="21">IF(AW82,BS82*1000000*$BV$11,0)</f>
        <v>0</v>
      </c>
      <c r="BU82" s="284">
        <f>IF($AW83,_xll.qDateYears($AW82,$AW83,DCC_Leg2_Fixed),0)</f>
        <v>0</v>
      </c>
      <c r="BV82" s="284">
        <f>IF($AW83,_xll.qDateYears($AW82,$AW83,DCC_Leg2_Float),0)</f>
        <v>0</v>
      </c>
      <c r="BX82" s="350">
        <f t="shared" si="11"/>
        <v>0</v>
      </c>
      <c r="BY82" s="375">
        <f>IF(GenType_2a="Fixed",GenRate_2a%*$BT81*BU81,          IF(GenType_2a="Float",$BT81*(_xll.qGetFwdRate($J$18,$AW81,$AW82,"T",DCC_Leg2_Float)%+GenRate_2a%%)*$BV81,        IF(GenType_2a="bp (Fixed)",GenRate_2a%%*$BU81*$BT81,   IF(GenType_2a="bp (Float)",GenRate_2a%%*$BT81*$BV81,0))))</f>
        <v>0</v>
      </c>
      <c r="BZ82" s="561"/>
      <c r="CB82" s="341">
        <f t="shared" si="15"/>
        <v>0</v>
      </c>
      <c r="CC82" s="563"/>
      <c r="CD82" s="356"/>
      <c r="CE82" s="341">
        <v>0</v>
      </c>
      <c r="CF82" s="563"/>
      <c r="CG82" s="356"/>
    </row>
    <row r="83" spans="15:85">
      <c r="O83" s="122">
        <v>0</v>
      </c>
      <c r="P83" s="128">
        <f t="shared" si="16"/>
        <v>0</v>
      </c>
      <c r="Q83" s="126">
        <v>0</v>
      </c>
      <c r="R83" s="699">
        <f>IF($O84=0,0,        _xll.qDateNext($O83,R$17,"M",TRUE,Currency1))</f>
        <v>0</v>
      </c>
      <c r="S83" s="699">
        <f>IF($O84=0,0,        _xll.qDateNext($O83,S$17,"M",TRUE,Currency1))</f>
        <v>0</v>
      </c>
      <c r="T83" s="699">
        <f>IF($O84=0,0,        _xll.qDateNext($O83,T$17,"M",TRUE,Currency1))</f>
        <v>0</v>
      </c>
      <c r="U83" s="699">
        <f>IF($O84=0,0,        _xll.qDateNext($O83,U$17,"M",TRUE,Currency1))</f>
        <v>0</v>
      </c>
      <c r="V83" s="699">
        <f>IF($O84=0,0,        _xll.qDateNext($O83,V$17,"M",TRUE,Currency1))</f>
        <v>0</v>
      </c>
      <c r="W83" s="699">
        <f>IF($O84=0,0,        _xll.qDateNext($O83,W$17,"M",TRUE,Currency1))</f>
        <v>0</v>
      </c>
      <c r="X83" s="699">
        <f>IF($O84=0,0,        _xll.qDateNext($O83,X$17,"M",TRUE,Currency1))</f>
        <v>0</v>
      </c>
      <c r="Y83" s="699">
        <f>IF($O84=0,0,        _xll.qDateNext($O83,Y$17,"M",TRUE,Currency1))</f>
        <v>0</v>
      </c>
      <c r="Z83" s="703">
        <f>IF($O84=0,0,           IF(FRM,_xll.qGetFwdRate(Z$14,$O83,R83,"T",DCC_Leg1_Float),_xll.qGetFwdRate(Z$14,$O83,$O84,"T",DCC_Leg1_Float)))</f>
        <v>0</v>
      </c>
      <c r="AA83" s="703">
        <f>IF($O84=0,0,           IF(FRM,_xll.qGetFwdRate(AA$14,$O83,S83,"T",DCC_Leg1_Float),_xll.qGetFwdRate(AA$14,$O83,$O84,"T",DCC_Leg1_Float)))</f>
        <v>0</v>
      </c>
      <c r="AB83" s="703">
        <f t="shared" si="17"/>
        <v>0</v>
      </c>
      <c r="AC83" s="703">
        <f>IF($O84=0,0,           IF(FRM,_xll.qGetFwdRate(AC$14,$O83,U83,"T",DCC_Leg1_Float),_xll.qGetFwdRate(AC$14,$O83,$O84,"T",DCC_Leg1_Float)))</f>
        <v>0</v>
      </c>
      <c r="AD83" s="703">
        <f t="shared" ref="AD83:AD146" si="22">(AF83-AC83)/3+AC83</f>
        <v>0</v>
      </c>
      <c r="AE83" s="703">
        <f t="shared" ref="AE83:AE146" si="23">AVERAGE(AD83,AF83)</f>
        <v>0</v>
      </c>
      <c r="AF83" s="703">
        <f>IF($O84=0,0,           IF(FRM,_xll.qGetFwdRate(AF$14,$O83,X83,"T",DCC_Leg1_Float),_xll.qGetFwdRate(AF$14,$O83,$O84,"T",DCC_Leg1_Float)))</f>
        <v>0</v>
      </c>
      <c r="AG83" s="703">
        <f>IF($O84=0,0,           IF(FRM,_xll.qGetFwdRate(AG$14,$O83,Y83,"T",DCC_Leg1_Float),_xll.qGetFwdRate(AG$14,$O83,$O84,"T",DCC_Leg1_Float)))</f>
        <v>0</v>
      </c>
      <c r="AH83" s="685">
        <v>0</v>
      </c>
      <c r="AI83" s="667"/>
      <c r="AJ83" s="670">
        <f>IF(O84=0,0,             IF(ISNUMBER(AI83),AI83,             IF(ISTEXT(AI83),INDEX(Z83:AG83,MATCH(AI83,$Z$17:$AG$17,0)),           IF(AH83="INT",_xll.qInterp(O84,R83:Y83,Z83:AG83),       INDEX(Z83:AG83,MATCH(AH83,$Z$17:$AG$17,0))))))</f>
        <v>0</v>
      </c>
      <c r="AK83" s="732">
        <v>100</v>
      </c>
      <c r="AL83" s="721">
        <f t="shared" si="18"/>
        <v>0</v>
      </c>
      <c r="AM83" s="284">
        <f>IF($O84,_xll.qDateYears($O83,$O84,DCC_Leg1_Fixed),0)</f>
        <v>0</v>
      </c>
      <c r="AN83" s="284">
        <f>IF($O84,_xll.qDateYears($O83,$O84,DCC_Leg1_Float),0)</f>
        <v>0</v>
      </c>
      <c r="AP83" s="350">
        <f t="shared" ref="AP83:AP146" si="24">IF(Principal1?,$AL82-$AL83,       0)</f>
        <v>0</v>
      </c>
      <c r="AQ83" s="375">
        <f>IF(GenType_1a="Fixed",GenRate_1a%*$AL82*AM82,          IF(GenType_1a="Float",$AL82*(_xll.qGetFwdRate($D$18,$O82,$O83,"T",DCC_Leg1_Float)%+GenRate_1a%%)*$AN82,        IF(GenType_1a="bp (Fixed)",GenRate_1a%%*$AM82*$AL82,   IF(GenType_1a="bp (Float)",GenRate_1a%%*$AL82*$AN82,0))))</f>
        <v>0</v>
      </c>
      <c r="AR83" s="561"/>
      <c r="AT83" s="341">
        <f t="shared" si="14"/>
        <v>0</v>
      </c>
      <c r="AV83" s="356"/>
      <c r="AW83" s="122">
        <v>0</v>
      </c>
      <c r="AX83" s="128">
        <f t="shared" si="19"/>
        <v>0</v>
      </c>
      <c r="AY83" s="357">
        <v>0</v>
      </c>
      <c r="AZ83" s="699">
        <f>IF($AW84=0,0,        _xll.qDateNext($AW83,AZ$17,"M",TRUE,Currency2))</f>
        <v>0</v>
      </c>
      <c r="BA83" s="699">
        <f>IF($AW84=0,0,        _xll.qDateNext($AW83,BA$17,"M",TRUE,Currency2))</f>
        <v>0</v>
      </c>
      <c r="BB83" s="699">
        <f>IF($AW84=0,0,        _xll.qDateNext($AW83,BB$17,"M",TRUE,Currency2))</f>
        <v>0</v>
      </c>
      <c r="BC83" s="699">
        <f>IF($AW84=0,0,        _xll.qDateNext($AW83,BC$17,"M",TRUE,Currency2))</f>
        <v>0</v>
      </c>
      <c r="BD83" s="699">
        <f>IF($AW84=0,0,        _xll.qDateNext($AW83,BD$17,"M",TRUE,Currency2))</f>
        <v>0</v>
      </c>
      <c r="BE83" s="699">
        <f>IF($AW84=0,0,        _xll.qDateNext($AW83,BE$17,"M",TRUE,Currency2))</f>
        <v>0</v>
      </c>
      <c r="BF83" s="699">
        <f>IF($AW84=0,0,        _xll.qDateNext($AW83,BF$17,"M",TRUE,Currency2))</f>
        <v>0</v>
      </c>
      <c r="BG83" s="699">
        <f>IF($AW84=0,0,        _xll.qDateNext($AW83,BG$17,"M",TRUE,Currency2))</f>
        <v>0</v>
      </c>
      <c r="BH83" s="703">
        <v>0</v>
      </c>
      <c r="BI83" s="703">
        <v>0</v>
      </c>
      <c r="BJ83" s="703">
        <v>0</v>
      </c>
      <c r="BK83" s="703">
        <v>0</v>
      </c>
      <c r="BL83" s="703">
        <f t="shared" ref="BL83:BL146" si="25">(BN83-BK83)/3+BK83</f>
        <v>0</v>
      </c>
      <c r="BM83" s="703">
        <f t="shared" ref="BM83:BM146" si="26">AVERAGE(BL83,BN83)</f>
        <v>0</v>
      </c>
      <c r="BN83" s="703">
        <v>0</v>
      </c>
      <c r="BO83" s="703">
        <v>0</v>
      </c>
      <c r="BP83" s="685">
        <v>0</v>
      </c>
      <c r="BQ83" s="667"/>
      <c r="BR83" s="670">
        <f>IF(AW84=0,0,             IF(ISNUMBER(BQ83),BQ83,             IF(ISTEXT(BQ83),INDEX(BH83:BO83,MATCH(BQ83,$BH$17:$BO$17,0)),           IF(BP83="INT",_xll.qInterp(AW84,AZ83:BG83,BH83:BO83),       INDEX(BH83:BO83,MATCH(BP83,$BH$17:$BO$17,0))))))</f>
        <v>0</v>
      </c>
      <c r="BS83" s="731">
        <f t="shared" si="20"/>
        <v>0</v>
      </c>
      <c r="BT83" s="406">
        <f t="shared" si="21"/>
        <v>0</v>
      </c>
      <c r="BU83" s="284">
        <f>IF($AW84,_xll.qDateYears($AW83,$AW84,DCC_Leg2_Fixed),0)</f>
        <v>0</v>
      </c>
      <c r="BV83" s="284">
        <f>IF($AW84,_xll.qDateYears($AW83,$AW84,DCC_Leg2_Float),0)</f>
        <v>0</v>
      </c>
      <c r="BX83" s="350">
        <f t="shared" ref="BX83:BX146" si="27">IF(Principal2?,$BT82-$BT83,       0)</f>
        <v>0</v>
      </c>
      <c r="BY83" s="375">
        <f>IF(GenType_2a="Fixed",GenRate_2a%*$BT82*BU82,          IF(GenType_2a="Float",$BT82*(_xll.qGetFwdRate($J$18,$AW82,$AW83,"T",DCC_Leg2_Float)%+GenRate_2a%%)*$BV82,        IF(GenType_2a="bp (Fixed)",GenRate_2a%%*$BU82*$BT82,   IF(GenType_2a="bp (Float)",GenRate_2a%%*$BT82*$BV82,0))))</f>
        <v>0</v>
      </c>
      <c r="BZ83" s="561"/>
      <c r="CB83" s="341">
        <f t="shared" si="15"/>
        <v>0</v>
      </c>
      <c r="CC83" s="563"/>
      <c r="CD83" s="356"/>
      <c r="CE83" s="341">
        <v>0</v>
      </c>
      <c r="CF83" s="563"/>
      <c r="CG83" s="356"/>
    </row>
    <row r="84" spans="15:85">
      <c r="O84" s="122">
        <v>0</v>
      </c>
      <c r="P84" s="128">
        <f t="shared" si="16"/>
        <v>0</v>
      </c>
      <c r="Q84" s="126">
        <v>0</v>
      </c>
      <c r="R84" s="699">
        <f>IF($O85=0,0,        _xll.qDateNext($O84,R$17,"M",TRUE,Currency1))</f>
        <v>0</v>
      </c>
      <c r="S84" s="699">
        <f>IF($O85=0,0,        _xll.qDateNext($O84,S$17,"M",TRUE,Currency1))</f>
        <v>0</v>
      </c>
      <c r="T84" s="699">
        <f>IF($O85=0,0,        _xll.qDateNext($O84,T$17,"M",TRUE,Currency1))</f>
        <v>0</v>
      </c>
      <c r="U84" s="699">
        <f>IF($O85=0,0,        _xll.qDateNext($O84,U$17,"M",TRUE,Currency1))</f>
        <v>0</v>
      </c>
      <c r="V84" s="699">
        <f>IF($O85=0,0,        _xll.qDateNext($O84,V$17,"M",TRUE,Currency1))</f>
        <v>0</v>
      </c>
      <c r="W84" s="699">
        <f>IF($O85=0,0,        _xll.qDateNext($O84,W$17,"M",TRUE,Currency1))</f>
        <v>0</v>
      </c>
      <c r="X84" s="699">
        <f>IF($O85=0,0,        _xll.qDateNext($O84,X$17,"M",TRUE,Currency1))</f>
        <v>0</v>
      </c>
      <c r="Y84" s="699">
        <f>IF($O85=0,0,        _xll.qDateNext($O84,Y$17,"M",TRUE,Currency1))</f>
        <v>0</v>
      </c>
      <c r="Z84" s="703">
        <f>IF($O85=0,0,           IF(FRM,_xll.qGetFwdRate(Z$14,$O84,R84,"T",DCC_Leg1_Float),_xll.qGetFwdRate(Z$14,$O84,$O85,"T",DCC_Leg1_Float)))</f>
        <v>0</v>
      </c>
      <c r="AA84" s="703">
        <f>IF($O85=0,0,           IF(FRM,_xll.qGetFwdRate(AA$14,$O84,S84,"T",DCC_Leg1_Float),_xll.qGetFwdRate(AA$14,$O84,$O85,"T",DCC_Leg1_Float)))</f>
        <v>0</v>
      </c>
      <c r="AB84" s="703">
        <f t="shared" si="17"/>
        <v>0</v>
      </c>
      <c r="AC84" s="703">
        <f>IF($O85=0,0,           IF(FRM,_xll.qGetFwdRate(AC$14,$O84,U84,"T",DCC_Leg1_Float),_xll.qGetFwdRate(AC$14,$O84,$O85,"T",DCC_Leg1_Float)))</f>
        <v>0</v>
      </c>
      <c r="AD84" s="703">
        <f t="shared" si="22"/>
        <v>0</v>
      </c>
      <c r="AE84" s="703">
        <f t="shared" si="23"/>
        <v>0</v>
      </c>
      <c r="AF84" s="703">
        <f>IF($O85=0,0,           IF(FRM,_xll.qGetFwdRate(AF$14,$O84,X84,"T",DCC_Leg1_Float),_xll.qGetFwdRate(AF$14,$O84,$O85,"T",DCC_Leg1_Float)))</f>
        <v>0</v>
      </c>
      <c r="AG84" s="703">
        <f>IF($O85=0,0,           IF(FRM,_xll.qGetFwdRate(AG$14,$O84,Y84,"T",DCC_Leg1_Float),_xll.qGetFwdRate(AG$14,$O84,$O85,"T",DCC_Leg1_Float)))</f>
        <v>0</v>
      </c>
      <c r="AH84" s="685">
        <v>0</v>
      </c>
      <c r="AI84" s="667"/>
      <c r="AJ84" s="670">
        <f>IF(O85=0,0,             IF(ISNUMBER(AI84),AI84,             IF(ISTEXT(AI84),INDEX(Z84:AG84,MATCH(AI84,$Z$17:$AG$17,0)),           IF(AH84="INT",_xll.qInterp(O85,R84:Y84,Z84:AG84),       INDEX(Z84:AG84,MATCH(AH84,$Z$17:$AG$17,0))))))</f>
        <v>0</v>
      </c>
      <c r="AK84" s="732">
        <v>100</v>
      </c>
      <c r="AL84" s="721">
        <f t="shared" si="18"/>
        <v>0</v>
      </c>
      <c r="AM84" s="284">
        <f>IF($O85,_xll.qDateYears($O84,$O85,DCC_Leg1_Fixed),0)</f>
        <v>0</v>
      </c>
      <c r="AN84" s="284">
        <f>IF($O85,_xll.qDateYears($O84,$O85,DCC_Leg1_Float),0)</f>
        <v>0</v>
      </c>
      <c r="AP84" s="350">
        <f t="shared" si="24"/>
        <v>0</v>
      </c>
      <c r="AQ84" s="375">
        <f>IF(GenType_1a="Fixed",GenRate_1a%*$AL83*AM83,          IF(GenType_1a="Float",$AL83*(_xll.qGetFwdRate($D$18,$O83,$O84,"T",DCC_Leg1_Float)%+GenRate_1a%%)*$AN83,        IF(GenType_1a="bp (Fixed)",GenRate_1a%%*$AM83*$AL83,   IF(GenType_1a="bp (Float)",GenRate_1a%%*$AL83*$AN83,0))))</f>
        <v>0</v>
      </c>
      <c r="AR84" s="561"/>
      <c r="AT84" s="341">
        <f t="shared" si="14"/>
        <v>0</v>
      </c>
      <c r="AV84" s="356"/>
      <c r="AW84" s="122">
        <v>0</v>
      </c>
      <c r="AX84" s="128">
        <f t="shared" si="19"/>
        <v>0</v>
      </c>
      <c r="AY84" s="357">
        <v>0</v>
      </c>
      <c r="AZ84" s="699">
        <f>IF($AW85=0,0,        _xll.qDateNext($AW84,AZ$17,"M",TRUE,Currency2))</f>
        <v>0</v>
      </c>
      <c r="BA84" s="699">
        <f>IF($AW85=0,0,        _xll.qDateNext($AW84,BA$17,"M",TRUE,Currency2))</f>
        <v>0</v>
      </c>
      <c r="BB84" s="699">
        <f>IF($AW85=0,0,        _xll.qDateNext($AW84,BB$17,"M",TRUE,Currency2))</f>
        <v>0</v>
      </c>
      <c r="BC84" s="699">
        <f>IF($AW85=0,0,        _xll.qDateNext($AW84,BC$17,"M",TRUE,Currency2))</f>
        <v>0</v>
      </c>
      <c r="BD84" s="699">
        <f>IF($AW85=0,0,        _xll.qDateNext($AW84,BD$17,"M",TRUE,Currency2))</f>
        <v>0</v>
      </c>
      <c r="BE84" s="699">
        <f>IF($AW85=0,0,        _xll.qDateNext($AW84,BE$17,"M",TRUE,Currency2))</f>
        <v>0</v>
      </c>
      <c r="BF84" s="699">
        <f>IF($AW85=0,0,        _xll.qDateNext($AW84,BF$17,"M",TRUE,Currency2))</f>
        <v>0</v>
      </c>
      <c r="BG84" s="699">
        <f>IF($AW85=0,0,        _xll.qDateNext($AW84,BG$17,"M",TRUE,Currency2))</f>
        <v>0</v>
      </c>
      <c r="BH84" s="703">
        <v>0</v>
      </c>
      <c r="BI84" s="703">
        <v>0</v>
      </c>
      <c r="BJ84" s="703">
        <v>0</v>
      </c>
      <c r="BK84" s="703">
        <v>0</v>
      </c>
      <c r="BL84" s="703">
        <f t="shared" si="25"/>
        <v>0</v>
      </c>
      <c r="BM84" s="703">
        <f t="shared" si="26"/>
        <v>0</v>
      </c>
      <c r="BN84" s="703">
        <v>0</v>
      </c>
      <c r="BO84" s="703">
        <v>0</v>
      </c>
      <c r="BP84" s="685">
        <v>0</v>
      </c>
      <c r="BQ84" s="667"/>
      <c r="BR84" s="670">
        <f>IF(AW85=0,0,             IF(ISNUMBER(BQ84),BQ84,             IF(ISTEXT(BQ84),INDEX(BH84:BO84,MATCH(BQ84,$BH$17:$BO$17,0)),           IF(BP84="INT",_xll.qInterp(AW85,AZ84:BG84,BH84:BO84),       INDEX(BH84:BO84,MATCH(BP84,$BH$17:$BO$17,0))))))</f>
        <v>0</v>
      </c>
      <c r="BS84" s="731">
        <f t="shared" si="20"/>
        <v>0</v>
      </c>
      <c r="BT84" s="406">
        <f t="shared" si="21"/>
        <v>0</v>
      </c>
      <c r="BU84" s="284">
        <f>IF($AW85,_xll.qDateYears($AW84,$AW85,DCC_Leg2_Fixed),0)</f>
        <v>0</v>
      </c>
      <c r="BV84" s="284">
        <f>IF($AW85,_xll.qDateYears($AW84,$AW85,DCC_Leg2_Float),0)</f>
        <v>0</v>
      </c>
      <c r="BX84" s="350">
        <f t="shared" si="27"/>
        <v>0</v>
      </c>
      <c r="BY84" s="375">
        <f>IF(GenType_2a="Fixed",GenRate_2a%*$BT83*BU83,          IF(GenType_2a="Float",$BT83*(_xll.qGetFwdRate($J$18,$AW83,$AW84,"T",DCC_Leg2_Float)%+GenRate_2a%%)*$BV83,        IF(GenType_2a="bp (Fixed)",GenRate_2a%%*$BU83*$BT83,   IF(GenType_2a="bp (Float)",GenRate_2a%%*$BT83*$BV83,0))))</f>
        <v>0</v>
      </c>
      <c r="BZ84" s="561"/>
      <c r="CB84" s="341">
        <f t="shared" si="15"/>
        <v>0</v>
      </c>
      <c r="CC84" s="563"/>
      <c r="CD84" s="356"/>
      <c r="CE84" s="341">
        <v>0</v>
      </c>
      <c r="CF84" s="563"/>
      <c r="CG84" s="356"/>
    </row>
    <row r="85" spans="15:85">
      <c r="O85" s="122">
        <v>0</v>
      </c>
      <c r="P85" s="128">
        <f t="shared" si="16"/>
        <v>0</v>
      </c>
      <c r="Q85" s="126">
        <v>0</v>
      </c>
      <c r="R85" s="699">
        <f>IF($O86=0,0,        _xll.qDateNext($O85,R$17,"M",TRUE,Currency1))</f>
        <v>0</v>
      </c>
      <c r="S85" s="699">
        <f>IF($O86=0,0,        _xll.qDateNext($O85,S$17,"M",TRUE,Currency1))</f>
        <v>0</v>
      </c>
      <c r="T85" s="699">
        <f>IF($O86=0,0,        _xll.qDateNext($O85,T$17,"M",TRUE,Currency1))</f>
        <v>0</v>
      </c>
      <c r="U85" s="699">
        <f>IF($O86=0,0,        _xll.qDateNext($O85,U$17,"M",TRUE,Currency1))</f>
        <v>0</v>
      </c>
      <c r="V85" s="699">
        <f>IF($O86=0,0,        _xll.qDateNext($O85,V$17,"M",TRUE,Currency1))</f>
        <v>0</v>
      </c>
      <c r="W85" s="699">
        <f>IF($O86=0,0,        _xll.qDateNext($O85,W$17,"M",TRUE,Currency1))</f>
        <v>0</v>
      </c>
      <c r="X85" s="699">
        <f>IF($O86=0,0,        _xll.qDateNext($O85,X$17,"M",TRUE,Currency1))</f>
        <v>0</v>
      </c>
      <c r="Y85" s="699">
        <f>IF($O86=0,0,        _xll.qDateNext($O85,Y$17,"M",TRUE,Currency1))</f>
        <v>0</v>
      </c>
      <c r="Z85" s="703">
        <f>IF($O86=0,0,           IF(FRM,_xll.qGetFwdRate(Z$14,$O85,R85,"T",DCC_Leg1_Float),_xll.qGetFwdRate(Z$14,$O85,$O86,"T",DCC_Leg1_Float)))</f>
        <v>0</v>
      </c>
      <c r="AA85" s="703">
        <f>IF($O86=0,0,           IF(FRM,_xll.qGetFwdRate(AA$14,$O85,S85,"T",DCC_Leg1_Float),_xll.qGetFwdRate(AA$14,$O85,$O86,"T",DCC_Leg1_Float)))</f>
        <v>0</v>
      </c>
      <c r="AB85" s="703">
        <f t="shared" si="17"/>
        <v>0</v>
      </c>
      <c r="AC85" s="703">
        <f>IF($O86=0,0,           IF(FRM,_xll.qGetFwdRate(AC$14,$O85,U85,"T",DCC_Leg1_Float),_xll.qGetFwdRate(AC$14,$O85,$O86,"T",DCC_Leg1_Float)))</f>
        <v>0</v>
      </c>
      <c r="AD85" s="703">
        <f t="shared" si="22"/>
        <v>0</v>
      </c>
      <c r="AE85" s="703">
        <f t="shared" si="23"/>
        <v>0</v>
      </c>
      <c r="AF85" s="703">
        <f>IF($O86=0,0,           IF(FRM,_xll.qGetFwdRate(AF$14,$O85,X85,"T",DCC_Leg1_Float),_xll.qGetFwdRate(AF$14,$O85,$O86,"T",DCC_Leg1_Float)))</f>
        <v>0</v>
      </c>
      <c r="AG85" s="703">
        <f>IF($O86=0,0,           IF(FRM,_xll.qGetFwdRate(AG$14,$O85,Y85,"T",DCC_Leg1_Float),_xll.qGetFwdRate(AG$14,$O85,$O86,"T",DCC_Leg1_Float)))</f>
        <v>0</v>
      </c>
      <c r="AH85" s="685">
        <v>0</v>
      </c>
      <c r="AI85" s="667"/>
      <c r="AJ85" s="670">
        <f>IF(O86=0,0,             IF(ISNUMBER(AI85),AI85,             IF(ISTEXT(AI85),INDEX(Z85:AG85,MATCH(AI85,$Z$17:$AG$17,0)),           IF(AH85="INT",_xll.qInterp(O86,R85:Y85,Z85:AG85),       INDEX(Z85:AG85,MATCH(AH85,$Z$17:$AG$17,0))))))</f>
        <v>0</v>
      </c>
      <c r="AK85" s="732">
        <v>100</v>
      </c>
      <c r="AL85" s="721">
        <f t="shared" si="18"/>
        <v>0</v>
      </c>
      <c r="AM85" s="284">
        <f>IF($O86,_xll.qDateYears($O85,$O86,DCC_Leg1_Fixed),0)</f>
        <v>0</v>
      </c>
      <c r="AN85" s="284">
        <f>IF($O86,_xll.qDateYears($O85,$O86,DCC_Leg1_Float),0)</f>
        <v>0</v>
      </c>
      <c r="AP85" s="350">
        <f t="shared" si="24"/>
        <v>0</v>
      </c>
      <c r="AQ85" s="375">
        <f>IF(GenType_1a="Fixed",GenRate_1a%*$AL84*AM84,          IF(GenType_1a="Float",$AL84*(_xll.qGetFwdRate($D$18,$O84,$O85,"T",DCC_Leg1_Float)%+GenRate_1a%%)*$AN84,        IF(GenType_1a="bp (Fixed)",GenRate_1a%%*$AM84*$AL84,   IF(GenType_1a="bp (Float)",GenRate_1a%%*$AL84*$AN84,0))))</f>
        <v>0</v>
      </c>
      <c r="AR85" s="561"/>
      <c r="AT85" s="341">
        <f t="shared" si="14"/>
        <v>0</v>
      </c>
      <c r="AV85" s="356"/>
      <c r="AW85" s="122">
        <v>0</v>
      </c>
      <c r="AX85" s="128">
        <f t="shared" si="19"/>
        <v>0</v>
      </c>
      <c r="AY85" s="357">
        <v>0</v>
      </c>
      <c r="AZ85" s="699">
        <f>IF($AW86=0,0,        _xll.qDateNext($AW85,AZ$17,"M",TRUE,Currency2))</f>
        <v>0</v>
      </c>
      <c r="BA85" s="699">
        <f>IF($AW86=0,0,        _xll.qDateNext($AW85,BA$17,"M",TRUE,Currency2))</f>
        <v>0</v>
      </c>
      <c r="BB85" s="699">
        <f>IF($AW86=0,0,        _xll.qDateNext($AW85,BB$17,"M",TRUE,Currency2))</f>
        <v>0</v>
      </c>
      <c r="BC85" s="699">
        <f>IF($AW86=0,0,        _xll.qDateNext($AW85,BC$17,"M",TRUE,Currency2))</f>
        <v>0</v>
      </c>
      <c r="BD85" s="699">
        <f>IF($AW86=0,0,        _xll.qDateNext($AW85,BD$17,"M",TRUE,Currency2))</f>
        <v>0</v>
      </c>
      <c r="BE85" s="699">
        <f>IF($AW86=0,0,        _xll.qDateNext($AW85,BE$17,"M",TRUE,Currency2))</f>
        <v>0</v>
      </c>
      <c r="BF85" s="699">
        <f>IF($AW86=0,0,        _xll.qDateNext($AW85,BF$17,"M",TRUE,Currency2))</f>
        <v>0</v>
      </c>
      <c r="BG85" s="699">
        <f>IF($AW86=0,0,        _xll.qDateNext($AW85,BG$17,"M",TRUE,Currency2))</f>
        <v>0</v>
      </c>
      <c r="BH85" s="703">
        <v>0</v>
      </c>
      <c r="BI85" s="703">
        <v>0</v>
      </c>
      <c r="BJ85" s="703">
        <v>0</v>
      </c>
      <c r="BK85" s="703">
        <v>0</v>
      </c>
      <c r="BL85" s="703">
        <f t="shared" si="25"/>
        <v>0</v>
      </c>
      <c r="BM85" s="703">
        <f t="shared" si="26"/>
        <v>0</v>
      </c>
      <c r="BN85" s="703">
        <v>0</v>
      </c>
      <c r="BO85" s="703">
        <v>0</v>
      </c>
      <c r="BP85" s="685">
        <v>0</v>
      </c>
      <c r="BQ85" s="667"/>
      <c r="BR85" s="670">
        <f>IF(AW86=0,0,             IF(ISNUMBER(BQ85),BQ85,             IF(ISTEXT(BQ85),INDEX(BH85:BO85,MATCH(BQ85,$BH$17:$BO$17,0)),           IF(BP85="INT",_xll.qInterp(AW86,AZ85:BG85,BH85:BO85),       INDEX(BH85:BO85,MATCH(BP85,$BH$17:$BO$17,0))))))</f>
        <v>0</v>
      </c>
      <c r="BS85" s="731">
        <f t="shared" si="20"/>
        <v>0</v>
      </c>
      <c r="BT85" s="406">
        <f t="shared" si="21"/>
        <v>0</v>
      </c>
      <c r="BU85" s="284">
        <f>IF($AW86,_xll.qDateYears($AW85,$AW86,DCC_Leg2_Fixed),0)</f>
        <v>0</v>
      </c>
      <c r="BV85" s="284">
        <f>IF($AW86,_xll.qDateYears($AW85,$AW86,DCC_Leg2_Float),0)</f>
        <v>0</v>
      </c>
      <c r="BX85" s="350">
        <f t="shared" si="27"/>
        <v>0</v>
      </c>
      <c r="BY85" s="375">
        <f>IF(GenType_2a="Fixed",GenRate_2a%*$BT84*BU84,          IF(GenType_2a="Float",$BT84*(_xll.qGetFwdRate($J$18,$AW84,$AW85,"T",DCC_Leg2_Float)%+GenRate_2a%%)*$BV84,        IF(GenType_2a="bp (Fixed)",GenRate_2a%%*$BU84*$BT84,   IF(GenType_2a="bp (Float)",GenRate_2a%%*$BT84*$BV84,0))))</f>
        <v>0</v>
      </c>
      <c r="BZ85" s="561"/>
      <c r="CB85" s="341">
        <f t="shared" si="15"/>
        <v>0</v>
      </c>
      <c r="CC85" s="563"/>
      <c r="CD85" s="356"/>
      <c r="CE85" s="341">
        <v>0</v>
      </c>
      <c r="CF85" s="563"/>
      <c r="CG85" s="356"/>
    </row>
    <row r="86" spans="15:85">
      <c r="O86" s="122">
        <v>0</v>
      </c>
      <c r="P86" s="128">
        <f t="shared" si="16"/>
        <v>0</v>
      </c>
      <c r="Q86" s="126">
        <v>0</v>
      </c>
      <c r="R86" s="699">
        <f>IF($O87=0,0,        _xll.qDateNext($O86,R$17,"M",TRUE,Currency1))</f>
        <v>0</v>
      </c>
      <c r="S86" s="699">
        <f>IF($O87=0,0,        _xll.qDateNext($O86,S$17,"M",TRUE,Currency1))</f>
        <v>0</v>
      </c>
      <c r="T86" s="699">
        <f>IF($O87=0,0,        _xll.qDateNext($O86,T$17,"M",TRUE,Currency1))</f>
        <v>0</v>
      </c>
      <c r="U86" s="699">
        <f>IF($O87=0,0,        _xll.qDateNext($O86,U$17,"M",TRUE,Currency1))</f>
        <v>0</v>
      </c>
      <c r="V86" s="699">
        <f>IF($O87=0,0,        _xll.qDateNext($O86,V$17,"M",TRUE,Currency1))</f>
        <v>0</v>
      </c>
      <c r="W86" s="699">
        <f>IF($O87=0,0,        _xll.qDateNext($O86,W$17,"M",TRUE,Currency1))</f>
        <v>0</v>
      </c>
      <c r="X86" s="699">
        <f>IF($O87=0,0,        _xll.qDateNext($O86,X$17,"M",TRUE,Currency1))</f>
        <v>0</v>
      </c>
      <c r="Y86" s="699">
        <f>IF($O87=0,0,        _xll.qDateNext($O86,Y$17,"M",TRUE,Currency1))</f>
        <v>0</v>
      </c>
      <c r="Z86" s="703">
        <f>IF($O87=0,0,           IF(FRM,_xll.qGetFwdRate(Z$14,$O86,R86,"T",DCC_Leg1_Float),_xll.qGetFwdRate(Z$14,$O86,$O87,"T",DCC_Leg1_Float)))</f>
        <v>0</v>
      </c>
      <c r="AA86" s="703">
        <f>IF($O87=0,0,           IF(FRM,_xll.qGetFwdRate(AA$14,$O86,S86,"T",DCC_Leg1_Float),_xll.qGetFwdRate(AA$14,$O86,$O87,"T",DCC_Leg1_Float)))</f>
        <v>0</v>
      </c>
      <c r="AB86" s="703">
        <f t="shared" si="17"/>
        <v>0</v>
      </c>
      <c r="AC86" s="703">
        <f>IF($O87=0,0,           IF(FRM,_xll.qGetFwdRate(AC$14,$O86,U86,"T",DCC_Leg1_Float),_xll.qGetFwdRate(AC$14,$O86,$O87,"T",DCC_Leg1_Float)))</f>
        <v>0</v>
      </c>
      <c r="AD86" s="703">
        <f t="shared" si="22"/>
        <v>0</v>
      </c>
      <c r="AE86" s="703">
        <f t="shared" si="23"/>
        <v>0</v>
      </c>
      <c r="AF86" s="703">
        <f>IF($O87=0,0,           IF(FRM,_xll.qGetFwdRate(AF$14,$O86,X86,"T",DCC_Leg1_Float),_xll.qGetFwdRate(AF$14,$O86,$O87,"T",DCC_Leg1_Float)))</f>
        <v>0</v>
      </c>
      <c r="AG86" s="703">
        <f>IF($O87=0,0,           IF(FRM,_xll.qGetFwdRate(AG$14,$O86,Y86,"T",DCC_Leg1_Float),_xll.qGetFwdRate(AG$14,$O86,$O87,"T",DCC_Leg1_Float)))</f>
        <v>0</v>
      </c>
      <c r="AH86" s="685">
        <v>0</v>
      </c>
      <c r="AI86" s="667"/>
      <c r="AJ86" s="670">
        <f>IF(O87=0,0,             IF(ISNUMBER(AI86),AI86,             IF(ISTEXT(AI86),INDEX(Z86:AG86,MATCH(AI86,$Z$17:$AG$17,0)),           IF(AH86="INT",_xll.qInterp(O87,R86:Y86,Z86:AG86),       INDEX(Z86:AG86,MATCH(AH86,$Z$17:$AG$17,0))))))</f>
        <v>0</v>
      </c>
      <c r="AK86" s="732">
        <v>100</v>
      </c>
      <c r="AL86" s="721">
        <f t="shared" si="18"/>
        <v>0</v>
      </c>
      <c r="AM86" s="284">
        <f>IF($O87,_xll.qDateYears($O86,$O87,DCC_Leg1_Fixed),0)</f>
        <v>0</v>
      </c>
      <c r="AN86" s="284">
        <f>IF($O87,_xll.qDateYears($O86,$O87,DCC_Leg1_Float),0)</f>
        <v>0</v>
      </c>
      <c r="AP86" s="350">
        <f t="shared" si="24"/>
        <v>0</v>
      </c>
      <c r="AQ86" s="375">
        <f>IF(GenType_1a="Fixed",GenRate_1a%*$AL85*AM85,          IF(GenType_1a="Float",$AL85*(_xll.qGetFwdRate($D$18,$O85,$O86,"T",DCC_Leg1_Float)%+GenRate_1a%%)*$AN85,        IF(GenType_1a="bp (Fixed)",GenRate_1a%%*$AM85*$AL85,   IF(GenType_1a="bp (Float)",GenRate_1a%%*$AL85*$AN85,0))))</f>
        <v>0</v>
      </c>
      <c r="AR86" s="561"/>
      <c r="AT86" s="341">
        <f t="shared" si="14"/>
        <v>0</v>
      </c>
      <c r="AV86" s="356"/>
      <c r="AW86" s="122">
        <v>0</v>
      </c>
      <c r="AX86" s="128">
        <f t="shared" si="19"/>
        <v>0</v>
      </c>
      <c r="AY86" s="357">
        <v>0</v>
      </c>
      <c r="AZ86" s="699">
        <f>IF($AW87=0,0,        _xll.qDateNext($AW86,AZ$17,"M",TRUE,Currency2))</f>
        <v>0</v>
      </c>
      <c r="BA86" s="699">
        <f>IF($AW87=0,0,        _xll.qDateNext($AW86,BA$17,"M",TRUE,Currency2))</f>
        <v>0</v>
      </c>
      <c r="BB86" s="699">
        <f>IF($AW87=0,0,        _xll.qDateNext($AW86,BB$17,"M",TRUE,Currency2))</f>
        <v>0</v>
      </c>
      <c r="BC86" s="699">
        <f>IF($AW87=0,0,        _xll.qDateNext($AW86,BC$17,"M",TRUE,Currency2))</f>
        <v>0</v>
      </c>
      <c r="BD86" s="699">
        <f>IF($AW87=0,0,        _xll.qDateNext($AW86,BD$17,"M",TRUE,Currency2))</f>
        <v>0</v>
      </c>
      <c r="BE86" s="699">
        <f>IF($AW87=0,0,        _xll.qDateNext($AW86,BE$17,"M",TRUE,Currency2))</f>
        <v>0</v>
      </c>
      <c r="BF86" s="699">
        <f>IF($AW87=0,0,        _xll.qDateNext($AW86,BF$17,"M",TRUE,Currency2))</f>
        <v>0</v>
      </c>
      <c r="BG86" s="699">
        <f>IF($AW87=0,0,        _xll.qDateNext($AW86,BG$17,"M",TRUE,Currency2))</f>
        <v>0</v>
      </c>
      <c r="BH86" s="703">
        <v>0</v>
      </c>
      <c r="BI86" s="703">
        <v>0</v>
      </c>
      <c r="BJ86" s="703">
        <v>0</v>
      </c>
      <c r="BK86" s="703">
        <v>0</v>
      </c>
      <c r="BL86" s="703">
        <f t="shared" si="25"/>
        <v>0</v>
      </c>
      <c r="BM86" s="703">
        <f t="shared" si="26"/>
        <v>0</v>
      </c>
      <c r="BN86" s="703">
        <v>0</v>
      </c>
      <c r="BO86" s="703">
        <v>0</v>
      </c>
      <c r="BP86" s="685">
        <v>0</v>
      </c>
      <c r="BQ86" s="667"/>
      <c r="BR86" s="670">
        <f>IF(AW87=0,0,             IF(ISNUMBER(BQ86),BQ86,             IF(ISTEXT(BQ86),INDEX(BH86:BO86,MATCH(BQ86,$BH$17:$BO$17,0)),           IF(BP86="INT",_xll.qInterp(AW87,AZ86:BG86,BH86:BO86),       INDEX(BH86:BO86,MATCH(BP86,$BH$17:$BO$17,0))))))</f>
        <v>0</v>
      </c>
      <c r="BS86" s="731">
        <f t="shared" si="20"/>
        <v>0</v>
      </c>
      <c r="BT86" s="406">
        <f t="shared" si="21"/>
        <v>0</v>
      </c>
      <c r="BU86" s="284">
        <f>IF($AW87,_xll.qDateYears($AW86,$AW87,DCC_Leg2_Fixed),0)</f>
        <v>0</v>
      </c>
      <c r="BV86" s="284">
        <f>IF($AW87,_xll.qDateYears($AW86,$AW87,DCC_Leg2_Float),0)</f>
        <v>0</v>
      </c>
      <c r="BX86" s="350">
        <f t="shared" si="27"/>
        <v>0</v>
      </c>
      <c r="BY86" s="375">
        <f>IF(GenType_2a="Fixed",GenRate_2a%*$BT85*BU85,          IF(GenType_2a="Float",$BT85*(_xll.qGetFwdRate($J$18,$AW85,$AW86,"T",DCC_Leg2_Float)%+GenRate_2a%%)*$BV85,        IF(GenType_2a="bp (Fixed)",GenRate_2a%%*$BU85*$BT85,   IF(GenType_2a="bp (Float)",GenRate_2a%%*$BT85*$BV85,0))))</f>
        <v>0</v>
      </c>
      <c r="BZ86" s="561"/>
      <c r="CB86" s="341">
        <f t="shared" si="15"/>
        <v>0</v>
      </c>
      <c r="CC86" s="563"/>
      <c r="CD86" s="356"/>
      <c r="CE86" s="341">
        <v>0</v>
      </c>
      <c r="CF86" s="563"/>
      <c r="CG86" s="356"/>
    </row>
    <row r="87" spans="15:85">
      <c r="O87" s="122">
        <v>0</v>
      </c>
      <c r="P87" s="128">
        <f t="shared" si="16"/>
        <v>0</v>
      </c>
      <c r="Q87" s="126">
        <v>0</v>
      </c>
      <c r="R87" s="699">
        <f>IF($O88=0,0,        _xll.qDateNext($O87,R$17,"M",TRUE,Currency1))</f>
        <v>0</v>
      </c>
      <c r="S87" s="699">
        <f>IF($O88=0,0,        _xll.qDateNext($O87,S$17,"M",TRUE,Currency1))</f>
        <v>0</v>
      </c>
      <c r="T87" s="699">
        <f>IF($O88=0,0,        _xll.qDateNext($O87,T$17,"M",TRUE,Currency1))</f>
        <v>0</v>
      </c>
      <c r="U87" s="699">
        <f>IF($O88=0,0,        _xll.qDateNext($O87,U$17,"M",TRUE,Currency1))</f>
        <v>0</v>
      </c>
      <c r="V87" s="699">
        <f>IF($O88=0,0,        _xll.qDateNext($O87,V$17,"M",TRUE,Currency1))</f>
        <v>0</v>
      </c>
      <c r="W87" s="699">
        <f>IF($O88=0,0,        _xll.qDateNext($O87,W$17,"M",TRUE,Currency1))</f>
        <v>0</v>
      </c>
      <c r="X87" s="699">
        <f>IF($O88=0,0,        _xll.qDateNext($O87,X$17,"M",TRUE,Currency1))</f>
        <v>0</v>
      </c>
      <c r="Y87" s="699">
        <f>IF($O88=0,0,        _xll.qDateNext($O87,Y$17,"M",TRUE,Currency1))</f>
        <v>0</v>
      </c>
      <c r="Z87" s="703">
        <f>IF($O88=0,0,           IF(FRM,_xll.qGetFwdRate(Z$14,$O87,R87,"T",DCC_Leg1_Float),_xll.qGetFwdRate(Z$14,$O87,$O88,"T",DCC_Leg1_Float)))</f>
        <v>0</v>
      </c>
      <c r="AA87" s="703">
        <f>IF($O88=0,0,           IF(FRM,_xll.qGetFwdRate(AA$14,$O87,S87,"T",DCC_Leg1_Float),_xll.qGetFwdRate(AA$14,$O87,$O88,"T",DCC_Leg1_Float)))</f>
        <v>0</v>
      </c>
      <c r="AB87" s="703">
        <f t="shared" si="17"/>
        <v>0</v>
      </c>
      <c r="AC87" s="703">
        <f>IF($O88=0,0,           IF(FRM,_xll.qGetFwdRate(AC$14,$O87,U87,"T",DCC_Leg1_Float),_xll.qGetFwdRate(AC$14,$O87,$O88,"T",DCC_Leg1_Float)))</f>
        <v>0</v>
      </c>
      <c r="AD87" s="703">
        <f t="shared" si="22"/>
        <v>0</v>
      </c>
      <c r="AE87" s="703">
        <f t="shared" si="23"/>
        <v>0</v>
      </c>
      <c r="AF87" s="703">
        <f>IF($O88=0,0,           IF(FRM,_xll.qGetFwdRate(AF$14,$O87,X87,"T",DCC_Leg1_Float),_xll.qGetFwdRate(AF$14,$O87,$O88,"T",DCC_Leg1_Float)))</f>
        <v>0</v>
      </c>
      <c r="AG87" s="703">
        <f>IF($O88=0,0,           IF(FRM,_xll.qGetFwdRate(AG$14,$O87,Y87,"T",DCC_Leg1_Float),_xll.qGetFwdRate(AG$14,$O87,$O88,"T",DCC_Leg1_Float)))</f>
        <v>0</v>
      </c>
      <c r="AH87" s="685">
        <v>0</v>
      </c>
      <c r="AI87" s="667"/>
      <c r="AJ87" s="670">
        <f>IF(O88=0,0,             IF(ISNUMBER(AI87),AI87,             IF(ISTEXT(AI87),INDEX(Z87:AG87,MATCH(AI87,$Z$17:$AG$17,0)),           IF(AH87="INT",_xll.qInterp(O88,R87:Y87,Z87:AG87),       INDEX(Z87:AG87,MATCH(AH87,$Z$17:$AG$17,0))))))</f>
        <v>0</v>
      </c>
      <c r="AK87" s="732">
        <v>100</v>
      </c>
      <c r="AL87" s="721">
        <f t="shared" si="18"/>
        <v>0</v>
      </c>
      <c r="AM87" s="284">
        <f>IF($O88,_xll.qDateYears($O87,$O88,DCC_Leg1_Fixed),0)</f>
        <v>0</v>
      </c>
      <c r="AN87" s="284">
        <f>IF($O88,_xll.qDateYears($O87,$O88,DCC_Leg1_Float),0)</f>
        <v>0</v>
      </c>
      <c r="AP87" s="350">
        <f t="shared" si="24"/>
        <v>0</v>
      </c>
      <c r="AQ87" s="375">
        <f>IF(GenType_1a="Fixed",GenRate_1a%*$AL86*AM86,          IF(GenType_1a="Float",$AL86*(_xll.qGetFwdRate($D$18,$O86,$O87,"T",DCC_Leg1_Float)%+GenRate_1a%%)*$AN86,        IF(GenType_1a="bp (Fixed)",GenRate_1a%%*$AM86*$AL86,   IF(GenType_1a="bp (Float)",GenRate_1a%%*$AL86*$AN86,0))))</f>
        <v>0</v>
      </c>
      <c r="AR87" s="561"/>
      <c r="AT87" s="341">
        <f t="shared" si="14"/>
        <v>0</v>
      </c>
      <c r="AV87" s="356"/>
      <c r="AW87" s="122">
        <v>0</v>
      </c>
      <c r="AX87" s="128">
        <f t="shared" si="19"/>
        <v>0</v>
      </c>
      <c r="AY87" s="357">
        <v>0</v>
      </c>
      <c r="AZ87" s="699">
        <f>IF($AW88=0,0,        _xll.qDateNext($AW87,AZ$17,"M",TRUE,Currency2))</f>
        <v>0</v>
      </c>
      <c r="BA87" s="699">
        <f>IF($AW88=0,0,        _xll.qDateNext($AW87,BA$17,"M",TRUE,Currency2))</f>
        <v>0</v>
      </c>
      <c r="BB87" s="699">
        <f>IF($AW88=0,0,        _xll.qDateNext($AW87,BB$17,"M",TRUE,Currency2))</f>
        <v>0</v>
      </c>
      <c r="BC87" s="699">
        <f>IF($AW88=0,0,        _xll.qDateNext($AW87,BC$17,"M",TRUE,Currency2))</f>
        <v>0</v>
      </c>
      <c r="BD87" s="699">
        <f>IF($AW88=0,0,        _xll.qDateNext($AW87,BD$17,"M",TRUE,Currency2))</f>
        <v>0</v>
      </c>
      <c r="BE87" s="699">
        <f>IF($AW88=0,0,        _xll.qDateNext($AW87,BE$17,"M",TRUE,Currency2))</f>
        <v>0</v>
      </c>
      <c r="BF87" s="699">
        <f>IF($AW88=0,0,        _xll.qDateNext($AW87,BF$17,"M",TRUE,Currency2))</f>
        <v>0</v>
      </c>
      <c r="BG87" s="699">
        <f>IF($AW88=0,0,        _xll.qDateNext($AW87,BG$17,"M",TRUE,Currency2))</f>
        <v>0</v>
      </c>
      <c r="BH87" s="703">
        <v>0</v>
      </c>
      <c r="BI87" s="703">
        <v>0</v>
      </c>
      <c r="BJ87" s="703">
        <v>0</v>
      </c>
      <c r="BK87" s="703">
        <v>0</v>
      </c>
      <c r="BL87" s="703">
        <f t="shared" si="25"/>
        <v>0</v>
      </c>
      <c r="BM87" s="703">
        <f t="shared" si="26"/>
        <v>0</v>
      </c>
      <c r="BN87" s="703">
        <v>0</v>
      </c>
      <c r="BO87" s="703">
        <v>0</v>
      </c>
      <c r="BP87" s="685">
        <v>0</v>
      </c>
      <c r="BQ87" s="667"/>
      <c r="BR87" s="670">
        <f>IF(AW88=0,0,             IF(ISNUMBER(BQ87),BQ87,             IF(ISTEXT(BQ87),INDEX(BH87:BO87,MATCH(BQ87,$BH$17:$BO$17,0)),           IF(BP87="INT",_xll.qInterp(AW88,AZ87:BG87,BH87:BO87),       INDEX(BH87:BO87,MATCH(BP87,$BH$17:$BO$17,0))))))</f>
        <v>0</v>
      </c>
      <c r="BS87" s="731">
        <f t="shared" si="20"/>
        <v>0</v>
      </c>
      <c r="BT87" s="406">
        <f t="shared" si="21"/>
        <v>0</v>
      </c>
      <c r="BU87" s="284">
        <f>IF($AW88,_xll.qDateYears($AW87,$AW88,DCC_Leg2_Fixed),0)</f>
        <v>0</v>
      </c>
      <c r="BV87" s="284">
        <f>IF($AW88,_xll.qDateYears($AW87,$AW88,DCC_Leg2_Float),0)</f>
        <v>0</v>
      </c>
      <c r="BX87" s="350">
        <f t="shared" si="27"/>
        <v>0</v>
      </c>
      <c r="BY87" s="375">
        <f>IF(GenType_2a="Fixed",GenRate_2a%*$BT86*BU86,          IF(GenType_2a="Float",$BT86*(_xll.qGetFwdRate($J$18,$AW86,$AW87,"T",DCC_Leg2_Float)%+GenRate_2a%%)*$BV86,        IF(GenType_2a="bp (Fixed)",GenRate_2a%%*$BU86*$BT86,   IF(GenType_2a="bp (Float)",GenRate_2a%%*$BT86*$BV86,0))))</f>
        <v>0</v>
      </c>
      <c r="BZ87" s="561"/>
      <c r="CB87" s="341">
        <f t="shared" si="15"/>
        <v>0</v>
      </c>
      <c r="CC87" s="563"/>
      <c r="CD87" s="356"/>
      <c r="CE87" s="341">
        <v>0</v>
      </c>
      <c r="CF87" s="563"/>
      <c r="CG87" s="356"/>
    </row>
    <row r="88" spans="15:85">
      <c r="O88" s="122">
        <v>0</v>
      </c>
      <c r="P88" s="128">
        <f t="shared" si="16"/>
        <v>0</v>
      </c>
      <c r="Q88" s="126">
        <v>0</v>
      </c>
      <c r="R88" s="699">
        <f>IF($O89=0,0,        _xll.qDateNext($O88,R$17,"M",TRUE,Currency1))</f>
        <v>0</v>
      </c>
      <c r="S88" s="699">
        <f>IF($O89=0,0,        _xll.qDateNext($O88,S$17,"M",TRUE,Currency1))</f>
        <v>0</v>
      </c>
      <c r="T88" s="699">
        <f>IF($O89=0,0,        _xll.qDateNext($O88,T$17,"M",TRUE,Currency1))</f>
        <v>0</v>
      </c>
      <c r="U88" s="699">
        <f>IF($O89=0,0,        _xll.qDateNext($O88,U$17,"M",TRUE,Currency1))</f>
        <v>0</v>
      </c>
      <c r="V88" s="699">
        <f>IF($O89=0,0,        _xll.qDateNext($O88,V$17,"M",TRUE,Currency1))</f>
        <v>0</v>
      </c>
      <c r="W88" s="699">
        <f>IF($O89=0,0,        _xll.qDateNext($O88,W$17,"M",TRUE,Currency1))</f>
        <v>0</v>
      </c>
      <c r="X88" s="699">
        <f>IF($O89=0,0,        _xll.qDateNext($O88,X$17,"M",TRUE,Currency1))</f>
        <v>0</v>
      </c>
      <c r="Y88" s="699">
        <f>IF($O89=0,0,        _xll.qDateNext($O88,Y$17,"M",TRUE,Currency1))</f>
        <v>0</v>
      </c>
      <c r="Z88" s="703">
        <f>IF($O89=0,0,           IF(FRM,_xll.qGetFwdRate(Z$14,$O88,R88,"T",DCC_Leg1_Float),_xll.qGetFwdRate(Z$14,$O88,$O89,"T",DCC_Leg1_Float)))</f>
        <v>0</v>
      </c>
      <c r="AA88" s="703">
        <f>IF($O89=0,0,           IF(FRM,_xll.qGetFwdRate(AA$14,$O88,S88,"T",DCC_Leg1_Float),_xll.qGetFwdRate(AA$14,$O88,$O89,"T",DCC_Leg1_Float)))</f>
        <v>0</v>
      </c>
      <c r="AB88" s="703">
        <f t="shared" si="17"/>
        <v>0</v>
      </c>
      <c r="AC88" s="703">
        <f>IF($O89=0,0,           IF(FRM,_xll.qGetFwdRate(AC$14,$O88,U88,"T",DCC_Leg1_Float),_xll.qGetFwdRate(AC$14,$O88,$O89,"T",DCC_Leg1_Float)))</f>
        <v>0</v>
      </c>
      <c r="AD88" s="703">
        <f t="shared" si="22"/>
        <v>0</v>
      </c>
      <c r="AE88" s="703">
        <f t="shared" si="23"/>
        <v>0</v>
      </c>
      <c r="AF88" s="703">
        <f>IF($O89=0,0,           IF(FRM,_xll.qGetFwdRate(AF$14,$O88,X88,"T",DCC_Leg1_Float),_xll.qGetFwdRate(AF$14,$O88,$O89,"T",DCC_Leg1_Float)))</f>
        <v>0</v>
      </c>
      <c r="AG88" s="703">
        <f>IF($O89=0,0,           IF(FRM,_xll.qGetFwdRate(AG$14,$O88,Y88,"T",DCC_Leg1_Float),_xll.qGetFwdRate(AG$14,$O88,$O89,"T",DCC_Leg1_Float)))</f>
        <v>0</v>
      </c>
      <c r="AH88" s="685">
        <v>0</v>
      </c>
      <c r="AI88" s="667"/>
      <c r="AJ88" s="670">
        <f>IF(O89=0,0,             IF(ISNUMBER(AI88),AI88,             IF(ISTEXT(AI88),INDEX(Z88:AG88,MATCH(AI88,$Z$17:$AG$17,0)),           IF(AH88="INT",_xll.qInterp(O89,R88:Y88,Z88:AG88),       INDEX(Z88:AG88,MATCH(AH88,$Z$17:$AG$17,0))))))</f>
        <v>0</v>
      </c>
      <c r="AK88" s="732">
        <v>100</v>
      </c>
      <c r="AL88" s="721">
        <f t="shared" si="18"/>
        <v>0</v>
      </c>
      <c r="AM88" s="284">
        <f>IF($O89,_xll.qDateYears($O88,$O89,DCC_Leg1_Fixed),0)</f>
        <v>0</v>
      </c>
      <c r="AN88" s="284">
        <f>IF($O89,_xll.qDateYears($O88,$O89,DCC_Leg1_Float),0)</f>
        <v>0</v>
      </c>
      <c r="AP88" s="350">
        <f t="shared" si="24"/>
        <v>0</v>
      </c>
      <c r="AQ88" s="375">
        <f>IF(GenType_1a="Fixed",GenRate_1a%*$AL87*AM87,          IF(GenType_1a="Float",$AL87*(_xll.qGetFwdRate($D$18,$O87,$O88,"T",DCC_Leg1_Float)%+GenRate_1a%%)*$AN87,        IF(GenType_1a="bp (Fixed)",GenRate_1a%%*$AM87*$AL87,   IF(GenType_1a="bp (Float)",GenRate_1a%%*$AL87*$AN87,0))))</f>
        <v>0</v>
      </c>
      <c r="AR88" s="561"/>
      <c r="AT88" s="341">
        <f t="shared" si="14"/>
        <v>0</v>
      </c>
      <c r="AV88" s="356"/>
      <c r="AW88" s="122">
        <v>0</v>
      </c>
      <c r="AX88" s="128">
        <f t="shared" si="19"/>
        <v>0</v>
      </c>
      <c r="AY88" s="357">
        <v>0</v>
      </c>
      <c r="AZ88" s="699">
        <f>IF($AW89=0,0,        _xll.qDateNext($AW88,AZ$17,"M",TRUE,Currency2))</f>
        <v>0</v>
      </c>
      <c r="BA88" s="699">
        <f>IF($AW89=0,0,        _xll.qDateNext($AW88,BA$17,"M",TRUE,Currency2))</f>
        <v>0</v>
      </c>
      <c r="BB88" s="699">
        <f>IF($AW89=0,0,        _xll.qDateNext($AW88,BB$17,"M",TRUE,Currency2))</f>
        <v>0</v>
      </c>
      <c r="BC88" s="699">
        <f>IF($AW89=0,0,        _xll.qDateNext($AW88,BC$17,"M",TRUE,Currency2))</f>
        <v>0</v>
      </c>
      <c r="BD88" s="699">
        <f>IF($AW89=0,0,        _xll.qDateNext($AW88,BD$17,"M",TRUE,Currency2))</f>
        <v>0</v>
      </c>
      <c r="BE88" s="699">
        <f>IF($AW89=0,0,        _xll.qDateNext($AW88,BE$17,"M",TRUE,Currency2))</f>
        <v>0</v>
      </c>
      <c r="BF88" s="699">
        <f>IF($AW89=0,0,        _xll.qDateNext($AW88,BF$17,"M",TRUE,Currency2))</f>
        <v>0</v>
      </c>
      <c r="BG88" s="699">
        <f>IF($AW89=0,0,        _xll.qDateNext($AW88,BG$17,"M",TRUE,Currency2))</f>
        <v>0</v>
      </c>
      <c r="BH88" s="703">
        <v>0</v>
      </c>
      <c r="BI88" s="703">
        <v>0</v>
      </c>
      <c r="BJ88" s="703">
        <v>0</v>
      </c>
      <c r="BK88" s="703">
        <v>0</v>
      </c>
      <c r="BL88" s="703">
        <f t="shared" si="25"/>
        <v>0</v>
      </c>
      <c r="BM88" s="703">
        <f t="shared" si="26"/>
        <v>0</v>
      </c>
      <c r="BN88" s="703">
        <v>0</v>
      </c>
      <c r="BO88" s="703">
        <v>0</v>
      </c>
      <c r="BP88" s="685">
        <v>0</v>
      </c>
      <c r="BQ88" s="667"/>
      <c r="BR88" s="670">
        <f>IF(AW89=0,0,             IF(ISNUMBER(BQ88),BQ88,             IF(ISTEXT(BQ88),INDEX(BH88:BO88,MATCH(BQ88,$BH$17:$BO$17,0)),           IF(BP88="INT",_xll.qInterp(AW89,AZ88:BG88,BH88:BO88),       INDEX(BH88:BO88,MATCH(BP88,$BH$17:$BO$17,0))))))</f>
        <v>0</v>
      </c>
      <c r="BS88" s="731">
        <f t="shared" si="20"/>
        <v>0</v>
      </c>
      <c r="BT88" s="406">
        <f t="shared" si="21"/>
        <v>0</v>
      </c>
      <c r="BU88" s="284">
        <f>IF($AW89,_xll.qDateYears($AW88,$AW89,DCC_Leg2_Fixed),0)</f>
        <v>0</v>
      </c>
      <c r="BV88" s="284">
        <f>IF($AW89,_xll.qDateYears($AW88,$AW89,DCC_Leg2_Float),0)</f>
        <v>0</v>
      </c>
      <c r="BX88" s="350">
        <f t="shared" si="27"/>
        <v>0</v>
      </c>
      <c r="BY88" s="375">
        <f>IF(GenType_2a="Fixed",GenRate_2a%*$BT87*BU87,          IF(GenType_2a="Float",$BT87*(_xll.qGetFwdRate($J$18,$AW87,$AW88,"T",DCC_Leg2_Float)%+GenRate_2a%%)*$BV87,        IF(GenType_2a="bp (Fixed)",GenRate_2a%%*$BU87*$BT87,   IF(GenType_2a="bp (Float)",GenRate_2a%%*$BT87*$BV87,0))))</f>
        <v>0</v>
      </c>
      <c r="BZ88" s="561"/>
      <c r="CB88" s="341">
        <f t="shared" si="15"/>
        <v>0</v>
      </c>
      <c r="CC88" s="563"/>
      <c r="CD88" s="356"/>
      <c r="CE88" s="341">
        <v>0</v>
      </c>
      <c r="CF88" s="563"/>
      <c r="CG88" s="356"/>
    </row>
    <row r="89" spans="15:85">
      <c r="O89" s="122">
        <v>0</v>
      </c>
      <c r="P89" s="128">
        <f t="shared" si="16"/>
        <v>0</v>
      </c>
      <c r="Q89" s="126">
        <v>0</v>
      </c>
      <c r="R89" s="699">
        <f>IF($O90=0,0,        _xll.qDateNext($O89,R$17,"M",TRUE,Currency1))</f>
        <v>0</v>
      </c>
      <c r="S89" s="699">
        <f>IF($O90=0,0,        _xll.qDateNext($O89,S$17,"M",TRUE,Currency1))</f>
        <v>0</v>
      </c>
      <c r="T89" s="699">
        <f>IF($O90=0,0,        _xll.qDateNext($O89,T$17,"M",TRUE,Currency1))</f>
        <v>0</v>
      </c>
      <c r="U89" s="699">
        <f>IF($O90=0,0,        _xll.qDateNext($O89,U$17,"M",TRUE,Currency1))</f>
        <v>0</v>
      </c>
      <c r="V89" s="699">
        <f>IF($O90=0,0,        _xll.qDateNext($O89,V$17,"M",TRUE,Currency1))</f>
        <v>0</v>
      </c>
      <c r="W89" s="699">
        <f>IF($O90=0,0,        _xll.qDateNext($O89,W$17,"M",TRUE,Currency1))</f>
        <v>0</v>
      </c>
      <c r="X89" s="699">
        <f>IF($O90=0,0,        _xll.qDateNext($O89,X$17,"M",TRUE,Currency1))</f>
        <v>0</v>
      </c>
      <c r="Y89" s="699">
        <f>IF($O90=0,0,        _xll.qDateNext($O89,Y$17,"M",TRUE,Currency1))</f>
        <v>0</v>
      </c>
      <c r="Z89" s="703">
        <f>IF($O90=0,0,           IF(FRM,_xll.qGetFwdRate(Z$14,$O89,R89,"T",DCC_Leg1_Float),_xll.qGetFwdRate(Z$14,$O89,$O90,"T",DCC_Leg1_Float)))</f>
        <v>0</v>
      </c>
      <c r="AA89" s="703">
        <f>IF($O90=0,0,           IF(FRM,_xll.qGetFwdRate(AA$14,$O89,S89,"T",DCC_Leg1_Float),_xll.qGetFwdRate(AA$14,$O89,$O90,"T",DCC_Leg1_Float)))</f>
        <v>0</v>
      </c>
      <c r="AB89" s="703">
        <f t="shared" si="17"/>
        <v>0</v>
      </c>
      <c r="AC89" s="703">
        <f>IF($O90=0,0,           IF(FRM,_xll.qGetFwdRate(AC$14,$O89,U89,"T",DCC_Leg1_Float),_xll.qGetFwdRate(AC$14,$O89,$O90,"T",DCC_Leg1_Float)))</f>
        <v>0</v>
      </c>
      <c r="AD89" s="703">
        <f t="shared" si="22"/>
        <v>0</v>
      </c>
      <c r="AE89" s="703">
        <f t="shared" si="23"/>
        <v>0</v>
      </c>
      <c r="AF89" s="703">
        <f>IF($O90=0,0,           IF(FRM,_xll.qGetFwdRate(AF$14,$O89,X89,"T",DCC_Leg1_Float),_xll.qGetFwdRate(AF$14,$O89,$O90,"T",DCC_Leg1_Float)))</f>
        <v>0</v>
      </c>
      <c r="AG89" s="703">
        <f>IF($O90=0,0,           IF(FRM,_xll.qGetFwdRate(AG$14,$O89,Y89,"T",DCC_Leg1_Float),_xll.qGetFwdRate(AG$14,$O89,$O90,"T",DCC_Leg1_Float)))</f>
        <v>0</v>
      </c>
      <c r="AH89" s="685">
        <v>0</v>
      </c>
      <c r="AI89" s="667"/>
      <c r="AJ89" s="670">
        <f>IF(O90=0,0,             IF(ISNUMBER(AI89),AI89,             IF(ISTEXT(AI89),INDEX(Z89:AG89,MATCH(AI89,$Z$17:$AG$17,0)),           IF(AH89="INT",_xll.qInterp(O90,R89:Y89,Z89:AG89),       INDEX(Z89:AG89,MATCH(AH89,$Z$17:$AG$17,0))))))</f>
        <v>0</v>
      </c>
      <c r="AK89" s="732">
        <v>100</v>
      </c>
      <c r="AL89" s="721">
        <f t="shared" si="18"/>
        <v>0</v>
      </c>
      <c r="AM89" s="284">
        <f>IF($O90,_xll.qDateYears($O89,$O90,DCC_Leg1_Fixed),0)</f>
        <v>0</v>
      </c>
      <c r="AN89" s="284">
        <f>IF($O90,_xll.qDateYears($O89,$O90,DCC_Leg1_Float),0)</f>
        <v>0</v>
      </c>
      <c r="AP89" s="350">
        <f t="shared" si="24"/>
        <v>0</v>
      </c>
      <c r="AQ89" s="375">
        <f>IF(GenType_1a="Fixed",GenRate_1a%*$AL88*AM88,          IF(GenType_1a="Float",$AL88*(_xll.qGetFwdRate($D$18,$O88,$O89,"T",DCC_Leg1_Float)%+GenRate_1a%%)*$AN88,        IF(GenType_1a="bp (Fixed)",GenRate_1a%%*$AM88*$AL88,   IF(GenType_1a="bp (Float)",GenRate_1a%%*$AL88*$AN88,0))))</f>
        <v>0</v>
      </c>
      <c r="AR89" s="561"/>
      <c r="AT89" s="341">
        <f t="shared" si="14"/>
        <v>0</v>
      </c>
      <c r="AV89" s="356"/>
      <c r="AW89" s="122">
        <v>0</v>
      </c>
      <c r="AX89" s="128">
        <f t="shared" si="19"/>
        <v>0</v>
      </c>
      <c r="AY89" s="357">
        <v>0</v>
      </c>
      <c r="AZ89" s="699">
        <f>IF($AW90=0,0,        _xll.qDateNext($AW89,AZ$17,"M",TRUE,Currency2))</f>
        <v>0</v>
      </c>
      <c r="BA89" s="699">
        <f>IF($AW90=0,0,        _xll.qDateNext($AW89,BA$17,"M",TRUE,Currency2))</f>
        <v>0</v>
      </c>
      <c r="BB89" s="699">
        <f>IF($AW90=0,0,        _xll.qDateNext($AW89,BB$17,"M",TRUE,Currency2))</f>
        <v>0</v>
      </c>
      <c r="BC89" s="699">
        <f>IF($AW90=0,0,        _xll.qDateNext($AW89,BC$17,"M",TRUE,Currency2))</f>
        <v>0</v>
      </c>
      <c r="BD89" s="699">
        <f>IF($AW90=0,0,        _xll.qDateNext($AW89,BD$17,"M",TRUE,Currency2))</f>
        <v>0</v>
      </c>
      <c r="BE89" s="699">
        <f>IF($AW90=0,0,        _xll.qDateNext($AW89,BE$17,"M",TRUE,Currency2))</f>
        <v>0</v>
      </c>
      <c r="BF89" s="699">
        <f>IF($AW90=0,0,        _xll.qDateNext($AW89,BF$17,"M",TRUE,Currency2))</f>
        <v>0</v>
      </c>
      <c r="BG89" s="699">
        <f>IF($AW90=0,0,        _xll.qDateNext($AW89,BG$17,"M",TRUE,Currency2))</f>
        <v>0</v>
      </c>
      <c r="BH89" s="703">
        <v>0</v>
      </c>
      <c r="BI89" s="703">
        <v>0</v>
      </c>
      <c r="BJ89" s="703">
        <v>0</v>
      </c>
      <c r="BK89" s="703">
        <v>0</v>
      </c>
      <c r="BL89" s="703">
        <f t="shared" si="25"/>
        <v>0</v>
      </c>
      <c r="BM89" s="703">
        <f t="shared" si="26"/>
        <v>0</v>
      </c>
      <c r="BN89" s="703">
        <v>0</v>
      </c>
      <c r="BO89" s="703">
        <v>0</v>
      </c>
      <c r="BP89" s="685">
        <v>0</v>
      </c>
      <c r="BQ89" s="667"/>
      <c r="BR89" s="670">
        <f>IF(AW90=0,0,             IF(ISNUMBER(BQ89),BQ89,             IF(ISTEXT(BQ89),INDEX(BH89:BO89,MATCH(BQ89,$BH$17:$BO$17,0)),           IF(BP89="INT",_xll.qInterp(AW90,AZ89:BG89,BH89:BO89),       INDEX(BH89:BO89,MATCH(BP89,$BH$17:$BO$17,0))))))</f>
        <v>0</v>
      </c>
      <c r="BS89" s="731">
        <f t="shared" si="20"/>
        <v>0</v>
      </c>
      <c r="BT89" s="406">
        <f t="shared" si="21"/>
        <v>0</v>
      </c>
      <c r="BU89" s="284">
        <f>IF($AW90,_xll.qDateYears($AW89,$AW90,DCC_Leg2_Fixed),0)</f>
        <v>0</v>
      </c>
      <c r="BV89" s="284">
        <f>IF($AW90,_xll.qDateYears($AW89,$AW90,DCC_Leg2_Float),0)</f>
        <v>0</v>
      </c>
      <c r="BX89" s="350">
        <f t="shared" si="27"/>
        <v>0</v>
      </c>
      <c r="BY89" s="375">
        <f>IF(GenType_2a="Fixed",GenRate_2a%*$BT88*BU88,          IF(GenType_2a="Float",$BT88*(_xll.qGetFwdRate($J$18,$AW88,$AW89,"T",DCC_Leg2_Float)%+GenRate_2a%%)*$BV88,        IF(GenType_2a="bp (Fixed)",GenRate_2a%%*$BU88*$BT88,   IF(GenType_2a="bp (Float)",GenRate_2a%%*$BT88*$BV88,0))))</f>
        <v>0</v>
      </c>
      <c r="BZ89" s="561"/>
      <c r="CB89" s="341">
        <f t="shared" si="15"/>
        <v>0</v>
      </c>
      <c r="CC89" s="563"/>
      <c r="CD89" s="356"/>
      <c r="CE89" s="341">
        <v>0</v>
      </c>
      <c r="CF89" s="563"/>
      <c r="CG89" s="356"/>
    </row>
    <row r="90" spans="15:85">
      <c r="O90" s="122">
        <v>0</v>
      </c>
      <c r="P90" s="128">
        <f t="shared" si="16"/>
        <v>0</v>
      </c>
      <c r="Q90" s="126">
        <v>0</v>
      </c>
      <c r="R90" s="699">
        <f>IF($O91=0,0,        _xll.qDateNext($O90,R$17,"M",TRUE,Currency1))</f>
        <v>0</v>
      </c>
      <c r="S90" s="699">
        <f>IF($O91=0,0,        _xll.qDateNext($O90,S$17,"M",TRUE,Currency1))</f>
        <v>0</v>
      </c>
      <c r="T90" s="699">
        <f>IF($O91=0,0,        _xll.qDateNext($O90,T$17,"M",TRUE,Currency1))</f>
        <v>0</v>
      </c>
      <c r="U90" s="699">
        <f>IF($O91=0,0,        _xll.qDateNext($O90,U$17,"M",TRUE,Currency1))</f>
        <v>0</v>
      </c>
      <c r="V90" s="699">
        <f>IF($O91=0,0,        _xll.qDateNext($O90,V$17,"M",TRUE,Currency1))</f>
        <v>0</v>
      </c>
      <c r="W90" s="699">
        <f>IF($O91=0,0,        _xll.qDateNext($O90,W$17,"M",TRUE,Currency1))</f>
        <v>0</v>
      </c>
      <c r="X90" s="699">
        <f>IF($O91=0,0,        _xll.qDateNext($O90,X$17,"M",TRUE,Currency1))</f>
        <v>0</v>
      </c>
      <c r="Y90" s="699">
        <f>IF($O91=0,0,        _xll.qDateNext($O90,Y$17,"M",TRUE,Currency1))</f>
        <v>0</v>
      </c>
      <c r="Z90" s="703">
        <f>IF($O91=0,0,           IF(FRM,_xll.qGetFwdRate(Z$14,$O90,R90,"T",DCC_Leg1_Float),_xll.qGetFwdRate(Z$14,$O90,$O91,"T",DCC_Leg1_Float)))</f>
        <v>0</v>
      </c>
      <c r="AA90" s="703">
        <f>IF($O91=0,0,           IF(FRM,_xll.qGetFwdRate(AA$14,$O90,S90,"T",DCC_Leg1_Float),_xll.qGetFwdRate(AA$14,$O90,$O91,"T",DCC_Leg1_Float)))</f>
        <v>0</v>
      </c>
      <c r="AB90" s="703">
        <f t="shared" si="17"/>
        <v>0</v>
      </c>
      <c r="AC90" s="703">
        <f>IF($O91=0,0,           IF(FRM,_xll.qGetFwdRate(AC$14,$O90,U90,"T",DCC_Leg1_Float),_xll.qGetFwdRate(AC$14,$O90,$O91,"T",DCC_Leg1_Float)))</f>
        <v>0</v>
      </c>
      <c r="AD90" s="703">
        <f t="shared" si="22"/>
        <v>0</v>
      </c>
      <c r="AE90" s="703">
        <f t="shared" si="23"/>
        <v>0</v>
      </c>
      <c r="AF90" s="703">
        <f>IF($O91=0,0,           IF(FRM,_xll.qGetFwdRate(AF$14,$O90,X90,"T",DCC_Leg1_Float),_xll.qGetFwdRate(AF$14,$O90,$O91,"T",DCC_Leg1_Float)))</f>
        <v>0</v>
      </c>
      <c r="AG90" s="703">
        <f>IF($O91=0,0,           IF(FRM,_xll.qGetFwdRate(AG$14,$O90,Y90,"T",DCC_Leg1_Float),_xll.qGetFwdRate(AG$14,$O90,$O91,"T",DCC_Leg1_Float)))</f>
        <v>0</v>
      </c>
      <c r="AH90" s="685">
        <v>0</v>
      </c>
      <c r="AI90" s="667"/>
      <c r="AJ90" s="670">
        <f>IF(O91=0,0,             IF(ISNUMBER(AI90),AI90,             IF(ISTEXT(AI90),INDEX(Z90:AG90,MATCH(AI90,$Z$17:$AG$17,0)),           IF(AH90="INT",_xll.qInterp(O91,R90:Y90,Z90:AG90),       INDEX(Z90:AG90,MATCH(AH90,$Z$17:$AG$17,0))))))</f>
        <v>0</v>
      </c>
      <c r="AK90" s="732">
        <v>100</v>
      </c>
      <c r="AL90" s="721">
        <f t="shared" si="18"/>
        <v>0</v>
      </c>
      <c r="AM90" s="284">
        <f>IF($O91,_xll.qDateYears($O90,$O91,DCC_Leg1_Fixed),0)</f>
        <v>0</v>
      </c>
      <c r="AN90" s="284">
        <f>IF($O91,_xll.qDateYears($O90,$O91,DCC_Leg1_Float),0)</f>
        <v>0</v>
      </c>
      <c r="AP90" s="350">
        <f t="shared" si="24"/>
        <v>0</v>
      </c>
      <c r="AQ90" s="375">
        <f>IF(GenType_1a="Fixed",GenRate_1a%*$AL89*AM89,          IF(GenType_1a="Float",$AL89*(_xll.qGetFwdRate($D$18,$O89,$O90,"T",DCC_Leg1_Float)%+GenRate_1a%%)*$AN89,        IF(GenType_1a="bp (Fixed)",GenRate_1a%%*$AM89*$AL89,   IF(GenType_1a="bp (Float)",GenRate_1a%%*$AL89*$AN89,0))))</f>
        <v>0</v>
      </c>
      <c r="AR90" s="561"/>
      <c r="AT90" s="341">
        <f t="shared" si="14"/>
        <v>0</v>
      </c>
      <c r="AV90" s="356"/>
      <c r="AW90" s="122">
        <v>0</v>
      </c>
      <c r="AX90" s="128">
        <f t="shared" si="19"/>
        <v>0</v>
      </c>
      <c r="AY90" s="357">
        <v>0</v>
      </c>
      <c r="AZ90" s="699">
        <f>IF($AW91=0,0,        _xll.qDateNext($AW90,AZ$17,"M",TRUE,Currency2))</f>
        <v>0</v>
      </c>
      <c r="BA90" s="699">
        <f>IF($AW91=0,0,        _xll.qDateNext($AW90,BA$17,"M",TRUE,Currency2))</f>
        <v>0</v>
      </c>
      <c r="BB90" s="699">
        <f>IF($AW91=0,0,        _xll.qDateNext($AW90,BB$17,"M",TRUE,Currency2))</f>
        <v>0</v>
      </c>
      <c r="BC90" s="699">
        <f>IF($AW91=0,0,        _xll.qDateNext($AW90,BC$17,"M",TRUE,Currency2))</f>
        <v>0</v>
      </c>
      <c r="BD90" s="699">
        <f>IF($AW91=0,0,        _xll.qDateNext($AW90,BD$17,"M",TRUE,Currency2))</f>
        <v>0</v>
      </c>
      <c r="BE90" s="699">
        <f>IF($AW91=0,0,        _xll.qDateNext($AW90,BE$17,"M",TRUE,Currency2))</f>
        <v>0</v>
      </c>
      <c r="BF90" s="699">
        <f>IF($AW91=0,0,        _xll.qDateNext($AW90,BF$17,"M",TRUE,Currency2))</f>
        <v>0</v>
      </c>
      <c r="BG90" s="699">
        <f>IF($AW91=0,0,        _xll.qDateNext($AW90,BG$17,"M",TRUE,Currency2))</f>
        <v>0</v>
      </c>
      <c r="BH90" s="703">
        <v>0</v>
      </c>
      <c r="BI90" s="703">
        <v>0</v>
      </c>
      <c r="BJ90" s="703">
        <v>0</v>
      </c>
      <c r="BK90" s="703">
        <v>0</v>
      </c>
      <c r="BL90" s="703">
        <f t="shared" si="25"/>
        <v>0</v>
      </c>
      <c r="BM90" s="703">
        <f t="shared" si="26"/>
        <v>0</v>
      </c>
      <c r="BN90" s="703">
        <v>0</v>
      </c>
      <c r="BO90" s="703">
        <v>0</v>
      </c>
      <c r="BP90" s="685">
        <v>0</v>
      </c>
      <c r="BQ90" s="667"/>
      <c r="BR90" s="670">
        <f>IF(AW91=0,0,             IF(ISNUMBER(BQ90),BQ90,             IF(ISTEXT(BQ90),INDEX(BH90:BO90,MATCH(BQ90,$BH$17:$BO$17,0)),           IF(BP90="INT",_xll.qInterp(AW91,AZ90:BG90,BH90:BO90),       INDEX(BH90:BO90,MATCH(BP90,$BH$17:$BO$17,0))))))</f>
        <v>0</v>
      </c>
      <c r="BS90" s="731">
        <f t="shared" si="20"/>
        <v>0</v>
      </c>
      <c r="BT90" s="406">
        <f t="shared" si="21"/>
        <v>0</v>
      </c>
      <c r="BU90" s="284">
        <f>IF($AW91,_xll.qDateYears($AW90,$AW91,DCC_Leg2_Fixed),0)</f>
        <v>0</v>
      </c>
      <c r="BV90" s="284">
        <f>IF($AW91,_xll.qDateYears($AW90,$AW91,DCC_Leg2_Float),0)</f>
        <v>0</v>
      </c>
      <c r="BX90" s="350">
        <f t="shared" si="27"/>
        <v>0</v>
      </c>
      <c r="BY90" s="375">
        <f>IF(GenType_2a="Fixed",GenRate_2a%*$BT89*BU89,          IF(GenType_2a="Float",$BT89*(_xll.qGetFwdRate($J$18,$AW89,$AW90,"T",DCC_Leg2_Float)%+GenRate_2a%%)*$BV89,        IF(GenType_2a="bp (Fixed)",GenRate_2a%%*$BU89*$BT89,   IF(GenType_2a="bp (Float)",GenRate_2a%%*$BT89*$BV89,0))))</f>
        <v>0</v>
      </c>
      <c r="BZ90" s="561"/>
      <c r="CB90" s="341">
        <f t="shared" si="15"/>
        <v>0</v>
      </c>
      <c r="CC90" s="563"/>
      <c r="CD90" s="356"/>
      <c r="CE90" s="341">
        <v>0</v>
      </c>
      <c r="CF90" s="563"/>
      <c r="CG90" s="356"/>
    </row>
    <row r="91" spans="15:85">
      <c r="O91" s="122">
        <v>0</v>
      </c>
      <c r="P91" s="128">
        <f t="shared" si="16"/>
        <v>0</v>
      </c>
      <c r="Q91" s="126">
        <v>0</v>
      </c>
      <c r="R91" s="699">
        <f>IF($O92=0,0,        _xll.qDateNext($O91,R$17,"M",TRUE,Currency1))</f>
        <v>0</v>
      </c>
      <c r="S91" s="699">
        <f>IF($O92=0,0,        _xll.qDateNext($O91,S$17,"M",TRUE,Currency1))</f>
        <v>0</v>
      </c>
      <c r="T91" s="699">
        <f>IF($O92=0,0,        _xll.qDateNext($O91,T$17,"M",TRUE,Currency1))</f>
        <v>0</v>
      </c>
      <c r="U91" s="699">
        <f>IF($O92=0,0,        _xll.qDateNext($O91,U$17,"M",TRUE,Currency1))</f>
        <v>0</v>
      </c>
      <c r="V91" s="699">
        <f>IF($O92=0,0,        _xll.qDateNext($O91,V$17,"M",TRUE,Currency1))</f>
        <v>0</v>
      </c>
      <c r="W91" s="699">
        <f>IF($O92=0,0,        _xll.qDateNext($O91,W$17,"M",TRUE,Currency1))</f>
        <v>0</v>
      </c>
      <c r="X91" s="699">
        <f>IF($O92=0,0,        _xll.qDateNext($O91,X$17,"M",TRUE,Currency1))</f>
        <v>0</v>
      </c>
      <c r="Y91" s="699">
        <f>IF($O92=0,0,        _xll.qDateNext($O91,Y$17,"M",TRUE,Currency1))</f>
        <v>0</v>
      </c>
      <c r="Z91" s="703">
        <f>IF($O92=0,0,           IF(FRM,_xll.qGetFwdRate(Z$14,$O91,R91,"T",DCC_Leg1_Float),_xll.qGetFwdRate(Z$14,$O91,$O92,"T",DCC_Leg1_Float)))</f>
        <v>0</v>
      </c>
      <c r="AA91" s="703">
        <f>IF($O92=0,0,           IF(FRM,_xll.qGetFwdRate(AA$14,$O91,S91,"T",DCC_Leg1_Float),_xll.qGetFwdRate(AA$14,$O91,$O92,"T",DCC_Leg1_Float)))</f>
        <v>0</v>
      </c>
      <c r="AB91" s="703">
        <f t="shared" si="17"/>
        <v>0</v>
      </c>
      <c r="AC91" s="703">
        <f>IF($O92=0,0,           IF(FRM,_xll.qGetFwdRate(AC$14,$O91,U91,"T",DCC_Leg1_Float),_xll.qGetFwdRate(AC$14,$O91,$O92,"T",DCC_Leg1_Float)))</f>
        <v>0</v>
      </c>
      <c r="AD91" s="703">
        <f t="shared" si="22"/>
        <v>0</v>
      </c>
      <c r="AE91" s="703">
        <f t="shared" si="23"/>
        <v>0</v>
      </c>
      <c r="AF91" s="703">
        <f>IF($O92=0,0,           IF(FRM,_xll.qGetFwdRate(AF$14,$O91,X91,"T",DCC_Leg1_Float),_xll.qGetFwdRate(AF$14,$O91,$O92,"T",DCC_Leg1_Float)))</f>
        <v>0</v>
      </c>
      <c r="AG91" s="703">
        <f>IF($O92=0,0,           IF(FRM,_xll.qGetFwdRate(AG$14,$O91,Y91,"T",DCC_Leg1_Float),_xll.qGetFwdRate(AG$14,$O91,$O92,"T",DCC_Leg1_Float)))</f>
        <v>0</v>
      </c>
      <c r="AH91" s="685">
        <v>0</v>
      </c>
      <c r="AI91" s="667"/>
      <c r="AJ91" s="670">
        <f>IF(O92=0,0,             IF(ISNUMBER(AI91),AI91,             IF(ISTEXT(AI91),INDEX(Z91:AG91,MATCH(AI91,$Z$17:$AG$17,0)),           IF(AH91="INT",_xll.qInterp(O92,R91:Y91,Z91:AG91),       INDEX(Z91:AG91,MATCH(AH91,$Z$17:$AG$17,0))))))</f>
        <v>0</v>
      </c>
      <c r="AK91" s="732">
        <v>100</v>
      </c>
      <c r="AL91" s="721">
        <f t="shared" si="18"/>
        <v>0</v>
      </c>
      <c r="AM91" s="284">
        <f>IF($O92,_xll.qDateYears($O91,$O92,DCC_Leg1_Fixed),0)</f>
        <v>0</v>
      </c>
      <c r="AN91" s="284">
        <f>IF($O92,_xll.qDateYears($O91,$O92,DCC_Leg1_Float),0)</f>
        <v>0</v>
      </c>
      <c r="AP91" s="350">
        <f t="shared" si="24"/>
        <v>0</v>
      </c>
      <c r="AQ91" s="375">
        <f>IF(GenType_1a="Fixed",GenRate_1a%*$AL90*AM90,          IF(GenType_1a="Float",$AL90*(_xll.qGetFwdRate($D$18,$O90,$O91,"T",DCC_Leg1_Float)%+GenRate_1a%%)*$AN90,        IF(GenType_1a="bp (Fixed)",GenRate_1a%%*$AM90*$AL90,   IF(GenType_1a="bp (Float)",GenRate_1a%%*$AL90*$AN90,0))))</f>
        <v>0</v>
      </c>
      <c r="AR91" s="561"/>
      <c r="AT91" s="341">
        <f t="shared" si="14"/>
        <v>0</v>
      </c>
      <c r="AV91" s="356"/>
      <c r="AW91" s="122">
        <v>0</v>
      </c>
      <c r="AX91" s="128">
        <f t="shared" si="19"/>
        <v>0</v>
      </c>
      <c r="AY91" s="357">
        <v>0</v>
      </c>
      <c r="AZ91" s="699">
        <f>IF($AW92=0,0,        _xll.qDateNext($AW91,AZ$17,"M",TRUE,Currency2))</f>
        <v>0</v>
      </c>
      <c r="BA91" s="699">
        <f>IF($AW92=0,0,        _xll.qDateNext($AW91,BA$17,"M",TRUE,Currency2))</f>
        <v>0</v>
      </c>
      <c r="BB91" s="699">
        <f>IF($AW92=0,0,        _xll.qDateNext($AW91,BB$17,"M",TRUE,Currency2))</f>
        <v>0</v>
      </c>
      <c r="BC91" s="699">
        <f>IF($AW92=0,0,        _xll.qDateNext($AW91,BC$17,"M",TRUE,Currency2))</f>
        <v>0</v>
      </c>
      <c r="BD91" s="699">
        <f>IF($AW92=0,0,        _xll.qDateNext($AW91,BD$17,"M",TRUE,Currency2))</f>
        <v>0</v>
      </c>
      <c r="BE91" s="699">
        <f>IF($AW92=0,0,        _xll.qDateNext($AW91,BE$17,"M",TRUE,Currency2))</f>
        <v>0</v>
      </c>
      <c r="BF91" s="699">
        <f>IF($AW92=0,0,        _xll.qDateNext($AW91,BF$17,"M",TRUE,Currency2))</f>
        <v>0</v>
      </c>
      <c r="BG91" s="699">
        <f>IF($AW92=0,0,        _xll.qDateNext($AW91,BG$17,"M",TRUE,Currency2))</f>
        <v>0</v>
      </c>
      <c r="BH91" s="703">
        <v>0</v>
      </c>
      <c r="BI91" s="703">
        <v>0</v>
      </c>
      <c r="BJ91" s="703">
        <v>0</v>
      </c>
      <c r="BK91" s="703">
        <v>0</v>
      </c>
      <c r="BL91" s="703">
        <f t="shared" si="25"/>
        <v>0</v>
      </c>
      <c r="BM91" s="703">
        <f t="shared" si="26"/>
        <v>0</v>
      </c>
      <c r="BN91" s="703">
        <v>0</v>
      </c>
      <c r="BO91" s="703">
        <v>0</v>
      </c>
      <c r="BP91" s="685">
        <v>0</v>
      </c>
      <c r="BQ91" s="667"/>
      <c r="BR91" s="670">
        <f>IF(AW92=0,0,             IF(ISNUMBER(BQ91),BQ91,             IF(ISTEXT(BQ91),INDEX(BH91:BO91,MATCH(BQ91,$BH$17:$BO$17,0)),           IF(BP91="INT",_xll.qInterp(AW92,AZ91:BG91,BH91:BO91),       INDEX(BH91:BO91,MATCH(BP91,$BH$17:$BO$17,0))))))</f>
        <v>0</v>
      </c>
      <c r="BS91" s="731">
        <f t="shared" si="20"/>
        <v>0</v>
      </c>
      <c r="BT91" s="406">
        <f t="shared" si="21"/>
        <v>0</v>
      </c>
      <c r="BU91" s="284">
        <f>IF($AW92,_xll.qDateYears($AW91,$AW92,DCC_Leg2_Fixed),0)</f>
        <v>0</v>
      </c>
      <c r="BV91" s="284">
        <f>IF($AW92,_xll.qDateYears($AW91,$AW92,DCC_Leg2_Float),0)</f>
        <v>0</v>
      </c>
      <c r="BX91" s="350">
        <f t="shared" si="27"/>
        <v>0</v>
      </c>
      <c r="BY91" s="375">
        <f>IF(GenType_2a="Fixed",GenRate_2a%*$BT90*BU90,          IF(GenType_2a="Float",$BT90*(_xll.qGetFwdRate($J$18,$AW90,$AW91,"T",DCC_Leg2_Float)%+GenRate_2a%%)*$BV90,        IF(GenType_2a="bp (Fixed)",GenRate_2a%%*$BU90*$BT90,   IF(GenType_2a="bp (Float)",GenRate_2a%%*$BT90*$BV90,0))))</f>
        <v>0</v>
      </c>
      <c r="BZ91" s="561"/>
      <c r="CB91" s="341">
        <f t="shared" si="15"/>
        <v>0</v>
      </c>
      <c r="CC91" s="563"/>
      <c r="CD91" s="356"/>
      <c r="CE91" s="341">
        <v>0</v>
      </c>
      <c r="CF91" s="563"/>
      <c r="CG91" s="356"/>
    </row>
    <row r="92" spans="15:85">
      <c r="O92" s="122">
        <v>0</v>
      </c>
      <c r="P92" s="128">
        <f t="shared" si="16"/>
        <v>0</v>
      </c>
      <c r="Q92" s="126">
        <v>0</v>
      </c>
      <c r="R92" s="699">
        <f>IF($O93=0,0,        _xll.qDateNext($O92,R$17,"M",TRUE,Currency1))</f>
        <v>0</v>
      </c>
      <c r="S92" s="699">
        <f>IF($O93=0,0,        _xll.qDateNext($O92,S$17,"M",TRUE,Currency1))</f>
        <v>0</v>
      </c>
      <c r="T92" s="699">
        <f>IF($O93=0,0,        _xll.qDateNext($O92,T$17,"M",TRUE,Currency1))</f>
        <v>0</v>
      </c>
      <c r="U92" s="699">
        <f>IF($O93=0,0,        _xll.qDateNext($O92,U$17,"M",TRUE,Currency1))</f>
        <v>0</v>
      </c>
      <c r="V92" s="699">
        <f>IF($O93=0,0,        _xll.qDateNext($O92,V$17,"M",TRUE,Currency1))</f>
        <v>0</v>
      </c>
      <c r="W92" s="699">
        <f>IF($O93=0,0,        _xll.qDateNext($O92,W$17,"M",TRUE,Currency1))</f>
        <v>0</v>
      </c>
      <c r="X92" s="699">
        <f>IF($O93=0,0,        _xll.qDateNext($O92,X$17,"M",TRUE,Currency1))</f>
        <v>0</v>
      </c>
      <c r="Y92" s="699">
        <f>IF($O93=0,0,        _xll.qDateNext($O92,Y$17,"M",TRUE,Currency1))</f>
        <v>0</v>
      </c>
      <c r="Z92" s="703">
        <f>IF($O93=0,0,           IF(FRM,_xll.qGetFwdRate(Z$14,$O92,R92,"T",DCC_Leg1_Float),_xll.qGetFwdRate(Z$14,$O92,$O93,"T",DCC_Leg1_Float)))</f>
        <v>0</v>
      </c>
      <c r="AA92" s="703">
        <f>IF($O93=0,0,           IF(FRM,_xll.qGetFwdRate(AA$14,$O92,S92,"T",DCC_Leg1_Float),_xll.qGetFwdRate(AA$14,$O92,$O93,"T",DCC_Leg1_Float)))</f>
        <v>0</v>
      </c>
      <c r="AB92" s="703">
        <f t="shared" si="17"/>
        <v>0</v>
      </c>
      <c r="AC92" s="703">
        <f>IF($O93=0,0,           IF(FRM,_xll.qGetFwdRate(AC$14,$O92,U92,"T",DCC_Leg1_Float),_xll.qGetFwdRate(AC$14,$O92,$O93,"T",DCC_Leg1_Float)))</f>
        <v>0</v>
      </c>
      <c r="AD92" s="703">
        <f t="shared" si="22"/>
        <v>0</v>
      </c>
      <c r="AE92" s="703">
        <f t="shared" si="23"/>
        <v>0</v>
      </c>
      <c r="AF92" s="703">
        <f>IF($O93=0,0,           IF(FRM,_xll.qGetFwdRate(AF$14,$O92,X92,"T",DCC_Leg1_Float),_xll.qGetFwdRate(AF$14,$O92,$O93,"T",DCC_Leg1_Float)))</f>
        <v>0</v>
      </c>
      <c r="AG92" s="703">
        <f>IF($O93=0,0,           IF(FRM,_xll.qGetFwdRate(AG$14,$O92,Y92,"T",DCC_Leg1_Float),_xll.qGetFwdRate(AG$14,$O92,$O93,"T",DCC_Leg1_Float)))</f>
        <v>0</v>
      </c>
      <c r="AH92" s="685">
        <v>0</v>
      </c>
      <c r="AI92" s="667"/>
      <c r="AJ92" s="670">
        <f>IF(O93=0,0,             IF(ISNUMBER(AI92),AI92,             IF(ISTEXT(AI92),INDEX(Z92:AG92,MATCH(AI92,$Z$17:$AG$17,0)),           IF(AH92="INT",_xll.qInterp(O93,R92:Y92,Z92:AG92),       INDEX(Z92:AG92,MATCH(AH92,$Z$17:$AG$17,0))))))</f>
        <v>0</v>
      </c>
      <c r="AK92" s="732">
        <v>100</v>
      </c>
      <c r="AL92" s="721">
        <f t="shared" si="18"/>
        <v>0</v>
      </c>
      <c r="AM92" s="284">
        <f>IF($O93,_xll.qDateYears($O92,$O93,DCC_Leg1_Fixed),0)</f>
        <v>0</v>
      </c>
      <c r="AN92" s="284">
        <f>IF($O93,_xll.qDateYears($O92,$O93,DCC_Leg1_Float),0)</f>
        <v>0</v>
      </c>
      <c r="AP92" s="350">
        <f t="shared" si="24"/>
        <v>0</v>
      </c>
      <c r="AQ92" s="375">
        <f>IF(GenType_1a="Fixed",GenRate_1a%*$AL91*AM91,          IF(GenType_1a="Float",$AL91*(_xll.qGetFwdRate($D$18,$O91,$O92,"T",DCC_Leg1_Float)%+GenRate_1a%%)*$AN91,        IF(GenType_1a="bp (Fixed)",GenRate_1a%%*$AM91*$AL91,   IF(GenType_1a="bp (Float)",GenRate_1a%%*$AL91*$AN91,0))))</f>
        <v>0</v>
      </c>
      <c r="AR92" s="561"/>
      <c r="AT92" s="341">
        <f t="shared" si="14"/>
        <v>0</v>
      </c>
      <c r="AV92" s="356"/>
      <c r="AW92" s="122">
        <v>0</v>
      </c>
      <c r="AX92" s="128">
        <f t="shared" si="19"/>
        <v>0</v>
      </c>
      <c r="AY92" s="357">
        <v>0</v>
      </c>
      <c r="AZ92" s="699">
        <f>IF($AW93=0,0,        _xll.qDateNext($AW92,AZ$17,"M",TRUE,Currency2))</f>
        <v>0</v>
      </c>
      <c r="BA92" s="699">
        <f>IF($AW93=0,0,        _xll.qDateNext($AW92,BA$17,"M",TRUE,Currency2))</f>
        <v>0</v>
      </c>
      <c r="BB92" s="699">
        <f>IF($AW93=0,0,        _xll.qDateNext($AW92,BB$17,"M",TRUE,Currency2))</f>
        <v>0</v>
      </c>
      <c r="BC92" s="699">
        <f>IF($AW93=0,0,        _xll.qDateNext($AW92,BC$17,"M",TRUE,Currency2))</f>
        <v>0</v>
      </c>
      <c r="BD92" s="699">
        <f>IF($AW93=0,0,        _xll.qDateNext($AW92,BD$17,"M",TRUE,Currency2))</f>
        <v>0</v>
      </c>
      <c r="BE92" s="699">
        <f>IF($AW93=0,0,        _xll.qDateNext($AW92,BE$17,"M",TRUE,Currency2))</f>
        <v>0</v>
      </c>
      <c r="BF92" s="699">
        <f>IF($AW93=0,0,        _xll.qDateNext($AW92,BF$17,"M",TRUE,Currency2))</f>
        <v>0</v>
      </c>
      <c r="BG92" s="699">
        <f>IF($AW93=0,0,        _xll.qDateNext($AW92,BG$17,"M",TRUE,Currency2))</f>
        <v>0</v>
      </c>
      <c r="BH92" s="703">
        <v>0</v>
      </c>
      <c r="BI92" s="703">
        <v>0</v>
      </c>
      <c r="BJ92" s="703">
        <v>0</v>
      </c>
      <c r="BK92" s="703">
        <v>0</v>
      </c>
      <c r="BL92" s="703">
        <f t="shared" si="25"/>
        <v>0</v>
      </c>
      <c r="BM92" s="703">
        <f t="shared" si="26"/>
        <v>0</v>
      </c>
      <c r="BN92" s="703">
        <v>0</v>
      </c>
      <c r="BO92" s="703">
        <v>0</v>
      </c>
      <c r="BP92" s="685">
        <v>0</v>
      </c>
      <c r="BQ92" s="667"/>
      <c r="BR92" s="670">
        <f>IF(AW93=0,0,             IF(ISNUMBER(BQ92),BQ92,             IF(ISTEXT(BQ92),INDEX(BH92:BO92,MATCH(BQ92,$BH$17:$BO$17,0)),           IF(BP92="INT",_xll.qInterp(AW93,AZ92:BG92,BH92:BO92),       INDEX(BH92:BO92,MATCH(BP92,$BH$17:$BO$17,0))))))</f>
        <v>0</v>
      </c>
      <c r="BS92" s="731">
        <f t="shared" si="20"/>
        <v>0</v>
      </c>
      <c r="BT92" s="406">
        <f t="shared" si="21"/>
        <v>0</v>
      </c>
      <c r="BU92" s="284">
        <f>IF($AW93,_xll.qDateYears($AW92,$AW93,DCC_Leg2_Fixed),0)</f>
        <v>0</v>
      </c>
      <c r="BV92" s="284">
        <f>IF($AW93,_xll.qDateYears($AW92,$AW93,DCC_Leg2_Float),0)</f>
        <v>0</v>
      </c>
      <c r="BX92" s="350">
        <f t="shared" si="27"/>
        <v>0</v>
      </c>
      <c r="BY92" s="375">
        <f>IF(GenType_2a="Fixed",GenRate_2a%*$BT91*BU91,          IF(GenType_2a="Float",$BT91*(_xll.qGetFwdRate($J$18,$AW91,$AW92,"T",DCC_Leg2_Float)%+GenRate_2a%%)*$BV91,        IF(GenType_2a="bp (Fixed)",GenRate_2a%%*$BU91*$BT91,   IF(GenType_2a="bp (Float)",GenRate_2a%%*$BT91*$BV91,0))))</f>
        <v>0</v>
      </c>
      <c r="BZ92" s="561"/>
      <c r="CB92" s="341">
        <f t="shared" si="15"/>
        <v>0</v>
      </c>
      <c r="CC92" s="563"/>
      <c r="CD92" s="356"/>
      <c r="CE92" s="341">
        <v>0</v>
      </c>
      <c r="CF92" s="563"/>
      <c r="CG92" s="356"/>
    </row>
    <row r="93" spans="15:85">
      <c r="O93" s="122">
        <v>0</v>
      </c>
      <c r="P93" s="128">
        <f t="shared" si="16"/>
        <v>0</v>
      </c>
      <c r="Q93" s="126">
        <v>0</v>
      </c>
      <c r="R93" s="699">
        <f>IF($O94=0,0,        _xll.qDateNext($O93,R$17,"M",TRUE,Currency1))</f>
        <v>0</v>
      </c>
      <c r="S93" s="699">
        <f>IF($O94=0,0,        _xll.qDateNext($O93,S$17,"M",TRUE,Currency1))</f>
        <v>0</v>
      </c>
      <c r="T93" s="699">
        <f>IF($O94=0,0,        _xll.qDateNext($O93,T$17,"M",TRUE,Currency1))</f>
        <v>0</v>
      </c>
      <c r="U93" s="699">
        <f>IF($O94=0,0,        _xll.qDateNext($O93,U$17,"M",TRUE,Currency1))</f>
        <v>0</v>
      </c>
      <c r="V93" s="699">
        <f>IF($O94=0,0,        _xll.qDateNext($O93,V$17,"M",TRUE,Currency1))</f>
        <v>0</v>
      </c>
      <c r="W93" s="699">
        <f>IF($O94=0,0,        _xll.qDateNext($O93,W$17,"M",TRUE,Currency1))</f>
        <v>0</v>
      </c>
      <c r="X93" s="699">
        <f>IF($O94=0,0,        _xll.qDateNext($O93,X$17,"M",TRUE,Currency1))</f>
        <v>0</v>
      </c>
      <c r="Y93" s="699">
        <f>IF($O94=0,0,        _xll.qDateNext($O93,Y$17,"M",TRUE,Currency1))</f>
        <v>0</v>
      </c>
      <c r="Z93" s="703">
        <f>IF($O94=0,0,           IF(FRM,_xll.qGetFwdRate(Z$14,$O93,R93,"T",DCC_Leg1_Float),_xll.qGetFwdRate(Z$14,$O93,$O94,"T",DCC_Leg1_Float)))</f>
        <v>0</v>
      </c>
      <c r="AA93" s="703">
        <f>IF($O94=0,0,           IF(FRM,_xll.qGetFwdRate(AA$14,$O93,S93,"T",DCC_Leg1_Float),_xll.qGetFwdRate(AA$14,$O93,$O94,"T",DCC_Leg1_Float)))</f>
        <v>0</v>
      </c>
      <c r="AB93" s="703">
        <f t="shared" si="17"/>
        <v>0</v>
      </c>
      <c r="AC93" s="703">
        <f>IF($O94=0,0,           IF(FRM,_xll.qGetFwdRate(AC$14,$O93,U93,"T",DCC_Leg1_Float),_xll.qGetFwdRate(AC$14,$O93,$O94,"T",DCC_Leg1_Float)))</f>
        <v>0</v>
      </c>
      <c r="AD93" s="703">
        <f t="shared" si="22"/>
        <v>0</v>
      </c>
      <c r="AE93" s="703">
        <f t="shared" si="23"/>
        <v>0</v>
      </c>
      <c r="AF93" s="703">
        <f>IF($O94=0,0,           IF(FRM,_xll.qGetFwdRate(AF$14,$O93,X93,"T",DCC_Leg1_Float),_xll.qGetFwdRate(AF$14,$O93,$O94,"T",DCC_Leg1_Float)))</f>
        <v>0</v>
      </c>
      <c r="AG93" s="703">
        <f>IF($O94=0,0,           IF(FRM,_xll.qGetFwdRate(AG$14,$O93,Y93,"T",DCC_Leg1_Float),_xll.qGetFwdRate(AG$14,$O93,$O94,"T",DCC_Leg1_Float)))</f>
        <v>0</v>
      </c>
      <c r="AH93" s="685">
        <v>0</v>
      </c>
      <c r="AI93" s="667"/>
      <c r="AJ93" s="670">
        <f>IF(O94=0,0,             IF(ISNUMBER(AI93),AI93,             IF(ISTEXT(AI93),INDEX(Z93:AG93,MATCH(AI93,$Z$17:$AG$17,0)),           IF(AH93="INT",_xll.qInterp(O94,R93:Y93,Z93:AG93),       INDEX(Z93:AG93,MATCH(AH93,$Z$17:$AG$17,0))))))</f>
        <v>0</v>
      </c>
      <c r="AK93" s="732">
        <v>100</v>
      </c>
      <c r="AL93" s="721">
        <f t="shared" si="18"/>
        <v>0</v>
      </c>
      <c r="AM93" s="284">
        <f>IF($O94,_xll.qDateYears($O93,$O94,DCC_Leg1_Fixed),0)</f>
        <v>0</v>
      </c>
      <c r="AN93" s="284">
        <f>IF($O94,_xll.qDateYears($O93,$O94,DCC_Leg1_Float),0)</f>
        <v>0</v>
      </c>
      <c r="AP93" s="350">
        <f t="shared" si="24"/>
        <v>0</v>
      </c>
      <c r="AQ93" s="375">
        <f>IF(GenType_1a="Fixed",GenRate_1a%*$AL92*AM92,          IF(GenType_1a="Float",$AL92*(_xll.qGetFwdRate($D$18,$O92,$O93,"T",DCC_Leg1_Float)%+GenRate_1a%%)*$AN92,        IF(GenType_1a="bp (Fixed)",GenRate_1a%%*$AM92*$AL92,   IF(GenType_1a="bp (Float)",GenRate_1a%%*$AL92*$AN92,0))))</f>
        <v>0</v>
      </c>
      <c r="AR93" s="561"/>
      <c r="AT93" s="341">
        <f t="shared" si="14"/>
        <v>0</v>
      </c>
      <c r="AV93" s="356"/>
      <c r="AW93" s="122">
        <v>0</v>
      </c>
      <c r="AX93" s="128">
        <f t="shared" si="19"/>
        <v>0</v>
      </c>
      <c r="AY93" s="357">
        <v>0</v>
      </c>
      <c r="AZ93" s="699">
        <f>IF($AW94=0,0,        _xll.qDateNext($AW93,AZ$17,"M",TRUE,Currency2))</f>
        <v>0</v>
      </c>
      <c r="BA93" s="699">
        <f>IF($AW94=0,0,        _xll.qDateNext($AW93,BA$17,"M",TRUE,Currency2))</f>
        <v>0</v>
      </c>
      <c r="BB93" s="699">
        <f>IF($AW94=0,0,        _xll.qDateNext($AW93,BB$17,"M",TRUE,Currency2))</f>
        <v>0</v>
      </c>
      <c r="BC93" s="699">
        <f>IF($AW94=0,0,        _xll.qDateNext($AW93,BC$17,"M",TRUE,Currency2))</f>
        <v>0</v>
      </c>
      <c r="BD93" s="699">
        <f>IF($AW94=0,0,        _xll.qDateNext($AW93,BD$17,"M",TRUE,Currency2))</f>
        <v>0</v>
      </c>
      <c r="BE93" s="699">
        <f>IF($AW94=0,0,        _xll.qDateNext($AW93,BE$17,"M",TRUE,Currency2))</f>
        <v>0</v>
      </c>
      <c r="BF93" s="699">
        <f>IF($AW94=0,0,        _xll.qDateNext($AW93,BF$17,"M",TRUE,Currency2))</f>
        <v>0</v>
      </c>
      <c r="BG93" s="699">
        <f>IF($AW94=0,0,        _xll.qDateNext($AW93,BG$17,"M",TRUE,Currency2))</f>
        <v>0</v>
      </c>
      <c r="BH93" s="703">
        <v>0</v>
      </c>
      <c r="BI93" s="703">
        <v>0</v>
      </c>
      <c r="BJ93" s="703">
        <v>0</v>
      </c>
      <c r="BK93" s="703">
        <v>0</v>
      </c>
      <c r="BL93" s="703">
        <f t="shared" si="25"/>
        <v>0</v>
      </c>
      <c r="BM93" s="703">
        <f t="shared" si="26"/>
        <v>0</v>
      </c>
      <c r="BN93" s="703">
        <v>0</v>
      </c>
      <c r="BO93" s="703">
        <v>0</v>
      </c>
      <c r="BP93" s="685">
        <v>0</v>
      </c>
      <c r="BQ93" s="667"/>
      <c r="BR93" s="670">
        <f>IF(AW94=0,0,             IF(ISNUMBER(BQ93),BQ93,             IF(ISTEXT(BQ93),INDEX(BH93:BO93,MATCH(BQ93,$BH$17:$BO$17,0)),           IF(BP93="INT",_xll.qInterp(AW94,AZ93:BG93,BH93:BO93),       INDEX(BH93:BO93,MATCH(BP93,$BH$17:$BO$17,0))))))</f>
        <v>0</v>
      </c>
      <c r="BS93" s="731">
        <f t="shared" si="20"/>
        <v>0</v>
      </c>
      <c r="BT93" s="406">
        <f t="shared" si="21"/>
        <v>0</v>
      </c>
      <c r="BU93" s="284">
        <f>IF($AW94,_xll.qDateYears($AW93,$AW94,DCC_Leg2_Fixed),0)</f>
        <v>0</v>
      </c>
      <c r="BV93" s="284">
        <f>IF($AW94,_xll.qDateYears($AW93,$AW94,DCC_Leg2_Float),0)</f>
        <v>0</v>
      </c>
      <c r="BX93" s="350">
        <f t="shared" si="27"/>
        <v>0</v>
      </c>
      <c r="BY93" s="375">
        <f>IF(GenType_2a="Fixed",GenRate_2a%*$BT92*BU92,          IF(GenType_2a="Float",$BT92*(_xll.qGetFwdRate($J$18,$AW92,$AW93,"T",DCC_Leg2_Float)%+GenRate_2a%%)*$BV92,        IF(GenType_2a="bp (Fixed)",GenRate_2a%%*$BU92*$BT92,   IF(GenType_2a="bp (Float)",GenRate_2a%%*$BT92*$BV92,0))))</f>
        <v>0</v>
      </c>
      <c r="BZ93" s="561"/>
      <c r="CB93" s="341">
        <f t="shared" si="15"/>
        <v>0</v>
      </c>
      <c r="CC93" s="563"/>
      <c r="CD93" s="356"/>
      <c r="CE93" s="341">
        <v>0</v>
      </c>
      <c r="CF93" s="563"/>
      <c r="CG93" s="356"/>
    </row>
    <row r="94" spans="15:85">
      <c r="O94" s="122">
        <v>0</v>
      </c>
      <c r="P94" s="128">
        <f t="shared" si="16"/>
        <v>0</v>
      </c>
      <c r="Q94" s="126">
        <v>0</v>
      </c>
      <c r="R94" s="699">
        <f>IF($O95=0,0,        _xll.qDateNext($O94,R$17,"M",TRUE,Currency1))</f>
        <v>0</v>
      </c>
      <c r="S94" s="699">
        <f>IF($O95=0,0,        _xll.qDateNext($O94,S$17,"M",TRUE,Currency1))</f>
        <v>0</v>
      </c>
      <c r="T94" s="699">
        <f>IF($O95=0,0,        _xll.qDateNext($O94,T$17,"M",TRUE,Currency1))</f>
        <v>0</v>
      </c>
      <c r="U94" s="699">
        <f>IF($O95=0,0,        _xll.qDateNext($O94,U$17,"M",TRUE,Currency1))</f>
        <v>0</v>
      </c>
      <c r="V94" s="699">
        <f>IF($O95=0,0,        _xll.qDateNext($O94,V$17,"M",TRUE,Currency1))</f>
        <v>0</v>
      </c>
      <c r="W94" s="699">
        <f>IF($O95=0,0,        _xll.qDateNext($O94,W$17,"M",TRUE,Currency1))</f>
        <v>0</v>
      </c>
      <c r="X94" s="699">
        <f>IF($O95=0,0,        _xll.qDateNext($O94,X$17,"M",TRUE,Currency1))</f>
        <v>0</v>
      </c>
      <c r="Y94" s="699">
        <f>IF($O95=0,0,        _xll.qDateNext($O94,Y$17,"M",TRUE,Currency1))</f>
        <v>0</v>
      </c>
      <c r="Z94" s="703">
        <f>IF($O95=0,0,           IF(FRM,_xll.qGetFwdRate(Z$14,$O94,R94,"T",DCC_Leg1_Float),_xll.qGetFwdRate(Z$14,$O94,$O95,"T",DCC_Leg1_Float)))</f>
        <v>0</v>
      </c>
      <c r="AA94" s="703">
        <f>IF($O95=0,0,           IF(FRM,_xll.qGetFwdRate(AA$14,$O94,S94,"T",DCC_Leg1_Float),_xll.qGetFwdRate(AA$14,$O94,$O95,"T",DCC_Leg1_Float)))</f>
        <v>0</v>
      </c>
      <c r="AB94" s="703">
        <f t="shared" si="17"/>
        <v>0</v>
      </c>
      <c r="AC94" s="703">
        <f>IF($O95=0,0,           IF(FRM,_xll.qGetFwdRate(AC$14,$O94,U94,"T",DCC_Leg1_Float),_xll.qGetFwdRate(AC$14,$O94,$O95,"T",DCC_Leg1_Float)))</f>
        <v>0</v>
      </c>
      <c r="AD94" s="703">
        <f t="shared" si="22"/>
        <v>0</v>
      </c>
      <c r="AE94" s="703">
        <f t="shared" si="23"/>
        <v>0</v>
      </c>
      <c r="AF94" s="703">
        <f>IF($O95=0,0,           IF(FRM,_xll.qGetFwdRate(AF$14,$O94,X94,"T",DCC_Leg1_Float),_xll.qGetFwdRate(AF$14,$O94,$O95,"T",DCC_Leg1_Float)))</f>
        <v>0</v>
      </c>
      <c r="AG94" s="703">
        <f>IF($O95=0,0,           IF(FRM,_xll.qGetFwdRate(AG$14,$O94,Y94,"T",DCC_Leg1_Float),_xll.qGetFwdRate(AG$14,$O94,$O95,"T",DCC_Leg1_Float)))</f>
        <v>0</v>
      </c>
      <c r="AH94" s="685">
        <v>0</v>
      </c>
      <c r="AI94" s="667"/>
      <c r="AJ94" s="670">
        <f>IF(O95=0,0,             IF(ISNUMBER(AI94),AI94,             IF(ISTEXT(AI94),INDEX(Z94:AG94,MATCH(AI94,$Z$17:$AG$17,0)),           IF(AH94="INT",_xll.qInterp(O95,R94:Y94,Z94:AG94),       INDEX(Z94:AG94,MATCH(AH94,$Z$17:$AG$17,0))))))</f>
        <v>0</v>
      </c>
      <c r="AK94" s="732">
        <v>100</v>
      </c>
      <c r="AL94" s="721">
        <f t="shared" si="18"/>
        <v>0</v>
      </c>
      <c r="AM94" s="284">
        <f>IF($O95,_xll.qDateYears($O94,$O95,DCC_Leg1_Fixed),0)</f>
        <v>0</v>
      </c>
      <c r="AN94" s="284">
        <f>IF($O95,_xll.qDateYears($O94,$O95,DCC_Leg1_Float),0)</f>
        <v>0</v>
      </c>
      <c r="AP94" s="350">
        <f t="shared" si="24"/>
        <v>0</v>
      </c>
      <c r="AQ94" s="375">
        <f>IF(GenType_1a="Fixed",GenRate_1a%*$AL93*AM93,          IF(GenType_1a="Float",$AL93*(_xll.qGetFwdRate($D$18,$O93,$O94,"T",DCC_Leg1_Float)%+GenRate_1a%%)*$AN93,        IF(GenType_1a="bp (Fixed)",GenRate_1a%%*$AM93*$AL93,   IF(GenType_1a="bp (Float)",GenRate_1a%%*$AL93*$AN93,0))))</f>
        <v>0</v>
      </c>
      <c r="AR94" s="561"/>
      <c r="AT94" s="341">
        <f t="shared" si="14"/>
        <v>0</v>
      </c>
      <c r="AV94" s="356"/>
      <c r="AW94" s="122">
        <v>0</v>
      </c>
      <c r="AX94" s="128">
        <f t="shared" si="19"/>
        <v>0</v>
      </c>
      <c r="AY94" s="357">
        <v>0</v>
      </c>
      <c r="AZ94" s="699">
        <f>IF($AW95=0,0,        _xll.qDateNext($AW94,AZ$17,"M",TRUE,Currency2))</f>
        <v>0</v>
      </c>
      <c r="BA94" s="699">
        <f>IF($AW95=0,0,        _xll.qDateNext($AW94,BA$17,"M",TRUE,Currency2))</f>
        <v>0</v>
      </c>
      <c r="BB94" s="699">
        <f>IF($AW95=0,0,        _xll.qDateNext($AW94,BB$17,"M",TRUE,Currency2))</f>
        <v>0</v>
      </c>
      <c r="BC94" s="699">
        <f>IF($AW95=0,0,        _xll.qDateNext($AW94,BC$17,"M",TRUE,Currency2))</f>
        <v>0</v>
      </c>
      <c r="BD94" s="699">
        <f>IF($AW95=0,0,        _xll.qDateNext($AW94,BD$17,"M",TRUE,Currency2))</f>
        <v>0</v>
      </c>
      <c r="BE94" s="699">
        <f>IF($AW95=0,0,        _xll.qDateNext($AW94,BE$17,"M",TRUE,Currency2))</f>
        <v>0</v>
      </c>
      <c r="BF94" s="699">
        <f>IF($AW95=0,0,        _xll.qDateNext($AW94,BF$17,"M",TRUE,Currency2))</f>
        <v>0</v>
      </c>
      <c r="BG94" s="699">
        <f>IF($AW95=0,0,        _xll.qDateNext($AW94,BG$17,"M",TRUE,Currency2))</f>
        <v>0</v>
      </c>
      <c r="BH94" s="703">
        <v>0</v>
      </c>
      <c r="BI94" s="703">
        <v>0</v>
      </c>
      <c r="BJ94" s="703">
        <v>0</v>
      </c>
      <c r="BK94" s="703">
        <v>0</v>
      </c>
      <c r="BL94" s="703">
        <f t="shared" si="25"/>
        <v>0</v>
      </c>
      <c r="BM94" s="703">
        <f t="shared" si="26"/>
        <v>0</v>
      </c>
      <c r="BN94" s="703">
        <v>0</v>
      </c>
      <c r="BO94" s="703">
        <v>0</v>
      </c>
      <c r="BP94" s="685">
        <v>0</v>
      </c>
      <c r="BQ94" s="667"/>
      <c r="BR94" s="670">
        <f>IF(AW95=0,0,             IF(ISNUMBER(BQ94),BQ94,             IF(ISTEXT(BQ94),INDEX(BH94:BO94,MATCH(BQ94,$BH$17:$BO$17,0)),           IF(BP94="INT",_xll.qInterp(AW95,AZ94:BG94,BH94:BO94),       INDEX(BH94:BO94,MATCH(BP94,$BH$17:$BO$17,0))))))</f>
        <v>0</v>
      </c>
      <c r="BS94" s="731">
        <f t="shared" si="20"/>
        <v>0</v>
      </c>
      <c r="BT94" s="406">
        <f t="shared" si="21"/>
        <v>0</v>
      </c>
      <c r="BU94" s="284">
        <f>IF($AW95,_xll.qDateYears($AW94,$AW95,DCC_Leg2_Fixed),0)</f>
        <v>0</v>
      </c>
      <c r="BV94" s="284">
        <f>IF($AW95,_xll.qDateYears($AW94,$AW95,DCC_Leg2_Float),0)</f>
        <v>0</v>
      </c>
      <c r="BX94" s="350">
        <f t="shared" si="27"/>
        <v>0</v>
      </c>
      <c r="BY94" s="375">
        <f>IF(GenType_2a="Fixed",GenRate_2a%*$BT93*BU93,          IF(GenType_2a="Float",$BT93*(_xll.qGetFwdRate($J$18,$AW93,$AW94,"T",DCC_Leg2_Float)%+GenRate_2a%%)*$BV93,        IF(GenType_2a="bp (Fixed)",GenRate_2a%%*$BU93*$BT93,   IF(GenType_2a="bp (Float)",GenRate_2a%%*$BT93*$BV93,0))))</f>
        <v>0</v>
      </c>
      <c r="BZ94" s="561"/>
      <c r="CB94" s="341">
        <f t="shared" si="15"/>
        <v>0</v>
      </c>
      <c r="CC94" s="563"/>
      <c r="CD94" s="356"/>
      <c r="CE94" s="341">
        <v>0</v>
      </c>
      <c r="CF94" s="563"/>
      <c r="CG94" s="356"/>
    </row>
    <row r="95" spans="15:85">
      <c r="O95" s="122">
        <v>0</v>
      </c>
      <c r="P95" s="128">
        <f t="shared" si="16"/>
        <v>0</v>
      </c>
      <c r="Q95" s="126">
        <v>0</v>
      </c>
      <c r="R95" s="699">
        <f>IF($O96=0,0,        _xll.qDateNext($O95,R$17,"M",TRUE,Currency1))</f>
        <v>0</v>
      </c>
      <c r="S95" s="699">
        <f>IF($O96=0,0,        _xll.qDateNext($O95,S$17,"M",TRUE,Currency1))</f>
        <v>0</v>
      </c>
      <c r="T95" s="699">
        <f>IF($O96=0,0,        _xll.qDateNext($O95,T$17,"M",TRUE,Currency1))</f>
        <v>0</v>
      </c>
      <c r="U95" s="699">
        <f>IF($O96=0,0,        _xll.qDateNext($O95,U$17,"M",TRUE,Currency1))</f>
        <v>0</v>
      </c>
      <c r="V95" s="699">
        <f>IF($O96=0,0,        _xll.qDateNext($O95,V$17,"M",TRUE,Currency1))</f>
        <v>0</v>
      </c>
      <c r="W95" s="699">
        <f>IF($O96=0,0,        _xll.qDateNext($O95,W$17,"M",TRUE,Currency1))</f>
        <v>0</v>
      </c>
      <c r="X95" s="699">
        <f>IF($O96=0,0,        _xll.qDateNext($O95,X$17,"M",TRUE,Currency1))</f>
        <v>0</v>
      </c>
      <c r="Y95" s="699">
        <f>IF($O96=0,0,        _xll.qDateNext($O95,Y$17,"M",TRUE,Currency1))</f>
        <v>0</v>
      </c>
      <c r="Z95" s="703">
        <f>IF($O96=0,0,           IF(FRM,_xll.qGetFwdRate(Z$14,$O95,R95,"T",DCC_Leg1_Float),_xll.qGetFwdRate(Z$14,$O95,$O96,"T",DCC_Leg1_Float)))</f>
        <v>0</v>
      </c>
      <c r="AA95" s="703">
        <f>IF($O96=0,0,           IF(FRM,_xll.qGetFwdRate(AA$14,$O95,S95,"T",DCC_Leg1_Float),_xll.qGetFwdRate(AA$14,$O95,$O96,"T",DCC_Leg1_Float)))</f>
        <v>0</v>
      </c>
      <c r="AB95" s="703">
        <f t="shared" si="17"/>
        <v>0</v>
      </c>
      <c r="AC95" s="703">
        <f>IF($O96=0,0,           IF(FRM,_xll.qGetFwdRate(AC$14,$O95,U95,"T",DCC_Leg1_Float),_xll.qGetFwdRate(AC$14,$O95,$O96,"T",DCC_Leg1_Float)))</f>
        <v>0</v>
      </c>
      <c r="AD95" s="703">
        <f t="shared" si="22"/>
        <v>0</v>
      </c>
      <c r="AE95" s="703">
        <f t="shared" si="23"/>
        <v>0</v>
      </c>
      <c r="AF95" s="703">
        <f>IF($O96=0,0,           IF(FRM,_xll.qGetFwdRate(AF$14,$O95,X95,"T",DCC_Leg1_Float),_xll.qGetFwdRate(AF$14,$O95,$O96,"T",DCC_Leg1_Float)))</f>
        <v>0</v>
      </c>
      <c r="AG95" s="703">
        <f>IF($O96=0,0,           IF(FRM,_xll.qGetFwdRate(AG$14,$O95,Y95,"T",DCC_Leg1_Float),_xll.qGetFwdRate(AG$14,$O95,$O96,"T",DCC_Leg1_Float)))</f>
        <v>0</v>
      </c>
      <c r="AH95" s="685">
        <v>0</v>
      </c>
      <c r="AI95" s="667"/>
      <c r="AJ95" s="670">
        <f>IF(O96=0,0,             IF(ISNUMBER(AI95),AI95,             IF(ISTEXT(AI95),INDEX(Z95:AG95,MATCH(AI95,$Z$17:$AG$17,0)),           IF(AH95="INT",_xll.qInterp(O96,R95:Y95,Z95:AG95),       INDEX(Z95:AG95,MATCH(AH95,$Z$17:$AG$17,0))))))</f>
        <v>0</v>
      </c>
      <c r="AK95" s="732">
        <v>100</v>
      </c>
      <c r="AL95" s="721">
        <f t="shared" si="18"/>
        <v>0</v>
      </c>
      <c r="AM95" s="284">
        <f>IF($O96,_xll.qDateYears($O95,$O96,DCC_Leg1_Fixed),0)</f>
        <v>0</v>
      </c>
      <c r="AN95" s="284">
        <f>IF($O96,_xll.qDateYears($O95,$O96,DCC_Leg1_Float),0)</f>
        <v>0</v>
      </c>
      <c r="AP95" s="350">
        <f t="shared" si="24"/>
        <v>0</v>
      </c>
      <c r="AQ95" s="375">
        <f>IF(GenType_1a="Fixed",GenRate_1a%*$AL94*AM94,          IF(GenType_1a="Float",$AL94*(_xll.qGetFwdRate($D$18,$O94,$O95,"T",DCC_Leg1_Float)%+GenRate_1a%%)*$AN94,        IF(GenType_1a="bp (Fixed)",GenRate_1a%%*$AM94*$AL94,   IF(GenType_1a="bp (Float)",GenRate_1a%%*$AL94*$AN94,0))))</f>
        <v>0</v>
      </c>
      <c r="AR95" s="561"/>
      <c r="AT95" s="341">
        <f t="shared" si="14"/>
        <v>0</v>
      </c>
      <c r="AV95" s="356"/>
      <c r="AW95" s="122">
        <v>0</v>
      </c>
      <c r="AX95" s="128">
        <f t="shared" si="19"/>
        <v>0</v>
      </c>
      <c r="AY95" s="357">
        <v>0</v>
      </c>
      <c r="AZ95" s="699">
        <f>IF($AW96=0,0,        _xll.qDateNext($AW95,AZ$17,"M",TRUE,Currency2))</f>
        <v>0</v>
      </c>
      <c r="BA95" s="699">
        <f>IF($AW96=0,0,        _xll.qDateNext($AW95,BA$17,"M",TRUE,Currency2))</f>
        <v>0</v>
      </c>
      <c r="BB95" s="699">
        <f>IF($AW96=0,0,        _xll.qDateNext($AW95,BB$17,"M",TRUE,Currency2))</f>
        <v>0</v>
      </c>
      <c r="BC95" s="699">
        <f>IF($AW96=0,0,        _xll.qDateNext($AW95,BC$17,"M",TRUE,Currency2))</f>
        <v>0</v>
      </c>
      <c r="BD95" s="699">
        <f>IF($AW96=0,0,        _xll.qDateNext($AW95,BD$17,"M",TRUE,Currency2))</f>
        <v>0</v>
      </c>
      <c r="BE95" s="699">
        <f>IF($AW96=0,0,        _xll.qDateNext($AW95,BE$17,"M",TRUE,Currency2))</f>
        <v>0</v>
      </c>
      <c r="BF95" s="699">
        <f>IF($AW96=0,0,        _xll.qDateNext($AW95,BF$17,"M",TRUE,Currency2))</f>
        <v>0</v>
      </c>
      <c r="BG95" s="699">
        <f>IF($AW96=0,0,        _xll.qDateNext($AW95,BG$17,"M",TRUE,Currency2))</f>
        <v>0</v>
      </c>
      <c r="BH95" s="703">
        <v>0</v>
      </c>
      <c r="BI95" s="703">
        <v>0</v>
      </c>
      <c r="BJ95" s="703">
        <v>0</v>
      </c>
      <c r="BK95" s="703">
        <v>0</v>
      </c>
      <c r="BL95" s="703">
        <f t="shared" si="25"/>
        <v>0</v>
      </c>
      <c r="BM95" s="703">
        <f t="shared" si="26"/>
        <v>0</v>
      </c>
      <c r="BN95" s="703">
        <v>0</v>
      </c>
      <c r="BO95" s="703">
        <v>0</v>
      </c>
      <c r="BP95" s="685">
        <v>0</v>
      </c>
      <c r="BQ95" s="667"/>
      <c r="BR95" s="670">
        <f>IF(AW96=0,0,             IF(ISNUMBER(BQ95),BQ95,             IF(ISTEXT(BQ95),INDEX(BH95:BO95,MATCH(BQ95,$BH$17:$BO$17,0)),           IF(BP95="INT",_xll.qInterp(AW96,AZ95:BG95,BH95:BO95),       INDEX(BH95:BO95,MATCH(BP95,$BH$17:$BO$17,0))))))</f>
        <v>0</v>
      </c>
      <c r="BS95" s="731">
        <f t="shared" si="20"/>
        <v>0</v>
      </c>
      <c r="BT95" s="406">
        <f t="shared" si="21"/>
        <v>0</v>
      </c>
      <c r="BU95" s="284">
        <f>IF($AW96,_xll.qDateYears($AW95,$AW96,DCC_Leg2_Fixed),0)</f>
        <v>0</v>
      </c>
      <c r="BV95" s="284">
        <f>IF($AW96,_xll.qDateYears($AW95,$AW96,DCC_Leg2_Float),0)</f>
        <v>0</v>
      </c>
      <c r="BX95" s="350">
        <f t="shared" si="27"/>
        <v>0</v>
      </c>
      <c r="BY95" s="375">
        <f>IF(GenType_2a="Fixed",GenRate_2a%*$BT94*BU94,          IF(GenType_2a="Float",$BT94*(_xll.qGetFwdRate($J$18,$AW94,$AW95,"T",DCC_Leg2_Float)%+GenRate_2a%%)*$BV94,        IF(GenType_2a="bp (Fixed)",GenRate_2a%%*$BU94*$BT94,   IF(GenType_2a="bp (Float)",GenRate_2a%%*$BT94*$BV94,0))))</f>
        <v>0</v>
      </c>
      <c r="BZ95" s="561"/>
      <c r="CB95" s="341">
        <f t="shared" si="15"/>
        <v>0</v>
      </c>
      <c r="CC95" s="563"/>
      <c r="CD95" s="356"/>
      <c r="CE95" s="341">
        <v>0</v>
      </c>
      <c r="CF95" s="563"/>
      <c r="CG95" s="356"/>
    </row>
    <row r="96" spans="15:85">
      <c r="O96" s="122">
        <v>0</v>
      </c>
      <c r="P96" s="128">
        <f t="shared" si="16"/>
        <v>0</v>
      </c>
      <c r="Q96" s="126">
        <v>0</v>
      </c>
      <c r="R96" s="699">
        <f>IF($O97=0,0,        _xll.qDateNext($O96,R$17,"M",TRUE,Currency1))</f>
        <v>0</v>
      </c>
      <c r="S96" s="699">
        <f>IF($O97=0,0,        _xll.qDateNext($O96,S$17,"M",TRUE,Currency1))</f>
        <v>0</v>
      </c>
      <c r="T96" s="699">
        <f>IF($O97=0,0,        _xll.qDateNext($O96,T$17,"M",TRUE,Currency1))</f>
        <v>0</v>
      </c>
      <c r="U96" s="699">
        <f>IF($O97=0,0,        _xll.qDateNext($O96,U$17,"M",TRUE,Currency1))</f>
        <v>0</v>
      </c>
      <c r="V96" s="699">
        <f>IF($O97=0,0,        _xll.qDateNext($O96,V$17,"M",TRUE,Currency1))</f>
        <v>0</v>
      </c>
      <c r="W96" s="699">
        <f>IF($O97=0,0,        _xll.qDateNext($O96,W$17,"M",TRUE,Currency1))</f>
        <v>0</v>
      </c>
      <c r="X96" s="699">
        <f>IF($O97=0,0,        _xll.qDateNext($O96,X$17,"M",TRUE,Currency1))</f>
        <v>0</v>
      </c>
      <c r="Y96" s="699">
        <f>IF($O97=0,0,        _xll.qDateNext($O96,Y$17,"M",TRUE,Currency1))</f>
        <v>0</v>
      </c>
      <c r="Z96" s="703">
        <f>IF($O97=0,0,           IF(FRM,_xll.qGetFwdRate(Z$14,$O96,R96,"T",DCC_Leg1_Float),_xll.qGetFwdRate(Z$14,$O96,$O97,"T",DCC_Leg1_Float)))</f>
        <v>0</v>
      </c>
      <c r="AA96" s="703">
        <f>IF($O97=0,0,           IF(FRM,_xll.qGetFwdRate(AA$14,$O96,S96,"T",DCC_Leg1_Float),_xll.qGetFwdRate(AA$14,$O96,$O97,"T",DCC_Leg1_Float)))</f>
        <v>0</v>
      </c>
      <c r="AB96" s="703">
        <f t="shared" si="17"/>
        <v>0</v>
      </c>
      <c r="AC96" s="703">
        <f>IF($O97=0,0,           IF(FRM,_xll.qGetFwdRate(AC$14,$O96,U96,"T",DCC_Leg1_Float),_xll.qGetFwdRate(AC$14,$O96,$O97,"T",DCC_Leg1_Float)))</f>
        <v>0</v>
      </c>
      <c r="AD96" s="703">
        <f t="shared" si="22"/>
        <v>0</v>
      </c>
      <c r="AE96" s="703">
        <f t="shared" si="23"/>
        <v>0</v>
      </c>
      <c r="AF96" s="703">
        <f>IF($O97=0,0,           IF(FRM,_xll.qGetFwdRate(AF$14,$O96,X96,"T",DCC_Leg1_Float),_xll.qGetFwdRate(AF$14,$O96,$O97,"T",DCC_Leg1_Float)))</f>
        <v>0</v>
      </c>
      <c r="AG96" s="703">
        <f>IF($O97=0,0,           IF(FRM,_xll.qGetFwdRate(AG$14,$O96,Y96,"T",DCC_Leg1_Float),_xll.qGetFwdRate(AG$14,$O96,$O97,"T",DCC_Leg1_Float)))</f>
        <v>0</v>
      </c>
      <c r="AH96" s="685">
        <v>0</v>
      </c>
      <c r="AI96" s="667"/>
      <c r="AJ96" s="670">
        <f>IF(O97=0,0,             IF(ISNUMBER(AI96),AI96,             IF(ISTEXT(AI96),INDEX(Z96:AG96,MATCH(AI96,$Z$17:$AG$17,0)),           IF(AH96="INT",_xll.qInterp(O97,R96:Y96,Z96:AG96),       INDEX(Z96:AG96,MATCH(AH96,$Z$17:$AG$17,0))))))</f>
        <v>0</v>
      </c>
      <c r="AK96" s="732">
        <v>100</v>
      </c>
      <c r="AL96" s="721">
        <f t="shared" si="18"/>
        <v>0</v>
      </c>
      <c r="AM96" s="284">
        <f>IF($O97,_xll.qDateYears($O96,$O97,DCC_Leg1_Fixed),0)</f>
        <v>0</v>
      </c>
      <c r="AN96" s="284">
        <f>IF($O97,_xll.qDateYears($O96,$O97,DCC_Leg1_Float),0)</f>
        <v>0</v>
      </c>
      <c r="AP96" s="350">
        <f t="shared" si="24"/>
        <v>0</v>
      </c>
      <c r="AQ96" s="375">
        <f>IF(GenType_1a="Fixed",GenRate_1a%*$AL95*AM95,          IF(GenType_1a="Float",$AL95*(_xll.qGetFwdRate($D$18,$O95,$O96,"T",DCC_Leg1_Float)%+GenRate_1a%%)*$AN95,        IF(GenType_1a="bp (Fixed)",GenRate_1a%%*$AM95*$AL95,   IF(GenType_1a="bp (Float)",GenRate_1a%%*$AL95*$AN95,0))))</f>
        <v>0</v>
      </c>
      <c r="AR96" s="561"/>
      <c r="AT96" s="341">
        <f t="shared" si="14"/>
        <v>0</v>
      </c>
      <c r="AV96" s="356"/>
      <c r="AW96" s="122">
        <v>0</v>
      </c>
      <c r="AX96" s="128">
        <f t="shared" si="19"/>
        <v>0</v>
      </c>
      <c r="AY96" s="357">
        <v>0</v>
      </c>
      <c r="AZ96" s="699">
        <f>IF($AW97=0,0,        _xll.qDateNext($AW96,AZ$17,"M",TRUE,Currency2))</f>
        <v>0</v>
      </c>
      <c r="BA96" s="699">
        <f>IF($AW97=0,0,        _xll.qDateNext($AW96,BA$17,"M",TRUE,Currency2))</f>
        <v>0</v>
      </c>
      <c r="BB96" s="699">
        <f>IF($AW97=0,0,        _xll.qDateNext($AW96,BB$17,"M",TRUE,Currency2))</f>
        <v>0</v>
      </c>
      <c r="BC96" s="699">
        <f>IF($AW97=0,0,        _xll.qDateNext($AW96,BC$17,"M",TRUE,Currency2))</f>
        <v>0</v>
      </c>
      <c r="BD96" s="699">
        <f>IF($AW97=0,0,        _xll.qDateNext($AW96,BD$17,"M",TRUE,Currency2))</f>
        <v>0</v>
      </c>
      <c r="BE96" s="699">
        <f>IF($AW97=0,0,        _xll.qDateNext($AW96,BE$17,"M",TRUE,Currency2))</f>
        <v>0</v>
      </c>
      <c r="BF96" s="699">
        <f>IF($AW97=0,0,        _xll.qDateNext($AW96,BF$17,"M",TRUE,Currency2))</f>
        <v>0</v>
      </c>
      <c r="BG96" s="699">
        <f>IF($AW97=0,0,        _xll.qDateNext($AW96,BG$17,"M",TRUE,Currency2))</f>
        <v>0</v>
      </c>
      <c r="BH96" s="703">
        <v>0</v>
      </c>
      <c r="BI96" s="703">
        <v>0</v>
      </c>
      <c r="BJ96" s="703">
        <v>0</v>
      </c>
      <c r="BK96" s="703">
        <v>0</v>
      </c>
      <c r="BL96" s="703">
        <f t="shared" si="25"/>
        <v>0</v>
      </c>
      <c r="BM96" s="703">
        <f t="shared" si="26"/>
        <v>0</v>
      </c>
      <c r="BN96" s="703">
        <v>0</v>
      </c>
      <c r="BO96" s="703">
        <v>0</v>
      </c>
      <c r="BP96" s="685">
        <v>0</v>
      </c>
      <c r="BQ96" s="667"/>
      <c r="BR96" s="670">
        <f>IF(AW97=0,0,             IF(ISNUMBER(BQ96),BQ96,             IF(ISTEXT(BQ96),INDEX(BH96:BO96,MATCH(BQ96,$BH$17:$BO$17,0)),           IF(BP96="INT",_xll.qInterp(AW97,AZ96:BG96,BH96:BO96),       INDEX(BH96:BO96,MATCH(BP96,$BH$17:$BO$17,0))))))</f>
        <v>0</v>
      </c>
      <c r="BS96" s="731">
        <f t="shared" si="20"/>
        <v>0</v>
      </c>
      <c r="BT96" s="406">
        <f t="shared" si="21"/>
        <v>0</v>
      </c>
      <c r="BU96" s="284">
        <f>IF($AW97,_xll.qDateYears($AW96,$AW97,DCC_Leg2_Fixed),0)</f>
        <v>0</v>
      </c>
      <c r="BV96" s="284">
        <f>IF($AW97,_xll.qDateYears($AW96,$AW97,DCC_Leg2_Float),0)</f>
        <v>0</v>
      </c>
      <c r="BX96" s="350">
        <f t="shared" si="27"/>
        <v>0</v>
      </c>
      <c r="BY96" s="375">
        <f>IF(GenType_2a="Fixed",GenRate_2a%*$BT95*BU95,          IF(GenType_2a="Float",$BT95*(_xll.qGetFwdRate($J$18,$AW95,$AW96,"T",DCC_Leg2_Float)%+GenRate_2a%%)*$BV95,        IF(GenType_2a="bp (Fixed)",GenRate_2a%%*$BU95*$BT95,   IF(GenType_2a="bp (Float)",GenRate_2a%%*$BT95*$BV95,0))))</f>
        <v>0</v>
      </c>
      <c r="BZ96" s="561"/>
      <c r="CB96" s="341">
        <f t="shared" si="15"/>
        <v>0</v>
      </c>
      <c r="CC96" s="563"/>
      <c r="CD96" s="356"/>
      <c r="CE96" s="341">
        <v>0</v>
      </c>
      <c r="CF96" s="563"/>
      <c r="CG96" s="356"/>
    </row>
    <row r="97" spans="15:85">
      <c r="O97" s="122">
        <v>0</v>
      </c>
      <c r="P97" s="128">
        <f t="shared" si="16"/>
        <v>0</v>
      </c>
      <c r="Q97" s="126">
        <v>0</v>
      </c>
      <c r="R97" s="699">
        <f>IF($O98=0,0,        _xll.qDateNext($O97,R$17,"M",TRUE,Currency1))</f>
        <v>0</v>
      </c>
      <c r="S97" s="699">
        <f>IF($O98=0,0,        _xll.qDateNext($O97,S$17,"M",TRUE,Currency1))</f>
        <v>0</v>
      </c>
      <c r="T97" s="699">
        <f>IF($O98=0,0,        _xll.qDateNext($O97,T$17,"M",TRUE,Currency1))</f>
        <v>0</v>
      </c>
      <c r="U97" s="699">
        <f>IF($O98=0,0,        _xll.qDateNext($O97,U$17,"M",TRUE,Currency1))</f>
        <v>0</v>
      </c>
      <c r="V97" s="699">
        <f>IF($O98=0,0,        _xll.qDateNext($O97,V$17,"M",TRUE,Currency1))</f>
        <v>0</v>
      </c>
      <c r="W97" s="699">
        <f>IF($O98=0,0,        _xll.qDateNext($O97,W$17,"M",TRUE,Currency1))</f>
        <v>0</v>
      </c>
      <c r="X97" s="699">
        <f>IF($O98=0,0,        _xll.qDateNext($O97,X$17,"M",TRUE,Currency1))</f>
        <v>0</v>
      </c>
      <c r="Y97" s="699">
        <f>IF($O98=0,0,        _xll.qDateNext($O97,Y$17,"M",TRUE,Currency1))</f>
        <v>0</v>
      </c>
      <c r="Z97" s="703">
        <f>IF($O98=0,0,           IF(FRM,_xll.qGetFwdRate(Z$14,$O97,R97,"T",DCC_Leg1_Float),_xll.qGetFwdRate(Z$14,$O97,$O98,"T",DCC_Leg1_Float)))</f>
        <v>0</v>
      </c>
      <c r="AA97" s="703">
        <f>IF($O98=0,0,           IF(FRM,_xll.qGetFwdRate(AA$14,$O97,S97,"T",DCC_Leg1_Float),_xll.qGetFwdRate(AA$14,$O97,$O98,"T",DCC_Leg1_Float)))</f>
        <v>0</v>
      </c>
      <c r="AB97" s="703">
        <f t="shared" si="17"/>
        <v>0</v>
      </c>
      <c r="AC97" s="703">
        <f>IF($O98=0,0,           IF(FRM,_xll.qGetFwdRate(AC$14,$O97,U97,"T",DCC_Leg1_Float),_xll.qGetFwdRate(AC$14,$O97,$O98,"T",DCC_Leg1_Float)))</f>
        <v>0</v>
      </c>
      <c r="AD97" s="703">
        <f t="shared" si="22"/>
        <v>0</v>
      </c>
      <c r="AE97" s="703">
        <f t="shared" si="23"/>
        <v>0</v>
      </c>
      <c r="AF97" s="703">
        <f>IF($O98=0,0,           IF(FRM,_xll.qGetFwdRate(AF$14,$O97,X97,"T",DCC_Leg1_Float),_xll.qGetFwdRate(AF$14,$O97,$O98,"T",DCC_Leg1_Float)))</f>
        <v>0</v>
      </c>
      <c r="AG97" s="703">
        <f>IF($O98=0,0,           IF(FRM,_xll.qGetFwdRate(AG$14,$O97,Y97,"T",DCC_Leg1_Float),_xll.qGetFwdRate(AG$14,$O97,$O98,"T",DCC_Leg1_Float)))</f>
        <v>0</v>
      </c>
      <c r="AH97" s="685">
        <v>0</v>
      </c>
      <c r="AI97" s="667"/>
      <c r="AJ97" s="670">
        <f>IF(O98=0,0,             IF(ISNUMBER(AI97),AI97,             IF(ISTEXT(AI97),INDEX(Z97:AG97,MATCH(AI97,$Z$17:$AG$17,0)),           IF(AH97="INT",_xll.qInterp(O98,R97:Y97,Z97:AG97),       INDEX(Z97:AG97,MATCH(AH97,$Z$17:$AG$17,0))))))</f>
        <v>0</v>
      </c>
      <c r="AK97" s="732">
        <v>100</v>
      </c>
      <c r="AL97" s="721">
        <f t="shared" si="18"/>
        <v>0</v>
      </c>
      <c r="AM97" s="284">
        <f>IF($O98,_xll.qDateYears($O97,$O98,DCC_Leg1_Fixed),0)</f>
        <v>0</v>
      </c>
      <c r="AN97" s="284">
        <f>IF($O98,_xll.qDateYears($O97,$O98,DCC_Leg1_Float),0)</f>
        <v>0</v>
      </c>
      <c r="AP97" s="350">
        <f t="shared" si="24"/>
        <v>0</v>
      </c>
      <c r="AQ97" s="375">
        <f>IF(GenType_1a="Fixed",GenRate_1a%*$AL96*AM96,          IF(GenType_1a="Float",$AL96*(_xll.qGetFwdRate($D$18,$O96,$O97,"T",DCC_Leg1_Float)%+GenRate_1a%%)*$AN96,        IF(GenType_1a="bp (Fixed)",GenRate_1a%%*$AM96*$AL96,   IF(GenType_1a="bp (Float)",GenRate_1a%%*$AL96*$AN96,0))))</f>
        <v>0</v>
      </c>
      <c r="AR97" s="561"/>
      <c r="AT97" s="341">
        <f t="shared" si="14"/>
        <v>0</v>
      </c>
      <c r="AV97" s="356"/>
      <c r="AW97" s="122">
        <v>0</v>
      </c>
      <c r="AX97" s="128">
        <f t="shared" si="19"/>
        <v>0</v>
      </c>
      <c r="AY97" s="357">
        <v>0</v>
      </c>
      <c r="AZ97" s="699">
        <f>IF($AW98=0,0,        _xll.qDateNext($AW97,AZ$17,"M",TRUE,Currency2))</f>
        <v>0</v>
      </c>
      <c r="BA97" s="699">
        <f>IF($AW98=0,0,        _xll.qDateNext($AW97,BA$17,"M",TRUE,Currency2))</f>
        <v>0</v>
      </c>
      <c r="BB97" s="699">
        <f>IF($AW98=0,0,        _xll.qDateNext($AW97,BB$17,"M",TRUE,Currency2))</f>
        <v>0</v>
      </c>
      <c r="BC97" s="699">
        <f>IF($AW98=0,0,        _xll.qDateNext($AW97,BC$17,"M",TRUE,Currency2))</f>
        <v>0</v>
      </c>
      <c r="BD97" s="699">
        <f>IF($AW98=0,0,        _xll.qDateNext($AW97,BD$17,"M",TRUE,Currency2))</f>
        <v>0</v>
      </c>
      <c r="BE97" s="699">
        <f>IF($AW98=0,0,        _xll.qDateNext($AW97,BE$17,"M",TRUE,Currency2))</f>
        <v>0</v>
      </c>
      <c r="BF97" s="699">
        <f>IF($AW98=0,0,        _xll.qDateNext($AW97,BF$17,"M",TRUE,Currency2))</f>
        <v>0</v>
      </c>
      <c r="BG97" s="699">
        <f>IF($AW98=0,0,        _xll.qDateNext($AW97,BG$17,"M",TRUE,Currency2))</f>
        <v>0</v>
      </c>
      <c r="BH97" s="703">
        <v>0</v>
      </c>
      <c r="BI97" s="703">
        <v>0</v>
      </c>
      <c r="BJ97" s="703">
        <v>0</v>
      </c>
      <c r="BK97" s="703">
        <v>0</v>
      </c>
      <c r="BL97" s="703">
        <f t="shared" si="25"/>
        <v>0</v>
      </c>
      <c r="BM97" s="703">
        <f t="shared" si="26"/>
        <v>0</v>
      </c>
      <c r="BN97" s="703">
        <v>0</v>
      </c>
      <c r="BO97" s="703">
        <v>0</v>
      </c>
      <c r="BP97" s="685">
        <v>0</v>
      </c>
      <c r="BQ97" s="667"/>
      <c r="BR97" s="670">
        <f>IF(AW98=0,0,             IF(ISNUMBER(BQ97),BQ97,             IF(ISTEXT(BQ97),INDEX(BH97:BO97,MATCH(BQ97,$BH$17:$BO$17,0)),           IF(BP97="INT",_xll.qInterp(AW98,AZ97:BG97,BH97:BO97),       INDEX(BH97:BO97,MATCH(BP97,$BH$17:$BO$17,0))))))</f>
        <v>0</v>
      </c>
      <c r="BS97" s="731">
        <f t="shared" si="20"/>
        <v>0</v>
      </c>
      <c r="BT97" s="406">
        <f t="shared" si="21"/>
        <v>0</v>
      </c>
      <c r="BU97" s="284">
        <f>IF($AW98,_xll.qDateYears($AW97,$AW98,DCC_Leg2_Fixed),0)</f>
        <v>0</v>
      </c>
      <c r="BV97" s="284">
        <f>IF($AW98,_xll.qDateYears($AW97,$AW98,DCC_Leg2_Float),0)</f>
        <v>0</v>
      </c>
      <c r="BX97" s="350">
        <f t="shared" si="27"/>
        <v>0</v>
      </c>
      <c r="BY97" s="375">
        <f>IF(GenType_2a="Fixed",GenRate_2a%*$BT96*BU96,          IF(GenType_2a="Float",$BT96*(_xll.qGetFwdRate($J$18,$AW96,$AW97,"T",DCC_Leg2_Float)%+GenRate_2a%%)*$BV96,        IF(GenType_2a="bp (Fixed)",GenRate_2a%%*$BU96*$BT96,   IF(GenType_2a="bp (Float)",GenRate_2a%%*$BT96*$BV96,0))))</f>
        <v>0</v>
      </c>
      <c r="BZ97" s="561"/>
      <c r="CB97" s="341">
        <f t="shared" si="15"/>
        <v>0</v>
      </c>
      <c r="CC97" s="563"/>
      <c r="CD97" s="356"/>
      <c r="CE97" s="341">
        <v>0</v>
      </c>
      <c r="CF97" s="563"/>
      <c r="CG97" s="356"/>
    </row>
    <row r="98" spans="15:85">
      <c r="O98" s="122">
        <v>0</v>
      </c>
      <c r="P98" s="128">
        <f t="shared" si="16"/>
        <v>0</v>
      </c>
      <c r="Q98" s="126">
        <v>0</v>
      </c>
      <c r="R98" s="699">
        <f>IF($O99=0,0,        _xll.qDateNext($O98,R$17,"M",TRUE,Currency1))</f>
        <v>0</v>
      </c>
      <c r="S98" s="699">
        <f>IF($O99=0,0,        _xll.qDateNext($O98,S$17,"M",TRUE,Currency1))</f>
        <v>0</v>
      </c>
      <c r="T98" s="699">
        <f>IF($O99=0,0,        _xll.qDateNext($O98,T$17,"M",TRUE,Currency1))</f>
        <v>0</v>
      </c>
      <c r="U98" s="699">
        <f>IF($O99=0,0,        _xll.qDateNext($O98,U$17,"M",TRUE,Currency1))</f>
        <v>0</v>
      </c>
      <c r="V98" s="699">
        <f>IF($O99=0,0,        _xll.qDateNext($O98,V$17,"M",TRUE,Currency1))</f>
        <v>0</v>
      </c>
      <c r="W98" s="699">
        <f>IF($O99=0,0,        _xll.qDateNext($O98,W$17,"M",TRUE,Currency1))</f>
        <v>0</v>
      </c>
      <c r="X98" s="699">
        <f>IF($O99=0,0,        _xll.qDateNext($O98,X$17,"M",TRUE,Currency1))</f>
        <v>0</v>
      </c>
      <c r="Y98" s="699">
        <f>IF($O99=0,0,        _xll.qDateNext($O98,Y$17,"M",TRUE,Currency1))</f>
        <v>0</v>
      </c>
      <c r="Z98" s="703">
        <f>IF($O99=0,0,           IF(FRM,_xll.qGetFwdRate(Z$14,$O98,R98,"T",DCC_Leg1_Float),_xll.qGetFwdRate(Z$14,$O98,$O99,"T",DCC_Leg1_Float)))</f>
        <v>0</v>
      </c>
      <c r="AA98" s="703">
        <f>IF($O99=0,0,           IF(FRM,_xll.qGetFwdRate(AA$14,$O98,S98,"T",DCC_Leg1_Float),_xll.qGetFwdRate(AA$14,$O98,$O99,"T",DCC_Leg1_Float)))</f>
        <v>0</v>
      </c>
      <c r="AB98" s="703">
        <f t="shared" si="17"/>
        <v>0</v>
      </c>
      <c r="AC98" s="703">
        <f>IF($O99=0,0,           IF(FRM,_xll.qGetFwdRate(AC$14,$O98,U98,"T",DCC_Leg1_Float),_xll.qGetFwdRate(AC$14,$O98,$O99,"T",DCC_Leg1_Float)))</f>
        <v>0</v>
      </c>
      <c r="AD98" s="703">
        <f t="shared" si="22"/>
        <v>0</v>
      </c>
      <c r="AE98" s="703">
        <f t="shared" si="23"/>
        <v>0</v>
      </c>
      <c r="AF98" s="703">
        <f>IF($O99=0,0,           IF(FRM,_xll.qGetFwdRate(AF$14,$O98,X98,"T",DCC_Leg1_Float),_xll.qGetFwdRate(AF$14,$O98,$O99,"T",DCC_Leg1_Float)))</f>
        <v>0</v>
      </c>
      <c r="AG98" s="703">
        <f>IF($O99=0,0,           IF(FRM,_xll.qGetFwdRate(AG$14,$O98,Y98,"T",DCC_Leg1_Float),_xll.qGetFwdRate(AG$14,$O98,$O99,"T",DCC_Leg1_Float)))</f>
        <v>0</v>
      </c>
      <c r="AH98" s="685">
        <v>0</v>
      </c>
      <c r="AI98" s="667"/>
      <c r="AJ98" s="670">
        <f>IF(O99=0,0,             IF(ISNUMBER(AI98),AI98,             IF(ISTEXT(AI98),INDEX(Z98:AG98,MATCH(AI98,$Z$17:$AG$17,0)),           IF(AH98="INT",_xll.qInterp(O99,R98:Y98,Z98:AG98),       INDEX(Z98:AG98,MATCH(AH98,$Z$17:$AG$17,0))))))</f>
        <v>0</v>
      </c>
      <c r="AK98" s="732">
        <v>100</v>
      </c>
      <c r="AL98" s="721">
        <f t="shared" si="18"/>
        <v>0</v>
      </c>
      <c r="AM98" s="284">
        <f>IF($O99,_xll.qDateYears($O98,$O99,DCC_Leg1_Fixed),0)</f>
        <v>0</v>
      </c>
      <c r="AN98" s="284">
        <f>IF($O99,_xll.qDateYears($O98,$O99,DCC_Leg1_Float),0)</f>
        <v>0</v>
      </c>
      <c r="AP98" s="350">
        <f t="shared" si="24"/>
        <v>0</v>
      </c>
      <c r="AQ98" s="375">
        <f>IF(GenType_1a="Fixed",GenRate_1a%*$AL97*AM97,          IF(GenType_1a="Float",$AL97*(_xll.qGetFwdRate($D$18,$O97,$O98,"T",DCC_Leg1_Float)%+GenRate_1a%%)*$AN97,        IF(GenType_1a="bp (Fixed)",GenRate_1a%%*$AM97*$AL97,   IF(GenType_1a="bp (Float)",GenRate_1a%%*$AL97*$AN97,0))))</f>
        <v>0</v>
      </c>
      <c r="AR98" s="561"/>
      <c r="AT98" s="341">
        <f t="shared" si="14"/>
        <v>0</v>
      </c>
      <c r="AV98" s="356"/>
      <c r="AW98" s="122">
        <v>0</v>
      </c>
      <c r="AX98" s="128">
        <f t="shared" si="19"/>
        <v>0</v>
      </c>
      <c r="AY98" s="357">
        <v>0</v>
      </c>
      <c r="AZ98" s="699">
        <f>IF($AW99=0,0,        _xll.qDateNext($AW98,AZ$17,"M",TRUE,Currency2))</f>
        <v>0</v>
      </c>
      <c r="BA98" s="699">
        <f>IF($AW99=0,0,        _xll.qDateNext($AW98,BA$17,"M",TRUE,Currency2))</f>
        <v>0</v>
      </c>
      <c r="BB98" s="699">
        <f>IF($AW99=0,0,        _xll.qDateNext($AW98,BB$17,"M",TRUE,Currency2))</f>
        <v>0</v>
      </c>
      <c r="BC98" s="699">
        <f>IF($AW99=0,0,        _xll.qDateNext($AW98,BC$17,"M",TRUE,Currency2))</f>
        <v>0</v>
      </c>
      <c r="BD98" s="699">
        <f>IF($AW99=0,0,        _xll.qDateNext($AW98,BD$17,"M",TRUE,Currency2))</f>
        <v>0</v>
      </c>
      <c r="BE98" s="699">
        <f>IF($AW99=0,0,        _xll.qDateNext($AW98,BE$17,"M",TRUE,Currency2))</f>
        <v>0</v>
      </c>
      <c r="BF98" s="699">
        <f>IF($AW99=0,0,        _xll.qDateNext($AW98,BF$17,"M",TRUE,Currency2))</f>
        <v>0</v>
      </c>
      <c r="BG98" s="699">
        <f>IF($AW99=0,0,        _xll.qDateNext($AW98,BG$17,"M",TRUE,Currency2))</f>
        <v>0</v>
      </c>
      <c r="BH98" s="703">
        <v>0</v>
      </c>
      <c r="BI98" s="703">
        <v>0</v>
      </c>
      <c r="BJ98" s="703">
        <v>0</v>
      </c>
      <c r="BK98" s="703">
        <v>0</v>
      </c>
      <c r="BL98" s="703">
        <f t="shared" si="25"/>
        <v>0</v>
      </c>
      <c r="BM98" s="703">
        <f t="shared" si="26"/>
        <v>0</v>
      </c>
      <c r="BN98" s="703">
        <v>0</v>
      </c>
      <c r="BO98" s="703">
        <v>0</v>
      </c>
      <c r="BP98" s="685">
        <v>0</v>
      </c>
      <c r="BQ98" s="667"/>
      <c r="BR98" s="670">
        <f>IF(AW99=0,0,             IF(ISNUMBER(BQ98),BQ98,             IF(ISTEXT(BQ98),INDEX(BH98:BO98,MATCH(BQ98,$BH$17:$BO$17,0)),           IF(BP98="INT",_xll.qInterp(AW99,AZ98:BG98,BH98:BO98),       INDEX(BH98:BO98,MATCH(BP98,$BH$17:$BO$17,0))))))</f>
        <v>0</v>
      </c>
      <c r="BS98" s="731">
        <f t="shared" si="20"/>
        <v>0</v>
      </c>
      <c r="BT98" s="406">
        <f t="shared" si="21"/>
        <v>0</v>
      </c>
      <c r="BU98" s="284">
        <f>IF($AW99,_xll.qDateYears($AW98,$AW99,DCC_Leg2_Fixed),0)</f>
        <v>0</v>
      </c>
      <c r="BV98" s="284">
        <f>IF($AW99,_xll.qDateYears($AW98,$AW99,DCC_Leg2_Float),0)</f>
        <v>0</v>
      </c>
      <c r="BX98" s="350">
        <f t="shared" si="27"/>
        <v>0</v>
      </c>
      <c r="BY98" s="375">
        <f>IF(GenType_2a="Fixed",GenRate_2a%*$BT97*BU97,          IF(GenType_2a="Float",$BT97*(_xll.qGetFwdRate($J$18,$AW97,$AW98,"T",DCC_Leg2_Float)%+GenRate_2a%%)*$BV97,        IF(GenType_2a="bp (Fixed)",GenRate_2a%%*$BU97*$BT97,   IF(GenType_2a="bp (Float)",GenRate_2a%%*$BT97*$BV97,0))))</f>
        <v>0</v>
      </c>
      <c r="BZ98" s="561"/>
      <c r="CB98" s="341">
        <f t="shared" si="15"/>
        <v>0</v>
      </c>
      <c r="CC98" s="563"/>
      <c r="CD98" s="356"/>
      <c r="CE98" s="341">
        <v>0</v>
      </c>
      <c r="CF98" s="563"/>
      <c r="CG98" s="356"/>
    </row>
    <row r="99" spans="15:85">
      <c r="O99" s="122">
        <v>0</v>
      </c>
      <c r="P99" s="128">
        <f t="shared" si="16"/>
        <v>0</v>
      </c>
      <c r="Q99" s="126">
        <v>0</v>
      </c>
      <c r="R99" s="699">
        <f>IF($O100=0,0,        _xll.qDateNext($O99,R$17,"M",TRUE,Currency1))</f>
        <v>0</v>
      </c>
      <c r="S99" s="699">
        <f>IF($O100=0,0,        _xll.qDateNext($O99,S$17,"M",TRUE,Currency1))</f>
        <v>0</v>
      </c>
      <c r="T99" s="699">
        <f>IF($O100=0,0,        _xll.qDateNext($O99,T$17,"M",TRUE,Currency1))</f>
        <v>0</v>
      </c>
      <c r="U99" s="699">
        <f>IF($O100=0,0,        _xll.qDateNext($O99,U$17,"M",TRUE,Currency1))</f>
        <v>0</v>
      </c>
      <c r="V99" s="699">
        <f>IF($O100=0,0,        _xll.qDateNext($O99,V$17,"M",TRUE,Currency1))</f>
        <v>0</v>
      </c>
      <c r="W99" s="699">
        <f>IF($O100=0,0,        _xll.qDateNext($O99,W$17,"M",TRUE,Currency1))</f>
        <v>0</v>
      </c>
      <c r="X99" s="699">
        <f>IF($O100=0,0,        _xll.qDateNext($O99,X$17,"M",TRUE,Currency1))</f>
        <v>0</v>
      </c>
      <c r="Y99" s="699">
        <f>IF($O100=0,0,        _xll.qDateNext($O99,Y$17,"M",TRUE,Currency1))</f>
        <v>0</v>
      </c>
      <c r="Z99" s="703">
        <f>IF($O100=0,0,           IF(FRM,_xll.qGetFwdRate(Z$14,$O99,R99,"T",DCC_Leg1_Float),_xll.qGetFwdRate(Z$14,$O99,$O100,"T",DCC_Leg1_Float)))</f>
        <v>0</v>
      </c>
      <c r="AA99" s="703">
        <f>IF($O100=0,0,           IF(FRM,_xll.qGetFwdRate(AA$14,$O99,S99,"T",DCC_Leg1_Float),_xll.qGetFwdRate(AA$14,$O99,$O100,"T",DCC_Leg1_Float)))</f>
        <v>0</v>
      </c>
      <c r="AB99" s="703">
        <f t="shared" si="17"/>
        <v>0</v>
      </c>
      <c r="AC99" s="703">
        <f>IF($O100=0,0,           IF(FRM,_xll.qGetFwdRate(AC$14,$O99,U99,"T",DCC_Leg1_Float),_xll.qGetFwdRate(AC$14,$O99,$O100,"T",DCC_Leg1_Float)))</f>
        <v>0</v>
      </c>
      <c r="AD99" s="703">
        <f t="shared" si="22"/>
        <v>0</v>
      </c>
      <c r="AE99" s="703">
        <f t="shared" si="23"/>
        <v>0</v>
      </c>
      <c r="AF99" s="703">
        <f>IF($O100=0,0,           IF(FRM,_xll.qGetFwdRate(AF$14,$O99,X99,"T",DCC_Leg1_Float),_xll.qGetFwdRate(AF$14,$O99,$O100,"T",DCC_Leg1_Float)))</f>
        <v>0</v>
      </c>
      <c r="AG99" s="703">
        <f>IF($O100=0,0,           IF(FRM,_xll.qGetFwdRate(AG$14,$O99,Y99,"T",DCC_Leg1_Float),_xll.qGetFwdRate(AG$14,$O99,$O100,"T",DCC_Leg1_Float)))</f>
        <v>0</v>
      </c>
      <c r="AH99" s="685">
        <v>0</v>
      </c>
      <c r="AI99" s="667"/>
      <c r="AJ99" s="670">
        <f>IF(O100=0,0,             IF(ISNUMBER(AI99),AI99,             IF(ISTEXT(AI99),INDEX(Z99:AG99,MATCH(AI99,$Z$17:$AG$17,0)),           IF(AH99="INT",_xll.qInterp(O100,R99:Y99,Z99:AG99),       INDEX(Z99:AG99,MATCH(AH99,$Z$17:$AG$17,0))))))</f>
        <v>0</v>
      </c>
      <c r="AK99" s="732">
        <v>100</v>
      </c>
      <c r="AL99" s="721">
        <f t="shared" si="18"/>
        <v>0</v>
      </c>
      <c r="AM99" s="284">
        <f>IF($O100,_xll.qDateYears($O99,$O100,DCC_Leg1_Fixed),0)</f>
        <v>0</v>
      </c>
      <c r="AN99" s="284">
        <f>IF($O100,_xll.qDateYears($O99,$O100,DCC_Leg1_Float),0)</f>
        <v>0</v>
      </c>
      <c r="AP99" s="350">
        <f t="shared" si="24"/>
        <v>0</v>
      </c>
      <c r="AQ99" s="375">
        <f>IF(GenType_1a="Fixed",GenRate_1a%*$AL98*AM98,          IF(GenType_1a="Float",$AL98*(_xll.qGetFwdRate($D$18,$O98,$O99,"T",DCC_Leg1_Float)%+GenRate_1a%%)*$AN98,        IF(GenType_1a="bp (Fixed)",GenRate_1a%%*$AM98*$AL98,   IF(GenType_1a="bp (Float)",GenRate_1a%%*$AL98*$AN98,0))))</f>
        <v>0</v>
      </c>
      <c r="AR99" s="561"/>
      <c r="AT99" s="341">
        <f t="shared" si="14"/>
        <v>0</v>
      </c>
      <c r="AV99" s="356"/>
      <c r="AW99" s="122">
        <v>0</v>
      </c>
      <c r="AX99" s="128">
        <f t="shared" si="19"/>
        <v>0</v>
      </c>
      <c r="AY99" s="357">
        <v>0</v>
      </c>
      <c r="AZ99" s="699">
        <f>IF($AW100=0,0,        _xll.qDateNext($AW99,AZ$17,"M",TRUE,Currency2))</f>
        <v>0</v>
      </c>
      <c r="BA99" s="699">
        <f>IF($AW100=0,0,        _xll.qDateNext($AW99,BA$17,"M",TRUE,Currency2))</f>
        <v>0</v>
      </c>
      <c r="BB99" s="699">
        <f>IF($AW100=0,0,        _xll.qDateNext($AW99,BB$17,"M",TRUE,Currency2))</f>
        <v>0</v>
      </c>
      <c r="BC99" s="699">
        <f>IF($AW100=0,0,        _xll.qDateNext($AW99,BC$17,"M",TRUE,Currency2))</f>
        <v>0</v>
      </c>
      <c r="BD99" s="699">
        <f>IF($AW100=0,0,        _xll.qDateNext($AW99,BD$17,"M",TRUE,Currency2))</f>
        <v>0</v>
      </c>
      <c r="BE99" s="699">
        <f>IF($AW100=0,0,        _xll.qDateNext($AW99,BE$17,"M",TRUE,Currency2))</f>
        <v>0</v>
      </c>
      <c r="BF99" s="699">
        <f>IF($AW100=0,0,        _xll.qDateNext($AW99,BF$17,"M",TRUE,Currency2))</f>
        <v>0</v>
      </c>
      <c r="BG99" s="699">
        <f>IF($AW100=0,0,        _xll.qDateNext($AW99,BG$17,"M",TRUE,Currency2))</f>
        <v>0</v>
      </c>
      <c r="BH99" s="703">
        <v>0</v>
      </c>
      <c r="BI99" s="703">
        <v>0</v>
      </c>
      <c r="BJ99" s="703">
        <v>0</v>
      </c>
      <c r="BK99" s="703">
        <v>0</v>
      </c>
      <c r="BL99" s="703">
        <f t="shared" si="25"/>
        <v>0</v>
      </c>
      <c r="BM99" s="703">
        <f t="shared" si="26"/>
        <v>0</v>
      </c>
      <c r="BN99" s="703">
        <v>0</v>
      </c>
      <c r="BO99" s="703">
        <v>0</v>
      </c>
      <c r="BP99" s="685">
        <v>0</v>
      </c>
      <c r="BQ99" s="667"/>
      <c r="BR99" s="670">
        <f>IF(AW100=0,0,             IF(ISNUMBER(BQ99),BQ99,             IF(ISTEXT(BQ99),INDEX(BH99:BO99,MATCH(BQ99,$BH$17:$BO$17,0)),           IF(BP99="INT",_xll.qInterp(AW100,AZ99:BG99,BH99:BO99),       INDEX(BH99:BO99,MATCH(BP99,$BH$17:$BO$17,0))))))</f>
        <v>0</v>
      </c>
      <c r="BS99" s="731">
        <f t="shared" si="20"/>
        <v>0</v>
      </c>
      <c r="BT99" s="406">
        <f t="shared" si="21"/>
        <v>0</v>
      </c>
      <c r="BU99" s="284">
        <f>IF($AW100,_xll.qDateYears($AW99,$AW100,DCC_Leg2_Fixed),0)</f>
        <v>0</v>
      </c>
      <c r="BV99" s="284">
        <f>IF($AW100,_xll.qDateYears($AW99,$AW100,DCC_Leg2_Float),0)</f>
        <v>0</v>
      </c>
      <c r="BX99" s="350">
        <f t="shared" si="27"/>
        <v>0</v>
      </c>
      <c r="BY99" s="375">
        <f>IF(GenType_2a="Fixed",GenRate_2a%*$BT98*BU98,          IF(GenType_2a="Float",$BT98*(_xll.qGetFwdRate($J$18,$AW98,$AW99,"T",DCC_Leg2_Float)%+GenRate_2a%%)*$BV98,        IF(GenType_2a="bp (Fixed)",GenRate_2a%%*$BU98*$BT98,   IF(GenType_2a="bp (Float)",GenRate_2a%%*$BT98*$BV98,0))))</f>
        <v>0</v>
      </c>
      <c r="BZ99" s="561"/>
      <c r="CB99" s="341">
        <f t="shared" si="15"/>
        <v>0</v>
      </c>
      <c r="CC99" s="563"/>
      <c r="CD99" s="356"/>
      <c r="CE99" s="341">
        <v>0</v>
      </c>
      <c r="CF99" s="563"/>
      <c r="CG99" s="356"/>
    </row>
    <row r="100" spans="15:85">
      <c r="O100" s="122">
        <v>0</v>
      </c>
      <c r="P100" s="128">
        <f t="shared" si="16"/>
        <v>0</v>
      </c>
      <c r="Q100" s="126">
        <v>0</v>
      </c>
      <c r="R100" s="699">
        <f>IF($O101=0,0,        _xll.qDateNext($O100,R$17,"M",TRUE,Currency1))</f>
        <v>0</v>
      </c>
      <c r="S100" s="699">
        <f>IF($O101=0,0,        _xll.qDateNext($O100,S$17,"M",TRUE,Currency1))</f>
        <v>0</v>
      </c>
      <c r="T100" s="699">
        <f>IF($O101=0,0,        _xll.qDateNext($O100,T$17,"M",TRUE,Currency1))</f>
        <v>0</v>
      </c>
      <c r="U100" s="699">
        <f>IF($O101=0,0,        _xll.qDateNext($O100,U$17,"M",TRUE,Currency1))</f>
        <v>0</v>
      </c>
      <c r="V100" s="699">
        <f>IF($O101=0,0,        _xll.qDateNext($O100,V$17,"M",TRUE,Currency1))</f>
        <v>0</v>
      </c>
      <c r="W100" s="699">
        <f>IF($O101=0,0,        _xll.qDateNext($O100,W$17,"M",TRUE,Currency1))</f>
        <v>0</v>
      </c>
      <c r="X100" s="699">
        <f>IF($O101=0,0,        _xll.qDateNext($O100,X$17,"M",TRUE,Currency1))</f>
        <v>0</v>
      </c>
      <c r="Y100" s="699">
        <f>IF($O101=0,0,        _xll.qDateNext($O100,Y$17,"M",TRUE,Currency1))</f>
        <v>0</v>
      </c>
      <c r="Z100" s="703">
        <f>IF($O101=0,0,           IF(FRM,_xll.qGetFwdRate(Z$14,$O100,R100,"T",DCC_Leg1_Float),_xll.qGetFwdRate(Z$14,$O100,$O101,"T",DCC_Leg1_Float)))</f>
        <v>0</v>
      </c>
      <c r="AA100" s="703">
        <f>IF($O101=0,0,           IF(FRM,_xll.qGetFwdRate(AA$14,$O100,S100,"T",DCC_Leg1_Float),_xll.qGetFwdRate(AA$14,$O100,$O101,"T",DCC_Leg1_Float)))</f>
        <v>0</v>
      </c>
      <c r="AB100" s="703">
        <f t="shared" si="17"/>
        <v>0</v>
      </c>
      <c r="AC100" s="703">
        <f>IF($O101=0,0,           IF(FRM,_xll.qGetFwdRate(AC$14,$O100,U100,"T",DCC_Leg1_Float),_xll.qGetFwdRate(AC$14,$O100,$O101,"T",DCC_Leg1_Float)))</f>
        <v>0</v>
      </c>
      <c r="AD100" s="703">
        <f t="shared" si="22"/>
        <v>0</v>
      </c>
      <c r="AE100" s="703">
        <f t="shared" si="23"/>
        <v>0</v>
      </c>
      <c r="AF100" s="703">
        <f>IF($O101=0,0,           IF(FRM,_xll.qGetFwdRate(AF$14,$O100,X100,"T",DCC_Leg1_Float),_xll.qGetFwdRate(AF$14,$O100,$O101,"T",DCC_Leg1_Float)))</f>
        <v>0</v>
      </c>
      <c r="AG100" s="703">
        <f>IF($O101=0,0,           IF(FRM,_xll.qGetFwdRate(AG$14,$O100,Y100,"T",DCC_Leg1_Float),_xll.qGetFwdRate(AG$14,$O100,$O101,"T",DCC_Leg1_Float)))</f>
        <v>0</v>
      </c>
      <c r="AH100" s="685">
        <v>0</v>
      </c>
      <c r="AI100" s="667"/>
      <c r="AJ100" s="670">
        <f>IF(O101=0,0,             IF(ISNUMBER(AI100),AI100,             IF(ISTEXT(AI100),INDEX(Z100:AG100,MATCH(AI100,$Z$17:$AG$17,0)),           IF(AH100="INT",_xll.qInterp(O101,R100:Y100,Z100:AG100),       INDEX(Z100:AG100,MATCH(AH100,$Z$17:$AG$17,0))))))</f>
        <v>0</v>
      </c>
      <c r="AK100" s="732">
        <v>100</v>
      </c>
      <c r="AL100" s="721">
        <f t="shared" si="18"/>
        <v>0</v>
      </c>
      <c r="AM100" s="284">
        <f>IF($O101,_xll.qDateYears($O100,$O101,DCC_Leg1_Fixed),0)</f>
        <v>0</v>
      </c>
      <c r="AN100" s="284">
        <f>IF($O101,_xll.qDateYears($O100,$O101,DCC_Leg1_Float),0)</f>
        <v>0</v>
      </c>
      <c r="AP100" s="350">
        <f t="shared" si="24"/>
        <v>0</v>
      </c>
      <c r="AQ100" s="375">
        <f>IF(GenType_1a="Fixed",GenRate_1a%*$AL99*AM99,          IF(GenType_1a="Float",$AL99*(_xll.qGetFwdRate($D$18,$O99,$O100,"T",DCC_Leg1_Float)%+GenRate_1a%%)*$AN99,        IF(GenType_1a="bp (Fixed)",GenRate_1a%%*$AM99*$AL99,   IF(GenType_1a="bp (Float)",GenRate_1a%%*$AL99*$AN99,0))))</f>
        <v>0</v>
      </c>
      <c r="AR100" s="561"/>
      <c r="AT100" s="341">
        <f t="shared" si="14"/>
        <v>0</v>
      </c>
      <c r="AV100" s="356"/>
      <c r="AW100" s="122">
        <v>0</v>
      </c>
      <c r="AX100" s="128">
        <f t="shared" si="19"/>
        <v>0</v>
      </c>
      <c r="AY100" s="357">
        <v>0</v>
      </c>
      <c r="AZ100" s="699">
        <f>IF($AW101=0,0,        _xll.qDateNext($AW100,AZ$17,"M",TRUE,Currency2))</f>
        <v>0</v>
      </c>
      <c r="BA100" s="699">
        <f>IF($AW101=0,0,        _xll.qDateNext($AW100,BA$17,"M",TRUE,Currency2))</f>
        <v>0</v>
      </c>
      <c r="BB100" s="699">
        <f>IF($AW101=0,0,        _xll.qDateNext($AW100,BB$17,"M",TRUE,Currency2))</f>
        <v>0</v>
      </c>
      <c r="BC100" s="699">
        <f>IF($AW101=0,0,        _xll.qDateNext($AW100,BC$17,"M",TRUE,Currency2))</f>
        <v>0</v>
      </c>
      <c r="BD100" s="699">
        <f>IF($AW101=0,0,        _xll.qDateNext($AW100,BD$17,"M",TRUE,Currency2))</f>
        <v>0</v>
      </c>
      <c r="BE100" s="699">
        <f>IF($AW101=0,0,        _xll.qDateNext($AW100,BE$17,"M",TRUE,Currency2))</f>
        <v>0</v>
      </c>
      <c r="BF100" s="699">
        <f>IF($AW101=0,0,        _xll.qDateNext($AW100,BF$17,"M",TRUE,Currency2))</f>
        <v>0</v>
      </c>
      <c r="BG100" s="699">
        <f>IF($AW101=0,0,        _xll.qDateNext($AW100,BG$17,"M",TRUE,Currency2))</f>
        <v>0</v>
      </c>
      <c r="BH100" s="703">
        <v>0</v>
      </c>
      <c r="BI100" s="703">
        <v>0</v>
      </c>
      <c r="BJ100" s="703">
        <v>0</v>
      </c>
      <c r="BK100" s="703">
        <v>0</v>
      </c>
      <c r="BL100" s="703">
        <f t="shared" si="25"/>
        <v>0</v>
      </c>
      <c r="BM100" s="703">
        <f t="shared" si="26"/>
        <v>0</v>
      </c>
      <c r="BN100" s="703">
        <v>0</v>
      </c>
      <c r="BO100" s="703">
        <v>0</v>
      </c>
      <c r="BP100" s="685">
        <v>0</v>
      </c>
      <c r="BQ100" s="667"/>
      <c r="BR100" s="670">
        <f>IF(AW101=0,0,             IF(ISNUMBER(BQ100),BQ100,             IF(ISTEXT(BQ100),INDEX(BH100:BO100,MATCH(BQ100,$BH$17:$BO$17,0)),           IF(BP100="INT",_xll.qInterp(AW101,AZ100:BG100,BH100:BO100),       INDEX(BH100:BO100,MATCH(BP100,$BH$17:$BO$17,0))))))</f>
        <v>0</v>
      </c>
      <c r="BS100" s="731">
        <f t="shared" si="20"/>
        <v>0</v>
      </c>
      <c r="BT100" s="406">
        <f t="shared" si="21"/>
        <v>0</v>
      </c>
      <c r="BU100" s="284">
        <f>IF($AW101,_xll.qDateYears($AW100,$AW101,DCC_Leg2_Fixed),0)</f>
        <v>0</v>
      </c>
      <c r="BV100" s="284">
        <f>IF($AW101,_xll.qDateYears($AW100,$AW101,DCC_Leg2_Float),0)</f>
        <v>0</v>
      </c>
      <c r="BX100" s="350">
        <f t="shared" si="27"/>
        <v>0</v>
      </c>
      <c r="BY100" s="375">
        <f>IF(GenType_2a="Fixed",GenRate_2a%*$BT99*BU99,          IF(GenType_2a="Float",$BT99*(_xll.qGetFwdRate($J$18,$AW99,$AW100,"T",DCC_Leg2_Float)%+GenRate_2a%%)*$BV99,        IF(GenType_2a="bp (Fixed)",GenRate_2a%%*$BU99*$BT99,   IF(GenType_2a="bp (Float)",GenRate_2a%%*$BT99*$BV99,0))))</f>
        <v>0</v>
      </c>
      <c r="BZ100" s="561"/>
      <c r="CB100" s="341">
        <f t="shared" si="15"/>
        <v>0</v>
      </c>
      <c r="CC100" s="563"/>
      <c r="CD100" s="356"/>
      <c r="CE100" s="341">
        <v>0</v>
      </c>
      <c r="CF100" s="563"/>
      <c r="CG100" s="356"/>
    </row>
    <row r="101" spans="15:85">
      <c r="O101" s="122">
        <v>0</v>
      </c>
      <c r="P101" s="128">
        <f t="shared" si="16"/>
        <v>0</v>
      </c>
      <c r="Q101" s="126">
        <v>0</v>
      </c>
      <c r="R101" s="699">
        <f>IF($O102=0,0,        _xll.qDateNext($O101,R$17,"M",TRUE,Currency1))</f>
        <v>0</v>
      </c>
      <c r="S101" s="699">
        <f>IF($O102=0,0,        _xll.qDateNext($O101,S$17,"M",TRUE,Currency1))</f>
        <v>0</v>
      </c>
      <c r="T101" s="699">
        <f>IF($O102=0,0,        _xll.qDateNext($O101,T$17,"M",TRUE,Currency1))</f>
        <v>0</v>
      </c>
      <c r="U101" s="699">
        <f>IF($O102=0,0,        _xll.qDateNext($O101,U$17,"M",TRUE,Currency1))</f>
        <v>0</v>
      </c>
      <c r="V101" s="699">
        <f>IF($O102=0,0,        _xll.qDateNext($O101,V$17,"M",TRUE,Currency1))</f>
        <v>0</v>
      </c>
      <c r="W101" s="699">
        <f>IF($O102=0,0,        _xll.qDateNext($O101,W$17,"M",TRUE,Currency1))</f>
        <v>0</v>
      </c>
      <c r="X101" s="699">
        <f>IF($O102=0,0,        _xll.qDateNext($O101,X$17,"M",TRUE,Currency1))</f>
        <v>0</v>
      </c>
      <c r="Y101" s="699">
        <f>IF($O102=0,0,        _xll.qDateNext($O101,Y$17,"M",TRUE,Currency1))</f>
        <v>0</v>
      </c>
      <c r="Z101" s="703">
        <f>IF($O102=0,0,           IF(FRM,_xll.qGetFwdRate(Z$14,$O101,R101,"T",DCC_Leg1_Float),_xll.qGetFwdRate(Z$14,$O101,$O102,"T",DCC_Leg1_Float)))</f>
        <v>0</v>
      </c>
      <c r="AA101" s="703">
        <f>IF($O102=0,0,           IF(FRM,_xll.qGetFwdRate(AA$14,$O101,S101,"T",DCC_Leg1_Float),_xll.qGetFwdRate(AA$14,$O101,$O102,"T",DCC_Leg1_Float)))</f>
        <v>0</v>
      </c>
      <c r="AB101" s="703">
        <f t="shared" si="17"/>
        <v>0</v>
      </c>
      <c r="AC101" s="703">
        <f>IF($O102=0,0,           IF(FRM,_xll.qGetFwdRate(AC$14,$O101,U101,"T",DCC_Leg1_Float),_xll.qGetFwdRate(AC$14,$O101,$O102,"T",DCC_Leg1_Float)))</f>
        <v>0</v>
      </c>
      <c r="AD101" s="703">
        <f t="shared" si="22"/>
        <v>0</v>
      </c>
      <c r="AE101" s="703">
        <f t="shared" si="23"/>
        <v>0</v>
      </c>
      <c r="AF101" s="703">
        <f>IF($O102=0,0,           IF(FRM,_xll.qGetFwdRate(AF$14,$O101,X101,"T",DCC_Leg1_Float),_xll.qGetFwdRate(AF$14,$O101,$O102,"T",DCC_Leg1_Float)))</f>
        <v>0</v>
      </c>
      <c r="AG101" s="703">
        <f>IF($O102=0,0,           IF(FRM,_xll.qGetFwdRate(AG$14,$O101,Y101,"T",DCC_Leg1_Float),_xll.qGetFwdRate(AG$14,$O101,$O102,"T",DCC_Leg1_Float)))</f>
        <v>0</v>
      </c>
      <c r="AH101" s="685">
        <v>0</v>
      </c>
      <c r="AI101" s="667"/>
      <c r="AJ101" s="670">
        <f>IF(O102=0,0,             IF(ISNUMBER(AI101),AI101,             IF(ISTEXT(AI101),INDEX(Z101:AG101,MATCH(AI101,$Z$17:$AG$17,0)),           IF(AH101="INT",_xll.qInterp(O102,R101:Y101,Z101:AG101),       INDEX(Z101:AG101,MATCH(AH101,$Z$17:$AG$17,0))))))</f>
        <v>0</v>
      </c>
      <c r="AK101" s="732">
        <v>100</v>
      </c>
      <c r="AL101" s="721">
        <f t="shared" si="18"/>
        <v>0</v>
      </c>
      <c r="AM101" s="284">
        <f>IF($O102,_xll.qDateYears($O101,$O102,DCC_Leg1_Fixed),0)</f>
        <v>0</v>
      </c>
      <c r="AN101" s="284">
        <f>IF($O102,_xll.qDateYears($O101,$O102,DCC_Leg1_Float),0)</f>
        <v>0</v>
      </c>
      <c r="AP101" s="350">
        <f t="shared" si="24"/>
        <v>0</v>
      </c>
      <c r="AQ101" s="375">
        <f>IF(GenType_1a="Fixed",GenRate_1a%*$AL100*AM100,          IF(GenType_1a="Float",$AL100*(_xll.qGetFwdRate($D$18,$O100,$O101,"T",DCC_Leg1_Float)%+GenRate_1a%%)*$AN100,        IF(GenType_1a="bp (Fixed)",GenRate_1a%%*$AM100*$AL100,   IF(GenType_1a="bp (Float)",GenRate_1a%%*$AL100*$AN100,0))))</f>
        <v>0</v>
      </c>
      <c r="AR101" s="561"/>
      <c r="AT101" s="341">
        <f t="shared" si="14"/>
        <v>0</v>
      </c>
      <c r="AV101" s="356"/>
      <c r="AW101" s="122">
        <v>0</v>
      </c>
      <c r="AX101" s="128">
        <f t="shared" si="19"/>
        <v>0</v>
      </c>
      <c r="AY101" s="357">
        <v>0</v>
      </c>
      <c r="AZ101" s="699">
        <f>IF($AW102=0,0,        _xll.qDateNext($AW101,AZ$17,"M",TRUE,Currency2))</f>
        <v>0</v>
      </c>
      <c r="BA101" s="699">
        <f>IF($AW102=0,0,        _xll.qDateNext($AW101,BA$17,"M",TRUE,Currency2))</f>
        <v>0</v>
      </c>
      <c r="BB101" s="699">
        <f>IF($AW102=0,0,        _xll.qDateNext($AW101,BB$17,"M",TRUE,Currency2))</f>
        <v>0</v>
      </c>
      <c r="BC101" s="699">
        <f>IF($AW102=0,0,        _xll.qDateNext($AW101,BC$17,"M",TRUE,Currency2))</f>
        <v>0</v>
      </c>
      <c r="BD101" s="699">
        <f>IF($AW102=0,0,        _xll.qDateNext($AW101,BD$17,"M",TRUE,Currency2))</f>
        <v>0</v>
      </c>
      <c r="BE101" s="699">
        <f>IF($AW102=0,0,        _xll.qDateNext($AW101,BE$17,"M",TRUE,Currency2))</f>
        <v>0</v>
      </c>
      <c r="BF101" s="699">
        <f>IF($AW102=0,0,        _xll.qDateNext($AW101,BF$17,"M",TRUE,Currency2))</f>
        <v>0</v>
      </c>
      <c r="BG101" s="699">
        <f>IF($AW102=0,0,        _xll.qDateNext($AW101,BG$17,"M",TRUE,Currency2))</f>
        <v>0</v>
      </c>
      <c r="BH101" s="703">
        <v>0</v>
      </c>
      <c r="BI101" s="703">
        <v>0</v>
      </c>
      <c r="BJ101" s="703">
        <v>0</v>
      </c>
      <c r="BK101" s="703">
        <v>0</v>
      </c>
      <c r="BL101" s="703">
        <f t="shared" si="25"/>
        <v>0</v>
      </c>
      <c r="BM101" s="703">
        <f t="shared" si="26"/>
        <v>0</v>
      </c>
      <c r="BN101" s="703">
        <v>0</v>
      </c>
      <c r="BO101" s="703">
        <v>0</v>
      </c>
      <c r="BP101" s="685">
        <v>0</v>
      </c>
      <c r="BQ101" s="667"/>
      <c r="BR101" s="670">
        <f>IF(AW102=0,0,             IF(ISNUMBER(BQ101),BQ101,             IF(ISTEXT(BQ101),INDEX(BH101:BO101,MATCH(BQ101,$BH$17:$BO$17,0)),           IF(BP101="INT",_xll.qInterp(AW102,AZ101:BG101,BH101:BO101),       INDEX(BH101:BO101,MATCH(BP101,$BH$17:$BO$17,0))))))</f>
        <v>0</v>
      </c>
      <c r="BS101" s="731">
        <f t="shared" si="20"/>
        <v>0</v>
      </c>
      <c r="BT101" s="406">
        <f t="shared" si="21"/>
        <v>0</v>
      </c>
      <c r="BU101" s="284">
        <f>IF($AW102,_xll.qDateYears($AW101,$AW102,DCC_Leg2_Fixed),0)</f>
        <v>0</v>
      </c>
      <c r="BV101" s="284">
        <f>IF($AW102,_xll.qDateYears($AW101,$AW102,DCC_Leg2_Float),0)</f>
        <v>0</v>
      </c>
      <c r="BX101" s="350">
        <f t="shared" si="27"/>
        <v>0</v>
      </c>
      <c r="BY101" s="375">
        <f>IF(GenType_2a="Fixed",GenRate_2a%*$BT100*BU100,          IF(GenType_2a="Float",$BT100*(_xll.qGetFwdRate($J$18,$AW100,$AW101,"T",DCC_Leg2_Float)%+GenRate_2a%%)*$BV100,        IF(GenType_2a="bp (Fixed)",GenRate_2a%%*$BU100*$BT100,   IF(GenType_2a="bp (Float)",GenRate_2a%%*$BT100*$BV100,0))))</f>
        <v>0</v>
      </c>
      <c r="BZ101" s="561"/>
      <c r="CB101" s="341">
        <f t="shared" si="15"/>
        <v>0</v>
      </c>
      <c r="CC101" s="563"/>
      <c r="CD101" s="356"/>
      <c r="CE101" s="341">
        <v>0</v>
      </c>
      <c r="CF101" s="563"/>
      <c r="CG101" s="356"/>
    </row>
    <row r="102" spans="15:85">
      <c r="O102" s="122">
        <v>0</v>
      </c>
      <c r="P102" s="128">
        <f t="shared" si="16"/>
        <v>0</v>
      </c>
      <c r="Q102" s="126">
        <v>0</v>
      </c>
      <c r="R102" s="699">
        <f>IF($O103=0,0,        _xll.qDateNext($O102,R$17,"M",TRUE,Currency1))</f>
        <v>0</v>
      </c>
      <c r="S102" s="699">
        <f>IF($O103=0,0,        _xll.qDateNext($O102,S$17,"M",TRUE,Currency1))</f>
        <v>0</v>
      </c>
      <c r="T102" s="699">
        <f>IF($O103=0,0,        _xll.qDateNext($O102,T$17,"M",TRUE,Currency1))</f>
        <v>0</v>
      </c>
      <c r="U102" s="699">
        <f>IF($O103=0,0,        _xll.qDateNext($O102,U$17,"M",TRUE,Currency1))</f>
        <v>0</v>
      </c>
      <c r="V102" s="699">
        <f>IF($O103=0,0,        _xll.qDateNext($O102,V$17,"M",TRUE,Currency1))</f>
        <v>0</v>
      </c>
      <c r="W102" s="699">
        <f>IF($O103=0,0,        _xll.qDateNext($O102,W$17,"M",TRUE,Currency1))</f>
        <v>0</v>
      </c>
      <c r="X102" s="699">
        <f>IF($O103=0,0,        _xll.qDateNext($O102,X$17,"M",TRUE,Currency1))</f>
        <v>0</v>
      </c>
      <c r="Y102" s="699">
        <f>IF($O103=0,0,        _xll.qDateNext($O102,Y$17,"M",TRUE,Currency1))</f>
        <v>0</v>
      </c>
      <c r="Z102" s="703">
        <f>IF($O103=0,0,           IF(FRM,_xll.qGetFwdRate(Z$14,$O102,R102,"T",DCC_Leg1_Float),_xll.qGetFwdRate(Z$14,$O102,$O103,"T",DCC_Leg1_Float)))</f>
        <v>0</v>
      </c>
      <c r="AA102" s="703">
        <f>IF($O103=0,0,           IF(FRM,_xll.qGetFwdRate(AA$14,$O102,S102,"T",DCC_Leg1_Float),_xll.qGetFwdRate(AA$14,$O102,$O103,"T",DCC_Leg1_Float)))</f>
        <v>0</v>
      </c>
      <c r="AB102" s="703">
        <f t="shared" si="17"/>
        <v>0</v>
      </c>
      <c r="AC102" s="703">
        <f>IF($O103=0,0,           IF(FRM,_xll.qGetFwdRate(AC$14,$O102,U102,"T",DCC_Leg1_Float),_xll.qGetFwdRate(AC$14,$O102,$O103,"T",DCC_Leg1_Float)))</f>
        <v>0</v>
      </c>
      <c r="AD102" s="703">
        <f t="shared" si="22"/>
        <v>0</v>
      </c>
      <c r="AE102" s="703">
        <f t="shared" si="23"/>
        <v>0</v>
      </c>
      <c r="AF102" s="703">
        <f>IF($O103=0,0,           IF(FRM,_xll.qGetFwdRate(AF$14,$O102,X102,"T",DCC_Leg1_Float),_xll.qGetFwdRate(AF$14,$O102,$O103,"T",DCC_Leg1_Float)))</f>
        <v>0</v>
      </c>
      <c r="AG102" s="703">
        <f>IF($O103=0,0,           IF(FRM,_xll.qGetFwdRate(AG$14,$O102,Y102,"T",DCC_Leg1_Float),_xll.qGetFwdRate(AG$14,$O102,$O103,"T",DCC_Leg1_Float)))</f>
        <v>0</v>
      </c>
      <c r="AH102" s="685">
        <v>0</v>
      </c>
      <c r="AI102" s="667"/>
      <c r="AJ102" s="670">
        <f>IF(O103=0,0,             IF(ISNUMBER(AI102),AI102,             IF(ISTEXT(AI102),INDEX(Z102:AG102,MATCH(AI102,$Z$17:$AG$17,0)),           IF(AH102="INT",_xll.qInterp(O103,R102:Y102,Z102:AG102),       INDEX(Z102:AG102,MATCH(AH102,$Z$17:$AG$17,0))))))</f>
        <v>0</v>
      </c>
      <c r="AK102" s="732">
        <v>100</v>
      </c>
      <c r="AL102" s="721">
        <f t="shared" si="18"/>
        <v>0</v>
      </c>
      <c r="AM102" s="284">
        <f>IF($O103,_xll.qDateYears($O102,$O103,DCC_Leg1_Fixed),0)</f>
        <v>0</v>
      </c>
      <c r="AN102" s="284">
        <f>IF($O103,_xll.qDateYears($O102,$O103,DCC_Leg1_Float),0)</f>
        <v>0</v>
      </c>
      <c r="AP102" s="350">
        <f t="shared" si="24"/>
        <v>0</v>
      </c>
      <c r="AQ102" s="375">
        <f>IF(GenType_1a="Fixed",GenRate_1a%*$AL101*AM101,          IF(GenType_1a="Float",$AL101*(_xll.qGetFwdRate($D$18,$O101,$O102,"T",DCC_Leg1_Float)%+GenRate_1a%%)*$AN101,        IF(GenType_1a="bp (Fixed)",GenRate_1a%%*$AM101*$AL101,   IF(GenType_1a="bp (Float)",GenRate_1a%%*$AL101*$AN101,0))))</f>
        <v>0</v>
      </c>
      <c r="AR102" s="561"/>
      <c r="AT102" s="341">
        <f t="shared" si="14"/>
        <v>0</v>
      </c>
      <c r="AV102" s="356"/>
      <c r="AW102" s="122">
        <v>0</v>
      </c>
      <c r="AX102" s="128">
        <f t="shared" si="19"/>
        <v>0</v>
      </c>
      <c r="AY102" s="357">
        <v>0</v>
      </c>
      <c r="AZ102" s="699">
        <f>IF($AW103=0,0,        _xll.qDateNext($AW102,AZ$17,"M",TRUE,Currency2))</f>
        <v>0</v>
      </c>
      <c r="BA102" s="699">
        <f>IF($AW103=0,0,        _xll.qDateNext($AW102,BA$17,"M",TRUE,Currency2))</f>
        <v>0</v>
      </c>
      <c r="BB102" s="699">
        <f>IF($AW103=0,0,        _xll.qDateNext($AW102,BB$17,"M",TRUE,Currency2))</f>
        <v>0</v>
      </c>
      <c r="BC102" s="699">
        <f>IF($AW103=0,0,        _xll.qDateNext($AW102,BC$17,"M",TRUE,Currency2))</f>
        <v>0</v>
      </c>
      <c r="BD102" s="699">
        <f>IF($AW103=0,0,        _xll.qDateNext($AW102,BD$17,"M",TRUE,Currency2))</f>
        <v>0</v>
      </c>
      <c r="BE102" s="699">
        <f>IF($AW103=0,0,        _xll.qDateNext($AW102,BE$17,"M",TRUE,Currency2))</f>
        <v>0</v>
      </c>
      <c r="BF102" s="699">
        <f>IF($AW103=0,0,        _xll.qDateNext($AW102,BF$17,"M",TRUE,Currency2))</f>
        <v>0</v>
      </c>
      <c r="BG102" s="699">
        <f>IF($AW103=0,0,        _xll.qDateNext($AW102,BG$17,"M",TRUE,Currency2))</f>
        <v>0</v>
      </c>
      <c r="BH102" s="703">
        <v>0</v>
      </c>
      <c r="BI102" s="703">
        <v>0</v>
      </c>
      <c r="BJ102" s="703">
        <v>0</v>
      </c>
      <c r="BK102" s="703">
        <v>0</v>
      </c>
      <c r="BL102" s="703">
        <f t="shared" si="25"/>
        <v>0</v>
      </c>
      <c r="BM102" s="703">
        <f t="shared" si="26"/>
        <v>0</v>
      </c>
      <c r="BN102" s="703">
        <v>0</v>
      </c>
      <c r="BO102" s="703">
        <v>0</v>
      </c>
      <c r="BP102" s="685">
        <v>0</v>
      </c>
      <c r="BQ102" s="667"/>
      <c r="BR102" s="670">
        <f>IF(AW103=0,0,             IF(ISNUMBER(BQ102),BQ102,             IF(ISTEXT(BQ102),INDEX(BH102:BO102,MATCH(BQ102,$BH$17:$BO$17,0)),           IF(BP102="INT",_xll.qInterp(AW103,AZ102:BG102,BH102:BO102),       INDEX(BH102:BO102,MATCH(BP102,$BH$17:$BO$17,0))))))</f>
        <v>0</v>
      </c>
      <c r="BS102" s="731">
        <f t="shared" si="20"/>
        <v>0</v>
      </c>
      <c r="BT102" s="406">
        <f t="shared" si="21"/>
        <v>0</v>
      </c>
      <c r="BU102" s="284">
        <f>IF($AW103,_xll.qDateYears($AW102,$AW103,DCC_Leg2_Fixed),0)</f>
        <v>0</v>
      </c>
      <c r="BV102" s="284">
        <f>IF($AW103,_xll.qDateYears($AW102,$AW103,DCC_Leg2_Float),0)</f>
        <v>0</v>
      </c>
      <c r="BX102" s="350">
        <f t="shared" si="27"/>
        <v>0</v>
      </c>
      <c r="BY102" s="375">
        <f>IF(GenType_2a="Fixed",GenRate_2a%*$BT101*BU101,          IF(GenType_2a="Float",$BT101*(_xll.qGetFwdRate($J$18,$AW101,$AW102,"T",DCC_Leg2_Float)%+GenRate_2a%%)*$BV101,        IF(GenType_2a="bp (Fixed)",GenRate_2a%%*$BU101*$BT101,   IF(GenType_2a="bp (Float)",GenRate_2a%%*$BT101*$BV101,0))))</f>
        <v>0</v>
      </c>
      <c r="BZ102" s="561"/>
      <c r="CB102" s="341">
        <f t="shared" si="15"/>
        <v>0</v>
      </c>
      <c r="CC102" s="563"/>
      <c r="CD102" s="356"/>
      <c r="CE102" s="341">
        <v>0</v>
      </c>
      <c r="CF102" s="563"/>
      <c r="CG102" s="356"/>
    </row>
    <row r="103" spans="15:85">
      <c r="O103" s="122">
        <v>0</v>
      </c>
      <c r="P103" s="128">
        <f t="shared" si="16"/>
        <v>0</v>
      </c>
      <c r="Q103" s="126">
        <v>0</v>
      </c>
      <c r="R103" s="699">
        <f>IF($O104=0,0,        _xll.qDateNext($O103,R$17,"M",TRUE,Currency1))</f>
        <v>0</v>
      </c>
      <c r="S103" s="699">
        <f>IF($O104=0,0,        _xll.qDateNext($O103,S$17,"M",TRUE,Currency1))</f>
        <v>0</v>
      </c>
      <c r="T103" s="699">
        <f>IF($O104=0,0,        _xll.qDateNext($O103,T$17,"M",TRUE,Currency1))</f>
        <v>0</v>
      </c>
      <c r="U103" s="699">
        <f>IF($O104=0,0,        _xll.qDateNext($O103,U$17,"M",TRUE,Currency1))</f>
        <v>0</v>
      </c>
      <c r="V103" s="699">
        <f>IF($O104=0,0,        _xll.qDateNext($O103,V$17,"M",TRUE,Currency1))</f>
        <v>0</v>
      </c>
      <c r="W103" s="699">
        <f>IF($O104=0,0,        _xll.qDateNext($O103,W$17,"M",TRUE,Currency1))</f>
        <v>0</v>
      </c>
      <c r="X103" s="699">
        <f>IF($O104=0,0,        _xll.qDateNext($O103,X$17,"M",TRUE,Currency1))</f>
        <v>0</v>
      </c>
      <c r="Y103" s="699">
        <f>IF($O104=0,0,        _xll.qDateNext($O103,Y$17,"M",TRUE,Currency1))</f>
        <v>0</v>
      </c>
      <c r="Z103" s="703">
        <f>IF($O104=0,0,           IF(FRM,_xll.qGetFwdRate(Z$14,$O103,R103,"T",DCC_Leg1_Float),_xll.qGetFwdRate(Z$14,$O103,$O104,"T",DCC_Leg1_Float)))</f>
        <v>0</v>
      </c>
      <c r="AA103" s="703">
        <f>IF($O104=0,0,           IF(FRM,_xll.qGetFwdRate(AA$14,$O103,S103,"T",DCC_Leg1_Float),_xll.qGetFwdRate(AA$14,$O103,$O104,"T",DCC_Leg1_Float)))</f>
        <v>0</v>
      </c>
      <c r="AB103" s="703">
        <f t="shared" si="17"/>
        <v>0</v>
      </c>
      <c r="AC103" s="703">
        <f>IF($O104=0,0,           IF(FRM,_xll.qGetFwdRate(AC$14,$O103,U103,"T",DCC_Leg1_Float),_xll.qGetFwdRate(AC$14,$O103,$O104,"T",DCC_Leg1_Float)))</f>
        <v>0</v>
      </c>
      <c r="AD103" s="703">
        <f t="shared" si="22"/>
        <v>0</v>
      </c>
      <c r="AE103" s="703">
        <f t="shared" si="23"/>
        <v>0</v>
      </c>
      <c r="AF103" s="703">
        <f>IF($O104=0,0,           IF(FRM,_xll.qGetFwdRate(AF$14,$O103,X103,"T",DCC_Leg1_Float),_xll.qGetFwdRate(AF$14,$O103,$O104,"T",DCC_Leg1_Float)))</f>
        <v>0</v>
      </c>
      <c r="AG103" s="703">
        <f>IF($O104=0,0,           IF(FRM,_xll.qGetFwdRate(AG$14,$O103,Y103,"T",DCC_Leg1_Float),_xll.qGetFwdRate(AG$14,$O103,$O104,"T",DCC_Leg1_Float)))</f>
        <v>0</v>
      </c>
      <c r="AH103" s="685">
        <v>0</v>
      </c>
      <c r="AI103" s="667"/>
      <c r="AJ103" s="670">
        <f>IF(O104=0,0,             IF(ISNUMBER(AI103),AI103,             IF(ISTEXT(AI103),INDEX(Z103:AG103,MATCH(AI103,$Z$17:$AG$17,0)),           IF(AH103="INT",_xll.qInterp(O104,R103:Y103,Z103:AG103),       INDEX(Z103:AG103,MATCH(AH103,$Z$17:$AG$17,0))))))</f>
        <v>0</v>
      </c>
      <c r="AK103" s="732">
        <v>100</v>
      </c>
      <c r="AL103" s="721">
        <f t="shared" si="18"/>
        <v>0</v>
      </c>
      <c r="AM103" s="284">
        <f>IF($O104,_xll.qDateYears($O103,$O104,DCC_Leg1_Fixed),0)</f>
        <v>0</v>
      </c>
      <c r="AN103" s="284">
        <f>IF($O104,_xll.qDateYears($O103,$O104,DCC_Leg1_Float),0)</f>
        <v>0</v>
      </c>
      <c r="AP103" s="350">
        <f t="shared" si="24"/>
        <v>0</v>
      </c>
      <c r="AQ103" s="375">
        <f>IF(GenType_1a="Fixed",GenRate_1a%*$AL102*AM102,          IF(GenType_1a="Float",$AL102*(_xll.qGetFwdRate($D$18,$O102,$O103,"T",DCC_Leg1_Float)%+GenRate_1a%%)*$AN102,        IF(GenType_1a="bp (Fixed)",GenRate_1a%%*$AM102*$AL102,   IF(GenType_1a="bp (Float)",GenRate_1a%%*$AL102*$AN102,0))))</f>
        <v>0</v>
      </c>
      <c r="AR103" s="561"/>
      <c r="AT103" s="341">
        <f t="shared" si="14"/>
        <v>0</v>
      </c>
      <c r="AV103" s="356"/>
      <c r="AW103" s="122">
        <v>0</v>
      </c>
      <c r="AX103" s="128">
        <f t="shared" si="19"/>
        <v>0</v>
      </c>
      <c r="AY103" s="357">
        <v>0</v>
      </c>
      <c r="AZ103" s="699">
        <f>IF($AW104=0,0,        _xll.qDateNext($AW103,AZ$17,"M",TRUE,Currency2))</f>
        <v>0</v>
      </c>
      <c r="BA103" s="699">
        <f>IF($AW104=0,0,        _xll.qDateNext($AW103,BA$17,"M",TRUE,Currency2))</f>
        <v>0</v>
      </c>
      <c r="BB103" s="699">
        <f>IF($AW104=0,0,        _xll.qDateNext($AW103,BB$17,"M",TRUE,Currency2))</f>
        <v>0</v>
      </c>
      <c r="BC103" s="699">
        <f>IF($AW104=0,0,        _xll.qDateNext($AW103,BC$17,"M",TRUE,Currency2))</f>
        <v>0</v>
      </c>
      <c r="BD103" s="699">
        <f>IF($AW104=0,0,        _xll.qDateNext($AW103,BD$17,"M",TRUE,Currency2))</f>
        <v>0</v>
      </c>
      <c r="BE103" s="699">
        <f>IF($AW104=0,0,        _xll.qDateNext($AW103,BE$17,"M",TRUE,Currency2))</f>
        <v>0</v>
      </c>
      <c r="BF103" s="699">
        <f>IF($AW104=0,0,        _xll.qDateNext($AW103,BF$17,"M",TRUE,Currency2))</f>
        <v>0</v>
      </c>
      <c r="BG103" s="699">
        <f>IF($AW104=0,0,        _xll.qDateNext($AW103,BG$17,"M",TRUE,Currency2))</f>
        <v>0</v>
      </c>
      <c r="BH103" s="703">
        <v>0</v>
      </c>
      <c r="BI103" s="703">
        <v>0</v>
      </c>
      <c r="BJ103" s="703">
        <v>0</v>
      </c>
      <c r="BK103" s="703">
        <v>0</v>
      </c>
      <c r="BL103" s="703">
        <f t="shared" si="25"/>
        <v>0</v>
      </c>
      <c r="BM103" s="703">
        <f t="shared" si="26"/>
        <v>0</v>
      </c>
      <c r="BN103" s="703">
        <v>0</v>
      </c>
      <c r="BO103" s="703">
        <v>0</v>
      </c>
      <c r="BP103" s="685">
        <v>0</v>
      </c>
      <c r="BQ103" s="667"/>
      <c r="BR103" s="670">
        <f>IF(AW104=0,0,             IF(ISNUMBER(BQ103),BQ103,             IF(ISTEXT(BQ103),INDEX(BH103:BO103,MATCH(BQ103,$BH$17:$BO$17,0)),           IF(BP103="INT",_xll.qInterp(AW104,AZ103:BG103,BH103:BO103),       INDEX(BH103:BO103,MATCH(BP103,$BH$17:$BO$17,0))))))</f>
        <v>0</v>
      </c>
      <c r="BS103" s="731">
        <f t="shared" si="20"/>
        <v>0</v>
      </c>
      <c r="BT103" s="406">
        <f t="shared" si="21"/>
        <v>0</v>
      </c>
      <c r="BU103" s="284">
        <f>IF($AW104,_xll.qDateYears($AW103,$AW104,DCC_Leg2_Fixed),0)</f>
        <v>0</v>
      </c>
      <c r="BV103" s="284">
        <f>IF($AW104,_xll.qDateYears($AW103,$AW104,DCC_Leg2_Float),0)</f>
        <v>0</v>
      </c>
      <c r="BX103" s="350">
        <f t="shared" si="27"/>
        <v>0</v>
      </c>
      <c r="BY103" s="375">
        <f>IF(GenType_2a="Fixed",GenRate_2a%*$BT102*BU102,          IF(GenType_2a="Float",$BT102*(_xll.qGetFwdRate($J$18,$AW102,$AW103,"T",DCC_Leg2_Float)%+GenRate_2a%%)*$BV102,        IF(GenType_2a="bp (Fixed)",GenRate_2a%%*$BU102*$BT102,   IF(GenType_2a="bp (Float)",GenRate_2a%%*$BT102*$BV102,0))))</f>
        <v>0</v>
      </c>
      <c r="BZ103" s="561"/>
      <c r="CB103" s="341">
        <f t="shared" si="15"/>
        <v>0</v>
      </c>
      <c r="CC103" s="563"/>
      <c r="CD103" s="356"/>
      <c r="CE103" s="341">
        <v>0</v>
      </c>
      <c r="CF103" s="563"/>
      <c r="CG103" s="356"/>
    </row>
    <row r="104" spans="15:85">
      <c r="O104" s="122">
        <v>0</v>
      </c>
      <c r="P104" s="128">
        <f t="shared" si="16"/>
        <v>0</v>
      </c>
      <c r="Q104" s="126">
        <v>0</v>
      </c>
      <c r="R104" s="699">
        <f>IF($O105=0,0,        _xll.qDateNext($O104,R$17,"M",TRUE,Currency1))</f>
        <v>0</v>
      </c>
      <c r="S104" s="699">
        <f>IF($O105=0,0,        _xll.qDateNext($O104,S$17,"M",TRUE,Currency1))</f>
        <v>0</v>
      </c>
      <c r="T104" s="699">
        <f>IF($O105=0,0,        _xll.qDateNext($O104,T$17,"M",TRUE,Currency1))</f>
        <v>0</v>
      </c>
      <c r="U104" s="699">
        <f>IF($O105=0,0,        _xll.qDateNext($O104,U$17,"M",TRUE,Currency1))</f>
        <v>0</v>
      </c>
      <c r="V104" s="699">
        <f>IF($O105=0,0,        _xll.qDateNext($O104,V$17,"M",TRUE,Currency1))</f>
        <v>0</v>
      </c>
      <c r="W104" s="699">
        <f>IF($O105=0,0,        _xll.qDateNext($O104,W$17,"M",TRUE,Currency1))</f>
        <v>0</v>
      </c>
      <c r="X104" s="699">
        <f>IF($O105=0,0,        _xll.qDateNext($O104,X$17,"M",TRUE,Currency1))</f>
        <v>0</v>
      </c>
      <c r="Y104" s="699">
        <f>IF($O105=0,0,        _xll.qDateNext($O104,Y$17,"M",TRUE,Currency1))</f>
        <v>0</v>
      </c>
      <c r="Z104" s="703">
        <f>IF($O105=0,0,           IF(FRM,_xll.qGetFwdRate(Z$14,$O104,R104,"T",DCC_Leg1_Float),_xll.qGetFwdRate(Z$14,$O104,$O105,"T",DCC_Leg1_Float)))</f>
        <v>0</v>
      </c>
      <c r="AA104" s="703">
        <f>IF($O105=0,0,           IF(FRM,_xll.qGetFwdRate(AA$14,$O104,S104,"T",DCC_Leg1_Float),_xll.qGetFwdRate(AA$14,$O104,$O105,"T",DCC_Leg1_Float)))</f>
        <v>0</v>
      </c>
      <c r="AB104" s="703">
        <f t="shared" si="17"/>
        <v>0</v>
      </c>
      <c r="AC104" s="703">
        <f>IF($O105=0,0,           IF(FRM,_xll.qGetFwdRate(AC$14,$O104,U104,"T",DCC_Leg1_Float),_xll.qGetFwdRate(AC$14,$O104,$O105,"T",DCC_Leg1_Float)))</f>
        <v>0</v>
      </c>
      <c r="AD104" s="703">
        <f t="shared" si="22"/>
        <v>0</v>
      </c>
      <c r="AE104" s="703">
        <f t="shared" si="23"/>
        <v>0</v>
      </c>
      <c r="AF104" s="703">
        <f>IF($O105=0,0,           IF(FRM,_xll.qGetFwdRate(AF$14,$O104,X104,"T",DCC_Leg1_Float),_xll.qGetFwdRate(AF$14,$O104,$O105,"T",DCC_Leg1_Float)))</f>
        <v>0</v>
      </c>
      <c r="AG104" s="703">
        <f>IF($O105=0,0,           IF(FRM,_xll.qGetFwdRate(AG$14,$O104,Y104,"T",DCC_Leg1_Float),_xll.qGetFwdRate(AG$14,$O104,$O105,"T",DCC_Leg1_Float)))</f>
        <v>0</v>
      </c>
      <c r="AH104" s="685">
        <v>0</v>
      </c>
      <c r="AI104" s="667"/>
      <c r="AJ104" s="670">
        <f>IF(O105=0,0,             IF(ISNUMBER(AI104),AI104,             IF(ISTEXT(AI104),INDEX(Z104:AG104,MATCH(AI104,$Z$17:$AG$17,0)),           IF(AH104="INT",_xll.qInterp(O105,R104:Y104,Z104:AG104),       INDEX(Z104:AG104,MATCH(AH104,$Z$17:$AG$17,0))))))</f>
        <v>0</v>
      </c>
      <c r="AK104" s="732">
        <v>100</v>
      </c>
      <c r="AL104" s="721">
        <f t="shared" si="18"/>
        <v>0</v>
      </c>
      <c r="AM104" s="284">
        <f>IF($O105,_xll.qDateYears($O104,$O105,DCC_Leg1_Fixed),0)</f>
        <v>0</v>
      </c>
      <c r="AN104" s="284">
        <f>IF($O105,_xll.qDateYears($O104,$O105,DCC_Leg1_Float),0)</f>
        <v>0</v>
      </c>
      <c r="AP104" s="350">
        <f t="shared" si="24"/>
        <v>0</v>
      </c>
      <c r="AQ104" s="375">
        <f>IF(GenType_1a="Fixed",GenRate_1a%*$AL103*AM103,          IF(GenType_1a="Float",$AL103*(_xll.qGetFwdRate($D$18,$O103,$O104,"T",DCC_Leg1_Float)%+GenRate_1a%%)*$AN103,        IF(GenType_1a="bp (Fixed)",GenRate_1a%%*$AM103*$AL103,   IF(GenType_1a="bp (Float)",GenRate_1a%%*$AL103*$AN103,0))))</f>
        <v>0</v>
      </c>
      <c r="AR104" s="561"/>
      <c r="AT104" s="341">
        <f t="shared" ref="AT104:AT167" si="28">SUM(AP104:AR104)</f>
        <v>0</v>
      </c>
      <c r="AV104" s="356"/>
      <c r="AW104" s="122">
        <v>0</v>
      </c>
      <c r="AX104" s="128">
        <f t="shared" si="19"/>
        <v>0</v>
      </c>
      <c r="AY104" s="357">
        <v>0</v>
      </c>
      <c r="AZ104" s="699">
        <f>IF($AW105=0,0,        _xll.qDateNext($AW104,AZ$17,"M",TRUE,Currency2))</f>
        <v>0</v>
      </c>
      <c r="BA104" s="699">
        <f>IF($AW105=0,0,        _xll.qDateNext($AW104,BA$17,"M",TRUE,Currency2))</f>
        <v>0</v>
      </c>
      <c r="BB104" s="699">
        <f>IF($AW105=0,0,        _xll.qDateNext($AW104,BB$17,"M",TRUE,Currency2))</f>
        <v>0</v>
      </c>
      <c r="BC104" s="699">
        <f>IF($AW105=0,0,        _xll.qDateNext($AW104,BC$17,"M",TRUE,Currency2))</f>
        <v>0</v>
      </c>
      <c r="BD104" s="699">
        <f>IF($AW105=0,0,        _xll.qDateNext($AW104,BD$17,"M",TRUE,Currency2))</f>
        <v>0</v>
      </c>
      <c r="BE104" s="699">
        <f>IF($AW105=0,0,        _xll.qDateNext($AW104,BE$17,"M",TRUE,Currency2))</f>
        <v>0</v>
      </c>
      <c r="BF104" s="699">
        <f>IF($AW105=0,0,        _xll.qDateNext($AW104,BF$17,"M",TRUE,Currency2))</f>
        <v>0</v>
      </c>
      <c r="BG104" s="699">
        <f>IF($AW105=0,0,        _xll.qDateNext($AW104,BG$17,"M",TRUE,Currency2))</f>
        <v>0</v>
      </c>
      <c r="BH104" s="703">
        <v>0</v>
      </c>
      <c r="BI104" s="703">
        <v>0</v>
      </c>
      <c r="BJ104" s="703">
        <v>0</v>
      </c>
      <c r="BK104" s="703">
        <v>0</v>
      </c>
      <c r="BL104" s="703">
        <f t="shared" si="25"/>
        <v>0</v>
      </c>
      <c r="BM104" s="703">
        <f t="shared" si="26"/>
        <v>0</v>
      </c>
      <c r="BN104" s="703">
        <v>0</v>
      </c>
      <c r="BO104" s="703">
        <v>0</v>
      </c>
      <c r="BP104" s="685">
        <v>0</v>
      </c>
      <c r="BQ104" s="667"/>
      <c r="BR104" s="670">
        <f>IF(AW105=0,0,             IF(ISNUMBER(BQ104),BQ104,             IF(ISTEXT(BQ104),INDEX(BH104:BO104,MATCH(BQ104,$BH$17:$BO$17,0)),           IF(BP104="INT",_xll.qInterp(AW105,AZ104:BG104,BH104:BO104),       INDEX(BH104:BO104,MATCH(BP104,$BH$17:$BO$17,0))))))</f>
        <v>0</v>
      </c>
      <c r="BS104" s="731">
        <f t="shared" si="20"/>
        <v>0</v>
      </c>
      <c r="BT104" s="406">
        <f t="shared" si="21"/>
        <v>0</v>
      </c>
      <c r="BU104" s="284">
        <f>IF($AW105,_xll.qDateYears($AW104,$AW105,DCC_Leg2_Fixed),0)</f>
        <v>0</v>
      </c>
      <c r="BV104" s="284">
        <f>IF($AW105,_xll.qDateYears($AW104,$AW105,DCC_Leg2_Float),0)</f>
        <v>0</v>
      </c>
      <c r="BX104" s="350">
        <f t="shared" si="27"/>
        <v>0</v>
      </c>
      <c r="BY104" s="375">
        <f>IF(GenType_2a="Fixed",GenRate_2a%*$BT103*BU103,          IF(GenType_2a="Float",$BT103*(_xll.qGetFwdRate($J$18,$AW103,$AW104,"T",DCC_Leg2_Float)%+GenRate_2a%%)*$BV103,        IF(GenType_2a="bp (Fixed)",GenRate_2a%%*$BU103*$BT103,   IF(GenType_2a="bp (Float)",GenRate_2a%%*$BT103*$BV103,0))))</f>
        <v>0</v>
      </c>
      <c r="BZ104" s="561"/>
      <c r="CB104" s="341">
        <f t="shared" si="15"/>
        <v>0</v>
      </c>
      <c r="CC104" s="563"/>
      <c r="CD104" s="356"/>
      <c r="CE104" s="341">
        <v>0</v>
      </c>
      <c r="CF104" s="563"/>
      <c r="CG104" s="356"/>
    </row>
    <row r="105" spans="15:85">
      <c r="O105" s="122">
        <v>0</v>
      </c>
      <c r="P105" s="128">
        <f t="shared" si="16"/>
        <v>0</v>
      </c>
      <c r="Q105" s="126">
        <v>0</v>
      </c>
      <c r="R105" s="699">
        <f>IF($O106=0,0,        _xll.qDateNext($O105,R$17,"M",TRUE,Currency1))</f>
        <v>0</v>
      </c>
      <c r="S105" s="699">
        <f>IF($O106=0,0,        _xll.qDateNext($O105,S$17,"M",TRUE,Currency1))</f>
        <v>0</v>
      </c>
      <c r="T105" s="699">
        <f>IF($O106=0,0,        _xll.qDateNext($O105,T$17,"M",TRUE,Currency1))</f>
        <v>0</v>
      </c>
      <c r="U105" s="699">
        <f>IF($O106=0,0,        _xll.qDateNext($O105,U$17,"M",TRUE,Currency1))</f>
        <v>0</v>
      </c>
      <c r="V105" s="699">
        <f>IF($O106=0,0,        _xll.qDateNext($O105,V$17,"M",TRUE,Currency1))</f>
        <v>0</v>
      </c>
      <c r="W105" s="699">
        <f>IF($O106=0,0,        _xll.qDateNext($O105,W$17,"M",TRUE,Currency1))</f>
        <v>0</v>
      </c>
      <c r="X105" s="699">
        <f>IF($O106=0,0,        _xll.qDateNext($O105,X$17,"M",TRUE,Currency1))</f>
        <v>0</v>
      </c>
      <c r="Y105" s="699">
        <f>IF($O106=0,0,        _xll.qDateNext($O105,Y$17,"M",TRUE,Currency1))</f>
        <v>0</v>
      </c>
      <c r="Z105" s="703">
        <f>IF($O106=0,0,           IF(FRM,_xll.qGetFwdRate(Z$14,$O105,R105,"T",DCC_Leg1_Float),_xll.qGetFwdRate(Z$14,$O105,$O106,"T",DCC_Leg1_Float)))</f>
        <v>0</v>
      </c>
      <c r="AA105" s="703">
        <f>IF($O106=0,0,           IF(FRM,_xll.qGetFwdRate(AA$14,$O105,S105,"T",DCC_Leg1_Float),_xll.qGetFwdRate(AA$14,$O105,$O106,"T",DCC_Leg1_Float)))</f>
        <v>0</v>
      </c>
      <c r="AB105" s="703">
        <f t="shared" si="17"/>
        <v>0</v>
      </c>
      <c r="AC105" s="703">
        <f>IF($O106=0,0,           IF(FRM,_xll.qGetFwdRate(AC$14,$O105,U105,"T",DCC_Leg1_Float),_xll.qGetFwdRate(AC$14,$O105,$O106,"T",DCC_Leg1_Float)))</f>
        <v>0</v>
      </c>
      <c r="AD105" s="703">
        <f t="shared" si="22"/>
        <v>0</v>
      </c>
      <c r="AE105" s="703">
        <f t="shared" si="23"/>
        <v>0</v>
      </c>
      <c r="AF105" s="703">
        <f>IF($O106=0,0,           IF(FRM,_xll.qGetFwdRate(AF$14,$O105,X105,"T",DCC_Leg1_Float),_xll.qGetFwdRate(AF$14,$O105,$O106,"T",DCC_Leg1_Float)))</f>
        <v>0</v>
      </c>
      <c r="AG105" s="703">
        <f>IF($O106=0,0,           IF(FRM,_xll.qGetFwdRate(AG$14,$O105,Y105,"T",DCC_Leg1_Float),_xll.qGetFwdRate(AG$14,$O105,$O106,"T",DCC_Leg1_Float)))</f>
        <v>0</v>
      </c>
      <c r="AH105" s="685">
        <v>0</v>
      </c>
      <c r="AI105" s="667"/>
      <c r="AJ105" s="670">
        <f>IF(O106=0,0,             IF(ISNUMBER(AI105),AI105,             IF(ISTEXT(AI105),INDEX(Z105:AG105,MATCH(AI105,$Z$17:$AG$17,0)),           IF(AH105="INT",_xll.qInterp(O106,R105:Y105,Z105:AG105),       INDEX(Z105:AG105,MATCH(AH105,$Z$17:$AG$17,0))))))</f>
        <v>0</v>
      </c>
      <c r="AK105" s="732">
        <v>100</v>
      </c>
      <c r="AL105" s="721">
        <f t="shared" si="18"/>
        <v>0</v>
      </c>
      <c r="AM105" s="284">
        <f>IF($O106,_xll.qDateYears($O105,$O106,DCC_Leg1_Fixed),0)</f>
        <v>0</v>
      </c>
      <c r="AN105" s="284">
        <f>IF($O106,_xll.qDateYears($O105,$O106,DCC_Leg1_Float),0)</f>
        <v>0</v>
      </c>
      <c r="AP105" s="350">
        <f t="shared" si="24"/>
        <v>0</v>
      </c>
      <c r="AQ105" s="375">
        <f>IF(GenType_1a="Fixed",GenRate_1a%*$AL104*AM104,          IF(GenType_1a="Float",$AL104*(_xll.qGetFwdRate($D$18,$O104,$O105,"T",DCC_Leg1_Float)%+GenRate_1a%%)*$AN104,        IF(GenType_1a="bp (Fixed)",GenRate_1a%%*$AM104*$AL104,   IF(GenType_1a="bp (Float)",GenRate_1a%%*$AL104*$AN104,0))))</f>
        <v>0</v>
      </c>
      <c r="AR105" s="561"/>
      <c r="AT105" s="341">
        <f t="shared" si="28"/>
        <v>0</v>
      </c>
      <c r="AV105" s="356"/>
      <c r="AW105" s="122">
        <v>0</v>
      </c>
      <c r="AX105" s="128">
        <f t="shared" si="19"/>
        <v>0</v>
      </c>
      <c r="AY105" s="357">
        <v>0</v>
      </c>
      <c r="AZ105" s="699">
        <f>IF($AW106=0,0,        _xll.qDateNext($AW105,AZ$17,"M",TRUE,Currency2))</f>
        <v>0</v>
      </c>
      <c r="BA105" s="699">
        <f>IF($AW106=0,0,        _xll.qDateNext($AW105,BA$17,"M",TRUE,Currency2))</f>
        <v>0</v>
      </c>
      <c r="BB105" s="699">
        <f>IF($AW106=0,0,        _xll.qDateNext($AW105,BB$17,"M",TRUE,Currency2))</f>
        <v>0</v>
      </c>
      <c r="BC105" s="699">
        <f>IF($AW106=0,0,        _xll.qDateNext($AW105,BC$17,"M",TRUE,Currency2))</f>
        <v>0</v>
      </c>
      <c r="BD105" s="699">
        <f>IF($AW106=0,0,        _xll.qDateNext($AW105,BD$17,"M",TRUE,Currency2))</f>
        <v>0</v>
      </c>
      <c r="BE105" s="699">
        <f>IF($AW106=0,0,        _xll.qDateNext($AW105,BE$17,"M",TRUE,Currency2))</f>
        <v>0</v>
      </c>
      <c r="BF105" s="699">
        <f>IF($AW106=0,0,        _xll.qDateNext($AW105,BF$17,"M",TRUE,Currency2))</f>
        <v>0</v>
      </c>
      <c r="BG105" s="699">
        <f>IF($AW106=0,0,        _xll.qDateNext($AW105,BG$17,"M",TRUE,Currency2))</f>
        <v>0</v>
      </c>
      <c r="BH105" s="703">
        <v>0</v>
      </c>
      <c r="BI105" s="703">
        <v>0</v>
      </c>
      <c r="BJ105" s="703">
        <v>0</v>
      </c>
      <c r="BK105" s="703">
        <v>0</v>
      </c>
      <c r="BL105" s="703">
        <f t="shared" si="25"/>
        <v>0</v>
      </c>
      <c r="BM105" s="703">
        <f t="shared" si="26"/>
        <v>0</v>
      </c>
      <c r="BN105" s="703">
        <v>0</v>
      </c>
      <c r="BO105" s="703">
        <v>0</v>
      </c>
      <c r="BP105" s="685">
        <v>0</v>
      </c>
      <c r="BQ105" s="667"/>
      <c r="BR105" s="670">
        <f>IF(AW106=0,0,             IF(ISNUMBER(BQ105),BQ105,             IF(ISTEXT(BQ105),INDEX(BH105:BO105,MATCH(BQ105,$BH$17:$BO$17,0)),           IF(BP105="INT",_xll.qInterp(AW106,AZ105:BG105,BH105:BO105),       INDEX(BH105:BO105,MATCH(BP105,$BH$17:$BO$17,0))))))</f>
        <v>0</v>
      </c>
      <c r="BS105" s="731">
        <f t="shared" si="20"/>
        <v>0</v>
      </c>
      <c r="BT105" s="406">
        <f t="shared" si="21"/>
        <v>0</v>
      </c>
      <c r="BU105" s="284">
        <f>IF($AW106,_xll.qDateYears($AW105,$AW106,DCC_Leg2_Fixed),0)</f>
        <v>0</v>
      </c>
      <c r="BV105" s="284">
        <f>IF($AW106,_xll.qDateYears($AW105,$AW106,DCC_Leg2_Float),0)</f>
        <v>0</v>
      </c>
      <c r="BX105" s="350">
        <f t="shared" si="27"/>
        <v>0</v>
      </c>
      <c r="BY105" s="375">
        <f>IF(GenType_2a="Fixed",GenRate_2a%*$BT104*BU104,          IF(GenType_2a="Float",$BT104*(_xll.qGetFwdRate($J$18,$AW104,$AW105,"T",DCC_Leg2_Float)%+GenRate_2a%%)*$BV104,        IF(GenType_2a="bp (Fixed)",GenRate_2a%%*$BU104*$BT104,   IF(GenType_2a="bp (Float)",GenRate_2a%%*$BT104*$BV104,0))))</f>
        <v>0</v>
      </c>
      <c r="BZ105" s="561"/>
      <c r="CB105" s="341">
        <f t="shared" ref="CB105:CB168" si="29">SUM(BX105:BZ105)</f>
        <v>0</v>
      </c>
      <c r="CC105" s="563"/>
      <c r="CD105" s="356"/>
      <c r="CE105" s="341">
        <v>0</v>
      </c>
      <c r="CF105" s="563"/>
      <c r="CG105" s="356"/>
    </row>
    <row r="106" spans="15:85">
      <c r="O106" s="122">
        <v>0</v>
      </c>
      <c r="P106" s="128">
        <f t="shared" si="16"/>
        <v>0</v>
      </c>
      <c r="Q106" s="126">
        <v>0</v>
      </c>
      <c r="R106" s="699">
        <f>IF($O107=0,0,        _xll.qDateNext($O106,R$17,"M",TRUE,Currency1))</f>
        <v>0</v>
      </c>
      <c r="S106" s="699">
        <f>IF($O107=0,0,        _xll.qDateNext($O106,S$17,"M",TRUE,Currency1))</f>
        <v>0</v>
      </c>
      <c r="T106" s="699">
        <f>IF($O107=0,0,        _xll.qDateNext($O106,T$17,"M",TRUE,Currency1))</f>
        <v>0</v>
      </c>
      <c r="U106" s="699">
        <f>IF($O107=0,0,        _xll.qDateNext($O106,U$17,"M",TRUE,Currency1))</f>
        <v>0</v>
      </c>
      <c r="V106" s="699">
        <f>IF($O107=0,0,        _xll.qDateNext($O106,V$17,"M",TRUE,Currency1))</f>
        <v>0</v>
      </c>
      <c r="W106" s="699">
        <f>IF($O107=0,0,        _xll.qDateNext($O106,W$17,"M",TRUE,Currency1))</f>
        <v>0</v>
      </c>
      <c r="X106" s="699">
        <f>IF($O107=0,0,        _xll.qDateNext($O106,X$17,"M",TRUE,Currency1))</f>
        <v>0</v>
      </c>
      <c r="Y106" s="699">
        <f>IF($O107=0,0,        _xll.qDateNext($O106,Y$17,"M",TRUE,Currency1))</f>
        <v>0</v>
      </c>
      <c r="Z106" s="703">
        <f>IF($O107=0,0,           IF(FRM,_xll.qGetFwdRate(Z$14,$O106,R106,"T",DCC_Leg1_Float),_xll.qGetFwdRate(Z$14,$O106,$O107,"T",DCC_Leg1_Float)))</f>
        <v>0</v>
      </c>
      <c r="AA106" s="703">
        <f>IF($O107=0,0,           IF(FRM,_xll.qGetFwdRate(AA$14,$O106,S106,"T",DCC_Leg1_Float),_xll.qGetFwdRate(AA$14,$O106,$O107,"T",DCC_Leg1_Float)))</f>
        <v>0</v>
      </c>
      <c r="AB106" s="703">
        <f t="shared" si="17"/>
        <v>0</v>
      </c>
      <c r="AC106" s="703">
        <f>IF($O107=0,0,           IF(FRM,_xll.qGetFwdRate(AC$14,$O106,U106,"T",DCC_Leg1_Float),_xll.qGetFwdRate(AC$14,$O106,$O107,"T",DCC_Leg1_Float)))</f>
        <v>0</v>
      </c>
      <c r="AD106" s="703">
        <f t="shared" si="22"/>
        <v>0</v>
      </c>
      <c r="AE106" s="703">
        <f t="shared" si="23"/>
        <v>0</v>
      </c>
      <c r="AF106" s="703">
        <f>IF($O107=0,0,           IF(FRM,_xll.qGetFwdRate(AF$14,$O106,X106,"T",DCC_Leg1_Float),_xll.qGetFwdRate(AF$14,$O106,$O107,"T",DCC_Leg1_Float)))</f>
        <v>0</v>
      </c>
      <c r="AG106" s="703">
        <f>IF($O107=0,0,           IF(FRM,_xll.qGetFwdRate(AG$14,$O106,Y106,"T",DCC_Leg1_Float),_xll.qGetFwdRate(AG$14,$O106,$O107,"T",DCC_Leg1_Float)))</f>
        <v>0</v>
      </c>
      <c r="AH106" s="685">
        <v>0</v>
      </c>
      <c r="AI106" s="667"/>
      <c r="AJ106" s="670">
        <f>IF(O107=0,0,             IF(ISNUMBER(AI106),AI106,             IF(ISTEXT(AI106),INDEX(Z106:AG106,MATCH(AI106,$Z$17:$AG$17,0)),           IF(AH106="INT",_xll.qInterp(O107,R106:Y106,Z106:AG106),       INDEX(Z106:AG106,MATCH(AH106,$Z$17:$AG$17,0))))))</f>
        <v>0</v>
      </c>
      <c r="AK106" s="732">
        <v>100</v>
      </c>
      <c r="AL106" s="721">
        <f t="shared" si="18"/>
        <v>0</v>
      </c>
      <c r="AM106" s="284">
        <f>IF($O107,_xll.qDateYears($O106,$O107,DCC_Leg1_Fixed),0)</f>
        <v>0</v>
      </c>
      <c r="AN106" s="284">
        <f>IF($O107,_xll.qDateYears($O106,$O107,DCC_Leg1_Float),0)</f>
        <v>0</v>
      </c>
      <c r="AP106" s="350">
        <f t="shared" si="24"/>
        <v>0</v>
      </c>
      <c r="AQ106" s="375">
        <f>IF(GenType_1a="Fixed",GenRate_1a%*$AL105*AM105,          IF(GenType_1a="Float",$AL105*(_xll.qGetFwdRate($D$18,$O105,$O106,"T",DCC_Leg1_Float)%+GenRate_1a%%)*$AN105,        IF(GenType_1a="bp (Fixed)",GenRate_1a%%*$AM105*$AL105,   IF(GenType_1a="bp (Float)",GenRate_1a%%*$AL105*$AN105,0))))</f>
        <v>0</v>
      </c>
      <c r="AR106" s="561"/>
      <c r="AT106" s="341">
        <f t="shared" si="28"/>
        <v>0</v>
      </c>
      <c r="AV106" s="356"/>
      <c r="AW106" s="122">
        <v>0</v>
      </c>
      <c r="AX106" s="128">
        <f t="shared" si="19"/>
        <v>0</v>
      </c>
      <c r="AY106" s="357">
        <v>0</v>
      </c>
      <c r="AZ106" s="699">
        <f>IF($AW107=0,0,        _xll.qDateNext($AW106,AZ$17,"M",TRUE,Currency2))</f>
        <v>0</v>
      </c>
      <c r="BA106" s="699">
        <f>IF($AW107=0,0,        _xll.qDateNext($AW106,BA$17,"M",TRUE,Currency2))</f>
        <v>0</v>
      </c>
      <c r="BB106" s="699">
        <f>IF($AW107=0,0,        _xll.qDateNext($AW106,BB$17,"M",TRUE,Currency2))</f>
        <v>0</v>
      </c>
      <c r="BC106" s="699">
        <f>IF($AW107=0,0,        _xll.qDateNext($AW106,BC$17,"M",TRUE,Currency2))</f>
        <v>0</v>
      </c>
      <c r="BD106" s="699">
        <f>IF($AW107=0,0,        _xll.qDateNext($AW106,BD$17,"M",TRUE,Currency2))</f>
        <v>0</v>
      </c>
      <c r="BE106" s="699">
        <f>IF($AW107=0,0,        _xll.qDateNext($AW106,BE$17,"M",TRUE,Currency2))</f>
        <v>0</v>
      </c>
      <c r="BF106" s="699">
        <f>IF($AW107=0,0,        _xll.qDateNext($AW106,BF$17,"M",TRUE,Currency2))</f>
        <v>0</v>
      </c>
      <c r="BG106" s="699">
        <f>IF($AW107=0,0,        _xll.qDateNext($AW106,BG$17,"M",TRUE,Currency2))</f>
        <v>0</v>
      </c>
      <c r="BH106" s="703">
        <v>0</v>
      </c>
      <c r="BI106" s="703">
        <v>0</v>
      </c>
      <c r="BJ106" s="703">
        <v>0</v>
      </c>
      <c r="BK106" s="703">
        <v>0</v>
      </c>
      <c r="BL106" s="703">
        <f t="shared" si="25"/>
        <v>0</v>
      </c>
      <c r="BM106" s="703">
        <f t="shared" si="26"/>
        <v>0</v>
      </c>
      <c r="BN106" s="703">
        <v>0</v>
      </c>
      <c r="BO106" s="703">
        <v>0</v>
      </c>
      <c r="BP106" s="685">
        <v>0</v>
      </c>
      <c r="BQ106" s="667"/>
      <c r="BR106" s="670">
        <f>IF(AW107=0,0,             IF(ISNUMBER(BQ106),BQ106,             IF(ISTEXT(BQ106),INDEX(BH106:BO106,MATCH(BQ106,$BH$17:$BO$17,0)),           IF(BP106="INT",_xll.qInterp(AW107,AZ106:BG106,BH106:BO106),       INDEX(BH106:BO106,MATCH(BP106,$BH$17:$BO$17,0))))))</f>
        <v>0</v>
      </c>
      <c r="BS106" s="731">
        <f t="shared" si="20"/>
        <v>0</v>
      </c>
      <c r="BT106" s="406">
        <f t="shared" si="21"/>
        <v>0</v>
      </c>
      <c r="BU106" s="284">
        <f>IF($AW107,_xll.qDateYears($AW106,$AW107,DCC_Leg2_Fixed),0)</f>
        <v>0</v>
      </c>
      <c r="BV106" s="284">
        <f>IF($AW107,_xll.qDateYears($AW106,$AW107,DCC_Leg2_Float),0)</f>
        <v>0</v>
      </c>
      <c r="BX106" s="350">
        <f t="shared" si="27"/>
        <v>0</v>
      </c>
      <c r="BY106" s="375">
        <f>IF(GenType_2a="Fixed",GenRate_2a%*$BT105*BU105,          IF(GenType_2a="Float",$BT105*(_xll.qGetFwdRate($J$18,$AW105,$AW106,"T",DCC_Leg2_Float)%+GenRate_2a%%)*$BV105,        IF(GenType_2a="bp (Fixed)",GenRate_2a%%*$BU105*$BT105,   IF(GenType_2a="bp (Float)",GenRate_2a%%*$BT105*$BV105,0))))</f>
        <v>0</v>
      </c>
      <c r="BZ106" s="561"/>
      <c r="CB106" s="341">
        <f t="shared" si="29"/>
        <v>0</v>
      </c>
      <c r="CC106" s="563"/>
      <c r="CD106" s="356"/>
      <c r="CE106" s="341">
        <v>0</v>
      </c>
      <c r="CF106" s="563"/>
      <c r="CG106" s="356"/>
    </row>
    <row r="107" spans="15:85">
      <c r="O107" s="122">
        <v>0</v>
      </c>
      <c r="P107" s="128">
        <f t="shared" si="16"/>
        <v>0</v>
      </c>
      <c r="Q107" s="126">
        <v>0</v>
      </c>
      <c r="R107" s="699">
        <f>IF($O108=0,0,        _xll.qDateNext($O107,R$17,"M",TRUE,Currency1))</f>
        <v>0</v>
      </c>
      <c r="S107" s="699">
        <f>IF($O108=0,0,        _xll.qDateNext($O107,S$17,"M",TRUE,Currency1))</f>
        <v>0</v>
      </c>
      <c r="T107" s="699">
        <f>IF($O108=0,0,        _xll.qDateNext($O107,T$17,"M",TRUE,Currency1))</f>
        <v>0</v>
      </c>
      <c r="U107" s="699">
        <f>IF($O108=0,0,        _xll.qDateNext($O107,U$17,"M",TRUE,Currency1))</f>
        <v>0</v>
      </c>
      <c r="V107" s="699">
        <f>IF($O108=0,0,        _xll.qDateNext($O107,V$17,"M",TRUE,Currency1))</f>
        <v>0</v>
      </c>
      <c r="W107" s="699">
        <f>IF($O108=0,0,        _xll.qDateNext($O107,W$17,"M",TRUE,Currency1))</f>
        <v>0</v>
      </c>
      <c r="X107" s="699">
        <f>IF($O108=0,0,        _xll.qDateNext($O107,X$17,"M",TRUE,Currency1))</f>
        <v>0</v>
      </c>
      <c r="Y107" s="699">
        <f>IF($O108=0,0,        _xll.qDateNext($O107,Y$17,"M",TRUE,Currency1))</f>
        <v>0</v>
      </c>
      <c r="Z107" s="703">
        <f>IF($O108=0,0,           IF(FRM,_xll.qGetFwdRate(Z$14,$O107,R107,"T",DCC_Leg1_Float),_xll.qGetFwdRate(Z$14,$O107,$O108,"T",DCC_Leg1_Float)))</f>
        <v>0</v>
      </c>
      <c r="AA107" s="703">
        <f>IF($O108=0,0,           IF(FRM,_xll.qGetFwdRate(AA$14,$O107,S107,"T",DCC_Leg1_Float),_xll.qGetFwdRate(AA$14,$O107,$O108,"T",DCC_Leg1_Float)))</f>
        <v>0</v>
      </c>
      <c r="AB107" s="703">
        <f t="shared" si="17"/>
        <v>0</v>
      </c>
      <c r="AC107" s="703">
        <f>IF($O108=0,0,           IF(FRM,_xll.qGetFwdRate(AC$14,$O107,U107,"T",DCC_Leg1_Float),_xll.qGetFwdRate(AC$14,$O107,$O108,"T",DCC_Leg1_Float)))</f>
        <v>0</v>
      </c>
      <c r="AD107" s="703">
        <f t="shared" si="22"/>
        <v>0</v>
      </c>
      <c r="AE107" s="703">
        <f t="shared" si="23"/>
        <v>0</v>
      </c>
      <c r="AF107" s="703">
        <f>IF($O108=0,0,           IF(FRM,_xll.qGetFwdRate(AF$14,$O107,X107,"T",DCC_Leg1_Float),_xll.qGetFwdRate(AF$14,$O107,$O108,"T",DCC_Leg1_Float)))</f>
        <v>0</v>
      </c>
      <c r="AG107" s="703">
        <f>IF($O108=0,0,           IF(FRM,_xll.qGetFwdRate(AG$14,$O107,Y107,"T",DCC_Leg1_Float),_xll.qGetFwdRate(AG$14,$O107,$O108,"T",DCC_Leg1_Float)))</f>
        <v>0</v>
      </c>
      <c r="AH107" s="685">
        <v>0</v>
      </c>
      <c r="AI107" s="667"/>
      <c r="AJ107" s="670">
        <f>IF(O108=0,0,             IF(ISNUMBER(AI107),AI107,             IF(ISTEXT(AI107),INDEX(Z107:AG107,MATCH(AI107,$Z$17:$AG$17,0)),           IF(AH107="INT",_xll.qInterp(O108,R107:Y107,Z107:AG107),       INDEX(Z107:AG107,MATCH(AH107,$Z$17:$AG$17,0))))))</f>
        <v>0</v>
      </c>
      <c r="AK107" s="732">
        <v>100</v>
      </c>
      <c r="AL107" s="721">
        <f t="shared" si="18"/>
        <v>0</v>
      </c>
      <c r="AM107" s="284">
        <f>IF($O108,_xll.qDateYears($O107,$O108,DCC_Leg1_Fixed),0)</f>
        <v>0</v>
      </c>
      <c r="AN107" s="284">
        <f>IF($O108,_xll.qDateYears($O107,$O108,DCC_Leg1_Float),0)</f>
        <v>0</v>
      </c>
      <c r="AP107" s="350">
        <f t="shared" si="24"/>
        <v>0</v>
      </c>
      <c r="AQ107" s="375">
        <f>IF(GenType_1a="Fixed",GenRate_1a%*$AL106*AM106,          IF(GenType_1a="Float",$AL106*(_xll.qGetFwdRate($D$18,$O106,$O107,"T",DCC_Leg1_Float)%+GenRate_1a%%)*$AN106,        IF(GenType_1a="bp (Fixed)",GenRate_1a%%*$AM106*$AL106,   IF(GenType_1a="bp (Float)",GenRate_1a%%*$AL106*$AN106,0))))</f>
        <v>0</v>
      </c>
      <c r="AR107" s="561"/>
      <c r="AT107" s="341">
        <f t="shared" si="28"/>
        <v>0</v>
      </c>
      <c r="AV107" s="356"/>
      <c r="AW107" s="122">
        <v>0</v>
      </c>
      <c r="AX107" s="128">
        <f t="shared" si="19"/>
        <v>0</v>
      </c>
      <c r="AY107" s="357">
        <v>0</v>
      </c>
      <c r="AZ107" s="699">
        <f>IF($AW108=0,0,        _xll.qDateNext($AW107,AZ$17,"M",TRUE,Currency2))</f>
        <v>0</v>
      </c>
      <c r="BA107" s="699">
        <f>IF($AW108=0,0,        _xll.qDateNext($AW107,BA$17,"M",TRUE,Currency2))</f>
        <v>0</v>
      </c>
      <c r="BB107" s="699">
        <f>IF($AW108=0,0,        _xll.qDateNext($AW107,BB$17,"M",TRUE,Currency2))</f>
        <v>0</v>
      </c>
      <c r="BC107" s="699">
        <f>IF($AW108=0,0,        _xll.qDateNext($AW107,BC$17,"M",TRUE,Currency2))</f>
        <v>0</v>
      </c>
      <c r="BD107" s="699">
        <f>IF($AW108=0,0,        _xll.qDateNext($AW107,BD$17,"M",TRUE,Currency2))</f>
        <v>0</v>
      </c>
      <c r="BE107" s="699">
        <f>IF($AW108=0,0,        _xll.qDateNext($AW107,BE$17,"M",TRUE,Currency2))</f>
        <v>0</v>
      </c>
      <c r="BF107" s="699">
        <f>IF($AW108=0,0,        _xll.qDateNext($AW107,BF$17,"M",TRUE,Currency2))</f>
        <v>0</v>
      </c>
      <c r="BG107" s="699">
        <f>IF($AW108=0,0,        _xll.qDateNext($AW107,BG$17,"M",TRUE,Currency2))</f>
        <v>0</v>
      </c>
      <c r="BH107" s="703">
        <v>0</v>
      </c>
      <c r="BI107" s="703">
        <v>0</v>
      </c>
      <c r="BJ107" s="703">
        <v>0</v>
      </c>
      <c r="BK107" s="703">
        <v>0</v>
      </c>
      <c r="BL107" s="703">
        <f t="shared" si="25"/>
        <v>0</v>
      </c>
      <c r="BM107" s="703">
        <f t="shared" si="26"/>
        <v>0</v>
      </c>
      <c r="BN107" s="703">
        <v>0</v>
      </c>
      <c r="BO107" s="703">
        <v>0</v>
      </c>
      <c r="BP107" s="685">
        <v>0</v>
      </c>
      <c r="BQ107" s="667"/>
      <c r="BR107" s="670">
        <f>IF(AW108=0,0,             IF(ISNUMBER(BQ107),BQ107,             IF(ISTEXT(BQ107),INDEX(BH107:BO107,MATCH(BQ107,$BH$17:$BO$17,0)),           IF(BP107="INT",_xll.qInterp(AW108,AZ107:BG107,BH107:BO107),       INDEX(BH107:BO107,MATCH(BP107,$BH$17:$BO$17,0))))))</f>
        <v>0</v>
      </c>
      <c r="BS107" s="731">
        <f t="shared" si="20"/>
        <v>0</v>
      </c>
      <c r="BT107" s="406">
        <f t="shared" si="21"/>
        <v>0</v>
      </c>
      <c r="BU107" s="284">
        <f>IF($AW108,_xll.qDateYears($AW107,$AW108,DCC_Leg2_Fixed),0)</f>
        <v>0</v>
      </c>
      <c r="BV107" s="284">
        <f>IF($AW108,_xll.qDateYears($AW107,$AW108,DCC_Leg2_Float),0)</f>
        <v>0</v>
      </c>
      <c r="BX107" s="350">
        <f t="shared" si="27"/>
        <v>0</v>
      </c>
      <c r="BY107" s="375">
        <f>IF(GenType_2a="Fixed",GenRate_2a%*$BT106*BU106,          IF(GenType_2a="Float",$BT106*(_xll.qGetFwdRate($J$18,$AW106,$AW107,"T",DCC_Leg2_Float)%+GenRate_2a%%)*$BV106,        IF(GenType_2a="bp (Fixed)",GenRate_2a%%*$BU106*$BT106,   IF(GenType_2a="bp (Float)",GenRate_2a%%*$BT106*$BV106,0))))</f>
        <v>0</v>
      </c>
      <c r="BZ107" s="561"/>
      <c r="CB107" s="341">
        <f t="shared" si="29"/>
        <v>0</v>
      </c>
      <c r="CC107" s="563"/>
      <c r="CD107" s="356"/>
      <c r="CE107" s="341">
        <v>0</v>
      </c>
      <c r="CF107" s="563"/>
      <c r="CG107" s="356"/>
    </row>
    <row r="108" spans="15:85">
      <c r="O108" s="122">
        <v>0</v>
      </c>
      <c r="P108" s="128">
        <f t="shared" si="16"/>
        <v>0</v>
      </c>
      <c r="Q108" s="126">
        <v>0</v>
      </c>
      <c r="R108" s="699">
        <f>IF($O109=0,0,        _xll.qDateNext($O108,R$17,"M",TRUE,Currency1))</f>
        <v>0</v>
      </c>
      <c r="S108" s="699">
        <f>IF($O109=0,0,        _xll.qDateNext($O108,S$17,"M",TRUE,Currency1))</f>
        <v>0</v>
      </c>
      <c r="T108" s="699">
        <f>IF($O109=0,0,        _xll.qDateNext($O108,T$17,"M",TRUE,Currency1))</f>
        <v>0</v>
      </c>
      <c r="U108" s="699">
        <f>IF($O109=0,0,        _xll.qDateNext($O108,U$17,"M",TRUE,Currency1))</f>
        <v>0</v>
      </c>
      <c r="V108" s="699">
        <f>IF($O109=0,0,        _xll.qDateNext($O108,V$17,"M",TRUE,Currency1))</f>
        <v>0</v>
      </c>
      <c r="W108" s="699">
        <f>IF($O109=0,0,        _xll.qDateNext($O108,W$17,"M",TRUE,Currency1))</f>
        <v>0</v>
      </c>
      <c r="X108" s="699">
        <f>IF($O109=0,0,        _xll.qDateNext($O108,X$17,"M",TRUE,Currency1))</f>
        <v>0</v>
      </c>
      <c r="Y108" s="699">
        <f>IF($O109=0,0,        _xll.qDateNext($O108,Y$17,"M",TRUE,Currency1))</f>
        <v>0</v>
      </c>
      <c r="Z108" s="703">
        <f>IF($O109=0,0,           IF(FRM,_xll.qGetFwdRate(Z$14,$O108,R108,"T",DCC_Leg1_Float),_xll.qGetFwdRate(Z$14,$O108,$O109,"T",DCC_Leg1_Float)))</f>
        <v>0</v>
      </c>
      <c r="AA108" s="703">
        <f>IF($O109=0,0,           IF(FRM,_xll.qGetFwdRate(AA$14,$O108,S108,"T",DCC_Leg1_Float),_xll.qGetFwdRate(AA$14,$O108,$O109,"T",DCC_Leg1_Float)))</f>
        <v>0</v>
      </c>
      <c r="AB108" s="703">
        <f t="shared" si="17"/>
        <v>0</v>
      </c>
      <c r="AC108" s="703">
        <f>IF($O109=0,0,           IF(FRM,_xll.qGetFwdRate(AC$14,$O108,U108,"T",DCC_Leg1_Float),_xll.qGetFwdRate(AC$14,$O108,$O109,"T",DCC_Leg1_Float)))</f>
        <v>0</v>
      </c>
      <c r="AD108" s="703">
        <f t="shared" si="22"/>
        <v>0</v>
      </c>
      <c r="AE108" s="703">
        <f t="shared" si="23"/>
        <v>0</v>
      </c>
      <c r="AF108" s="703">
        <f>IF($O109=0,0,           IF(FRM,_xll.qGetFwdRate(AF$14,$O108,X108,"T",DCC_Leg1_Float),_xll.qGetFwdRate(AF$14,$O108,$O109,"T",DCC_Leg1_Float)))</f>
        <v>0</v>
      </c>
      <c r="AG108" s="703">
        <f>IF($O109=0,0,           IF(FRM,_xll.qGetFwdRate(AG$14,$O108,Y108,"T",DCC_Leg1_Float),_xll.qGetFwdRate(AG$14,$O108,$O109,"T",DCC_Leg1_Float)))</f>
        <v>0</v>
      </c>
      <c r="AH108" s="685">
        <v>0</v>
      </c>
      <c r="AI108" s="667"/>
      <c r="AJ108" s="670">
        <f>IF(O109=0,0,             IF(ISNUMBER(AI108),AI108,             IF(ISTEXT(AI108),INDEX(Z108:AG108,MATCH(AI108,$Z$17:$AG$17,0)),           IF(AH108="INT",_xll.qInterp(O109,R108:Y108,Z108:AG108),       INDEX(Z108:AG108,MATCH(AH108,$Z$17:$AG$17,0))))))</f>
        <v>0</v>
      </c>
      <c r="AK108" s="732">
        <v>100</v>
      </c>
      <c r="AL108" s="721">
        <f t="shared" si="18"/>
        <v>0</v>
      </c>
      <c r="AM108" s="284">
        <f>IF($O109,_xll.qDateYears($O108,$O109,DCC_Leg1_Fixed),0)</f>
        <v>0</v>
      </c>
      <c r="AN108" s="284">
        <f>IF($O109,_xll.qDateYears($O108,$O109,DCC_Leg1_Float),0)</f>
        <v>0</v>
      </c>
      <c r="AP108" s="350">
        <f t="shared" si="24"/>
        <v>0</v>
      </c>
      <c r="AQ108" s="375">
        <f>IF(GenType_1a="Fixed",GenRate_1a%*$AL107*AM107,          IF(GenType_1a="Float",$AL107*(_xll.qGetFwdRate($D$18,$O107,$O108,"T",DCC_Leg1_Float)%+GenRate_1a%%)*$AN107,        IF(GenType_1a="bp (Fixed)",GenRate_1a%%*$AM107*$AL107,   IF(GenType_1a="bp (Float)",GenRate_1a%%*$AL107*$AN107,0))))</f>
        <v>0</v>
      </c>
      <c r="AR108" s="561"/>
      <c r="AT108" s="341">
        <f t="shared" si="28"/>
        <v>0</v>
      </c>
      <c r="AV108" s="356"/>
      <c r="AW108" s="122">
        <v>0</v>
      </c>
      <c r="AX108" s="128">
        <f t="shared" si="19"/>
        <v>0</v>
      </c>
      <c r="AY108" s="357">
        <v>0</v>
      </c>
      <c r="AZ108" s="699">
        <f>IF($AW109=0,0,        _xll.qDateNext($AW108,AZ$17,"M",TRUE,Currency2))</f>
        <v>0</v>
      </c>
      <c r="BA108" s="699">
        <f>IF($AW109=0,0,        _xll.qDateNext($AW108,BA$17,"M",TRUE,Currency2))</f>
        <v>0</v>
      </c>
      <c r="BB108" s="699">
        <f>IF($AW109=0,0,        _xll.qDateNext($AW108,BB$17,"M",TRUE,Currency2))</f>
        <v>0</v>
      </c>
      <c r="BC108" s="699">
        <f>IF($AW109=0,0,        _xll.qDateNext($AW108,BC$17,"M",TRUE,Currency2))</f>
        <v>0</v>
      </c>
      <c r="BD108" s="699">
        <f>IF($AW109=0,0,        _xll.qDateNext($AW108,BD$17,"M",TRUE,Currency2))</f>
        <v>0</v>
      </c>
      <c r="BE108" s="699">
        <f>IF($AW109=0,0,        _xll.qDateNext($AW108,BE$17,"M",TRUE,Currency2))</f>
        <v>0</v>
      </c>
      <c r="BF108" s="699">
        <f>IF($AW109=0,0,        _xll.qDateNext($AW108,BF$17,"M",TRUE,Currency2))</f>
        <v>0</v>
      </c>
      <c r="BG108" s="699">
        <f>IF($AW109=0,0,        _xll.qDateNext($AW108,BG$17,"M",TRUE,Currency2))</f>
        <v>0</v>
      </c>
      <c r="BH108" s="703">
        <v>0</v>
      </c>
      <c r="BI108" s="703">
        <v>0</v>
      </c>
      <c r="BJ108" s="703">
        <v>0</v>
      </c>
      <c r="BK108" s="703">
        <v>0</v>
      </c>
      <c r="BL108" s="703">
        <f t="shared" si="25"/>
        <v>0</v>
      </c>
      <c r="BM108" s="703">
        <f t="shared" si="26"/>
        <v>0</v>
      </c>
      <c r="BN108" s="703">
        <v>0</v>
      </c>
      <c r="BO108" s="703">
        <v>0</v>
      </c>
      <c r="BP108" s="685">
        <v>0</v>
      </c>
      <c r="BQ108" s="667"/>
      <c r="BR108" s="670">
        <f>IF(AW109=0,0,             IF(ISNUMBER(BQ108),BQ108,             IF(ISTEXT(BQ108),INDEX(BH108:BO108,MATCH(BQ108,$BH$17:$BO$17,0)),           IF(BP108="INT",_xll.qInterp(AW109,AZ108:BG108,BH108:BO108),       INDEX(BH108:BO108,MATCH(BP108,$BH$17:$BO$17,0))))))</f>
        <v>0</v>
      </c>
      <c r="BS108" s="731">
        <f t="shared" si="20"/>
        <v>0</v>
      </c>
      <c r="BT108" s="406">
        <f t="shared" si="21"/>
        <v>0</v>
      </c>
      <c r="BU108" s="284">
        <f>IF($AW109,_xll.qDateYears($AW108,$AW109,DCC_Leg2_Fixed),0)</f>
        <v>0</v>
      </c>
      <c r="BV108" s="284">
        <f>IF($AW109,_xll.qDateYears($AW108,$AW109,DCC_Leg2_Float),0)</f>
        <v>0</v>
      </c>
      <c r="BX108" s="350">
        <f t="shared" si="27"/>
        <v>0</v>
      </c>
      <c r="BY108" s="375">
        <f>IF(GenType_2a="Fixed",GenRate_2a%*$BT107*BU107,          IF(GenType_2a="Float",$BT107*(_xll.qGetFwdRate($J$18,$AW107,$AW108,"T",DCC_Leg2_Float)%+GenRate_2a%%)*$BV107,        IF(GenType_2a="bp (Fixed)",GenRate_2a%%*$BU107*$BT107,   IF(GenType_2a="bp (Float)",GenRate_2a%%*$BT107*$BV107,0))))</f>
        <v>0</v>
      </c>
      <c r="BZ108" s="561"/>
      <c r="CB108" s="341">
        <f t="shared" si="29"/>
        <v>0</v>
      </c>
      <c r="CC108" s="563"/>
      <c r="CD108" s="356"/>
      <c r="CE108" s="341">
        <v>0</v>
      </c>
      <c r="CF108" s="563"/>
      <c r="CG108" s="356"/>
    </row>
    <row r="109" spans="15:85">
      <c r="O109" s="122">
        <v>0</v>
      </c>
      <c r="P109" s="128">
        <f t="shared" si="16"/>
        <v>0</v>
      </c>
      <c r="Q109" s="126">
        <v>0</v>
      </c>
      <c r="R109" s="699">
        <f>IF($O110=0,0,        _xll.qDateNext($O109,R$17,"M",TRUE,Currency1))</f>
        <v>0</v>
      </c>
      <c r="S109" s="699">
        <f>IF($O110=0,0,        _xll.qDateNext($O109,S$17,"M",TRUE,Currency1))</f>
        <v>0</v>
      </c>
      <c r="T109" s="699">
        <f>IF($O110=0,0,        _xll.qDateNext($O109,T$17,"M",TRUE,Currency1))</f>
        <v>0</v>
      </c>
      <c r="U109" s="699">
        <f>IF($O110=0,0,        _xll.qDateNext($O109,U$17,"M",TRUE,Currency1))</f>
        <v>0</v>
      </c>
      <c r="V109" s="699">
        <f>IF($O110=0,0,        _xll.qDateNext($O109,V$17,"M",TRUE,Currency1))</f>
        <v>0</v>
      </c>
      <c r="W109" s="699">
        <f>IF($O110=0,0,        _xll.qDateNext($O109,W$17,"M",TRUE,Currency1))</f>
        <v>0</v>
      </c>
      <c r="X109" s="699">
        <f>IF($O110=0,0,        _xll.qDateNext($O109,X$17,"M",TRUE,Currency1))</f>
        <v>0</v>
      </c>
      <c r="Y109" s="699">
        <f>IF($O110=0,0,        _xll.qDateNext($O109,Y$17,"M",TRUE,Currency1))</f>
        <v>0</v>
      </c>
      <c r="Z109" s="703">
        <f>IF($O110=0,0,           IF(FRM,_xll.qGetFwdRate(Z$14,$O109,R109,"T",DCC_Leg1_Float),_xll.qGetFwdRate(Z$14,$O109,$O110,"T",DCC_Leg1_Float)))</f>
        <v>0</v>
      </c>
      <c r="AA109" s="703">
        <f>IF($O110=0,0,           IF(FRM,_xll.qGetFwdRate(AA$14,$O109,S109,"T",DCC_Leg1_Float),_xll.qGetFwdRate(AA$14,$O109,$O110,"T",DCC_Leg1_Float)))</f>
        <v>0</v>
      </c>
      <c r="AB109" s="703">
        <f t="shared" si="17"/>
        <v>0</v>
      </c>
      <c r="AC109" s="703">
        <f>IF($O110=0,0,           IF(FRM,_xll.qGetFwdRate(AC$14,$O109,U109,"T",DCC_Leg1_Float),_xll.qGetFwdRate(AC$14,$O109,$O110,"T",DCC_Leg1_Float)))</f>
        <v>0</v>
      </c>
      <c r="AD109" s="703">
        <f t="shared" si="22"/>
        <v>0</v>
      </c>
      <c r="AE109" s="703">
        <f t="shared" si="23"/>
        <v>0</v>
      </c>
      <c r="AF109" s="703">
        <f>IF($O110=0,0,           IF(FRM,_xll.qGetFwdRate(AF$14,$O109,X109,"T",DCC_Leg1_Float),_xll.qGetFwdRate(AF$14,$O109,$O110,"T",DCC_Leg1_Float)))</f>
        <v>0</v>
      </c>
      <c r="AG109" s="703">
        <f>IF($O110=0,0,           IF(FRM,_xll.qGetFwdRate(AG$14,$O109,Y109,"T",DCC_Leg1_Float),_xll.qGetFwdRate(AG$14,$O109,$O110,"T",DCC_Leg1_Float)))</f>
        <v>0</v>
      </c>
      <c r="AH109" s="685">
        <v>0</v>
      </c>
      <c r="AI109" s="667"/>
      <c r="AJ109" s="670">
        <f>IF(O110=0,0,             IF(ISNUMBER(AI109),AI109,             IF(ISTEXT(AI109),INDEX(Z109:AG109,MATCH(AI109,$Z$17:$AG$17,0)),           IF(AH109="INT",_xll.qInterp(O110,R109:Y109,Z109:AG109),       INDEX(Z109:AG109,MATCH(AH109,$Z$17:$AG$17,0))))))</f>
        <v>0</v>
      </c>
      <c r="AK109" s="732">
        <v>100</v>
      </c>
      <c r="AL109" s="721">
        <f t="shared" si="18"/>
        <v>0</v>
      </c>
      <c r="AM109" s="284">
        <f>IF($O110,_xll.qDateYears($O109,$O110,DCC_Leg1_Fixed),0)</f>
        <v>0</v>
      </c>
      <c r="AN109" s="284">
        <f>IF($O110,_xll.qDateYears($O109,$O110,DCC_Leg1_Float),0)</f>
        <v>0</v>
      </c>
      <c r="AP109" s="350">
        <f t="shared" si="24"/>
        <v>0</v>
      </c>
      <c r="AQ109" s="375">
        <f>IF(GenType_1a="Fixed",GenRate_1a%*$AL108*AM108,          IF(GenType_1a="Float",$AL108*(_xll.qGetFwdRate($D$18,$O108,$O109,"T",DCC_Leg1_Float)%+GenRate_1a%%)*$AN108,        IF(GenType_1a="bp (Fixed)",GenRate_1a%%*$AM108*$AL108,   IF(GenType_1a="bp (Float)",GenRate_1a%%*$AL108*$AN108,0))))</f>
        <v>0</v>
      </c>
      <c r="AR109" s="561"/>
      <c r="AT109" s="341">
        <f t="shared" si="28"/>
        <v>0</v>
      </c>
      <c r="AV109" s="356"/>
      <c r="AW109" s="122">
        <v>0</v>
      </c>
      <c r="AX109" s="128">
        <f t="shared" si="19"/>
        <v>0</v>
      </c>
      <c r="AY109" s="357">
        <v>0</v>
      </c>
      <c r="AZ109" s="699">
        <f>IF($AW110=0,0,        _xll.qDateNext($AW109,AZ$17,"M",TRUE,Currency2))</f>
        <v>0</v>
      </c>
      <c r="BA109" s="699">
        <f>IF($AW110=0,0,        _xll.qDateNext($AW109,BA$17,"M",TRUE,Currency2))</f>
        <v>0</v>
      </c>
      <c r="BB109" s="699">
        <f>IF($AW110=0,0,        _xll.qDateNext($AW109,BB$17,"M",TRUE,Currency2))</f>
        <v>0</v>
      </c>
      <c r="BC109" s="699">
        <f>IF($AW110=0,0,        _xll.qDateNext($AW109,BC$17,"M",TRUE,Currency2))</f>
        <v>0</v>
      </c>
      <c r="BD109" s="699">
        <f>IF($AW110=0,0,        _xll.qDateNext($AW109,BD$17,"M",TRUE,Currency2))</f>
        <v>0</v>
      </c>
      <c r="BE109" s="699">
        <f>IF($AW110=0,0,        _xll.qDateNext($AW109,BE$17,"M",TRUE,Currency2))</f>
        <v>0</v>
      </c>
      <c r="BF109" s="699">
        <f>IF($AW110=0,0,        _xll.qDateNext($AW109,BF$17,"M",TRUE,Currency2))</f>
        <v>0</v>
      </c>
      <c r="BG109" s="699">
        <f>IF($AW110=0,0,        _xll.qDateNext($AW109,BG$17,"M",TRUE,Currency2))</f>
        <v>0</v>
      </c>
      <c r="BH109" s="703">
        <v>0</v>
      </c>
      <c r="BI109" s="703">
        <v>0</v>
      </c>
      <c r="BJ109" s="703">
        <v>0</v>
      </c>
      <c r="BK109" s="703">
        <v>0</v>
      </c>
      <c r="BL109" s="703">
        <f t="shared" si="25"/>
        <v>0</v>
      </c>
      <c r="BM109" s="703">
        <f t="shared" si="26"/>
        <v>0</v>
      </c>
      <c r="BN109" s="703">
        <v>0</v>
      </c>
      <c r="BO109" s="703">
        <v>0</v>
      </c>
      <c r="BP109" s="685">
        <v>0</v>
      </c>
      <c r="BQ109" s="667"/>
      <c r="BR109" s="670">
        <f>IF(AW110=0,0,             IF(ISNUMBER(BQ109),BQ109,             IF(ISTEXT(BQ109),INDEX(BH109:BO109,MATCH(BQ109,$BH$17:$BO$17,0)),           IF(BP109="INT",_xll.qInterp(AW110,AZ109:BG109,BH109:BO109),       INDEX(BH109:BO109,MATCH(BP109,$BH$17:$BO$17,0))))))</f>
        <v>0</v>
      </c>
      <c r="BS109" s="731">
        <f t="shared" si="20"/>
        <v>0</v>
      </c>
      <c r="BT109" s="406">
        <f t="shared" si="21"/>
        <v>0</v>
      </c>
      <c r="BU109" s="284">
        <f>IF($AW110,_xll.qDateYears($AW109,$AW110,DCC_Leg2_Fixed),0)</f>
        <v>0</v>
      </c>
      <c r="BV109" s="284">
        <f>IF($AW110,_xll.qDateYears($AW109,$AW110,DCC_Leg2_Float),0)</f>
        <v>0</v>
      </c>
      <c r="BX109" s="350">
        <f t="shared" si="27"/>
        <v>0</v>
      </c>
      <c r="BY109" s="375">
        <f>IF(GenType_2a="Fixed",GenRate_2a%*$BT108*BU108,          IF(GenType_2a="Float",$BT108*(_xll.qGetFwdRate($J$18,$AW108,$AW109,"T",DCC_Leg2_Float)%+GenRate_2a%%)*$BV108,        IF(GenType_2a="bp (Fixed)",GenRate_2a%%*$BU108*$BT108,   IF(GenType_2a="bp (Float)",GenRate_2a%%*$BT108*$BV108,0))))</f>
        <v>0</v>
      </c>
      <c r="BZ109" s="561"/>
      <c r="CB109" s="341">
        <f t="shared" si="29"/>
        <v>0</v>
      </c>
      <c r="CC109" s="563"/>
      <c r="CD109" s="356"/>
      <c r="CE109" s="341">
        <v>0</v>
      </c>
      <c r="CF109" s="563"/>
      <c r="CG109" s="356"/>
    </row>
    <row r="110" spans="15:85">
      <c r="O110" s="122">
        <v>0</v>
      </c>
      <c r="P110" s="128">
        <f t="shared" si="16"/>
        <v>0</v>
      </c>
      <c r="Q110" s="126">
        <v>0</v>
      </c>
      <c r="R110" s="699">
        <f>IF($O111=0,0,        _xll.qDateNext($O110,R$17,"M",TRUE,Currency1))</f>
        <v>0</v>
      </c>
      <c r="S110" s="699">
        <f>IF($O111=0,0,        _xll.qDateNext($O110,S$17,"M",TRUE,Currency1))</f>
        <v>0</v>
      </c>
      <c r="T110" s="699">
        <f>IF($O111=0,0,        _xll.qDateNext($O110,T$17,"M",TRUE,Currency1))</f>
        <v>0</v>
      </c>
      <c r="U110" s="699">
        <f>IF($O111=0,0,        _xll.qDateNext($O110,U$17,"M",TRUE,Currency1))</f>
        <v>0</v>
      </c>
      <c r="V110" s="699">
        <f>IF($O111=0,0,        _xll.qDateNext($O110,V$17,"M",TRUE,Currency1))</f>
        <v>0</v>
      </c>
      <c r="W110" s="699">
        <f>IF($O111=0,0,        _xll.qDateNext($O110,W$17,"M",TRUE,Currency1))</f>
        <v>0</v>
      </c>
      <c r="X110" s="699">
        <f>IF($O111=0,0,        _xll.qDateNext($O110,X$17,"M",TRUE,Currency1))</f>
        <v>0</v>
      </c>
      <c r="Y110" s="699">
        <f>IF($O111=0,0,        _xll.qDateNext($O110,Y$17,"M",TRUE,Currency1))</f>
        <v>0</v>
      </c>
      <c r="Z110" s="703">
        <f>IF($O111=0,0,           IF(FRM,_xll.qGetFwdRate(Z$14,$O110,R110,"T",DCC_Leg1_Float),_xll.qGetFwdRate(Z$14,$O110,$O111,"T",DCC_Leg1_Float)))</f>
        <v>0</v>
      </c>
      <c r="AA110" s="703">
        <f>IF($O111=0,0,           IF(FRM,_xll.qGetFwdRate(AA$14,$O110,S110,"T",DCC_Leg1_Float),_xll.qGetFwdRate(AA$14,$O110,$O111,"T",DCC_Leg1_Float)))</f>
        <v>0</v>
      </c>
      <c r="AB110" s="703">
        <f t="shared" si="17"/>
        <v>0</v>
      </c>
      <c r="AC110" s="703">
        <f>IF($O111=0,0,           IF(FRM,_xll.qGetFwdRate(AC$14,$O110,U110,"T",DCC_Leg1_Float),_xll.qGetFwdRate(AC$14,$O110,$O111,"T",DCC_Leg1_Float)))</f>
        <v>0</v>
      </c>
      <c r="AD110" s="703">
        <f t="shared" si="22"/>
        <v>0</v>
      </c>
      <c r="AE110" s="703">
        <f t="shared" si="23"/>
        <v>0</v>
      </c>
      <c r="AF110" s="703">
        <f>IF($O111=0,0,           IF(FRM,_xll.qGetFwdRate(AF$14,$O110,X110,"T",DCC_Leg1_Float),_xll.qGetFwdRate(AF$14,$O110,$O111,"T",DCC_Leg1_Float)))</f>
        <v>0</v>
      </c>
      <c r="AG110" s="703">
        <f>IF($O111=0,0,           IF(FRM,_xll.qGetFwdRate(AG$14,$O110,Y110,"T",DCC_Leg1_Float),_xll.qGetFwdRate(AG$14,$O110,$O111,"T",DCC_Leg1_Float)))</f>
        <v>0</v>
      </c>
      <c r="AH110" s="685">
        <v>0</v>
      </c>
      <c r="AI110" s="667"/>
      <c r="AJ110" s="670">
        <f>IF(O111=0,0,             IF(ISNUMBER(AI110),AI110,             IF(ISTEXT(AI110),INDEX(Z110:AG110,MATCH(AI110,$Z$17:$AG$17,0)),           IF(AH110="INT",_xll.qInterp(O111,R110:Y110,Z110:AG110),       INDEX(Z110:AG110,MATCH(AH110,$Z$17:$AG$17,0))))))</f>
        <v>0</v>
      </c>
      <c r="AK110" s="732">
        <v>100</v>
      </c>
      <c r="AL110" s="721">
        <f t="shared" si="18"/>
        <v>0</v>
      </c>
      <c r="AM110" s="284">
        <f>IF($O111,_xll.qDateYears($O110,$O111,DCC_Leg1_Fixed),0)</f>
        <v>0</v>
      </c>
      <c r="AN110" s="284">
        <f>IF($O111,_xll.qDateYears($O110,$O111,DCC_Leg1_Float),0)</f>
        <v>0</v>
      </c>
      <c r="AP110" s="350">
        <f t="shared" si="24"/>
        <v>0</v>
      </c>
      <c r="AQ110" s="375">
        <f>IF(GenType_1a="Fixed",GenRate_1a%*$AL109*AM109,          IF(GenType_1a="Float",$AL109*(_xll.qGetFwdRate($D$18,$O109,$O110,"T",DCC_Leg1_Float)%+GenRate_1a%%)*$AN109,        IF(GenType_1a="bp (Fixed)",GenRate_1a%%*$AM109*$AL109,   IF(GenType_1a="bp (Float)",GenRate_1a%%*$AL109*$AN109,0))))</f>
        <v>0</v>
      </c>
      <c r="AR110" s="561"/>
      <c r="AT110" s="341">
        <f t="shared" si="28"/>
        <v>0</v>
      </c>
      <c r="AV110" s="356"/>
      <c r="AW110" s="122">
        <v>0</v>
      </c>
      <c r="AX110" s="128">
        <f t="shared" si="19"/>
        <v>0</v>
      </c>
      <c r="AY110" s="357">
        <v>0</v>
      </c>
      <c r="AZ110" s="699">
        <f>IF($AW111=0,0,        _xll.qDateNext($AW110,AZ$17,"M",TRUE,Currency2))</f>
        <v>0</v>
      </c>
      <c r="BA110" s="699">
        <f>IF($AW111=0,0,        _xll.qDateNext($AW110,BA$17,"M",TRUE,Currency2))</f>
        <v>0</v>
      </c>
      <c r="BB110" s="699">
        <f>IF($AW111=0,0,        _xll.qDateNext($AW110,BB$17,"M",TRUE,Currency2))</f>
        <v>0</v>
      </c>
      <c r="BC110" s="699">
        <f>IF($AW111=0,0,        _xll.qDateNext($AW110,BC$17,"M",TRUE,Currency2))</f>
        <v>0</v>
      </c>
      <c r="BD110" s="699">
        <f>IF($AW111=0,0,        _xll.qDateNext($AW110,BD$17,"M",TRUE,Currency2))</f>
        <v>0</v>
      </c>
      <c r="BE110" s="699">
        <f>IF($AW111=0,0,        _xll.qDateNext($AW110,BE$17,"M",TRUE,Currency2))</f>
        <v>0</v>
      </c>
      <c r="BF110" s="699">
        <f>IF($AW111=0,0,        _xll.qDateNext($AW110,BF$17,"M",TRUE,Currency2))</f>
        <v>0</v>
      </c>
      <c r="BG110" s="699">
        <f>IF($AW111=0,0,        _xll.qDateNext($AW110,BG$17,"M",TRUE,Currency2))</f>
        <v>0</v>
      </c>
      <c r="BH110" s="703">
        <v>0</v>
      </c>
      <c r="BI110" s="703">
        <v>0</v>
      </c>
      <c r="BJ110" s="703">
        <v>0</v>
      </c>
      <c r="BK110" s="703">
        <v>0</v>
      </c>
      <c r="BL110" s="703">
        <f t="shared" si="25"/>
        <v>0</v>
      </c>
      <c r="BM110" s="703">
        <f t="shared" si="26"/>
        <v>0</v>
      </c>
      <c r="BN110" s="703">
        <v>0</v>
      </c>
      <c r="BO110" s="703">
        <v>0</v>
      </c>
      <c r="BP110" s="685">
        <v>0</v>
      </c>
      <c r="BQ110" s="667"/>
      <c r="BR110" s="670">
        <f>IF(AW111=0,0,             IF(ISNUMBER(BQ110),BQ110,             IF(ISTEXT(BQ110),INDEX(BH110:BO110,MATCH(BQ110,$BH$17:$BO$17,0)),           IF(BP110="INT",_xll.qInterp(AW111,AZ110:BG110,BH110:BO110),       INDEX(BH110:BO110,MATCH(BP110,$BH$17:$BO$17,0))))))</f>
        <v>0</v>
      </c>
      <c r="BS110" s="731">
        <f t="shared" si="20"/>
        <v>0</v>
      </c>
      <c r="BT110" s="406">
        <f t="shared" si="21"/>
        <v>0</v>
      </c>
      <c r="BU110" s="284">
        <f>IF($AW111,_xll.qDateYears($AW110,$AW111,DCC_Leg2_Fixed),0)</f>
        <v>0</v>
      </c>
      <c r="BV110" s="284">
        <f>IF($AW111,_xll.qDateYears($AW110,$AW111,DCC_Leg2_Float),0)</f>
        <v>0</v>
      </c>
      <c r="BX110" s="350">
        <f t="shared" si="27"/>
        <v>0</v>
      </c>
      <c r="BY110" s="375">
        <f>IF(GenType_2a="Fixed",GenRate_2a%*$BT109*BU109,          IF(GenType_2a="Float",$BT109*(_xll.qGetFwdRate($J$18,$AW109,$AW110,"T",DCC_Leg2_Float)%+GenRate_2a%%)*$BV109,        IF(GenType_2a="bp (Fixed)",GenRate_2a%%*$BU109*$BT109,   IF(GenType_2a="bp (Float)",GenRate_2a%%*$BT109*$BV109,0))))</f>
        <v>0</v>
      </c>
      <c r="BZ110" s="561"/>
      <c r="CB110" s="341">
        <f t="shared" si="29"/>
        <v>0</v>
      </c>
      <c r="CC110" s="563"/>
      <c r="CD110" s="356"/>
      <c r="CE110" s="341">
        <v>0</v>
      </c>
      <c r="CF110" s="563"/>
      <c r="CG110" s="356"/>
    </row>
    <row r="111" spans="15:85">
      <c r="O111" s="122">
        <v>0</v>
      </c>
      <c r="P111" s="128">
        <f t="shared" si="16"/>
        <v>0</v>
      </c>
      <c r="Q111" s="126">
        <v>0</v>
      </c>
      <c r="R111" s="699">
        <f>IF($O112=0,0,        _xll.qDateNext($O111,R$17,"M",TRUE,Currency1))</f>
        <v>0</v>
      </c>
      <c r="S111" s="699">
        <f>IF($O112=0,0,        _xll.qDateNext($O111,S$17,"M",TRUE,Currency1))</f>
        <v>0</v>
      </c>
      <c r="T111" s="699">
        <f>IF($O112=0,0,        _xll.qDateNext($O111,T$17,"M",TRUE,Currency1))</f>
        <v>0</v>
      </c>
      <c r="U111" s="699">
        <f>IF($O112=0,0,        _xll.qDateNext($O111,U$17,"M",TRUE,Currency1))</f>
        <v>0</v>
      </c>
      <c r="V111" s="699">
        <f>IF($O112=0,0,        _xll.qDateNext($O111,V$17,"M",TRUE,Currency1))</f>
        <v>0</v>
      </c>
      <c r="W111" s="699">
        <f>IF($O112=0,0,        _xll.qDateNext($O111,W$17,"M",TRUE,Currency1))</f>
        <v>0</v>
      </c>
      <c r="X111" s="699">
        <f>IF($O112=0,0,        _xll.qDateNext($O111,X$17,"M",TRUE,Currency1))</f>
        <v>0</v>
      </c>
      <c r="Y111" s="699">
        <f>IF($O112=0,0,        _xll.qDateNext($O111,Y$17,"M",TRUE,Currency1))</f>
        <v>0</v>
      </c>
      <c r="Z111" s="703">
        <f>IF($O112=0,0,           IF(FRM,_xll.qGetFwdRate(Z$14,$O111,R111,"T",DCC_Leg1_Float),_xll.qGetFwdRate(Z$14,$O111,$O112,"T",DCC_Leg1_Float)))</f>
        <v>0</v>
      </c>
      <c r="AA111" s="703">
        <f>IF($O112=0,0,           IF(FRM,_xll.qGetFwdRate(AA$14,$O111,S111,"T",DCC_Leg1_Float),_xll.qGetFwdRate(AA$14,$O111,$O112,"T",DCC_Leg1_Float)))</f>
        <v>0</v>
      </c>
      <c r="AB111" s="703">
        <f t="shared" si="17"/>
        <v>0</v>
      </c>
      <c r="AC111" s="703">
        <f>IF($O112=0,0,           IF(FRM,_xll.qGetFwdRate(AC$14,$O111,U111,"T",DCC_Leg1_Float),_xll.qGetFwdRate(AC$14,$O111,$O112,"T",DCC_Leg1_Float)))</f>
        <v>0</v>
      </c>
      <c r="AD111" s="703">
        <f t="shared" si="22"/>
        <v>0</v>
      </c>
      <c r="AE111" s="703">
        <f t="shared" si="23"/>
        <v>0</v>
      </c>
      <c r="AF111" s="703">
        <f>IF($O112=0,0,           IF(FRM,_xll.qGetFwdRate(AF$14,$O111,X111,"T",DCC_Leg1_Float),_xll.qGetFwdRate(AF$14,$O111,$O112,"T",DCC_Leg1_Float)))</f>
        <v>0</v>
      </c>
      <c r="AG111" s="703">
        <f>IF($O112=0,0,           IF(FRM,_xll.qGetFwdRate(AG$14,$O111,Y111,"T",DCC_Leg1_Float),_xll.qGetFwdRate(AG$14,$O111,$O112,"T",DCC_Leg1_Float)))</f>
        <v>0</v>
      </c>
      <c r="AH111" s="685">
        <v>0</v>
      </c>
      <c r="AI111" s="667"/>
      <c r="AJ111" s="670">
        <f>IF(O112=0,0,             IF(ISNUMBER(AI111),AI111,             IF(ISTEXT(AI111),INDEX(Z111:AG111,MATCH(AI111,$Z$17:$AG$17,0)),           IF(AH111="INT",_xll.qInterp(O112,R111:Y111,Z111:AG111),       INDEX(Z111:AG111,MATCH(AH111,$Z$17:$AG$17,0))))))</f>
        <v>0</v>
      </c>
      <c r="AK111" s="732">
        <v>100</v>
      </c>
      <c r="AL111" s="721">
        <f t="shared" si="18"/>
        <v>0</v>
      </c>
      <c r="AM111" s="284">
        <f>IF($O112,_xll.qDateYears($O111,$O112,DCC_Leg1_Fixed),0)</f>
        <v>0</v>
      </c>
      <c r="AN111" s="284">
        <f>IF($O112,_xll.qDateYears($O111,$O112,DCC_Leg1_Float),0)</f>
        <v>0</v>
      </c>
      <c r="AP111" s="350">
        <f t="shared" si="24"/>
        <v>0</v>
      </c>
      <c r="AQ111" s="375">
        <f>IF(GenType_1a="Fixed",GenRate_1a%*$AL110*AM110,          IF(GenType_1a="Float",$AL110*(_xll.qGetFwdRate($D$18,$O110,$O111,"T",DCC_Leg1_Float)%+GenRate_1a%%)*$AN110,        IF(GenType_1a="bp (Fixed)",GenRate_1a%%*$AM110*$AL110,   IF(GenType_1a="bp (Float)",GenRate_1a%%*$AL110*$AN110,0))))</f>
        <v>0</v>
      </c>
      <c r="AR111" s="561"/>
      <c r="AT111" s="341">
        <f t="shared" si="28"/>
        <v>0</v>
      </c>
      <c r="AV111" s="356"/>
      <c r="AW111" s="122">
        <v>0</v>
      </c>
      <c r="AX111" s="128">
        <f t="shared" si="19"/>
        <v>0</v>
      </c>
      <c r="AY111" s="357">
        <v>0</v>
      </c>
      <c r="AZ111" s="699">
        <f>IF($AW112=0,0,        _xll.qDateNext($AW111,AZ$17,"M",TRUE,Currency2))</f>
        <v>0</v>
      </c>
      <c r="BA111" s="699">
        <f>IF($AW112=0,0,        _xll.qDateNext($AW111,BA$17,"M",TRUE,Currency2))</f>
        <v>0</v>
      </c>
      <c r="BB111" s="699">
        <f>IF($AW112=0,0,        _xll.qDateNext($AW111,BB$17,"M",TRUE,Currency2))</f>
        <v>0</v>
      </c>
      <c r="BC111" s="699">
        <f>IF($AW112=0,0,        _xll.qDateNext($AW111,BC$17,"M",TRUE,Currency2))</f>
        <v>0</v>
      </c>
      <c r="BD111" s="699">
        <f>IF($AW112=0,0,        _xll.qDateNext($AW111,BD$17,"M",TRUE,Currency2))</f>
        <v>0</v>
      </c>
      <c r="BE111" s="699">
        <f>IF($AW112=0,0,        _xll.qDateNext($AW111,BE$17,"M",TRUE,Currency2))</f>
        <v>0</v>
      </c>
      <c r="BF111" s="699">
        <f>IF($AW112=0,0,        _xll.qDateNext($AW111,BF$17,"M",TRUE,Currency2))</f>
        <v>0</v>
      </c>
      <c r="BG111" s="699">
        <f>IF($AW112=0,0,        _xll.qDateNext($AW111,BG$17,"M",TRUE,Currency2))</f>
        <v>0</v>
      </c>
      <c r="BH111" s="703">
        <v>0</v>
      </c>
      <c r="BI111" s="703">
        <v>0</v>
      </c>
      <c r="BJ111" s="703">
        <v>0</v>
      </c>
      <c r="BK111" s="703">
        <v>0</v>
      </c>
      <c r="BL111" s="703">
        <f t="shared" si="25"/>
        <v>0</v>
      </c>
      <c r="BM111" s="703">
        <f t="shared" si="26"/>
        <v>0</v>
      </c>
      <c r="BN111" s="703">
        <v>0</v>
      </c>
      <c r="BO111" s="703">
        <v>0</v>
      </c>
      <c r="BP111" s="685">
        <v>0</v>
      </c>
      <c r="BQ111" s="667"/>
      <c r="BR111" s="670">
        <f>IF(AW112=0,0,             IF(ISNUMBER(BQ111),BQ111,             IF(ISTEXT(BQ111),INDEX(BH111:BO111,MATCH(BQ111,$BH$17:$BO$17,0)),           IF(BP111="INT",_xll.qInterp(AW112,AZ111:BG111,BH111:BO111),       INDEX(BH111:BO111,MATCH(BP111,$BH$17:$BO$17,0))))))</f>
        <v>0</v>
      </c>
      <c r="BS111" s="731">
        <f t="shared" si="20"/>
        <v>0</v>
      </c>
      <c r="BT111" s="406">
        <f t="shared" si="21"/>
        <v>0</v>
      </c>
      <c r="BU111" s="284">
        <f>IF($AW112,_xll.qDateYears($AW111,$AW112,DCC_Leg2_Fixed),0)</f>
        <v>0</v>
      </c>
      <c r="BV111" s="284">
        <f>IF($AW112,_xll.qDateYears($AW111,$AW112,DCC_Leg2_Float),0)</f>
        <v>0</v>
      </c>
      <c r="BX111" s="350">
        <f t="shared" si="27"/>
        <v>0</v>
      </c>
      <c r="BY111" s="375">
        <f>IF(GenType_2a="Fixed",GenRate_2a%*$BT110*BU110,          IF(GenType_2a="Float",$BT110*(_xll.qGetFwdRate($J$18,$AW110,$AW111,"T",DCC_Leg2_Float)%+GenRate_2a%%)*$BV110,        IF(GenType_2a="bp (Fixed)",GenRate_2a%%*$BU110*$BT110,   IF(GenType_2a="bp (Float)",GenRate_2a%%*$BT110*$BV110,0))))</f>
        <v>0</v>
      </c>
      <c r="BZ111" s="561"/>
      <c r="CB111" s="341">
        <f t="shared" si="29"/>
        <v>0</v>
      </c>
      <c r="CC111" s="563"/>
      <c r="CD111" s="356"/>
      <c r="CE111" s="341">
        <v>0</v>
      </c>
      <c r="CF111" s="563"/>
      <c r="CG111" s="356"/>
    </row>
    <row r="112" spans="15:85">
      <c r="O112" s="122">
        <v>0</v>
      </c>
      <c r="P112" s="128">
        <f t="shared" si="16"/>
        <v>0</v>
      </c>
      <c r="Q112" s="126">
        <v>0</v>
      </c>
      <c r="R112" s="699">
        <f>IF($O113=0,0,        _xll.qDateNext($O112,R$17,"M",TRUE,Currency1))</f>
        <v>0</v>
      </c>
      <c r="S112" s="699">
        <f>IF($O113=0,0,        _xll.qDateNext($O112,S$17,"M",TRUE,Currency1))</f>
        <v>0</v>
      </c>
      <c r="T112" s="699">
        <f>IF($O113=0,0,        _xll.qDateNext($O112,T$17,"M",TRUE,Currency1))</f>
        <v>0</v>
      </c>
      <c r="U112" s="699">
        <f>IF($O113=0,0,        _xll.qDateNext($O112,U$17,"M",TRUE,Currency1))</f>
        <v>0</v>
      </c>
      <c r="V112" s="699">
        <f>IF($O113=0,0,        _xll.qDateNext($O112,V$17,"M",TRUE,Currency1))</f>
        <v>0</v>
      </c>
      <c r="W112" s="699">
        <f>IF($O113=0,0,        _xll.qDateNext($O112,W$17,"M",TRUE,Currency1))</f>
        <v>0</v>
      </c>
      <c r="X112" s="699">
        <f>IF($O113=0,0,        _xll.qDateNext($O112,X$17,"M",TRUE,Currency1))</f>
        <v>0</v>
      </c>
      <c r="Y112" s="699">
        <f>IF($O113=0,0,        _xll.qDateNext($O112,Y$17,"M",TRUE,Currency1))</f>
        <v>0</v>
      </c>
      <c r="Z112" s="703">
        <f>IF($O113=0,0,           IF(FRM,_xll.qGetFwdRate(Z$14,$O112,R112,"T",DCC_Leg1_Float),_xll.qGetFwdRate(Z$14,$O112,$O113,"T",DCC_Leg1_Float)))</f>
        <v>0</v>
      </c>
      <c r="AA112" s="703">
        <f>IF($O113=0,0,           IF(FRM,_xll.qGetFwdRate(AA$14,$O112,S112,"T",DCC_Leg1_Float),_xll.qGetFwdRate(AA$14,$O112,$O113,"T",DCC_Leg1_Float)))</f>
        <v>0</v>
      </c>
      <c r="AB112" s="703">
        <f t="shared" si="17"/>
        <v>0</v>
      </c>
      <c r="AC112" s="703">
        <f>IF($O113=0,0,           IF(FRM,_xll.qGetFwdRate(AC$14,$O112,U112,"T",DCC_Leg1_Float),_xll.qGetFwdRate(AC$14,$O112,$O113,"T",DCC_Leg1_Float)))</f>
        <v>0</v>
      </c>
      <c r="AD112" s="703">
        <f t="shared" si="22"/>
        <v>0</v>
      </c>
      <c r="AE112" s="703">
        <f t="shared" si="23"/>
        <v>0</v>
      </c>
      <c r="AF112" s="703">
        <f>IF($O113=0,0,           IF(FRM,_xll.qGetFwdRate(AF$14,$O112,X112,"T",DCC_Leg1_Float),_xll.qGetFwdRate(AF$14,$O112,$O113,"T",DCC_Leg1_Float)))</f>
        <v>0</v>
      </c>
      <c r="AG112" s="703">
        <f>IF($O113=0,0,           IF(FRM,_xll.qGetFwdRate(AG$14,$O112,Y112,"T",DCC_Leg1_Float),_xll.qGetFwdRate(AG$14,$O112,$O113,"T",DCC_Leg1_Float)))</f>
        <v>0</v>
      </c>
      <c r="AH112" s="685">
        <v>0</v>
      </c>
      <c r="AI112" s="667"/>
      <c r="AJ112" s="670">
        <f>IF(O113=0,0,             IF(ISNUMBER(AI112),AI112,             IF(ISTEXT(AI112),INDEX(Z112:AG112,MATCH(AI112,$Z$17:$AG$17,0)),           IF(AH112="INT",_xll.qInterp(O113,R112:Y112,Z112:AG112),       INDEX(Z112:AG112,MATCH(AH112,$Z$17:$AG$17,0))))))</f>
        <v>0</v>
      </c>
      <c r="AK112" s="732">
        <v>100</v>
      </c>
      <c r="AL112" s="721">
        <f t="shared" si="18"/>
        <v>0</v>
      </c>
      <c r="AM112" s="284">
        <f>IF($O113,_xll.qDateYears($O112,$O113,DCC_Leg1_Fixed),0)</f>
        <v>0</v>
      </c>
      <c r="AN112" s="284">
        <f>IF($O113,_xll.qDateYears($O112,$O113,DCC_Leg1_Float),0)</f>
        <v>0</v>
      </c>
      <c r="AP112" s="350">
        <f t="shared" si="24"/>
        <v>0</v>
      </c>
      <c r="AQ112" s="375">
        <f>IF(GenType_1a="Fixed",GenRate_1a%*$AL111*AM111,          IF(GenType_1a="Float",$AL111*(_xll.qGetFwdRate($D$18,$O111,$O112,"T",DCC_Leg1_Float)%+GenRate_1a%%)*$AN111,        IF(GenType_1a="bp (Fixed)",GenRate_1a%%*$AM111*$AL111,   IF(GenType_1a="bp (Float)",GenRate_1a%%*$AL111*$AN111,0))))</f>
        <v>0</v>
      </c>
      <c r="AR112" s="561"/>
      <c r="AT112" s="341">
        <f t="shared" si="28"/>
        <v>0</v>
      </c>
      <c r="AV112" s="356"/>
      <c r="AW112" s="122">
        <v>0</v>
      </c>
      <c r="AX112" s="128">
        <f t="shared" si="19"/>
        <v>0</v>
      </c>
      <c r="AY112" s="357">
        <v>0</v>
      </c>
      <c r="AZ112" s="699">
        <f>IF($AW113=0,0,        _xll.qDateNext($AW112,AZ$17,"M",TRUE,Currency2))</f>
        <v>0</v>
      </c>
      <c r="BA112" s="699">
        <f>IF($AW113=0,0,        _xll.qDateNext($AW112,BA$17,"M",TRUE,Currency2))</f>
        <v>0</v>
      </c>
      <c r="BB112" s="699">
        <f>IF($AW113=0,0,        _xll.qDateNext($AW112,BB$17,"M",TRUE,Currency2))</f>
        <v>0</v>
      </c>
      <c r="BC112" s="699">
        <f>IF($AW113=0,0,        _xll.qDateNext($AW112,BC$17,"M",TRUE,Currency2))</f>
        <v>0</v>
      </c>
      <c r="BD112" s="699">
        <f>IF($AW113=0,0,        _xll.qDateNext($AW112,BD$17,"M",TRUE,Currency2))</f>
        <v>0</v>
      </c>
      <c r="BE112" s="699">
        <f>IF($AW113=0,0,        _xll.qDateNext($AW112,BE$17,"M",TRUE,Currency2))</f>
        <v>0</v>
      </c>
      <c r="BF112" s="699">
        <f>IF($AW113=0,0,        _xll.qDateNext($AW112,BF$17,"M",TRUE,Currency2))</f>
        <v>0</v>
      </c>
      <c r="BG112" s="699">
        <f>IF($AW113=0,0,        _xll.qDateNext($AW112,BG$17,"M",TRUE,Currency2))</f>
        <v>0</v>
      </c>
      <c r="BH112" s="703">
        <v>0</v>
      </c>
      <c r="BI112" s="703">
        <v>0</v>
      </c>
      <c r="BJ112" s="703">
        <v>0</v>
      </c>
      <c r="BK112" s="703">
        <v>0</v>
      </c>
      <c r="BL112" s="703">
        <f t="shared" si="25"/>
        <v>0</v>
      </c>
      <c r="BM112" s="703">
        <f t="shared" si="26"/>
        <v>0</v>
      </c>
      <c r="BN112" s="703">
        <v>0</v>
      </c>
      <c r="BO112" s="703">
        <v>0</v>
      </c>
      <c r="BP112" s="685">
        <v>0</v>
      </c>
      <c r="BQ112" s="667"/>
      <c r="BR112" s="670">
        <f>IF(AW113=0,0,             IF(ISNUMBER(BQ112),BQ112,             IF(ISTEXT(BQ112),INDEX(BH112:BO112,MATCH(BQ112,$BH$17:$BO$17,0)),           IF(BP112="INT",_xll.qInterp(AW113,AZ112:BG112,BH112:BO112),       INDEX(BH112:BO112,MATCH(BP112,$BH$17:$BO$17,0))))))</f>
        <v>0</v>
      </c>
      <c r="BS112" s="731">
        <f t="shared" si="20"/>
        <v>0</v>
      </c>
      <c r="BT112" s="406">
        <f t="shared" si="21"/>
        <v>0</v>
      </c>
      <c r="BU112" s="284">
        <f>IF($AW113,_xll.qDateYears($AW112,$AW113,DCC_Leg2_Fixed),0)</f>
        <v>0</v>
      </c>
      <c r="BV112" s="284">
        <f>IF($AW113,_xll.qDateYears($AW112,$AW113,DCC_Leg2_Float),0)</f>
        <v>0</v>
      </c>
      <c r="BX112" s="350">
        <f t="shared" si="27"/>
        <v>0</v>
      </c>
      <c r="BY112" s="375">
        <f>IF(GenType_2a="Fixed",GenRate_2a%*$BT111*BU111,          IF(GenType_2a="Float",$BT111*(_xll.qGetFwdRate($J$18,$AW111,$AW112,"T",DCC_Leg2_Float)%+GenRate_2a%%)*$BV111,        IF(GenType_2a="bp (Fixed)",GenRate_2a%%*$BU111*$BT111,   IF(GenType_2a="bp (Float)",GenRate_2a%%*$BT111*$BV111,0))))</f>
        <v>0</v>
      </c>
      <c r="BZ112" s="561"/>
      <c r="CB112" s="341">
        <f t="shared" si="29"/>
        <v>0</v>
      </c>
      <c r="CC112" s="563"/>
      <c r="CD112" s="356"/>
      <c r="CE112" s="341">
        <v>0</v>
      </c>
      <c r="CF112" s="563"/>
      <c r="CG112" s="356"/>
    </row>
    <row r="113" spans="15:85">
      <c r="O113" s="122">
        <v>0</v>
      </c>
      <c r="P113" s="128">
        <f t="shared" si="16"/>
        <v>0</v>
      </c>
      <c r="Q113" s="126">
        <v>0</v>
      </c>
      <c r="R113" s="699">
        <f>IF($O114=0,0,        _xll.qDateNext($O113,R$17,"M",TRUE,Currency1))</f>
        <v>0</v>
      </c>
      <c r="S113" s="699">
        <f>IF($O114=0,0,        _xll.qDateNext($O113,S$17,"M",TRUE,Currency1))</f>
        <v>0</v>
      </c>
      <c r="T113" s="699">
        <f>IF($O114=0,0,        _xll.qDateNext($O113,T$17,"M",TRUE,Currency1))</f>
        <v>0</v>
      </c>
      <c r="U113" s="699">
        <f>IF($O114=0,0,        _xll.qDateNext($O113,U$17,"M",TRUE,Currency1))</f>
        <v>0</v>
      </c>
      <c r="V113" s="699">
        <f>IF($O114=0,0,        _xll.qDateNext($O113,V$17,"M",TRUE,Currency1))</f>
        <v>0</v>
      </c>
      <c r="W113" s="699">
        <f>IF($O114=0,0,        _xll.qDateNext($O113,W$17,"M",TRUE,Currency1))</f>
        <v>0</v>
      </c>
      <c r="X113" s="699">
        <f>IF($O114=0,0,        _xll.qDateNext($O113,X$17,"M",TRUE,Currency1))</f>
        <v>0</v>
      </c>
      <c r="Y113" s="699">
        <f>IF($O114=0,0,        _xll.qDateNext($O113,Y$17,"M",TRUE,Currency1))</f>
        <v>0</v>
      </c>
      <c r="Z113" s="703">
        <f>IF($O114=0,0,           IF(FRM,_xll.qGetFwdRate(Z$14,$O113,R113,"T",DCC_Leg1_Float),_xll.qGetFwdRate(Z$14,$O113,$O114,"T",DCC_Leg1_Float)))</f>
        <v>0</v>
      </c>
      <c r="AA113" s="703">
        <f>IF($O114=0,0,           IF(FRM,_xll.qGetFwdRate(AA$14,$O113,S113,"T",DCC_Leg1_Float),_xll.qGetFwdRate(AA$14,$O113,$O114,"T",DCC_Leg1_Float)))</f>
        <v>0</v>
      </c>
      <c r="AB113" s="703">
        <f t="shared" si="17"/>
        <v>0</v>
      </c>
      <c r="AC113" s="703">
        <f>IF($O114=0,0,           IF(FRM,_xll.qGetFwdRate(AC$14,$O113,U113,"T",DCC_Leg1_Float),_xll.qGetFwdRate(AC$14,$O113,$O114,"T",DCC_Leg1_Float)))</f>
        <v>0</v>
      </c>
      <c r="AD113" s="703">
        <f t="shared" si="22"/>
        <v>0</v>
      </c>
      <c r="AE113" s="703">
        <f t="shared" si="23"/>
        <v>0</v>
      </c>
      <c r="AF113" s="703">
        <f>IF($O114=0,0,           IF(FRM,_xll.qGetFwdRate(AF$14,$O113,X113,"T",DCC_Leg1_Float),_xll.qGetFwdRate(AF$14,$O113,$O114,"T",DCC_Leg1_Float)))</f>
        <v>0</v>
      </c>
      <c r="AG113" s="703">
        <f>IF($O114=0,0,           IF(FRM,_xll.qGetFwdRate(AG$14,$O113,Y113,"T",DCC_Leg1_Float),_xll.qGetFwdRate(AG$14,$O113,$O114,"T",DCC_Leg1_Float)))</f>
        <v>0</v>
      </c>
      <c r="AH113" s="685">
        <v>0</v>
      </c>
      <c r="AI113" s="667"/>
      <c r="AJ113" s="670">
        <f>IF(O114=0,0,             IF(ISNUMBER(AI113),AI113,             IF(ISTEXT(AI113),INDEX(Z113:AG113,MATCH(AI113,$Z$17:$AG$17,0)),           IF(AH113="INT",_xll.qInterp(O114,R113:Y113,Z113:AG113),       INDEX(Z113:AG113,MATCH(AH113,$Z$17:$AG$17,0))))))</f>
        <v>0</v>
      </c>
      <c r="AK113" s="732">
        <v>100</v>
      </c>
      <c r="AL113" s="721">
        <f t="shared" si="18"/>
        <v>0</v>
      </c>
      <c r="AM113" s="284">
        <f>IF($O114,_xll.qDateYears($O113,$O114,DCC_Leg1_Fixed),0)</f>
        <v>0</v>
      </c>
      <c r="AN113" s="284">
        <f>IF($O114,_xll.qDateYears($O113,$O114,DCC_Leg1_Float),0)</f>
        <v>0</v>
      </c>
      <c r="AP113" s="350">
        <f t="shared" si="24"/>
        <v>0</v>
      </c>
      <c r="AQ113" s="375">
        <f>IF(GenType_1a="Fixed",GenRate_1a%*$AL112*AM112,          IF(GenType_1a="Float",$AL112*(_xll.qGetFwdRate($D$18,$O112,$O113,"T",DCC_Leg1_Float)%+GenRate_1a%%)*$AN112,        IF(GenType_1a="bp (Fixed)",GenRate_1a%%*$AM112*$AL112,   IF(GenType_1a="bp (Float)",GenRate_1a%%*$AL112*$AN112,0))))</f>
        <v>0</v>
      </c>
      <c r="AR113" s="561"/>
      <c r="AT113" s="341">
        <f t="shared" si="28"/>
        <v>0</v>
      </c>
      <c r="AV113" s="356"/>
      <c r="AW113" s="122">
        <v>0</v>
      </c>
      <c r="AX113" s="128">
        <f t="shared" si="19"/>
        <v>0</v>
      </c>
      <c r="AY113" s="357">
        <v>0</v>
      </c>
      <c r="AZ113" s="699">
        <f>IF($AW114=0,0,        _xll.qDateNext($AW113,AZ$17,"M",TRUE,Currency2))</f>
        <v>0</v>
      </c>
      <c r="BA113" s="699">
        <f>IF($AW114=0,0,        _xll.qDateNext($AW113,BA$17,"M",TRUE,Currency2))</f>
        <v>0</v>
      </c>
      <c r="BB113" s="699">
        <f>IF($AW114=0,0,        _xll.qDateNext($AW113,BB$17,"M",TRUE,Currency2))</f>
        <v>0</v>
      </c>
      <c r="BC113" s="699">
        <f>IF($AW114=0,0,        _xll.qDateNext($AW113,BC$17,"M",TRUE,Currency2))</f>
        <v>0</v>
      </c>
      <c r="BD113" s="699">
        <f>IF($AW114=0,0,        _xll.qDateNext($AW113,BD$17,"M",TRUE,Currency2))</f>
        <v>0</v>
      </c>
      <c r="BE113" s="699">
        <f>IF($AW114=0,0,        _xll.qDateNext($AW113,BE$17,"M",TRUE,Currency2))</f>
        <v>0</v>
      </c>
      <c r="BF113" s="699">
        <f>IF($AW114=0,0,        _xll.qDateNext($AW113,BF$17,"M",TRUE,Currency2))</f>
        <v>0</v>
      </c>
      <c r="BG113" s="699">
        <f>IF($AW114=0,0,        _xll.qDateNext($AW113,BG$17,"M",TRUE,Currency2))</f>
        <v>0</v>
      </c>
      <c r="BH113" s="703">
        <v>0</v>
      </c>
      <c r="BI113" s="703">
        <v>0</v>
      </c>
      <c r="BJ113" s="703">
        <v>0</v>
      </c>
      <c r="BK113" s="703">
        <v>0</v>
      </c>
      <c r="BL113" s="703">
        <f t="shared" si="25"/>
        <v>0</v>
      </c>
      <c r="BM113" s="703">
        <f t="shared" si="26"/>
        <v>0</v>
      </c>
      <c r="BN113" s="703">
        <v>0</v>
      </c>
      <c r="BO113" s="703">
        <v>0</v>
      </c>
      <c r="BP113" s="685">
        <v>0</v>
      </c>
      <c r="BQ113" s="667"/>
      <c r="BR113" s="670">
        <f>IF(AW114=0,0,             IF(ISNUMBER(BQ113),BQ113,             IF(ISTEXT(BQ113),INDEX(BH113:BO113,MATCH(BQ113,$BH$17:$BO$17,0)),           IF(BP113="INT",_xll.qInterp(AW114,AZ113:BG113,BH113:BO113),       INDEX(BH113:BO113,MATCH(BP113,$BH$17:$BO$17,0))))))</f>
        <v>0</v>
      </c>
      <c r="BS113" s="731">
        <f t="shared" si="20"/>
        <v>0</v>
      </c>
      <c r="BT113" s="406">
        <f t="shared" si="21"/>
        <v>0</v>
      </c>
      <c r="BU113" s="284">
        <f>IF($AW114,_xll.qDateYears($AW113,$AW114,DCC_Leg2_Fixed),0)</f>
        <v>0</v>
      </c>
      <c r="BV113" s="284">
        <f>IF($AW114,_xll.qDateYears($AW113,$AW114,DCC_Leg2_Float),0)</f>
        <v>0</v>
      </c>
      <c r="BX113" s="350">
        <f t="shared" si="27"/>
        <v>0</v>
      </c>
      <c r="BY113" s="375">
        <f>IF(GenType_2a="Fixed",GenRate_2a%*$BT112*BU112,          IF(GenType_2a="Float",$BT112*(_xll.qGetFwdRate($J$18,$AW112,$AW113,"T",DCC_Leg2_Float)%+GenRate_2a%%)*$BV112,        IF(GenType_2a="bp (Fixed)",GenRate_2a%%*$BU112*$BT112,   IF(GenType_2a="bp (Float)",GenRate_2a%%*$BT112*$BV112,0))))</f>
        <v>0</v>
      </c>
      <c r="BZ113" s="561"/>
      <c r="CB113" s="341">
        <f t="shared" si="29"/>
        <v>0</v>
      </c>
      <c r="CC113" s="563"/>
      <c r="CD113" s="356"/>
      <c r="CE113" s="341">
        <v>0</v>
      </c>
      <c r="CF113" s="563"/>
      <c r="CG113" s="356"/>
    </row>
    <row r="114" spans="15:85">
      <c r="O114" s="122">
        <v>0</v>
      </c>
      <c r="P114" s="128">
        <f t="shared" si="16"/>
        <v>0</v>
      </c>
      <c r="Q114" s="126">
        <v>0</v>
      </c>
      <c r="R114" s="699">
        <f>IF($O115=0,0,        _xll.qDateNext($O114,R$17,"M",TRUE,Currency1))</f>
        <v>0</v>
      </c>
      <c r="S114" s="699">
        <f>IF($O115=0,0,        _xll.qDateNext($O114,S$17,"M",TRUE,Currency1))</f>
        <v>0</v>
      </c>
      <c r="T114" s="699">
        <f>IF($O115=0,0,        _xll.qDateNext($O114,T$17,"M",TRUE,Currency1))</f>
        <v>0</v>
      </c>
      <c r="U114" s="699">
        <f>IF($O115=0,0,        _xll.qDateNext($O114,U$17,"M",TRUE,Currency1))</f>
        <v>0</v>
      </c>
      <c r="V114" s="699">
        <f>IF($O115=0,0,        _xll.qDateNext($O114,V$17,"M",TRUE,Currency1))</f>
        <v>0</v>
      </c>
      <c r="W114" s="699">
        <f>IF($O115=0,0,        _xll.qDateNext($O114,W$17,"M",TRUE,Currency1))</f>
        <v>0</v>
      </c>
      <c r="X114" s="699">
        <f>IF($O115=0,0,        _xll.qDateNext($O114,X$17,"M",TRUE,Currency1))</f>
        <v>0</v>
      </c>
      <c r="Y114" s="699">
        <f>IF($O115=0,0,        _xll.qDateNext($O114,Y$17,"M",TRUE,Currency1))</f>
        <v>0</v>
      </c>
      <c r="Z114" s="703">
        <f>IF($O115=0,0,           IF(FRM,_xll.qGetFwdRate(Z$14,$O114,R114,"T",DCC_Leg1_Float),_xll.qGetFwdRate(Z$14,$O114,$O115,"T",DCC_Leg1_Float)))</f>
        <v>0</v>
      </c>
      <c r="AA114" s="703">
        <f>IF($O115=0,0,           IF(FRM,_xll.qGetFwdRate(AA$14,$O114,S114,"T",DCC_Leg1_Float),_xll.qGetFwdRate(AA$14,$O114,$O115,"T",DCC_Leg1_Float)))</f>
        <v>0</v>
      </c>
      <c r="AB114" s="703">
        <f t="shared" si="17"/>
        <v>0</v>
      </c>
      <c r="AC114" s="703">
        <f>IF($O115=0,0,           IF(FRM,_xll.qGetFwdRate(AC$14,$O114,U114,"T",DCC_Leg1_Float),_xll.qGetFwdRate(AC$14,$O114,$O115,"T",DCC_Leg1_Float)))</f>
        <v>0</v>
      </c>
      <c r="AD114" s="703">
        <f t="shared" si="22"/>
        <v>0</v>
      </c>
      <c r="AE114" s="703">
        <f t="shared" si="23"/>
        <v>0</v>
      </c>
      <c r="AF114" s="703">
        <f>IF($O115=0,0,           IF(FRM,_xll.qGetFwdRate(AF$14,$O114,X114,"T",DCC_Leg1_Float),_xll.qGetFwdRate(AF$14,$O114,$O115,"T",DCC_Leg1_Float)))</f>
        <v>0</v>
      </c>
      <c r="AG114" s="703">
        <f>IF($O115=0,0,           IF(FRM,_xll.qGetFwdRate(AG$14,$O114,Y114,"T",DCC_Leg1_Float),_xll.qGetFwdRate(AG$14,$O114,$O115,"T",DCC_Leg1_Float)))</f>
        <v>0</v>
      </c>
      <c r="AH114" s="685">
        <v>0</v>
      </c>
      <c r="AI114" s="667"/>
      <c r="AJ114" s="670">
        <f>IF(O115=0,0,             IF(ISNUMBER(AI114),AI114,             IF(ISTEXT(AI114),INDEX(Z114:AG114,MATCH(AI114,$Z$17:$AG$17,0)),           IF(AH114="INT",_xll.qInterp(O115,R114:Y114,Z114:AG114),       INDEX(Z114:AG114,MATCH(AH114,$Z$17:$AG$17,0))))))</f>
        <v>0</v>
      </c>
      <c r="AK114" s="732">
        <v>100</v>
      </c>
      <c r="AL114" s="721">
        <f t="shared" si="18"/>
        <v>0</v>
      </c>
      <c r="AM114" s="284">
        <f>IF($O115,_xll.qDateYears($O114,$O115,DCC_Leg1_Fixed),0)</f>
        <v>0</v>
      </c>
      <c r="AN114" s="284">
        <f>IF($O115,_xll.qDateYears($O114,$O115,DCC_Leg1_Float),0)</f>
        <v>0</v>
      </c>
      <c r="AP114" s="350">
        <f t="shared" si="24"/>
        <v>0</v>
      </c>
      <c r="AQ114" s="375">
        <f>IF(GenType_1a="Fixed",GenRate_1a%*$AL113*AM113,          IF(GenType_1a="Float",$AL113*(_xll.qGetFwdRate($D$18,$O113,$O114,"T",DCC_Leg1_Float)%+GenRate_1a%%)*$AN113,        IF(GenType_1a="bp (Fixed)",GenRate_1a%%*$AM113*$AL113,   IF(GenType_1a="bp (Float)",GenRate_1a%%*$AL113*$AN113,0))))</f>
        <v>0</v>
      </c>
      <c r="AR114" s="561"/>
      <c r="AT114" s="341">
        <f t="shared" si="28"/>
        <v>0</v>
      </c>
      <c r="AV114" s="356"/>
      <c r="AW114" s="122">
        <v>0</v>
      </c>
      <c r="AX114" s="128">
        <f t="shared" si="19"/>
        <v>0</v>
      </c>
      <c r="AY114" s="357">
        <v>0</v>
      </c>
      <c r="AZ114" s="699">
        <f>IF($AW115=0,0,        _xll.qDateNext($AW114,AZ$17,"M",TRUE,Currency2))</f>
        <v>0</v>
      </c>
      <c r="BA114" s="699">
        <f>IF($AW115=0,0,        _xll.qDateNext($AW114,BA$17,"M",TRUE,Currency2))</f>
        <v>0</v>
      </c>
      <c r="BB114" s="699">
        <f>IF($AW115=0,0,        _xll.qDateNext($AW114,BB$17,"M",TRUE,Currency2))</f>
        <v>0</v>
      </c>
      <c r="BC114" s="699">
        <f>IF($AW115=0,0,        _xll.qDateNext($AW114,BC$17,"M",TRUE,Currency2))</f>
        <v>0</v>
      </c>
      <c r="BD114" s="699">
        <f>IF($AW115=0,0,        _xll.qDateNext($AW114,BD$17,"M",TRUE,Currency2))</f>
        <v>0</v>
      </c>
      <c r="BE114" s="699">
        <f>IF($AW115=0,0,        _xll.qDateNext($AW114,BE$17,"M",TRUE,Currency2))</f>
        <v>0</v>
      </c>
      <c r="BF114" s="699">
        <f>IF($AW115=0,0,        _xll.qDateNext($AW114,BF$17,"M",TRUE,Currency2))</f>
        <v>0</v>
      </c>
      <c r="BG114" s="699">
        <f>IF($AW115=0,0,        _xll.qDateNext($AW114,BG$17,"M",TRUE,Currency2))</f>
        <v>0</v>
      </c>
      <c r="BH114" s="703">
        <v>0</v>
      </c>
      <c r="BI114" s="703">
        <v>0</v>
      </c>
      <c r="BJ114" s="703">
        <v>0</v>
      </c>
      <c r="BK114" s="703">
        <v>0</v>
      </c>
      <c r="BL114" s="703">
        <f t="shared" si="25"/>
        <v>0</v>
      </c>
      <c r="BM114" s="703">
        <f t="shared" si="26"/>
        <v>0</v>
      </c>
      <c r="BN114" s="703">
        <v>0</v>
      </c>
      <c r="BO114" s="703">
        <v>0</v>
      </c>
      <c r="BP114" s="685">
        <v>0</v>
      </c>
      <c r="BQ114" s="667"/>
      <c r="BR114" s="670">
        <f>IF(AW115=0,0,             IF(ISNUMBER(BQ114),BQ114,             IF(ISTEXT(BQ114),INDEX(BH114:BO114,MATCH(BQ114,$BH$17:$BO$17,0)),           IF(BP114="INT",_xll.qInterp(AW115,AZ114:BG114,BH114:BO114),       INDEX(BH114:BO114,MATCH(BP114,$BH$17:$BO$17,0))))))</f>
        <v>0</v>
      </c>
      <c r="BS114" s="731">
        <f t="shared" si="20"/>
        <v>0</v>
      </c>
      <c r="BT114" s="406">
        <f t="shared" si="21"/>
        <v>0</v>
      </c>
      <c r="BU114" s="284">
        <f>IF($AW115,_xll.qDateYears($AW114,$AW115,DCC_Leg2_Fixed),0)</f>
        <v>0</v>
      </c>
      <c r="BV114" s="284">
        <f>IF($AW115,_xll.qDateYears($AW114,$AW115,DCC_Leg2_Float),0)</f>
        <v>0</v>
      </c>
      <c r="BX114" s="350">
        <f t="shared" si="27"/>
        <v>0</v>
      </c>
      <c r="BY114" s="375">
        <f>IF(GenType_2a="Fixed",GenRate_2a%*$BT113*BU113,          IF(GenType_2a="Float",$BT113*(_xll.qGetFwdRate($J$18,$AW113,$AW114,"T",DCC_Leg2_Float)%+GenRate_2a%%)*$BV113,        IF(GenType_2a="bp (Fixed)",GenRate_2a%%*$BU113*$BT113,   IF(GenType_2a="bp (Float)",GenRate_2a%%*$BT113*$BV113,0))))</f>
        <v>0</v>
      </c>
      <c r="BZ114" s="561"/>
      <c r="CB114" s="341">
        <f t="shared" si="29"/>
        <v>0</v>
      </c>
      <c r="CC114" s="563"/>
      <c r="CD114" s="356"/>
      <c r="CE114" s="341">
        <v>0</v>
      </c>
      <c r="CF114" s="563"/>
      <c r="CG114" s="356"/>
    </row>
    <row r="115" spans="15:85">
      <c r="O115" s="122">
        <v>0</v>
      </c>
      <c r="P115" s="128">
        <f t="shared" si="16"/>
        <v>0</v>
      </c>
      <c r="Q115" s="126">
        <v>0</v>
      </c>
      <c r="R115" s="699">
        <f>IF($O116=0,0,        _xll.qDateNext($O115,R$17,"M",TRUE,Currency1))</f>
        <v>0</v>
      </c>
      <c r="S115" s="699">
        <f>IF($O116=0,0,        _xll.qDateNext($O115,S$17,"M",TRUE,Currency1))</f>
        <v>0</v>
      </c>
      <c r="T115" s="699">
        <f>IF($O116=0,0,        _xll.qDateNext($O115,T$17,"M",TRUE,Currency1))</f>
        <v>0</v>
      </c>
      <c r="U115" s="699">
        <f>IF($O116=0,0,        _xll.qDateNext($O115,U$17,"M",TRUE,Currency1))</f>
        <v>0</v>
      </c>
      <c r="V115" s="699">
        <f>IF($O116=0,0,        _xll.qDateNext($O115,V$17,"M",TRUE,Currency1))</f>
        <v>0</v>
      </c>
      <c r="W115" s="699">
        <f>IF($O116=0,0,        _xll.qDateNext($O115,W$17,"M",TRUE,Currency1))</f>
        <v>0</v>
      </c>
      <c r="X115" s="699">
        <f>IF($O116=0,0,        _xll.qDateNext($O115,X$17,"M",TRUE,Currency1))</f>
        <v>0</v>
      </c>
      <c r="Y115" s="699">
        <f>IF($O116=0,0,        _xll.qDateNext($O115,Y$17,"M",TRUE,Currency1))</f>
        <v>0</v>
      </c>
      <c r="Z115" s="703">
        <f>IF($O116=0,0,           IF(FRM,_xll.qGetFwdRate(Z$14,$O115,R115,"T",DCC_Leg1_Float),_xll.qGetFwdRate(Z$14,$O115,$O116,"T",DCC_Leg1_Float)))</f>
        <v>0</v>
      </c>
      <c r="AA115" s="703">
        <f>IF($O116=0,0,           IF(FRM,_xll.qGetFwdRate(AA$14,$O115,S115,"T",DCC_Leg1_Float),_xll.qGetFwdRate(AA$14,$O115,$O116,"T",DCC_Leg1_Float)))</f>
        <v>0</v>
      </c>
      <c r="AB115" s="703">
        <f t="shared" si="17"/>
        <v>0</v>
      </c>
      <c r="AC115" s="703">
        <f>IF($O116=0,0,           IF(FRM,_xll.qGetFwdRate(AC$14,$O115,U115,"T",DCC_Leg1_Float),_xll.qGetFwdRate(AC$14,$O115,$O116,"T",DCC_Leg1_Float)))</f>
        <v>0</v>
      </c>
      <c r="AD115" s="703">
        <f t="shared" si="22"/>
        <v>0</v>
      </c>
      <c r="AE115" s="703">
        <f t="shared" si="23"/>
        <v>0</v>
      </c>
      <c r="AF115" s="703">
        <f>IF($O116=0,0,           IF(FRM,_xll.qGetFwdRate(AF$14,$O115,X115,"T",DCC_Leg1_Float),_xll.qGetFwdRate(AF$14,$O115,$O116,"T",DCC_Leg1_Float)))</f>
        <v>0</v>
      </c>
      <c r="AG115" s="703">
        <f>IF($O116=0,0,           IF(FRM,_xll.qGetFwdRate(AG$14,$O115,Y115,"T",DCC_Leg1_Float),_xll.qGetFwdRate(AG$14,$O115,$O116,"T",DCC_Leg1_Float)))</f>
        <v>0</v>
      </c>
      <c r="AH115" s="685">
        <v>0</v>
      </c>
      <c r="AI115" s="667"/>
      <c r="AJ115" s="670">
        <f>IF(O116=0,0,             IF(ISNUMBER(AI115),AI115,             IF(ISTEXT(AI115),INDEX(Z115:AG115,MATCH(AI115,$Z$17:$AG$17,0)),           IF(AH115="INT",_xll.qInterp(O116,R115:Y115,Z115:AG115),       INDEX(Z115:AG115,MATCH(AH115,$Z$17:$AG$17,0))))))</f>
        <v>0</v>
      </c>
      <c r="AK115" s="732">
        <v>100</v>
      </c>
      <c r="AL115" s="721">
        <f t="shared" si="18"/>
        <v>0</v>
      </c>
      <c r="AM115" s="284">
        <f>IF($O116,_xll.qDateYears($O115,$O116,DCC_Leg1_Fixed),0)</f>
        <v>0</v>
      </c>
      <c r="AN115" s="284">
        <f>IF($O116,_xll.qDateYears($O115,$O116,DCC_Leg1_Float),0)</f>
        <v>0</v>
      </c>
      <c r="AP115" s="350">
        <f t="shared" si="24"/>
        <v>0</v>
      </c>
      <c r="AQ115" s="375">
        <f>IF(GenType_1a="Fixed",GenRate_1a%*$AL114*AM114,          IF(GenType_1a="Float",$AL114*(_xll.qGetFwdRate($D$18,$O114,$O115,"T",DCC_Leg1_Float)%+GenRate_1a%%)*$AN114,        IF(GenType_1a="bp (Fixed)",GenRate_1a%%*$AM114*$AL114,   IF(GenType_1a="bp (Float)",GenRate_1a%%*$AL114*$AN114,0))))</f>
        <v>0</v>
      </c>
      <c r="AR115" s="561"/>
      <c r="AT115" s="341">
        <f t="shared" si="28"/>
        <v>0</v>
      </c>
      <c r="AV115" s="356"/>
      <c r="AW115" s="122">
        <v>0</v>
      </c>
      <c r="AX115" s="128">
        <f t="shared" si="19"/>
        <v>0</v>
      </c>
      <c r="AY115" s="357">
        <v>0</v>
      </c>
      <c r="AZ115" s="699">
        <f>IF($AW116=0,0,        _xll.qDateNext($AW115,AZ$17,"M",TRUE,Currency2))</f>
        <v>0</v>
      </c>
      <c r="BA115" s="699">
        <f>IF($AW116=0,0,        _xll.qDateNext($AW115,BA$17,"M",TRUE,Currency2))</f>
        <v>0</v>
      </c>
      <c r="BB115" s="699">
        <f>IF($AW116=0,0,        _xll.qDateNext($AW115,BB$17,"M",TRUE,Currency2))</f>
        <v>0</v>
      </c>
      <c r="BC115" s="699">
        <f>IF($AW116=0,0,        _xll.qDateNext($AW115,BC$17,"M",TRUE,Currency2))</f>
        <v>0</v>
      </c>
      <c r="BD115" s="699">
        <f>IF($AW116=0,0,        _xll.qDateNext($AW115,BD$17,"M",TRUE,Currency2))</f>
        <v>0</v>
      </c>
      <c r="BE115" s="699">
        <f>IF($AW116=0,0,        _xll.qDateNext($AW115,BE$17,"M",TRUE,Currency2))</f>
        <v>0</v>
      </c>
      <c r="BF115" s="699">
        <f>IF($AW116=0,0,        _xll.qDateNext($AW115,BF$17,"M",TRUE,Currency2))</f>
        <v>0</v>
      </c>
      <c r="BG115" s="699">
        <f>IF($AW116=0,0,        _xll.qDateNext($AW115,BG$17,"M",TRUE,Currency2))</f>
        <v>0</v>
      </c>
      <c r="BH115" s="703">
        <v>0</v>
      </c>
      <c r="BI115" s="703">
        <v>0</v>
      </c>
      <c r="BJ115" s="703">
        <v>0</v>
      </c>
      <c r="BK115" s="703">
        <v>0</v>
      </c>
      <c r="BL115" s="703">
        <f t="shared" si="25"/>
        <v>0</v>
      </c>
      <c r="BM115" s="703">
        <f t="shared" si="26"/>
        <v>0</v>
      </c>
      <c r="BN115" s="703">
        <v>0</v>
      </c>
      <c r="BO115" s="703">
        <v>0</v>
      </c>
      <c r="BP115" s="685">
        <v>0</v>
      </c>
      <c r="BQ115" s="667"/>
      <c r="BR115" s="670">
        <f>IF(AW116=0,0,             IF(ISNUMBER(BQ115),BQ115,             IF(ISTEXT(BQ115),INDEX(BH115:BO115,MATCH(BQ115,$BH$17:$BO$17,0)),           IF(BP115="INT",_xll.qInterp(AW116,AZ115:BG115,BH115:BO115),       INDEX(BH115:BO115,MATCH(BP115,$BH$17:$BO$17,0))))))</f>
        <v>0</v>
      </c>
      <c r="BS115" s="731">
        <f t="shared" si="20"/>
        <v>0</v>
      </c>
      <c r="BT115" s="406">
        <f t="shared" si="21"/>
        <v>0</v>
      </c>
      <c r="BU115" s="284">
        <f>IF($AW116,_xll.qDateYears($AW115,$AW116,DCC_Leg2_Fixed),0)</f>
        <v>0</v>
      </c>
      <c r="BV115" s="284">
        <f>IF($AW116,_xll.qDateYears($AW115,$AW116,DCC_Leg2_Float),0)</f>
        <v>0</v>
      </c>
      <c r="BX115" s="350">
        <f t="shared" si="27"/>
        <v>0</v>
      </c>
      <c r="BY115" s="375">
        <f>IF(GenType_2a="Fixed",GenRate_2a%*$BT114*BU114,          IF(GenType_2a="Float",$BT114*(_xll.qGetFwdRate($J$18,$AW114,$AW115,"T",DCC_Leg2_Float)%+GenRate_2a%%)*$BV114,        IF(GenType_2a="bp (Fixed)",GenRate_2a%%*$BU114*$BT114,   IF(GenType_2a="bp (Float)",GenRate_2a%%*$BT114*$BV114,0))))</f>
        <v>0</v>
      </c>
      <c r="BZ115" s="561"/>
      <c r="CB115" s="341">
        <f t="shared" si="29"/>
        <v>0</v>
      </c>
      <c r="CC115" s="563"/>
      <c r="CD115" s="356"/>
      <c r="CE115" s="341">
        <v>0</v>
      </c>
      <c r="CF115" s="563"/>
      <c r="CG115" s="356"/>
    </row>
    <row r="116" spans="15:85">
      <c r="O116" s="122">
        <v>0</v>
      </c>
      <c r="P116" s="128">
        <f t="shared" si="16"/>
        <v>0</v>
      </c>
      <c r="Q116" s="126">
        <v>0</v>
      </c>
      <c r="R116" s="699">
        <f>IF($O117=0,0,        _xll.qDateNext($O116,R$17,"M",TRUE,Currency1))</f>
        <v>0</v>
      </c>
      <c r="S116" s="699">
        <f>IF($O117=0,0,        _xll.qDateNext($O116,S$17,"M",TRUE,Currency1))</f>
        <v>0</v>
      </c>
      <c r="T116" s="699">
        <f>IF($O117=0,0,        _xll.qDateNext($O116,T$17,"M",TRUE,Currency1))</f>
        <v>0</v>
      </c>
      <c r="U116" s="699">
        <f>IF($O117=0,0,        _xll.qDateNext($O116,U$17,"M",TRUE,Currency1))</f>
        <v>0</v>
      </c>
      <c r="V116" s="699">
        <f>IF($O117=0,0,        _xll.qDateNext($O116,V$17,"M",TRUE,Currency1))</f>
        <v>0</v>
      </c>
      <c r="W116" s="699">
        <f>IF($O117=0,0,        _xll.qDateNext($O116,W$17,"M",TRUE,Currency1))</f>
        <v>0</v>
      </c>
      <c r="X116" s="699">
        <f>IF($O117=0,0,        _xll.qDateNext($O116,X$17,"M",TRUE,Currency1))</f>
        <v>0</v>
      </c>
      <c r="Y116" s="699">
        <f>IF($O117=0,0,        _xll.qDateNext($O116,Y$17,"M",TRUE,Currency1))</f>
        <v>0</v>
      </c>
      <c r="Z116" s="703">
        <f>IF($O117=0,0,           IF(FRM,_xll.qGetFwdRate(Z$14,$O116,R116,"T",DCC_Leg1_Float),_xll.qGetFwdRate(Z$14,$O116,$O117,"T",DCC_Leg1_Float)))</f>
        <v>0</v>
      </c>
      <c r="AA116" s="703">
        <f>IF($O117=0,0,           IF(FRM,_xll.qGetFwdRate(AA$14,$O116,S116,"T",DCC_Leg1_Float),_xll.qGetFwdRate(AA$14,$O116,$O117,"T",DCC_Leg1_Float)))</f>
        <v>0</v>
      </c>
      <c r="AB116" s="703">
        <f t="shared" si="17"/>
        <v>0</v>
      </c>
      <c r="AC116" s="703">
        <f>IF($O117=0,0,           IF(FRM,_xll.qGetFwdRate(AC$14,$O116,U116,"T",DCC_Leg1_Float),_xll.qGetFwdRate(AC$14,$O116,$O117,"T",DCC_Leg1_Float)))</f>
        <v>0</v>
      </c>
      <c r="AD116" s="703">
        <f t="shared" si="22"/>
        <v>0</v>
      </c>
      <c r="AE116" s="703">
        <f t="shared" si="23"/>
        <v>0</v>
      </c>
      <c r="AF116" s="703">
        <f>IF($O117=0,0,           IF(FRM,_xll.qGetFwdRate(AF$14,$O116,X116,"T",DCC_Leg1_Float),_xll.qGetFwdRate(AF$14,$O116,$O117,"T",DCC_Leg1_Float)))</f>
        <v>0</v>
      </c>
      <c r="AG116" s="703">
        <f>IF($O117=0,0,           IF(FRM,_xll.qGetFwdRate(AG$14,$O116,Y116,"T",DCC_Leg1_Float),_xll.qGetFwdRate(AG$14,$O116,$O117,"T",DCC_Leg1_Float)))</f>
        <v>0</v>
      </c>
      <c r="AH116" s="685">
        <v>0</v>
      </c>
      <c r="AI116" s="667"/>
      <c r="AJ116" s="670">
        <f>IF(O117=0,0,             IF(ISNUMBER(AI116),AI116,             IF(ISTEXT(AI116),INDEX(Z116:AG116,MATCH(AI116,$Z$17:$AG$17,0)),           IF(AH116="INT",_xll.qInterp(O117,R116:Y116,Z116:AG116),       INDEX(Z116:AG116,MATCH(AH116,$Z$17:$AG$17,0))))))</f>
        <v>0</v>
      </c>
      <c r="AK116" s="732">
        <v>100</v>
      </c>
      <c r="AL116" s="721">
        <f t="shared" si="18"/>
        <v>0</v>
      </c>
      <c r="AM116" s="284">
        <f>IF($O117,_xll.qDateYears($O116,$O117,DCC_Leg1_Fixed),0)</f>
        <v>0</v>
      </c>
      <c r="AN116" s="284">
        <f>IF($O117,_xll.qDateYears($O116,$O117,DCC_Leg1_Float),0)</f>
        <v>0</v>
      </c>
      <c r="AP116" s="350">
        <f t="shared" si="24"/>
        <v>0</v>
      </c>
      <c r="AQ116" s="375">
        <f>IF(GenType_1a="Fixed",GenRate_1a%*$AL115*AM115,          IF(GenType_1a="Float",$AL115*(_xll.qGetFwdRate($D$18,$O115,$O116,"T",DCC_Leg1_Float)%+GenRate_1a%%)*$AN115,        IF(GenType_1a="bp (Fixed)",GenRate_1a%%*$AM115*$AL115,   IF(GenType_1a="bp (Float)",GenRate_1a%%*$AL115*$AN115,0))))</f>
        <v>0</v>
      </c>
      <c r="AR116" s="561"/>
      <c r="AT116" s="341">
        <f t="shared" si="28"/>
        <v>0</v>
      </c>
      <c r="AV116" s="356"/>
      <c r="AW116" s="122">
        <v>0</v>
      </c>
      <c r="AX116" s="128">
        <f t="shared" si="19"/>
        <v>0</v>
      </c>
      <c r="AY116" s="357">
        <v>0</v>
      </c>
      <c r="AZ116" s="699">
        <f>IF($AW117=0,0,        _xll.qDateNext($AW116,AZ$17,"M",TRUE,Currency2))</f>
        <v>0</v>
      </c>
      <c r="BA116" s="699">
        <f>IF($AW117=0,0,        _xll.qDateNext($AW116,BA$17,"M",TRUE,Currency2))</f>
        <v>0</v>
      </c>
      <c r="BB116" s="699">
        <f>IF($AW117=0,0,        _xll.qDateNext($AW116,BB$17,"M",TRUE,Currency2))</f>
        <v>0</v>
      </c>
      <c r="BC116" s="699">
        <f>IF($AW117=0,0,        _xll.qDateNext($AW116,BC$17,"M",TRUE,Currency2))</f>
        <v>0</v>
      </c>
      <c r="BD116" s="699">
        <f>IF($AW117=0,0,        _xll.qDateNext($AW116,BD$17,"M",TRUE,Currency2))</f>
        <v>0</v>
      </c>
      <c r="BE116" s="699">
        <f>IF($AW117=0,0,        _xll.qDateNext($AW116,BE$17,"M",TRUE,Currency2))</f>
        <v>0</v>
      </c>
      <c r="BF116" s="699">
        <f>IF($AW117=0,0,        _xll.qDateNext($AW116,BF$17,"M",TRUE,Currency2))</f>
        <v>0</v>
      </c>
      <c r="BG116" s="699">
        <f>IF($AW117=0,0,        _xll.qDateNext($AW116,BG$17,"M",TRUE,Currency2))</f>
        <v>0</v>
      </c>
      <c r="BH116" s="703">
        <v>0</v>
      </c>
      <c r="BI116" s="703">
        <v>0</v>
      </c>
      <c r="BJ116" s="703">
        <v>0</v>
      </c>
      <c r="BK116" s="703">
        <v>0</v>
      </c>
      <c r="BL116" s="703">
        <f t="shared" si="25"/>
        <v>0</v>
      </c>
      <c r="BM116" s="703">
        <f t="shared" si="26"/>
        <v>0</v>
      </c>
      <c r="BN116" s="703">
        <v>0</v>
      </c>
      <c r="BO116" s="703">
        <v>0</v>
      </c>
      <c r="BP116" s="685">
        <v>0</v>
      </c>
      <c r="BQ116" s="667"/>
      <c r="BR116" s="670">
        <f>IF(AW117=0,0,             IF(ISNUMBER(BQ116),BQ116,             IF(ISTEXT(BQ116),INDEX(BH116:BO116,MATCH(BQ116,$BH$17:$BO$17,0)),           IF(BP116="INT",_xll.qInterp(AW117,AZ116:BG116,BH116:BO116),       INDEX(BH116:BO116,MATCH(BP116,$BH$17:$BO$17,0))))))</f>
        <v>0</v>
      </c>
      <c r="BS116" s="731">
        <f t="shared" si="20"/>
        <v>0</v>
      </c>
      <c r="BT116" s="406">
        <f t="shared" si="21"/>
        <v>0</v>
      </c>
      <c r="BU116" s="284">
        <f>IF($AW117,_xll.qDateYears($AW116,$AW117,DCC_Leg2_Fixed),0)</f>
        <v>0</v>
      </c>
      <c r="BV116" s="284">
        <f>IF($AW117,_xll.qDateYears($AW116,$AW117,DCC_Leg2_Float),0)</f>
        <v>0</v>
      </c>
      <c r="BX116" s="350">
        <f t="shared" si="27"/>
        <v>0</v>
      </c>
      <c r="BY116" s="375">
        <f>IF(GenType_2a="Fixed",GenRate_2a%*$BT115*BU115,          IF(GenType_2a="Float",$BT115*(_xll.qGetFwdRate($J$18,$AW115,$AW116,"T",DCC_Leg2_Float)%+GenRate_2a%%)*$BV115,        IF(GenType_2a="bp (Fixed)",GenRate_2a%%*$BU115*$BT115,   IF(GenType_2a="bp (Float)",GenRate_2a%%*$BT115*$BV115,0))))</f>
        <v>0</v>
      </c>
      <c r="BZ116" s="561"/>
      <c r="CB116" s="341">
        <f t="shared" si="29"/>
        <v>0</v>
      </c>
      <c r="CC116" s="563"/>
      <c r="CD116" s="356"/>
      <c r="CE116" s="341">
        <v>0</v>
      </c>
      <c r="CF116" s="563"/>
      <c r="CG116" s="356"/>
    </row>
    <row r="117" spans="15:85">
      <c r="O117" s="122">
        <v>0</v>
      </c>
      <c r="P117" s="128">
        <f t="shared" si="16"/>
        <v>0</v>
      </c>
      <c r="Q117" s="126">
        <v>0</v>
      </c>
      <c r="R117" s="699">
        <f>IF($O118=0,0,        _xll.qDateNext($O117,R$17,"M",TRUE,Currency1))</f>
        <v>0</v>
      </c>
      <c r="S117" s="699">
        <f>IF($O118=0,0,        _xll.qDateNext($O117,S$17,"M",TRUE,Currency1))</f>
        <v>0</v>
      </c>
      <c r="T117" s="699">
        <f>IF($O118=0,0,        _xll.qDateNext($O117,T$17,"M",TRUE,Currency1))</f>
        <v>0</v>
      </c>
      <c r="U117" s="699">
        <f>IF($O118=0,0,        _xll.qDateNext($O117,U$17,"M",TRUE,Currency1))</f>
        <v>0</v>
      </c>
      <c r="V117" s="699">
        <f>IF($O118=0,0,        _xll.qDateNext($O117,V$17,"M",TRUE,Currency1))</f>
        <v>0</v>
      </c>
      <c r="W117" s="699">
        <f>IF($O118=0,0,        _xll.qDateNext($O117,W$17,"M",TRUE,Currency1))</f>
        <v>0</v>
      </c>
      <c r="X117" s="699">
        <f>IF($O118=0,0,        _xll.qDateNext($O117,X$17,"M",TRUE,Currency1))</f>
        <v>0</v>
      </c>
      <c r="Y117" s="699">
        <f>IF($O118=0,0,        _xll.qDateNext($O117,Y$17,"M",TRUE,Currency1))</f>
        <v>0</v>
      </c>
      <c r="Z117" s="703">
        <f>IF($O118=0,0,           IF(FRM,_xll.qGetFwdRate(Z$14,$O117,R117,"T",DCC_Leg1_Float),_xll.qGetFwdRate(Z$14,$O117,$O118,"T",DCC_Leg1_Float)))</f>
        <v>0</v>
      </c>
      <c r="AA117" s="703">
        <f>IF($O118=0,0,           IF(FRM,_xll.qGetFwdRate(AA$14,$O117,S117,"T",DCC_Leg1_Float),_xll.qGetFwdRate(AA$14,$O117,$O118,"T",DCC_Leg1_Float)))</f>
        <v>0</v>
      </c>
      <c r="AB117" s="703">
        <f t="shared" si="17"/>
        <v>0</v>
      </c>
      <c r="AC117" s="703">
        <f>IF($O118=0,0,           IF(FRM,_xll.qGetFwdRate(AC$14,$O117,U117,"T",DCC_Leg1_Float),_xll.qGetFwdRate(AC$14,$O117,$O118,"T",DCC_Leg1_Float)))</f>
        <v>0</v>
      </c>
      <c r="AD117" s="703">
        <f t="shared" si="22"/>
        <v>0</v>
      </c>
      <c r="AE117" s="703">
        <f t="shared" si="23"/>
        <v>0</v>
      </c>
      <c r="AF117" s="703">
        <f>IF($O118=0,0,           IF(FRM,_xll.qGetFwdRate(AF$14,$O117,X117,"T",DCC_Leg1_Float),_xll.qGetFwdRate(AF$14,$O117,$O118,"T",DCC_Leg1_Float)))</f>
        <v>0</v>
      </c>
      <c r="AG117" s="703">
        <f>IF($O118=0,0,           IF(FRM,_xll.qGetFwdRate(AG$14,$O117,Y117,"T",DCC_Leg1_Float),_xll.qGetFwdRate(AG$14,$O117,$O118,"T",DCC_Leg1_Float)))</f>
        <v>0</v>
      </c>
      <c r="AH117" s="685">
        <v>0</v>
      </c>
      <c r="AI117" s="667"/>
      <c r="AJ117" s="670">
        <f>IF(O118=0,0,             IF(ISNUMBER(AI117),AI117,             IF(ISTEXT(AI117),INDEX(Z117:AG117,MATCH(AI117,$Z$17:$AG$17,0)),           IF(AH117="INT",_xll.qInterp(O118,R117:Y117,Z117:AG117),       INDEX(Z117:AG117,MATCH(AH117,$Z$17:$AG$17,0))))))</f>
        <v>0</v>
      </c>
      <c r="AK117" s="732">
        <v>100</v>
      </c>
      <c r="AL117" s="721">
        <f t="shared" si="18"/>
        <v>0</v>
      </c>
      <c r="AM117" s="284">
        <f>IF($O118,_xll.qDateYears($O117,$O118,DCC_Leg1_Fixed),0)</f>
        <v>0</v>
      </c>
      <c r="AN117" s="284">
        <f>IF($O118,_xll.qDateYears($O117,$O118,DCC_Leg1_Float),0)</f>
        <v>0</v>
      </c>
      <c r="AP117" s="350">
        <f t="shared" si="24"/>
        <v>0</v>
      </c>
      <c r="AQ117" s="375">
        <f>IF(GenType_1a="Fixed",GenRate_1a%*$AL116*AM116,          IF(GenType_1a="Float",$AL116*(_xll.qGetFwdRate($D$18,$O116,$O117,"T",DCC_Leg1_Float)%+GenRate_1a%%)*$AN116,        IF(GenType_1a="bp (Fixed)",GenRate_1a%%*$AM116*$AL116,   IF(GenType_1a="bp (Float)",GenRate_1a%%*$AL116*$AN116,0))))</f>
        <v>0</v>
      </c>
      <c r="AR117" s="561"/>
      <c r="AT117" s="341">
        <f t="shared" si="28"/>
        <v>0</v>
      </c>
      <c r="AV117" s="356"/>
      <c r="AW117" s="122">
        <v>0</v>
      </c>
      <c r="AX117" s="128">
        <f t="shared" si="19"/>
        <v>0</v>
      </c>
      <c r="AY117" s="357">
        <v>0</v>
      </c>
      <c r="AZ117" s="699">
        <f>IF($AW118=0,0,        _xll.qDateNext($AW117,AZ$17,"M",TRUE,Currency2))</f>
        <v>0</v>
      </c>
      <c r="BA117" s="699">
        <f>IF($AW118=0,0,        _xll.qDateNext($AW117,BA$17,"M",TRUE,Currency2))</f>
        <v>0</v>
      </c>
      <c r="BB117" s="699">
        <f>IF($AW118=0,0,        _xll.qDateNext($AW117,BB$17,"M",TRUE,Currency2))</f>
        <v>0</v>
      </c>
      <c r="BC117" s="699">
        <f>IF($AW118=0,0,        _xll.qDateNext($AW117,BC$17,"M",TRUE,Currency2))</f>
        <v>0</v>
      </c>
      <c r="BD117" s="699">
        <f>IF($AW118=0,0,        _xll.qDateNext($AW117,BD$17,"M",TRUE,Currency2))</f>
        <v>0</v>
      </c>
      <c r="BE117" s="699">
        <f>IF($AW118=0,0,        _xll.qDateNext($AW117,BE$17,"M",TRUE,Currency2))</f>
        <v>0</v>
      </c>
      <c r="BF117" s="699">
        <f>IF($AW118=0,0,        _xll.qDateNext($AW117,BF$17,"M",TRUE,Currency2))</f>
        <v>0</v>
      </c>
      <c r="BG117" s="699">
        <f>IF($AW118=0,0,        _xll.qDateNext($AW117,BG$17,"M",TRUE,Currency2))</f>
        <v>0</v>
      </c>
      <c r="BH117" s="703">
        <v>0</v>
      </c>
      <c r="BI117" s="703">
        <v>0</v>
      </c>
      <c r="BJ117" s="703">
        <v>0</v>
      </c>
      <c r="BK117" s="703">
        <v>0</v>
      </c>
      <c r="BL117" s="703">
        <f t="shared" si="25"/>
        <v>0</v>
      </c>
      <c r="BM117" s="703">
        <f t="shared" si="26"/>
        <v>0</v>
      </c>
      <c r="BN117" s="703">
        <v>0</v>
      </c>
      <c r="BO117" s="703">
        <v>0</v>
      </c>
      <c r="BP117" s="685">
        <v>0</v>
      </c>
      <c r="BQ117" s="667"/>
      <c r="BR117" s="670">
        <f>IF(AW118=0,0,             IF(ISNUMBER(BQ117),BQ117,             IF(ISTEXT(BQ117),INDEX(BH117:BO117,MATCH(BQ117,$BH$17:$BO$17,0)),           IF(BP117="INT",_xll.qInterp(AW118,AZ117:BG117,BH117:BO117),       INDEX(BH117:BO117,MATCH(BP117,$BH$17:$BO$17,0))))))</f>
        <v>0</v>
      </c>
      <c r="BS117" s="731">
        <f t="shared" si="20"/>
        <v>0</v>
      </c>
      <c r="BT117" s="406">
        <f t="shared" si="21"/>
        <v>0</v>
      </c>
      <c r="BU117" s="284">
        <f>IF($AW118,_xll.qDateYears($AW117,$AW118,DCC_Leg2_Fixed),0)</f>
        <v>0</v>
      </c>
      <c r="BV117" s="284">
        <f>IF($AW118,_xll.qDateYears($AW117,$AW118,DCC_Leg2_Float),0)</f>
        <v>0</v>
      </c>
      <c r="BX117" s="350">
        <f t="shared" si="27"/>
        <v>0</v>
      </c>
      <c r="BY117" s="375">
        <f>IF(GenType_2a="Fixed",GenRate_2a%*$BT116*BU116,          IF(GenType_2a="Float",$BT116*(_xll.qGetFwdRate($J$18,$AW116,$AW117,"T",DCC_Leg2_Float)%+GenRate_2a%%)*$BV116,        IF(GenType_2a="bp (Fixed)",GenRate_2a%%*$BU116*$BT116,   IF(GenType_2a="bp (Float)",GenRate_2a%%*$BT116*$BV116,0))))</f>
        <v>0</v>
      </c>
      <c r="BZ117" s="561"/>
      <c r="CB117" s="341">
        <f t="shared" si="29"/>
        <v>0</v>
      </c>
      <c r="CC117" s="563"/>
      <c r="CD117" s="356"/>
      <c r="CE117" s="341">
        <v>0</v>
      </c>
      <c r="CF117" s="563"/>
      <c r="CG117" s="356"/>
    </row>
    <row r="118" spans="15:85">
      <c r="O118" s="122">
        <v>0</v>
      </c>
      <c r="P118" s="128">
        <f t="shared" si="16"/>
        <v>0</v>
      </c>
      <c r="Q118" s="126">
        <v>0</v>
      </c>
      <c r="R118" s="699">
        <f>IF($O119=0,0,        _xll.qDateNext($O118,R$17,"M",TRUE,Currency1))</f>
        <v>0</v>
      </c>
      <c r="S118" s="699">
        <f>IF($O119=0,0,        _xll.qDateNext($O118,S$17,"M",TRUE,Currency1))</f>
        <v>0</v>
      </c>
      <c r="T118" s="699">
        <f>IF($O119=0,0,        _xll.qDateNext($O118,T$17,"M",TRUE,Currency1))</f>
        <v>0</v>
      </c>
      <c r="U118" s="699">
        <f>IF($O119=0,0,        _xll.qDateNext($O118,U$17,"M",TRUE,Currency1))</f>
        <v>0</v>
      </c>
      <c r="V118" s="699">
        <f>IF($O119=0,0,        _xll.qDateNext($O118,V$17,"M",TRUE,Currency1))</f>
        <v>0</v>
      </c>
      <c r="W118" s="699">
        <f>IF($O119=0,0,        _xll.qDateNext($O118,W$17,"M",TRUE,Currency1))</f>
        <v>0</v>
      </c>
      <c r="X118" s="699">
        <f>IF($O119=0,0,        _xll.qDateNext($O118,X$17,"M",TRUE,Currency1))</f>
        <v>0</v>
      </c>
      <c r="Y118" s="699">
        <f>IF($O119=0,0,        _xll.qDateNext($O118,Y$17,"M",TRUE,Currency1))</f>
        <v>0</v>
      </c>
      <c r="Z118" s="703">
        <f>IF($O119=0,0,           IF(FRM,_xll.qGetFwdRate(Z$14,$O118,R118,"T",DCC_Leg1_Float),_xll.qGetFwdRate(Z$14,$O118,$O119,"T",DCC_Leg1_Float)))</f>
        <v>0</v>
      </c>
      <c r="AA118" s="703">
        <f>IF($O119=0,0,           IF(FRM,_xll.qGetFwdRate(AA$14,$O118,S118,"T",DCC_Leg1_Float),_xll.qGetFwdRate(AA$14,$O118,$O119,"T",DCC_Leg1_Float)))</f>
        <v>0</v>
      </c>
      <c r="AB118" s="703">
        <f t="shared" si="17"/>
        <v>0</v>
      </c>
      <c r="AC118" s="703">
        <f>IF($O119=0,0,           IF(FRM,_xll.qGetFwdRate(AC$14,$O118,U118,"T",DCC_Leg1_Float),_xll.qGetFwdRate(AC$14,$O118,$O119,"T",DCC_Leg1_Float)))</f>
        <v>0</v>
      </c>
      <c r="AD118" s="703">
        <f t="shared" si="22"/>
        <v>0</v>
      </c>
      <c r="AE118" s="703">
        <f t="shared" si="23"/>
        <v>0</v>
      </c>
      <c r="AF118" s="703">
        <f>IF($O119=0,0,           IF(FRM,_xll.qGetFwdRate(AF$14,$O118,X118,"T",DCC_Leg1_Float),_xll.qGetFwdRate(AF$14,$O118,$O119,"T",DCC_Leg1_Float)))</f>
        <v>0</v>
      </c>
      <c r="AG118" s="703">
        <f>IF($O119=0,0,           IF(FRM,_xll.qGetFwdRate(AG$14,$O118,Y118,"T",DCC_Leg1_Float),_xll.qGetFwdRate(AG$14,$O118,$O119,"T",DCC_Leg1_Float)))</f>
        <v>0</v>
      </c>
      <c r="AH118" s="685">
        <v>0</v>
      </c>
      <c r="AI118" s="667"/>
      <c r="AJ118" s="670">
        <f>IF(O119=0,0,             IF(ISNUMBER(AI118),AI118,             IF(ISTEXT(AI118),INDEX(Z118:AG118,MATCH(AI118,$Z$17:$AG$17,0)),           IF(AH118="INT",_xll.qInterp(O119,R118:Y118,Z118:AG118),       INDEX(Z118:AG118,MATCH(AH118,$Z$17:$AG$17,0))))))</f>
        <v>0</v>
      </c>
      <c r="AK118" s="732">
        <v>100</v>
      </c>
      <c r="AL118" s="721">
        <f t="shared" si="18"/>
        <v>0</v>
      </c>
      <c r="AM118" s="284">
        <f>IF($O119,_xll.qDateYears($O118,$O119,DCC_Leg1_Fixed),0)</f>
        <v>0</v>
      </c>
      <c r="AN118" s="284">
        <f>IF($O119,_xll.qDateYears($O118,$O119,DCC_Leg1_Float),0)</f>
        <v>0</v>
      </c>
      <c r="AP118" s="350">
        <f t="shared" si="24"/>
        <v>0</v>
      </c>
      <c r="AQ118" s="375">
        <f>IF(GenType_1a="Fixed",GenRate_1a%*$AL117*AM117,          IF(GenType_1a="Float",$AL117*(_xll.qGetFwdRate($D$18,$O117,$O118,"T",DCC_Leg1_Float)%+GenRate_1a%%)*$AN117,        IF(GenType_1a="bp (Fixed)",GenRate_1a%%*$AM117*$AL117,   IF(GenType_1a="bp (Float)",GenRate_1a%%*$AL117*$AN117,0))))</f>
        <v>0</v>
      </c>
      <c r="AR118" s="561"/>
      <c r="AT118" s="341">
        <f t="shared" si="28"/>
        <v>0</v>
      </c>
      <c r="AV118" s="356"/>
      <c r="AW118" s="122">
        <v>0</v>
      </c>
      <c r="AX118" s="128">
        <f t="shared" si="19"/>
        <v>0</v>
      </c>
      <c r="AY118" s="357">
        <v>0</v>
      </c>
      <c r="AZ118" s="699">
        <f>IF($AW119=0,0,        _xll.qDateNext($AW118,AZ$17,"M",TRUE,Currency2))</f>
        <v>0</v>
      </c>
      <c r="BA118" s="699">
        <f>IF($AW119=0,0,        _xll.qDateNext($AW118,BA$17,"M",TRUE,Currency2))</f>
        <v>0</v>
      </c>
      <c r="BB118" s="699">
        <f>IF($AW119=0,0,        _xll.qDateNext($AW118,BB$17,"M",TRUE,Currency2))</f>
        <v>0</v>
      </c>
      <c r="BC118" s="699">
        <f>IF($AW119=0,0,        _xll.qDateNext($AW118,BC$17,"M",TRUE,Currency2))</f>
        <v>0</v>
      </c>
      <c r="BD118" s="699">
        <f>IF($AW119=0,0,        _xll.qDateNext($AW118,BD$17,"M",TRUE,Currency2))</f>
        <v>0</v>
      </c>
      <c r="BE118" s="699">
        <f>IF($AW119=0,0,        _xll.qDateNext($AW118,BE$17,"M",TRUE,Currency2))</f>
        <v>0</v>
      </c>
      <c r="BF118" s="699">
        <f>IF($AW119=0,0,        _xll.qDateNext($AW118,BF$17,"M",TRUE,Currency2))</f>
        <v>0</v>
      </c>
      <c r="BG118" s="699">
        <f>IF($AW119=0,0,        _xll.qDateNext($AW118,BG$17,"M",TRUE,Currency2))</f>
        <v>0</v>
      </c>
      <c r="BH118" s="703">
        <v>0</v>
      </c>
      <c r="BI118" s="703">
        <v>0</v>
      </c>
      <c r="BJ118" s="703">
        <v>0</v>
      </c>
      <c r="BK118" s="703">
        <v>0</v>
      </c>
      <c r="BL118" s="703">
        <f t="shared" si="25"/>
        <v>0</v>
      </c>
      <c r="BM118" s="703">
        <f t="shared" si="26"/>
        <v>0</v>
      </c>
      <c r="BN118" s="703">
        <v>0</v>
      </c>
      <c r="BO118" s="703">
        <v>0</v>
      </c>
      <c r="BP118" s="685">
        <v>0</v>
      </c>
      <c r="BQ118" s="667"/>
      <c r="BR118" s="670">
        <f>IF(AW119=0,0,             IF(ISNUMBER(BQ118),BQ118,             IF(ISTEXT(BQ118),INDEX(BH118:BO118,MATCH(BQ118,$BH$17:$BO$17,0)),           IF(BP118="INT",_xll.qInterp(AW119,AZ118:BG118,BH118:BO118),       INDEX(BH118:BO118,MATCH(BP118,$BH$17:$BO$17,0))))))</f>
        <v>0</v>
      </c>
      <c r="BS118" s="731">
        <f t="shared" si="20"/>
        <v>0</v>
      </c>
      <c r="BT118" s="406">
        <f t="shared" si="21"/>
        <v>0</v>
      </c>
      <c r="BU118" s="284">
        <f>IF($AW119,_xll.qDateYears($AW118,$AW119,DCC_Leg2_Fixed),0)</f>
        <v>0</v>
      </c>
      <c r="BV118" s="284">
        <f>IF($AW119,_xll.qDateYears($AW118,$AW119,DCC_Leg2_Float),0)</f>
        <v>0</v>
      </c>
      <c r="BX118" s="350">
        <f t="shared" si="27"/>
        <v>0</v>
      </c>
      <c r="BY118" s="375">
        <f>IF(GenType_2a="Fixed",GenRate_2a%*$BT117*BU117,          IF(GenType_2a="Float",$BT117*(_xll.qGetFwdRate($J$18,$AW117,$AW118,"T",DCC_Leg2_Float)%+GenRate_2a%%)*$BV117,        IF(GenType_2a="bp (Fixed)",GenRate_2a%%*$BU117*$BT117,   IF(GenType_2a="bp (Float)",GenRate_2a%%*$BT117*$BV117,0))))</f>
        <v>0</v>
      </c>
      <c r="BZ118" s="561"/>
      <c r="CB118" s="341">
        <f t="shared" si="29"/>
        <v>0</v>
      </c>
      <c r="CC118" s="563"/>
      <c r="CD118" s="356"/>
      <c r="CE118" s="341">
        <v>0</v>
      </c>
      <c r="CF118" s="563"/>
      <c r="CG118" s="356"/>
    </row>
    <row r="119" spans="15:85">
      <c r="O119" s="122">
        <v>0</v>
      </c>
      <c r="P119" s="128">
        <f t="shared" si="16"/>
        <v>0</v>
      </c>
      <c r="Q119" s="126">
        <v>0</v>
      </c>
      <c r="R119" s="699">
        <f>IF($O120=0,0,        _xll.qDateNext($O119,R$17,"M",TRUE,Currency1))</f>
        <v>0</v>
      </c>
      <c r="S119" s="699">
        <f>IF($O120=0,0,        _xll.qDateNext($O119,S$17,"M",TRUE,Currency1))</f>
        <v>0</v>
      </c>
      <c r="T119" s="699">
        <f>IF($O120=0,0,        _xll.qDateNext($O119,T$17,"M",TRUE,Currency1))</f>
        <v>0</v>
      </c>
      <c r="U119" s="699">
        <f>IF($O120=0,0,        _xll.qDateNext($O119,U$17,"M",TRUE,Currency1))</f>
        <v>0</v>
      </c>
      <c r="V119" s="699">
        <f>IF($O120=0,0,        _xll.qDateNext($O119,V$17,"M",TRUE,Currency1))</f>
        <v>0</v>
      </c>
      <c r="W119" s="699">
        <f>IF($O120=0,0,        _xll.qDateNext($O119,W$17,"M",TRUE,Currency1))</f>
        <v>0</v>
      </c>
      <c r="X119" s="699">
        <f>IF($O120=0,0,        _xll.qDateNext($O119,X$17,"M",TRUE,Currency1))</f>
        <v>0</v>
      </c>
      <c r="Y119" s="699">
        <f>IF($O120=0,0,        _xll.qDateNext($O119,Y$17,"M",TRUE,Currency1))</f>
        <v>0</v>
      </c>
      <c r="Z119" s="703">
        <f>IF($O120=0,0,           IF(FRM,_xll.qGetFwdRate(Z$14,$O119,R119,"T",DCC_Leg1_Float),_xll.qGetFwdRate(Z$14,$O119,$O120,"T",DCC_Leg1_Float)))</f>
        <v>0</v>
      </c>
      <c r="AA119" s="703">
        <f>IF($O120=0,0,           IF(FRM,_xll.qGetFwdRate(AA$14,$O119,S119,"T",DCC_Leg1_Float),_xll.qGetFwdRate(AA$14,$O119,$O120,"T",DCC_Leg1_Float)))</f>
        <v>0</v>
      </c>
      <c r="AB119" s="703">
        <f t="shared" si="17"/>
        <v>0</v>
      </c>
      <c r="AC119" s="703">
        <f>IF($O120=0,0,           IF(FRM,_xll.qGetFwdRate(AC$14,$O119,U119,"T",DCC_Leg1_Float),_xll.qGetFwdRate(AC$14,$O119,$O120,"T",DCC_Leg1_Float)))</f>
        <v>0</v>
      </c>
      <c r="AD119" s="703">
        <f t="shared" si="22"/>
        <v>0</v>
      </c>
      <c r="AE119" s="703">
        <f t="shared" si="23"/>
        <v>0</v>
      </c>
      <c r="AF119" s="703">
        <f>IF($O120=0,0,           IF(FRM,_xll.qGetFwdRate(AF$14,$O119,X119,"T",DCC_Leg1_Float),_xll.qGetFwdRate(AF$14,$O119,$O120,"T",DCC_Leg1_Float)))</f>
        <v>0</v>
      </c>
      <c r="AG119" s="703">
        <f>IF($O120=0,0,           IF(FRM,_xll.qGetFwdRate(AG$14,$O119,Y119,"T",DCC_Leg1_Float),_xll.qGetFwdRate(AG$14,$O119,$O120,"T",DCC_Leg1_Float)))</f>
        <v>0</v>
      </c>
      <c r="AH119" s="685">
        <v>0</v>
      </c>
      <c r="AI119" s="667"/>
      <c r="AJ119" s="670">
        <f>IF(O120=0,0,             IF(ISNUMBER(AI119),AI119,             IF(ISTEXT(AI119),INDEX(Z119:AG119,MATCH(AI119,$Z$17:$AG$17,0)),           IF(AH119="INT",_xll.qInterp(O120,R119:Y119,Z119:AG119),       INDEX(Z119:AG119,MATCH(AH119,$Z$17:$AG$17,0))))))</f>
        <v>0</v>
      </c>
      <c r="AK119" s="732">
        <v>100</v>
      </c>
      <c r="AL119" s="721">
        <f t="shared" si="18"/>
        <v>0</v>
      </c>
      <c r="AM119" s="284">
        <f>IF($O120,_xll.qDateYears($O119,$O120,DCC_Leg1_Fixed),0)</f>
        <v>0</v>
      </c>
      <c r="AN119" s="284">
        <f>IF($O120,_xll.qDateYears($O119,$O120,DCC_Leg1_Float),0)</f>
        <v>0</v>
      </c>
      <c r="AP119" s="350">
        <f t="shared" si="24"/>
        <v>0</v>
      </c>
      <c r="AQ119" s="375">
        <f>IF(GenType_1a="Fixed",GenRate_1a%*$AL118*AM118,          IF(GenType_1a="Float",$AL118*(_xll.qGetFwdRate($D$18,$O118,$O119,"T",DCC_Leg1_Float)%+GenRate_1a%%)*$AN118,        IF(GenType_1a="bp (Fixed)",GenRate_1a%%*$AM118*$AL118,   IF(GenType_1a="bp (Float)",GenRate_1a%%*$AL118*$AN118,0))))</f>
        <v>0</v>
      </c>
      <c r="AR119" s="561"/>
      <c r="AT119" s="341">
        <f t="shared" si="28"/>
        <v>0</v>
      </c>
      <c r="AV119" s="356"/>
      <c r="AW119" s="122">
        <v>0</v>
      </c>
      <c r="AX119" s="128">
        <f t="shared" si="19"/>
        <v>0</v>
      </c>
      <c r="AY119" s="357">
        <v>0</v>
      </c>
      <c r="AZ119" s="699">
        <f>IF($AW120=0,0,        _xll.qDateNext($AW119,AZ$17,"M",TRUE,Currency2))</f>
        <v>0</v>
      </c>
      <c r="BA119" s="699">
        <f>IF($AW120=0,0,        _xll.qDateNext($AW119,BA$17,"M",TRUE,Currency2))</f>
        <v>0</v>
      </c>
      <c r="BB119" s="699">
        <f>IF($AW120=0,0,        _xll.qDateNext($AW119,BB$17,"M",TRUE,Currency2))</f>
        <v>0</v>
      </c>
      <c r="BC119" s="699">
        <f>IF($AW120=0,0,        _xll.qDateNext($AW119,BC$17,"M",TRUE,Currency2))</f>
        <v>0</v>
      </c>
      <c r="BD119" s="699">
        <f>IF($AW120=0,0,        _xll.qDateNext($AW119,BD$17,"M",TRUE,Currency2))</f>
        <v>0</v>
      </c>
      <c r="BE119" s="699">
        <f>IF($AW120=0,0,        _xll.qDateNext($AW119,BE$17,"M",TRUE,Currency2))</f>
        <v>0</v>
      </c>
      <c r="BF119" s="699">
        <f>IF($AW120=0,0,        _xll.qDateNext($AW119,BF$17,"M",TRUE,Currency2))</f>
        <v>0</v>
      </c>
      <c r="BG119" s="699">
        <f>IF($AW120=0,0,        _xll.qDateNext($AW119,BG$17,"M",TRUE,Currency2))</f>
        <v>0</v>
      </c>
      <c r="BH119" s="703">
        <v>0</v>
      </c>
      <c r="BI119" s="703">
        <v>0</v>
      </c>
      <c r="BJ119" s="703">
        <v>0</v>
      </c>
      <c r="BK119" s="703">
        <v>0</v>
      </c>
      <c r="BL119" s="703">
        <f t="shared" si="25"/>
        <v>0</v>
      </c>
      <c r="BM119" s="703">
        <f t="shared" si="26"/>
        <v>0</v>
      </c>
      <c r="BN119" s="703">
        <v>0</v>
      </c>
      <c r="BO119" s="703">
        <v>0</v>
      </c>
      <c r="BP119" s="685">
        <v>0</v>
      </c>
      <c r="BQ119" s="667"/>
      <c r="BR119" s="670">
        <f>IF(AW120=0,0,             IF(ISNUMBER(BQ119),BQ119,             IF(ISTEXT(BQ119),INDEX(BH119:BO119,MATCH(BQ119,$BH$17:$BO$17,0)),           IF(BP119="INT",_xll.qInterp(AW120,AZ119:BG119,BH119:BO119),       INDEX(BH119:BO119,MATCH(BP119,$BH$17:$BO$17,0))))))</f>
        <v>0</v>
      </c>
      <c r="BS119" s="731">
        <f t="shared" si="20"/>
        <v>0</v>
      </c>
      <c r="BT119" s="406">
        <f t="shared" si="21"/>
        <v>0</v>
      </c>
      <c r="BU119" s="284">
        <f>IF($AW120,_xll.qDateYears($AW119,$AW120,DCC_Leg2_Fixed),0)</f>
        <v>0</v>
      </c>
      <c r="BV119" s="284">
        <f>IF($AW120,_xll.qDateYears($AW119,$AW120,DCC_Leg2_Float),0)</f>
        <v>0</v>
      </c>
      <c r="BX119" s="350">
        <f t="shared" si="27"/>
        <v>0</v>
      </c>
      <c r="BY119" s="375">
        <f>IF(GenType_2a="Fixed",GenRate_2a%*$BT118*BU118,          IF(GenType_2a="Float",$BT118*(_xll.qGetFwdRate($J$18,$AW118,$AW119,"T",DCC_Leg2_Float)%+GenRate_2a%%)*$BV118,        IF(GenType_2a="bp (Fixed)",GenRate_2a%%*$BU118*$BT118,   IF(GenType_2a="bp (Float)",GenRate_2a%%*$BT118*$BV118,0))))</f>
        <v>0</v>
      </c>
      <c r="BZ119" s="561"/>
      <c r="CB119" s="341">
        <f t="shared" si="29"/>
        <v>0</v>
      </c>
      <c r="CC119" s="563"/>
      <c r="CD119" s="356"/>
      <c r="CE119" s="341">
        <v>0</v>
      </c>
      <c r="CF119" s="563"/>
      <c r="CG119" s="356"/>
    </row>
    <row r="120" spans="15:85">
      <c r="O120" s="122">
        <v>0</v>
      </c>
      <c r="P120" s="128">
        <f t="shared" si="16"/>
        <v>0</v>
      </c>
      <c r="Q120" s="126">
        <v>0</v>
      </c>
      <c r="R120" s="699">
        <f>IF($O121=0,0,        _xll.qDateNext($O120,R$17,"M",TRUE,Currency1))</f>
        <v>0</v>
      </c>
      <c r="S120" s="699">
        <f>IF($O121=0,0,        _xll.qDateNext($O120,S$17,"M",TRUE,Currency1))</f>
        <v>0</v>
      </c>
      <c r="T120" s="699">
        <f>IF($O121=0,0,        _xll.qDateNext($O120,T$17,"M",TRUE,Currency1))</f>
        <v>0</v>
      </c>
      <c r="U120" s="699">
        <f>IF($O121=0,0,        _xll.qDateNext($O120,U$17,"M",TRUE,Currency1))</f>
        <v>0</v>
      </c>
      <c r="V120" s="699">
        <f>IF($O121=0,0,        _xll.qDateNext($O120,V$17,"M",TRUE,Currency1))</f>
        <v>0</v>
      </c>
      <c r="W120" s="699">
        <f>IF($O121=0,0,        _xll.qDateNext($O120,W$17,"M",TRUE,Currency1))</f>
        <v>0</v>
      </c>
      <c r="X120" s="699">
        <f>IF($O121=0,0,        _xll.qDateNext($O120,X$17,"M",TRUE,Currency1))</f>
        <v>0</v>
      </c>
      <c r="Y120" s="699">
        <f>IF($O121=0,0,        _xll.qDateNext($O120,Y$17,"M",TRUE,Currency1))</f>
        <v>0</v>
      </c>
      <c r="Z120" s="703">
        <f>IF($O121=0,0,           IF(FRM,_xll.qGetFwdRate(Z$14,$O120,R120,"T",DCC_Leg1_Float),_xll.qGetFwdRate(Z$14,$O120,$O121,"T",DCC_Leg1_Float)))</f>
        <v>0</v>
      </c>
      <c r="AA120" s="703">
        <f>IF($O121=0,0,           IF(FRM,_xll.qGetFwdRate(AA$14,$O120,S120,"T",DCC_Leg1_Float),_xll.qGetFwdRate(AA$14,$O120,$O121,"T",DCC_Leg1_Float)))</f>
        <v>0</v>
      </c>
      <c r="AB120" s="703">
        <f t="shared" si="17"/>
        <v>0</v>
      </c>
      <c r="AC120" s="703">
        <f>IF($O121=0,0,           IF(FRM,_xll.qGetFwdRate(AC$14,$O120,U120,"T",DCC_Leg1_Float),_xll.qGetFwdRate(AC$14,$O120,$O121,"T",DCC_Leg1_Float)))</f>
        <v>0</v>
      </c>
      <c r="AD120" s="703">
        <f t="shared" si="22"/>
        <v>0</v>
      </c>
      <c r="AE120" s="703">
        <f t="shared" si="23"/>
        <v>0</v>
      </c>
      <c r="AF120" s="703">
        <f>IF($O121=0,0,           IF(FRM,_xll.qGetFwdRate(AF$14,$O120,X120,"T",DCC_Leg1_Float),_xll.qGetFwdRate(AF$14,$O120,$O121,"T",DCC_Leg1_Float)))</f>
        <v>0</v>
      </c>
      <c r="AG120" s="703">
        <f>IF($O121=0,0,           IF(FRM,_xll.qGetFwdRate(AG$14,$O120,Y120,"T",DCC_Leg1_Float),_xll.qGetFwdRate(AG$14,$O120,$O121,"T",DCC_Leg1_Float)))</f>
        <v>0</v>
      </c>
      <c r="AH120" s="685">
        <v>0</v>
      </c>
      <c r="AI120" s="667"/>
      <c r="AJ120" s="670">
        <f>IF(O121=0,0,             IF(ISNUMBER(AI120),AI120,             IF(ISTEXT(AI120),INDEX(Z120:AG120,MATCH(AI120,$Z$17:$AG$17,0)),           IF(AH120="INT",_xll.qInterp(O121,R120:Y120,Z120:AG120),       INDEX(Z120:AG120,MATCH(AH120,$Z$17:$AG$17,0))))))</f>
        <v>0</v>
      </c>
      <c r="AK120" s="732">
        <v>100</v>
      </c>
      <c r="AL120" s="721">
        <f t="shared" si="18"/>
        <v>0</v>
      </c>
      <c r="AM120" s="284">
        <f>IF($O121,_xll.qDateYears($O120,$O121,DCC_Leg1_Fixed),0)</f>
        <v>0</v>
      </c>
      <c r="AN120" s="284">
        <f>IF($O121,_xll.qDateYears($O120,$O121,DCC_Leg1_Float),0)</f>
        <v>0</v>
      </c>
      <c r="AP120" s="350">
        <f t="shared" si="24"/>
        <v>0</v>
      </c>
      <c r="AQ120" s="375">
        <f>IF(GenType_1a="Fixed",GenRate_1a%*$AL119*AM119,          IF(GenType_1a="Float",$AL119*(_xll.qGetFwdRate($D$18,$O119,$O120,"T",DCC_Leg1_Float)%+GenRate_1a%%)*$AN119,        IF(GenType_1a="bp (Fixed)",GenRate_1a%%*$AM119*$AL119,   IF(GenType_1a="bp (Float)",GenRate_1a%%*$AL119*$AN119,0))))</f>
        <v>0</v>
      </c>
      <c r="AR120" s="561"/>
      <c r="AT120" s="341">
        <f t="shared" si="28"/>
        <v>0</v>
      </c>
      <c r="AV120" s="356"/>
      <c r="AW120" s="122">
        <v>0</v>
      </c>
      <c r="AX120" s="128">
        <f t="shared" si="19"/>
        <v>0</v>
      </c>
      <c r="AY120" s="357">
        <v>0</v>
      </c>
      <c r="AZ120" s="699">
        <f>IF($AW121=0,0,        _xll.qDateNext($AW120,AZ$17,"M",TRUE,Currency2))</f>
        <v>0</v>
      </c>
      <c r="BA120" s="699">
        <f>IF($AW121=0,0,        _xll.qDateNext($AW120,BA$17,"M",TRUE,Currency2))</f>
        <v>0</v>
      </c>
      <c r="BB120" s="699">
        <f>IF($AW121=0,0,        _xll.qDateNext($AW120,BB$17,"M",TRUE,Currency2))</f>
        <v>0</v>
      </c>
      <c r="BC120" s="699">
        <f>IF($AW121=0,0,        _xll.qDateNext($AW120,BC$17,"M",TRUE,Currency2))</f>
        <v>0</v>
      </c>
      <c r="BD120" s="699">
        <f>IF($AW121=0,0,        _xll.qDateNext($AW120,BD$17,"M",TRUE,Currency2))</f>
        <v>0</v>
      </c>
      <c r="BE120" s="699">
        <f>IF($AW121=0,0,        _xll.qDateNext($AW120,BE$17,"M",TRUE,Currency2))</f>
        <v>0</v>
      </c>
      <c r="BF120" s="699">
        <f>IF($AW121=0,0,        _xll.qDateNext($AW120,BF$17,"M",TRUE,Currency2))</f>
        <v>0</v>
      </c>
      <c r="BG120" s="699">
        <f>IF($AW121=0,0,        _xll.qDateNext($AW120,BG$17,"M",TRUE,Currency2))</f>
        <v>0</v>
      </c>
      <c r="BH120" s="703">
        <v>0</v>
      </c>
      <c r="BI120" s="703">
        <v>0</v>
      </c>
      <c r="BJ120" s="703">
        <v>0</v>
      </c>
      <c r="BK120" s="703">
        <v>0</v>
      </c>
      <c r="BL120" s="703">
        <f t="shared" si="25"/>
        <v>0</v>
      </c>
      <c r="BM120" s="703">
        <f t="shared" si="26"/>
        <v>0</v>
      </c>
      <c r="BN120" s="703">
        <v>0</v>
      </c>
      <c r="BO120" s="703">
        <v>0</v>
      </c>
      <c r="BP120" s="685">
        <v>0</v>
      </c>
      <c r="BQ120" s="667"/>
      <c r="BR120" s="670">
        <f>IF(AW121=0,0,             IF(ISNUMBER(BQ120),BQ120,             IF(ISTEXT(BQ120),INDEX(BH120:BO120,MATCH(BQ120,$BH$17:$BO$17,0)),           IF(BP120="INT",_xll.qInterp(AW121,AZ120:BG120,BH120:BO120),       INDEX(BH120:BO120,MATCH(BP120,$BH$17:$BO$17,0))))))</f>
        <v>0</v>
      </c>
      <c r="BS120" s="731">
        <f t="shared" si="20"/>
        <v>0</v>
      </c>
      <c r="BT120" s="406">
        <f t="shared" si="21"/>
        <v>0</v>
      </c>
      <c r="BU120" s="284">
        <f>IF($AW121,_xll.qDateYears($AW120,$AW121,DCC_Leg2_Fixed),0)</f>
        <v>0</v>
      </c>
      <c r="BV120" s="284">
        <f>IF($AW121,_xll.qDateYears($AW120,$AW121,DCC_Leg2_Float),0)</f>
        <v>0</v>
      </c>
      <c r="BX120" s="350">
        <f t="shared" si="27"/>
        <v>0</v>
      </c>
      <c r="BY120" s="375">
        <f>IF(GenType_2a="Fixed",GenRate_2a%*$BT119*BU119,          IF(GenType_2a="Float",$BT119*(_xll.qGetFwdRate($J$18,$AW119,$AW120,"T",DCC_Leg2_Float)%+GenRate_2a%%)*$BV119,        IF(GenType_2a="bp (Fixed)",GenRate_2a%%*$BU119*$BT119,   IF(GenType_2a="bp (Float)",GenRate_2a%%*$BT119*$BV119,0))))</f>
        <v>0</v>
      </c>
      <c r="BZ120" s="561"/>
      <c r="CB120" s="341">
        <f t="shared" si="29"/>
        <v>0</v>
      </c>
      <c r="CC120" s="563"/>
      <c r="CD120" s="356"/>
      <c r="CE120" s="341">
        <v>0</v>
      </c>
      <c r="CF120" s="563"/>
      <c r="CG120" s="356"/>
    </row>
    <row r="121" spans="15:85">
      <c r="O121" s="122">
        <v>0</v>
      </c>
      <c r="P121" s="128">
        <f t="shared" si="16"/>
        <v>0</v>
      </c>
      <c r="Q121" s="126">
        <v>0</v>
      </c>
      <c r="R121" s="699">
        <f>IF($O122=0,0,        _xll.qDateNext($O121,R$17,"M",TRUE,Currency1))</f>
        <v>0</v>
      </c>
      <c r="S121" s="699">
        <f>IF($O122=0,0,        _xll.qDateNext($O121,S$17,"M",TRUE,Currency1))</f>
        <v>0</v>
      </c>
      <c r="T121" s="699">
        <f>IF($O122=0,0,        _xll.qDateNext($O121,T$17,"M",TRUE,Currency1))</f>
        <v>0</v>
      </c>
      <c r="U121" s="699">
        <f>IF($O122=0,0,        _xll.qDateNext($O121,U$17,"M",TRUE,Currency1))</f>
        <v>0</v>
      </c>
      <c r="V121" s="699">
        <f>IF($O122=0,0,        _xll.qDateNext($O121,V$17,"M",TRUE,Currency1))</f>
        <v>0</v>
      </c>
      <c r="W121" s="699">
        <f>IF($O122=0,0,        _xll.qDateNext($O121,W$17,"M",TRUE,Currency1))</f>
        <v>0</v>
      </c>
      <c r="X121" s="699">
        <f>IF($O122=0,0,        _xll.qDateNext($O121,X$17,"M",TRUE,Currency1))</f>
        <v>0</v>
      </c>
      <c r="Y121" s="699">
        <f>IF($O122=0,0,        _xll.qDateNext($O121,Y$17,"M",TRUE,Currency1))</f>
        <v>0</v>
      </c>
      <c r="Z121" s="703">
        <f>IF($O122=0,0,           IF(FRM,_xll.qGetFwdRate(Z$14,$O121,R121,"T",DCC_Leg1_Float),_xll.qGetFwdRate(Z$14,$O121,$O122,"T",DCC_Leg1_Float)))</f>
        <v>0</v>
      </c>
      <c r="AA121" s="703">
        <f>IF($O122=0,0,           IF(FRM,_xll.qGetFwdRate(AA$14,$O121,S121,"T",DCC_Leg1_Float),_xll.qGetFwdRate(AA$14,$O121,$O122,"T",DCC_Leg1_Float)))</f>
        <v>0</v>
      </c>
      <c r="AB121" s="703">
        <f t="shared" si="17"/>
        <v>0</v>
      </c>
      <c r="AC121" s="703">
        <f>IF($O122=0,0,           IF(FRM,_xll.qGetFwdRate(AC$14,$O121,U121,"T",DCC_Leg1_Float),_xll.qGetFwdRate(AC$14,$O121,$O122,"T",DCC_Leg1_Float)))</f>
        <v>0</v>
      </c>
      <c r="AD121" s="703">
        <f t="shared" si="22"/>
        <v>0</v>
      </c>
      <c r="AE121" s="703">
        <f t="shared" si="23"/>
        <v>0</v>
      </c>
      <c r="AF121" s="703">
        <f>IF($O122=0,0,           IF(FRM,_xll.qGetFwdRate(AF$14,$O121,X121,"T",DCC_Leg1_Float),_xll.qGetFwdRate(AF$14,$O121,$O122,"T",DCC_Leg1_Float)))</f>
        <v>0</v>
      </c>
      <c r="AG121" s="703">
        <f>IF($O122=0,0,           IF(FRM,_xll.qGetFwdRate(AG$14,$O121,Y121,"T",DCC_Leg1_Float),_xll.qGetFwdRate(AG$14,$O121,$O122,"T",DCC_Leg1_Float)))</f>
        <v>0</v>
      </c>
      <c r="AH121" s="685">
        <v>0</v>
      </c>
      <c r="AI121" s="667"/>
      <c r="AJ121" s="670">
        <f>IF(O122=0,0,             IF(ISNUMBER(AI121),AI121,             IF(ISTEXT(AI121),INDEX(Z121:AG121,MATCH(AI121,$Z$17:$AG$17,0)),           IF(AH121="INT",_xll.qInterp(O122,R121:Y121,Z121:AG121),       INDEX(Z121:AG121,MATCH(AH121,$Z$17:$AG$17,0))))))</f>
        <v>0</v>
      </c>
      <c r="AK121" s="732">
        <v>100</v>
      </c>
      <c r="AL121" s="721">
        <f t="shared" si="18"/>
        <v>0</v>
      </c>
      <c r="AM121" s="284">
        <f>IF($O122,_xll.qDateYears($O121,$O122,DCC_Leg1_Fixed),0)</f>
        <v>0</v>
      </c>
      <c r="AN121" s="284">
        <f>IF($O122,_xll.qDateYears($O121,$O122,DCC_Leg1_Float),0)</f>
        <v>0</v>
      </c>
      <c r="AP121" s="350">
        <f t="shared" si="24"/>
        <v>0</v>
      </c>
      <c r="AQ121" s="375">
        <f>IF(GenType_1a="Fixed",GenRate_1a%*$AL120*AM120,          IF(GenType_1a="Float",$AL120*(_xll.qGetFwdRate($D$18,$O120,$O121,"T",DCC_Leg1_Float)%+GenRate_1a%%)*$AN120,        IF(GenType_1a="bp (Fixed)",GenRate_1a%%*$AM120*$AL120,   IF(GenType_1a="bp (Float)",GenRate_1a%%*$AL120*$AN120,0))))</f>
        <v>0</v>
      </c>
      <c r="AR121" s="561"/>
      <c r="AT121" s="341">
        <f t="shared" si="28"/>
        <v>0</v>
      </c>
      <c r="AV121" s="356"/>
      <c r="AW121" s="122">
        <v>0</v>
      </c>
      <c r="AX121" s="128">
        <f t="shared" si="19"/>
        <v>0</v>
      </c>
      <c r="AY121" s="357">
        <v>0</v>
      </c>
      <c r="AZ121" s="699">
        <f>IF($AW122=0,0,        _xll.qDateNext($AW121,AZ$17,"M",TRUE,Currency2))</f>
        <v>0</v>
      </c>
      <c r="BA121" s="699">
        <f>IF($AW122=0,0,        _xll.qDateNext($AW121,BA$17,"M",TRUE,Currency2))</f>
        <v>0</v>
      </c>
      <c r="BB121" s="699">
        <f>IF($AW122=0,0,        _xll.qDateNext($AW121,BB$17,"M",TRUE,Currency2))</f>
        <v>0</v>
      </c>
      <c r="BC121" s="699">
        <f>IF($AW122=0,0,        _xll.qDateNext($AW121,BC$17,"M",TRUE,Currency2))</f>
        <v>0</v>
      </c>
      <c r="BD121" s="699">
        <f>IF($AW122=0,0,        _xll.qDateNext($AW121,BD$17,"M",TRUE,Currency2))</f>
        <v>0</v>
      </c>
      <c r="BE121" s="699">
        <f>IF($AW122=0,0,        _xll.qDateNext($AW121,BE$17,"M",TRUE,Currency2))</f>
        <v>0</v>
      </c>
      <c r="BF121" s="699">
        <f>IF($AW122=0,0,        _xll.qDateNext($AW121,BF$17,"M",TRUE,Currency2))</f>
        <v>0</v>
      </c>
      <c r="BG121" s="699">
        <f>IF($AW122=0,0,        _xll.qDateNext($AW121,BG$17,"M",TRUE,Currency2))</f>
        <v>0</v>
      </c>
      <c r="BH121" s="703">
        <v>0</v>
      </c>
      <c r="BI121" s="703">
        <v>0</v>
      </c>
      <c r="BJ121" s="703">
        <v>0</v>
      </c>
      <c r="BK121" s="703">
        <v>0</v>
      </c>
      <c r="BL121" s="703">
        <f t="shared" si="25"/>
        <v>0</v>
      </c>
      <c r="BM121" s="703">
        <f t="shared" si="26"/>
        <v>0</v>
      </c>
      <c r="BN121" s="703">
        <v>0</v>
      </c>
      <c r="BO121" s="703">
        <v>0</v>
      </c>
      <c r="BP121" s="685">
        <v>0</v>
      </c>
      <c r="BQ121" s="667"/>
      <c r="BR121" s="670">
        <f>IF(AW122=0,0,             IF(ISNUMBER(BQ121),BQ121,             IF(ISTEXT(BQ121),INDEX(BH121:BO121,MATCH(BQ121,$BH$17:$BO$17,0)),           IF(BP121="INT",_xll.qInterp(AW122,AZ121:BG121,BH121:BO121),       INDEX(BH121:BO121,MATCH(BP121,$BH$17:$BO$17,0))))))</f>
        <v>0</v>
      </c>
      <c r="BS121" s="731">
        <f t="shared" si="20"/>
        <v>0</v>
      </c>
      <c r="BT121" s="406">
        <f t="shared" si="21"/>
        <v>0</v>
      </c>
      <c r="BU121" s="284">
        <f>IF($AW122,_xll.qDateYears($AW121,$AW122,DCC_Leg2_Fixed),0)</f>
        <v>0</v>
      </c>
      <c r="BV121" s="284">
        <f>IF($AW122,_xll.qDateYears($AW121,$AW122,DCC_Leg2_Float),0)</f>
        <v>0</v>
      </c>
      <c r="BX121" s="350">
        <f t="shared" si="27"/>
        <v>0</v>
      </c>
      <c r="BY121" s="375">
        <f>IF(GenType_2a="Fixed",GenRate_2a%*$BT120*BU120,          IF(GenType_2a="Float",$BT120*(_xll.qGetFwdRate($J$18,$AW120,$AW121,"T",DCC_Leg2_Float)%+GenRate_2a%%)*$BV120,        IF(GenType_2a="bp (Fixed)",GenRate_2a%%*$BU120*$BT120,   IF(GenType_2a="bp (Float)",GenRate_2a%%*$BT120*$BV120,0))))</f>
        <v>0</v>
      </c>
      <c r="BZ121" s="561"/>
      <c r="CB121" s="341">
        <f t="shared" si="29"/>
        <v>0</v>
      </c>
      <c r="CC121" s="563"/>
      <c r="CD121" s="356"/>
      <c r="CE121" s="341">
        <v>0</v>
      </c>
      <c r="CF121" s="563"/>
      <c r="CG121" s="356"/>
    </row>
    <row r="122" spans="15:85">
      <c r="O122" s="122">
        <v>0</v>
      </c>
      <c r="P122" s="128">
        <f t="shared" si="16"/>
        <v>0</v>
      </c>
      <c r="Q122" s="126">
        <v>0</v>
      </c>
      <c r="R122" s="699">
        <f>IF($O123=0,0,        _xll.qDateNext($O122,R$17,"M",TRUE,Currency1))</f>
        <v>0</v>
      </c>
      <c r="S122" s="699">
        <f>IF($O123=0,0,        _xll.qDateNext($O122,S$17,"M",TRUE,Currency1))</f>
        <v>0</v>
      </c>
      <c r="T122" s="699">
        <f>IF($O123=0,0,        _xll.qDateNext($O122,T$17,"M",TRUE,Currency1))</f>
        <v>0</v>
      </c>
      <c r="U122" s="699">
        <f>IF($O123=0,0,        _xll.qDateNext($O122,U$17,"M",TRUE,Currency1))</f>
        <v>0</v>
      </c>
      <c r="V122" s="699">
        <f>IF($O123=0,0,        _xll.qDateNext($O122,V$17,"M",TRUE,Currency1))</f>
        <v>0</v>
      </c>
      <c r="W122" s="699">
        <f>IF($O123=0,0,        _xll.qDateNext($O122,W$17,"M",TRUE,Currency1))</f>
        <v>0</v>
      </c>
      <c r="X122" s="699">
        <f>IF($O123=0,0,        _xll.qDateNext($O122,X$17,"M",TRUE,Currency1))</f>
        <v>0</v>
      </c>
      <c r="Y122" s="699">
        <f>IF($O123=0,0,        _xll.qDateNext($O122,Y$17,"M",TRUE,Currency1))</f>
        <v>0</v>
      </c>
      <c r="Z122" s="703">
        <f>IF($O123=0,0,           IF(FRM,_xll.qGetFwdRate(Z$14,$O122,R122,"T",DCC_Leg1_Float),_xll.qGetFwdRate(Z$14,$O122,$O123,"T",DCC_Leg1_Float)))</f>
        <v>0</v>
      </c>
      <c r="AA122" s="703">
        <f>IF($O123=0,0,           IF(FRM,_xll.qGetFwdRate(AA$14,$O122,S122,"T",DCC_Leg1_Float),_xll.qGetFwdRate(AA$14,$O122,$O123,"T",DCC_Leg1_Float)))</f>
        <v>0</v>
      </c>
      <c r="AB122" s="703">
        <f t="shared" si="17"/>
        <v>0</v>
      </c>
      <c r="AC122" s="703">
        <f>IF($O123=0,0,           IF(FRM,_xll.qGetFwdRate(AC$14,$O122,U122,"T",DCC_Leg1_Float),_xll.qGetFwdRate(AC$14,$O122,$O123,"T",DCC_Leg1_Float)))</f>
        <v>0</v>
      </c>
      <c r="AD122" s="703">
        <f t="shared" si="22"/>
        <v>0</v>
      </c>
      <c r="AE122" s="703">
        <f t="shared" si="23"/>
        <v>0</v>
      </c>
      <c r="AF122" s="703">
        <f>IF($O123=0,0,           IF(FRM,_xll.qGetFwdRate(AF$14,$O122,X122,"T",DCC_Leg1_Float),_xll.qGetFwdRate(AF$14,$O122,$O123,"T",DCC_Leg1_Float)))</f>
        <v>0</v>
      </c>
      <c r="AG122" s="703">
        <f>IF($O123=0,0,           IF(FRM,_xll.qGetFwdRate(AG$14,$O122,Y122,"T",DCC_Leg1_Float),_xll.qGetFwdRate(AG$14,$O122,$O123,"T",DCC_Leg1_Float)))</f>
        <v>0</v>
      </c>
      <c r="AH122" s="685">
        <v>0</v>
      </c>
      <c r="AI122" s="667"/>
      <c r="AJ122" s="670">
        <f>IF(O123=0,0,             IF(ISNUMBER(AI122),AI122,             IF(ISTEXT(AI122),INDEX(Z122:AG122,MATCH(AI122,$Z$17:$AG$17,0)),           IF(AH122="INT",_xll.qInterp(O123,R122:Y122,Z122:AG122),       INDEX(Z122:AG122,MATCH(AH122,$Z$17:$AG$17,0))))))</f>
        <v>0</v>
      </c>
      <c r="AK122" s="732">
        <v>100</v>
      </c>
      <c r="AL122" s="721">
        <f t="shared" si="18"/>
        <v>0</v>
      </c>
      <c r="AM122" s="284">
        <f>IF($O123,_xll.qDateYears($O122,$O123,DCC_Leg1_Fixed),0)</f>
        <v>0</v>
      </c>
      <c r="AN122" s="284">
        <f>IF($O123,_xll.qDateYears($O122,$O123,DCC_Leg1_Float),0)</f>
        <v>0</v>
      </c>
      <c r="AP122" s="350">
        <f t="shared" si="24"/>
        <v>0</v>
      </c>
      <c r="AQ122" s="375">
        <f>IF(GenType_1a="Fixed",GenRate_1a%*$AL121*AM121,          IF(GenType_1a="Float",$AL121*(_xll.qGetFwdRate($D$18,$O121,$O122,"T",DCC_Leg1_Float)%+GenRate_1a%%)*$AN121,        IF(GenType_1a="bp (Fixed)",GenRate_1a%%*$AM121*$AL121,   IF(GenType_1a="bp (Float)",GenRate_1a%%*$AL121*$AN121,0))))</f>
        <v>0</v>
      </c>
      <c r="AR122" s="561"/>
      <c r="AT122" s="341">
        <f t="shared" si="28"/>
        <v>0</v>
      </c>
      <c r="AV122" s="356"/>
      <c r="AW122" s="122">
        <v>0</v>
      </c>
      <c r="AX122" s="128">
        <f t="shared" si="19"/>
        <v>0</v>
      </c>
      <c r="AY122" s="357">
        <v>0</v>
      </c>
      <c r="AZ122" s="699">
        <f>IF($AW123=0,0,        _xll.qDateNext($AW122,AZ$17,"M",TRUE,Currency2))</f>
        <v>0</v>
      </c>
      <c r="BA122" s="699">
        <f>IF($AW123=0,0,        _xll.qDateNext($AW122,BA$17,"M",TRUE,Currency2))</f>
        <v>0</v>
      </c>
      <c r="BB122" s="699">
        <f>IF($AW123=0,0,        _xll.qDateNext($AW122,BB$17,"M",TRUE,Currency2))</f>
        <v>0</v>
      </c>
      <c r="BC122" s="699">
        <f>IF($AW123=0,0,        _xll.qDateNext($AW122,BC$17,"M",TRUE,Currency2))</f>
        <v>0</v>
      </c>
      <c r="BD122" s="699">
        <f>IF($AW123=0,0,        _xll.qDateNext($AW122,BD$17,"M",TRUE,Currency2))</f>
        <v>0</v>
      </c>
      <c r="BE122" s="699">
        <f>IF($AW123=0,0,        _xll.qDateNext($AW122,BE$17,"M",TRUE,Currency2))</f>
        <v>0</v>
      </c>
      <c r="BF122" s="699">
        <f>IF($AW123=0,0,        _xll.qDateNext($AW122,BF$17,"M",TRUE,Currency2))</f>
        <v>0</v>
      </c>
      <c r="BG122" s="699">
        <f>IF($AW123=0,0,        _xll.qDateNext($AW122,BG$17,"M",TRUE,Currency2))</f>
        <v>0</v>
      </c>
      <c r="BH122" s="703">
        <v>0</v>
      </c>
      <c r="BI122" s="703">
        <v>0</v>
      </c>
      <c r="BJ122" s="703">
        <v>0</v>
      </c>
      <c r="BK122" s="703">
        <v>0</v>
      </c>
      <c r="BL122" s="703">
        <f t="shared" si="25"/>
        <v>0</v>
      </c>
      <c r="BM122" s="703">
        <f t="shared" si="26"/>
        <v>0</v>
      </c>
      <c r="BN122" s="703">
        <v>0</v>
      </c>
      <c r="BO122" s="703">
        <v>0</v>
      </c>
      <c r="BP122" s="685">
        <v>0</v>
      </c>
      <c r="BQ122" s="667"/>
      <c r="BR122" s="670">
        <f>IF(AW123=0,0,             IF(ISNUMBER(BQ122),BQ122,             IF(ISTEXT(BQ122),INDEX(BH122:BO122,MATCH(BQ122,$BH$17:$BO$17,0)),           IF(BP122="INT",_xll.qInterp(AW123,AZ122:BG122,BH122:BO122),       INDEX(BH122:BO122,MATCH(BP122,$BH$17:$BO$17,0))))))</f>
        <v>0</v>
      </c>
      <c r="BS122" s="731">
        <f t="shared" si="20"/>
        <v>0</v>
      </c>
      <c r="BT122" s="406">
        <f t="shared" si="21"/>
        <v>0</v>
      </c>
      <c r="BU122" s="284">
        <f>IF($AW123,_xll.qDateYears($AW122,$AW123,DCC_Leg2_Fixed),0)</f>
        <v>0</v>
      </c>
      <c r="BV122" s="284">
        <f>IF($AW123,_xll.qDateYears($AW122,$AW123,DCC_Leg2_Float),0)</f>
        <v>0</v>
      </c>
      <c r="BX122" s="350">
        <f t="shared" si="27"/>
        <v>0</v>
      </c>
      <c r="BY122" s="375">
        <f>IF(GenType_2a="Fixed",GenRate_2a%*$BT121*BU121,          IF(GenType_2a="Float",$BT121*(_xll.qGetFwdRate($J$18,$AW121,$AW122,"T",DCC_Leg2_Float)%+GenRate_2a%%)*$BV121,        IF(GenType_2a="bp (Fixed)",GenRate_2a%%*$BU121*$BT121,   IF(GenType_2a="bp (Float)",GenRate_2a%%*$BT121*$BV121,0))))</f>
        <v>0</v>
      </c>
      <c r="BZ122" s="561"/>
      <c r="CB122" s="341">
        <f t="shared" si="29"/>
        <v>0</v>
      </c>
      <c r="CC122" s="563"/>
      <c r="CD122" s="356"/>
      <c r="CE122" s="341">
        <v>0</v>
      </c>
      <c r="CF122" s="563"/>
      <c r="CG122" s="356"/>
    </row>
    <row r="123" spans="15:85">
      <c r="O123" s="122">
        <v>0</v>
      </c>
      <c r="P123" s="128">
        <f t="shared" si="16"/>
        <v>0</v>
      </c>
      <c r="Q123" s="126">
        <v>0</v>
      </c>
      <c r="R123" s="699">
        <f>IF($O124=0,0,        _xll.qDateNext($O123,R$17,"M",TRUE,Currency1))</f>
        <v>0</v>
      </c>
      <c r="S123" s="699">
        <f>IF($O124=0,0,        _xll.qDateNext($O123,S$17,"M",TRUE,Currency1))</f>
        <v>0</v>
      </c>
      <c r="T123" s="699">
        <f>IF($O124=0,0,        _xll.qDateNext($O123,T$17,"M",TRUE,Currency1))</f>
        <v>0</v>
      </c>
      <c r="U123" s="699">
        <f>IF($O124=0,0,        _xll.qDateNext($O123,U$17,"M",TRUE,Currency1))</f>
        <v>0</v>
      </c>
      <c r="V123" s="699">
        <f>IF($O124=0,0,        _xll.qDateNext($O123,V$17,"M",TRUE,Currency1))</f>
        <v>0</v>
      </c>
      <c r="W123" s="699">
        <f>IF($O124=0,0,        _xll.qDateNext($O123,W$17,"M",TRUE,Currency1))</f>
        <v>0</v>
      </c>
      <c r="X123" s="699">
        <f>IF($O124=0,0,        _xll.qDateNext($O123,X$17,"M",TRUE,Currency1))</f>
        <v>0</v>
      </c>
      <c r="Y123" s="699">
        <f>IF($O124=0,0,        _xll.qDateNext($O123,Y$17,"M",TRUE,Currency1))</f>
        <v>0</v>
      </c>
      <c r="Z123" s="703">
        <f>IF($O124=0,0,           IF(FRM,_xll.qGetFwdRate(Z$14,$O123,R123,"T",DCC_Leg1_Float),_xll.qGetFwdRate(Z$14,$O123,$O124,"T",DCC_Leg1_Float)))</f>
        <v>0</v>
      </c>
      <c r="AA123" s="703">
        <f>IF($O124=0,0,           IF(FRM,_xll.qGetFwdRate(AA$14,$O123,S123,"T",DCC_Leg1_Float),_xll.qGetFwdRate(AA$14,$O123,$O124,"T",DCC_Leg1_Float)))</f>
        <v>0</v>
      </c>
      <c r="AB123" s="703">
        <f t="shared" si="17"/>
        <v>0</v>
      </c>
      <c r="AC123" s="703">
        <f>IF($O124=0,0,           IF(FRM,_xll.qGetFwdRate(AC$14,$O123,U123,"T",DCC_Leg1_Float),_xll.qGetFwdRate(AC$14,$O123,$O124,"T",DCC_Leg1_Float)))</f>
        <v>0</v>
      </c>
      <c r="AD123" s="703">
        <f t="shared" si="22"/>
        <v>0</v>
      </c>
      <c r="AE123" s="703">
        <f t="shared" si="23"/>
        <v>0</v>
      </c>
      <c r="AF123" s="703">
        <f>IF($O124=0,0,           IF(FRM,_xll.qGetFwdRate(AF$14,$O123,X123,"T",DCC_Leg1_Float),_xll.qGetFwdRate(AF$14,$O123,$O124,"T",DCC_Leg1_Float)))</f>
        <v>0</v>
      </c>
      <c r="AG123" s="703">
        <f>IF($O124=0,0,           IF(FRM,_xll.qGetFwdRate(AG$14,$O123,Y123,"T",DCC_Leg1_Float),_xll.qGetFwdRate(AG$14,$O123,$O124,"T",DCC_Leg1_Float)))</f>
        <v>0</v>
      </c>
      <c r="AH123" s="685">
        <v>0</v>
      </c>
      <c r="AI123" s="667"/>
      <c r="AJ123" s="670">
        <f>IF(O124=0,0,             IF(ISNUMBER(AI123),AI123,             IF(ISTEXT(AI123),INDEX(Z123:AG123,MATCH(AI123,$Z$17:$AG$17,0)),           IF(AH123="INT",_xll.qInterp(O124,R123:Y123,Z123:AG123),       INDEX(Z123:AG123,MATCH(AH123,$Z$17:$AG$17,0))))))</f>
        <v>0</v>
      </c>
      <c r="AK123" s="732">
        <v>100</v>
      </c>
      <c r="AL123" s="721">
        <f t="shared" si="18"/>
        <v>0</v>
      </c>
      <c r="AM123" s="284">
        <f>IF($O124,_xll.qDateYears($O123,$O124,DCC_Leg1_Fixed),0)</f>
        <v>0</v>
      </c>
      <c r="AN123" s="284">
        <f>IF($O124,_xll.qDateYears($O123,$O124,DCC_Leg1_Float),0)</f>
        <v>0</v>
      </c>
      <c r="AP123" s="350">
        <f t="shared" si="24"/>
        <v>0</v>
      </c>
      <c r="AQ123" s="375">
        <f>IF(GenType_1a="Fixed",GenRate_1a%*$AL122*AM122,          IF(GenType_1a="Float",$AL122*(_xll.qGetFwdRate($D$18,$O122,$O123,"T",DCC_Leg1_Float)%+GenRate_1a%%)*$AN122,        IF(GenType_1a="bp (Fixed)",GenRate_1a%%*$AM122*$AL122,   IF(GenType_1a="bp (Float)",GenRate_1a%%*$AL122*$AN122,0))))</f>
        <v>0</v>
      </c>
      <c r="AR123" s="561"/>
      <c r="AT123" s="341">
        <f t="shared" si="28"/>
        <v>0</v>
      </c>
      <c r="AV123" s="356"/>
      <c r="AW123" s="122">
        <v>0</v>
      </c>
      <c r="AX123" s="128">
        <f t="shared" si="19"/>
        <v>0</v>
      </c>
      <c r="AY123" s="357">
        <v>0</v>
      </c>
      <c r="AZ123" s="699">
        <f>IF($AW124=0,0,        _xll.qDateNext($AW123,AZ$17,"M",TRUE,Currency2))</f>
        <v>0</v>
      </c>
      <c r="BA123" s="699">
        <f>IF($AW124=0,0,        _xll.qDateNext($AW123,BA$17,"M",TRUE,Currency2))</f>
        <v>0</v>
      </c>
      <c r="BB123" s="699">
        <f>IF($AW124=0,0,        _xll.qDateNext($AW123,BB$17,"M",TRUE,Currency2))</f>
        <v>0</v>
      </c>
      <c r="BC123" s="699">
        <f>IF($AW124=0,0,        _xll.qDateNext($AW123,BC$17,"M",TRUE,Currency2))</f>
        <v>0</v>
      </c>
      <c r="BD123" s="699">
        <f>IF($AW124=0,0,        _xll.qDateNext($AW123,BD$17,"M",TRUE,Currency2))</f>
        <v>0</v>
      </c>
      <c r="BE123" s="699">
        <f>IF($AW124=0,0,        _xll.qDateNext($AW123,BE$17,"M",TRUE,Currency2))</f>
        <v>0</v>
      </c>
      <c r="BF123" s="699">
        <f>IF($AW124=0,0,        _xll.qDateNext($AW123,BF$17,"M",TRUE,Currency2))</f>
        <v>0</v>
      </c>
      <c r="BG123" s="699">
        <f>IF($AW124=0,0,        _xll.qDateNext($AW123,BG$17,"M",TRUE,Currency2))</f>
        <v>0</v>
      </c>
      <c r="BH123" s="703">
        <v>0</v>
      </c>
      <c r="BI123" s="703">
        <v>0</v>
      </c>
      <c r="BJ123" s="703">
        <v>0</v>
      </c>
      <c r="BK123" s="703">
        <v>0</v>
      </c>
      <c r="BL123" s="703">
        <f t="shared" si="25"/>
        <v>0</v>
      </c>
      <c r="BM123" s="703">
        <f t="shared" si="26"/>
        <v>0</v>
      </c>
      <c r="BN123" s="703">
        <v>0</v>
      </c>
      <c r="BO123" s="703">
        <v>0</v>
      </c>
      <c r="BP123" s="685">
        <v>0</v>
      </c>
      <c r="BQ123" s="667"/>
      <c r="BR123" s="670">
        <f>IF(AW124=0,0,             IF(ISNUMBER(BQ123),BQ123,             IF(ISTEXT(BQ123),INDEX(BH123:BO123,MATCH(BQ123,$BH$17:$BO$17,0)),           IF(BP123="INT",_xll.qInterp(AW124,AZ123:BG123,BH123:BO123),       INDEX(BH123:BO123,MATCH(BP123,$BH$17:$BO$17,0))))))</f>
        <v>0</v>
      </c>
      <c r="BS123" s="731">
        <f t="shared" si="20"/>
        <v>0</v>
      </c>
      <c r="BT123" s="406">
        <f t="shared" si="21"/>
        <v>0</v>
      </c>
      <c r="BU123" s="284">
        <f>IF($AW124,_xll.qDateYears($AW123,$AW124,DCC_Leg2_Fixed),0)</f>
        <v>0</v>
      </c>
      <c r="BV123" s="284">
        <f>IF($AW124,_xll.qDateYears($AW123,$AW124,DCC_Leg2_Float),0)</f>
        <v>0</v>
      </c>
      <c r="BX123" s="350">
        <f t="shared" si="27"/>
        <v>0</v>
      </c>
      <c r="BY123" s="375">
        <f>IF(GenType_2a="Fixed",GenRate_2a%*$BT122*BU122,          IF(GenType_2a="Float",$BT122*(_xll.qGetFwdRate($J$18,$AW122,$AW123,"T",DCC_Leg2_Float)%+GenRate_2a%%)*$BV122,        IF(GenType_2a="bp (Fixed)",GenRate_2a%%*$BU122*$BT122,   IF(GenType_2a="bp (Float)",GenRate_2a%%*$BT122*$BV122,0))))</f>
        <v>0</v>
      </c>
      <c r="BZ123" s="561"/>
      <c r="CB123" s="341">
        <f t="shared" si="29"/>
        <v>0</v>
      </c>
      <c r="CC123" s="563"/>
      <c r="CD123" s="356"/>
      <c r="CE123" s="341">
        <v>0</v>
      </c>
      <c r="CF123" s="563"/>
      <c r="CG123" s="356"/>
    </row>
    <row r="124" spans="15:85">
      <c r="O124" s="122">
        <v>0</v>
      </c>
      <c r="P124" s="128">
        <f t="shared" si="16"/>
        <v>0</v>
      </c>
      <c r="Q124" s="126">
        <v>0</v>
      </c>
      <c r="R124" s="699">
        <f>IF($O125=0,0,        _xll.qDateNext($O124,R$17,"M",TRUE,Currency1))</f>
        <v>0</v>
      </c>
      <c r="S124" s="699">
        <f>IF($O125=0,0,        _xll.qDateNext($O124,S$17,"M",TRUE,Currency1))</f>
        <v>0</v>
      </c>
      <c r="T124" s="699">
        <f>IF($O125=0,0,        _xll.qDateNext($O124,T$17,"M",TRUE,Currency1))</f>
        <v>0</v>
      </c>
      <c r="U124" s="699">
        <f>IF($O125=0,0,        _xll.qDateNext($O124,U$17,"M",TRUE,Currency1))</f>
        <v>0</v>
      </c>
      <c r="V124" s="699">
        <f>IF($O125=0,0,        _xll.qDateNext($O124,V$17,"M",TRUE,Currency1))</f>
        <v>0</v>
      </c>
      <c r="W124" s="699">
        <f>IF($O125=0,0,        _xll.qDateNext($O124,W$17,"M",TRUE,Currency1))</f>
        <v>0</v>
      </c>
      <c r="X124" s="699">
        <f>IF($O125=0,0,        _xll.qDateNext($O124,X$17,"M",TRUE,Currency1))</f>
        <v>0</v>
      </c>
      <c r="Y124" s="699">
        <f>IF($O125=0,0,        _xll.qDateNext($O124,Y$17,"M",TRUE,Currency1))</f>
        <v>0</v>
      </c>
      <c r="Z124" s="703">
        <f>IF($O125=0,0,           IF(FRM,_xll.qGetFwdRate(Z$14,$O124,R124,"T",DCC_Leg1_Float),_xll.qGetFwdRate(Z$14,$O124,$O125,"T",DCC_Leg1_Float)))</f>
        <v>0</v>
      </c>
      <c r="AA124" s="703">
        <f>IF($O125=0,0,           IF(FRM,_xll.qGetFwdRate(AA$14,$O124,S124,"T",DCC_Leg1_Float),_xll.qGetFwdRate(AA$14,$O124,$O125,"T",DCC_Leg1_Float)))</f>
        <v>0</v>
      </c>
      <c r="AB124" s="703">
        <f t="shared" si="17"/>
        <v>0</v>
      </c>
      <c r="AC124" s="703">
        <f>IF($O125=0,0,           IF(FRM,_xll.qGetFwdRate(AC$14,$O124,U124,"T",DCC_Leg1_Float),_xll.qGetFwdRate(AC$14,$O124,$O125,"T",DCC_Leg1_Float)))</f>
        <v>0</v>
      </c>
      <c r="AD124" s="703">
        <f t="shared" si="22"/>
        <v>0</v>
      </c>
      <c r="AE124" s="703">
        <f t="shared" si="23"/>
        <v>0</v>
      </c>
      <c r="AF124" s="703">
        <f>IF($O125=0,0,           IF(FRM,_xll.qGetFwdRate(AF$14,$O124,X124,"T",DCC_Leg1_Float),_xll.qGetFwdRate(AF$14,$O124,$O125,"T",DCC_Leg1_Float)))</f>
        <v>0</v>
      </c>
      <c r="AG124" s="703">
        <f>IF($O125=0,0,           IF(FRM,_xll.qGetFwdRate(AG$14,$O124,Y124,"T",DCC_Leg1_Float),_xll.qGetFwdRate(AG$14,$O124,$O125,"T",DCC_Leg1_Float)))</f>
        <v>0</v>
      </c>
      <c r="AH124" s="685">
        <v>0</v>
      </c>
      <c r="AI124" s="667"/>
      <c r="AJ124" s="670">
        <f>IF(O125=0,0,             IF(ISNUMBER(AI124),AI124,             IF(ISTEXT(AI124),INDEX(Z124:AG124,MATCH(AI124,$Z$17:$AG$17,0)),           IF(AH124="INT",_xll.qInterp(O125,R124:Y124,Z124:AG124),       INDEX(Z124:AG124,MATCH(AH124,$Z$17:$AG$17,0))))))</f>
        <v>0</v>
      </c>
      <c r="AK124" s="732">
        <v>100</v>
      </c>
      <c r="AL124" s="721">
        <f t="shared" si="18"/>
        <v>0</v>
      </c>
      <c r="AM124" s="284">
        <f>IF($O125,_xll.qDateYears($O124,$O125,DCC_Leg1_Fixed),0)</f>
        <v>0</v>
      </c>
      <c r="AN124" s="284">
        <f>IF($O125,_xll.qDateYears($O124,$O125,DCC_Leg1_Float),0)</f>
        <v>0</v>
      </c>
      <c r="AP124" s="350">
        <f t="shared" si="24"/>
        <v>0</v>
      </c>
      <c r="AQ124" s="375">
        <f>IF(GenType_1a="Fixed",GenRate_1a%*$AL123*AM123,          IF(GenType_1a="Float",$AL123*(_xll.qGetFwdRate($D$18,$O123,$O124,"T",DCC_Leg1_Float)%+GenRate_1a%%)*$AN123,        IF(GenType_1a="bp (Fixed)",GenRate_1a%%*$AM123*$AL123,   IF(GenType_1a="bp (Float)",GenRate_1a%%*$AL123*$AN123,0))))</f>
        <v>0</v>
      </c>
      <c r="AR124" s="561"/>
      <c r="AT124" s="341">
        <f t="shared" si="28"/>
        <v>0</v>
      </c>
      <c r="AV124" s="356"/>
      <c r="AW124" s="122">
        <v>0</v>
      </c>
      <c r="AX124" s="128">
        <f t="shared" si="19"/>
        <v>0</v>
      </c>
      <c r="AY124" s="357">
        <v>0</v>
      </c>
      <c r="AZ124" s="699">
        <f>IF($AW125=0,0,        _xll.qDateNext($AW124,AZ$17,"M",TRUE,Currency2))</f>
        <v>0</v>
      </c>
      <c r="BA124" s="699">
        <f>IF($AW125=0,0,        _xll.qDateNext($AW124,BA$17,"M",TRUE,Currency2))</f>
        <v>0</v>
      </c>
      <c r="BB124" s="699">
        <f>IF($AW125=0,0,        _xll.qDateNext($AW124,BB$17,"M",TRUE,Currency2))</f>
        <v>0</v>
      </c>
      <c r="BC124" s="699">
        <f>IF($AW125=0,0,        _xll.qDateNext($AW124,BC$17,"M",TRUE,Currency2))</f>
        <v>0</v>
      </c>
      <c r="BD124" s="699">
        <f>IF($AW125=0,0,        _xll.qDateNext($AW124,BD$17,"M",TRUE,Currency2))</f>
        <v>0</v>
      </c>
      <c r="BE124" s="699">
        <f>IF($AW125=0,0,        _xll.qDateNext($AW124,BE$17,"M",TRUE,Currency2))</f>
        <v>0</v>
      </c>
      <c r="BF124" s="699">
        <f>IF($AW125=0,0,        _xll.qDateNext($AW124,BF$17,"M",TRUE,Currency2))</f>
        <v>0</v>
      </c>
      <c r="BG124" s="699">
        <f>IF($AW125=0,0,        _xll.qDateNext($AW124,BG$17,"M",TRUE,Currency2))</f>
        <v>0</v>
      </c>
      <c r="BH124" s="703">
        <v>0</v>
      </c>
      <c r="BI124" s="703">
        <v>0</v>
      </c>
      <c r="BJ124" s="703">
        <v>0</v>
      </c>
      <c r="BK124" s="703">
        <v>0</v>
      </c>
      <c r="BL124" s="703">
        <f t="shared" si="25"/>
        <v>0</v>
      </c>
      <c r="BM124" s="703">
        <f t="shared" si="26"/>
        <v>0</v>
      </c>
      <c r="BN124" s="703">
        <v>0</v>
      </c>
      <c r="BO124" s="703">
        <v>0</v>
      </c>
      <c r="BP124" s="685">
        <v>0</v>
      </c>
      <c r="BQ124" s="667"/>
      <c r="BR124" s="670">
        <f>IF(AW125=0,0,             IF(ISNUMBER(BQ124),BQ124,             IF(ISTEXT(BQ124),INDEX(BH124:BO124,MATCH(BQ124,$BH$17:$BO$17,0)),           IF(BP124="INT",_xll.qInterp(AW125,AZ124:BG124,BH124:BO124),       INDEX(BH124:BO124,MATCH(BP124,$BH$17:$BO$17,0))))))</f>
        <v>0</v>
      </c>
      <c r="BS124" s="731">
        <f t="shared" si="20"/>
        <v>0</v>
      </c>
      <c r="BT124" s="406">
        <f t="shared" si="21"/>
        <v>0</v>
      </c>
      <c r="BU124" s="284">
        <f>IF($AW125,_xll.qDateYears($AW124,$AW125,DCC_Leg2_Fixed),0)</f>
        <v>0</v>
      </c>
      <c r="BV124" s="284">
        <f>IF($AW125,_xll.qDateYears($AW124,$AW125,DCC_Leg2_Float),0)</f>
        <v>0</v>
      </c>
      <c r="BX124" s="350">
        <f t="shared" si="27"/>
        <v>0</v>
      </c>
      <c r="BY124" s="375">
        <f>IF(GenType_2a="Fixed",GenRate_2a%*$BT123*BU123,          IF(GenType_2a="Float",$BT123*(_xll.qGetFwdRate($J$18,$AW123,$AW124,"T",DCC_Leg2_Float)%+GenRate_2a%%)*$BV123,        IF(GenType_2a="bp (Fixed)",GenRate_2a%%*$BU123*$BT123,   IF(GenType_2a="bp (Float)",GenRate_2a%%*$BT123*$BV123,0))))</f>
        <v>0</v>
      </c>
      <c r="BZ124" s="561"/>
      <c r="CB124" s="341">
        <f t="shared" si="29"/>
        <v>0</v>
      </c>
      <c r="CC124" s="563"/>
      <c r="CD124" s="356"/>
      <c r="CE124" s="341">
        <v>0</v>
      </c>
      <c r="CF124" s="563"/>
      <c r="CG124" s="356"/>
    </row>
    <row r="125" spans="15:85">
      <c r="O125" s="122">
        <v>0</v>
      </c>
      <c r="P125" s="128">
        <f t="shared" si="16"/>
        <v>0</v>
      </c>
      <c r="Q125" s="126">
        <v>0</v>
      </c>
      <c r="R125" s="699">
        <f>IF($O126=0,0,        _xll.qDateNext($O125,R$17,"M",TRUE,Currency1))</f>
        <v>0</v>
      </c>
      <c r="S125" s="699">
        <f>IF($O126=0,0,        _xll.qDateNext($O125,S$17,"M",TRUE,Currency1))</f>
        <v>0</v>
      </c>
      <c r="T125" s="699">
        <f>IF($O126=0,0,        _xll.qDateNext($O125,T$17,"M",TRUE,Currency1))</f>
        <v>0</v>
      </c>
      <c r="U125" s="699">
        <f>IF($O126=0,0,        _xll.qDateNext($O125,U$17,"M",TRUE,Currency1))</f>
        <v>0</v>
      </c>
      <c r="V125" s="699">
        <f>IF($O126=0,0,        _xll.qDateNext($O125,V$17,"M",TRUE,Currency1))</f>
        <v>0</v>
      </c>
      <c r="W125" s="699">
        <f>IF($O126=0,0,        _xll.qDateNext($O125,W$17,"M",TRUE,Currency1))</f>
        <v>0</v>
      </c>
      <c r="X125" s="699">
        <f>IF($O126=0,0,        _xll.qDateNext($O125,X$17,"M",TRUE,Currency1))</f>
        <v>0</v>
      </c>
      <c r="Y125" s="699">
        <f>IF($O126=0,0,        _xll.qDateNext($O125,Y$17,"M",TRUE,Currency1))</f>
        <v>0</v>
      </c>
      <c r="Z125" s="703">
        <f>IF($O126=0,0,           IF(FRM,_xll.qGetFwdRate(Z$14,$O125,R125,"T",DCC_Leg1_Float),_xll.qGetFwdRate(Z$14,$O125,$O126,"T",DCC_Leg1_Float)))</f>
        <v>0</v>
      </c>
      <c r="AA125" s="703">
        <f>IF($O126=0,0,           IF(FRM,_xll.qGetFwdRate(AA$14,$O125,S125,"T",DCC_Leg1_Float),_xll.qGetFwdRate(AA$14,$O125,$O126,"T",DCC_Leg1_Float)))</f>
        <v>0</v>
      </c>
      <c r="AB125" s="703">
        <f t="shared" si="17"/>
        <v>0</v>
      </c>
      <c r="AC125" s="703">
        <f>IF($O126=0,0,           IF(FRM,_xll.qGetFwdRate(AC$14,$O125,U125,"T",DCC_Leg1_Float),_xll.qGetFwdRate(AC$14,$O125,$O126,"T",DCC_Leg1_Float)))</f>
        <v>0</v>
      </c>
      <c r="AD125" s="703">
        <f t="shared" si="22"/>
        <v>0</v>
      </c>
      <c r="AE125" s="703">
        <f t="shared" si="23"/>
        <v>0</v>
      </c>
      <c r="AF125" s="703">
        <f>IF($O126=0,0,           IF(FRM,_xll.qGetFwdRate(AF$14,$O125,X125,"T",DCC_Leg1_Float),_xll.qGetFwdRate(AF$14,$O125,$O126,"T",DCC_Leg1_Float)))</f>
        <v>0</v>
      </c>
      <c r="AG125" s="703">
        <f>IF($O126=0,0,           IF(FRM,_xll.qGetFwdRate(AG$14,$O125,Y125,"T",DCC_Leg1_Float),_xll.qGetFwdRate(AG$14,$O125,$O126,"T",DCC_Leg1_Float)))</f>
        <v>0</v>
      </c>
      <c r="AH125" s="685">
        <v>0</v>
      </c>
      <c r="AI125" s="667"/>
      <c r="AJ125" s="670">
        <f>IF(O126=0,0,             IF(ISNUMBER(AI125),AI125,             IF(ISTEXT(AI125),INDEX(Z125:AG125,MATCH(AI125,$Z$17:$AG$17,0)),           IF(AH125="INT",_xll.qInterp(O126,R125:Y125,Z125:AG125),       INDEX(Z125:AG125,MATCH(AH125,$Z$17:$AG$17,0))))))</f>
        <v>0</v>
      </c>
      <c r="AK125" s="732">
        <v>100</v>
      </c>
      <c r="AL125" s="721">
        <f t="shared" si="18"/>
        <v>0</v>
      </c>
      <c r="AM125" s="284">
        <f>IF($O126,_xll.qDateYears($O125,$O126,DCC_Leg1_Fixed),0)</f>
        <v>0</v>
      </c>
      <c r="AN125" s="284">
        <f>IF($O126,_xll.qDateYears($O125,$O126,DCC_Leg1_Float),0)</f>
        <v>0</v>
      </c>
      <c r="AP125" s="350">
        <f t="shared" si="24"/>
        <v>0</v>
      </c>
      <c r="AQ125" s="375">
        <f>IF(GenType_1a="Fixed",GenRate_1a%*$AL124*AM124,          IF(GenType_1a="Float",$AL124*(_xll.qGetFwdRate($D$18,$O124,$O125,"T",DCC_Leg1_Float)%+GenRate_1a%%)*$AN124,        IF(GenType_1a="bp (Fixed)",GenRate_1a%%*$AM124*$AL124,   IF(GenType_1a="bp (Float)",GenRate_1a%%*$AL124*$AN124,0))))</f>
        <v>0</v>
      </c>
      <c r="AR125" s="561"/>
      <c r="AT125" s="341">
        <f t="shared" si="28"/>
        <v>0</v>
      </c>
      <c r="AV125" s="356"/>
      <c r="AW125" s="122">
        <v>0</v>
      </c>
      <c r="AX125" s="128">
        <f t="shared" si="19"/>
        <v>0</v>
      </c>
      <c r="AY125" s="357">
        <v>0</v>
      </c>
      <c r="AZ125" s="699">
        <f>IF($AW126=0,0,        _xll.qDateNext($AW125,AZ$17,"M",TRUE,Currency2))</f>
        <v>0</v>
      </c>
      <c r="BA125" s="699">
        <f>IF($AW126=0,0,        _xll.qDateNext($AW125,BA$17,"M",TRUE,Currency2))</f>
        <v>0</v>
      </c>
      <c r="BB125" s="699">
        <f>IF($AW126=0,0,        _xll.qDateNext($AW125,BB$17,"M",TRUE,Currency2))</f>
        <v>0</v>
      </c>
      <c r="BC125" s="699">
        <f>IF($AW126=0,0,        _xll.qDateNext($AW125,BC$17,"M",TRUE,Currency2))</f>
        <v>0</v>
      </c>
      <c r="BD125" s="699">
        <f>IF($AW126=0,0,        _xll.qDateNext($AW125,BD$17,"M",TRUE,Currency2))</f>
        <v>0</v>
      </c>
      <c r="BE125" s="699">
        <f>IF($AW126=0,0,        _xll.qDateNext($AW125,BE$17,"M",TRUE,Currency2))</f>
        <v>0</v>
      </c>
      <c r="BF125" s="699">
        <f>IF($AW126=0,0,        _xll.qDateNext($AW125,BF$17,"M",TRUE,Currency2))</f>
        <v>0</v>
      </c>
      <c r="BG125" s="699">
        <f>IF($AW126=0,0,        _xll.qDateNext($AW125,BG$17,"M",TRUE,Currency2))</f>
        <v>0</v>
      </c>
      <c r="BH125" s="703">
        <v>0</v>
      </c>
      <c r="BI125" s="703">
        <v>0</v>
      </c>
      <c r="BJ125" s="703">
        <v>0</v>
      </c>
      <c r="BK125" s="703">
        <v>0</v>
      </c>
      <c r="BL125" s="703">
        <f t="shared" si="25"/>
        <v>0</v>
      </c>
      <c r="BM125" s="703">
        <f t="shared" si="26"/>
        <v>0</v>
      </c>
      <c r="BN125" s="703">
        <v>0</v>
      </c>
      <c r="BO125" s="703">
        <v>0</v>
      </c>
      <c r="BP125" s="685">
        <v>0</v>
      </c>
      <c r="BQ125" s="667"/>
      <c r="BR125" s="670">
        <f>IF(AW126=0,0,             IF(ISNUMBER(BQ125),BQ125,             IF(ISTEXT(BQ125),INDEX(BH125:BO125,MATCH(BQ125,$BH$17:$BO$17,0)),           IF(BP125="INT",_xll.qInterp(AW126,AZ125:BG125,BH125:BO125),       INDEX(BH125:BO125,MATCH(BP125,$BH$17:$BO$17,0))))))</f>
        <v>0</v>
      </c>
      <c r="BS125" s="731">
        <f t="shared" si="20"/>
        <v>0</v>
      </c>
      <c r="BT125" s="406">
        <f t="shared" si="21"/>
        <v>0</v>
      </c>
      <c r="BU125" s="284">
        <f>IF($AW126,_xll.qDateYears($AW125,$AW126,DCC_Leg2_Fixed),0)</f>
        <v>0</v>
      </c>
      <c r="BV125" s="284">
        <f>IF($AW126,_xll.qDateYears($AW125,$AW126,DCC_Leg2_Float),0)</f>
        <v>0</v>
      </c>
      <c r="BX125" s="350">
        <f t="shared" si="27"/>
        <v>0</v>
      </c>
      <c r="BY125" s="375">
        <f>IF(GenType_2a="Fixed",GenRate_2a%*$BT124*BU124,          IF(GenType_2a="Float",$BT124*(_xll.qGetFwdRate($J$18,$AW124,$AW125,"T",DCC_Leg2_Float)%+GenRate_2a%%)*$BV124,        IF(GenType_2a="bp (Fixed)",GenRate_2a%%*$BU124*$BT124,   IF(GenType_2a="bp (Float)",GenRate_2a%%*$BT124*$BV124,0))))</f>
        <v>0</v>
      </c>
      <c r="BZ125" s="561"/>
      <c r="CB125" s="341">
        <f t="shared" si="29"/>
        <v>0</v>
      </c>
      <c r="CC125" s="563"/>
      <c r="CD125" s="356"/>
      <c r="CE125" s="341">
        <v>0</v>
      </c>
      <c r="CF125" s="563"/>
      <c r="CG125" s="356"/>
    </row>
    <row r="126" spans="15:85">
      <c r="O126" s="122">
        <v>0</v>
      </c>
      <c r="P126" s="128">
        <f t="shared" si="16"/>
        <v>0</v>
      </c>
      <c r="Q126" s="126">
        <v>0</v>
      </c>
      <c r="R126" s="699">
        <f>IF($O127=0,0,        _xll.qDateNext($O126,R$17,"M",TRUE,Currency1))</f>
        <v>0</v>
      </c>
      <c r="S126" s="699">
        <f>IF($O127=0,0,        _xll.qDateNext($O126,S$17,"M",TRUE,Currency1))</f>
        <v>0</v>
      </c>
      <c r="T126" s="699">
        <f>IF($O127=0,0,        _xll.qDateNext($O126,T$17,"M",TRUE,Currency1))</f>
        <v>0</v>
      </c>
      <c r="U126" s="699">
        <f>IF($O127=0,0,        _xll.qDateNext($O126,U$17,"M",TRUE,Currency1))</f>
        <v>0</v>
      </c>
      <c r="V126" s="699">
        <f>IF($O127=0,0,        _xll.qDateNext($O126,V$17,"M",TRUE,Currency1))</f>
        <v>0</v>
      </c>
      <c r="W126" s="699">
        <f>IF($O127=0,0,        _xll.qDateNext($O126,W$17,"M",TRUE,Currency1))</f>
        <v>0</v>
      </c>
      <c r="X126" s="699">
        <f>IF($O127=0,0,        _xll.qDateNext($O126,X$17,"M",TRUE,Currency1))</f>
        <v>0</v>
      </c>
      <c r="Y126" s="699">
        <f>IF($O127=0,0,        _xll.qDateNext($O126,Y$17,"M",TRUE,Currency1))</f>
        <v>0</v>
      </c>
      <c r="Z126" s="703">
        <f>IF($O127=0,0,           IF(FRM,_xll.qGetFwdRate(Z$14,$O126,R126,"T",DCC_Leg1_Float),_xll.qGetFwdRate(Z$14,$O126,$O127,"T",DCC_Leg1_Float)))</f>
        <v>0</v>
      </c>
      <c r="AA126" s="703">
        <f>IF($O127=0,0,           IF(FRM,_xll.qGetFwdRate(AA$14,$O126,S126,"T",DCC_Leg1_Float),_xll.qGetFwdRate(AA$14,$O126,$O127,"T",DCC_Leg1_Float)))</f>
        <v>0</v>
      </c>
      <c r="AB126" s="703">
        <f t="shared" si="17"/>
        <v>0</v>
      </c>
      <c r="AC126" s="703">
        <f>IF($O127=0,0,           IF(FRM,_xll.qGetFwdRate(AC$14,$O126,U126,"T",DCC_Leg1_Float),_xll.qGetFwdRate(AC$14,$O126,$O127,"T",DCC_Leg1_Float)))</f>
        <v>0</v>
      </c>
      <c r="AD126" s="703">
        <f t="shared" si="22"/>
        <v>0</v>
      </c>
      <c r="AE126" s="703">
        <f t="shared" si="23"/>
        <v>0</v>
      </c>
      <c r="AF126" s="703">
        <f>IF($O127=0,0,           IF(FRM,_xll.qGetFwdRate(AF$14,$O126,X126,"T",DCC_Leg1_Float),_xll.qGetFwdRate(AF$14,$O126,$O127,"T",DCC_Leg1_Float)))</f>
        <v>0</v>
      </c>
      <c r="AG126" s="703">
        <f>IF($O127=0,0,           IF(FRM,_xll.qGetFwdRate(AG$14,$O126,Y126,"T",DCC_Leg1_Float),_xll.qGetFwdRate(AG$14,$O126,$O127,"T",DCC_Leg1_Float)))</f>
        <v>0</v>
      </c>
      <c r="AH126" s="685">
        <v>0</v>
      </c>
      <c r="AI126" s="667"/>
      <c r="AJ126" s="670">
        <f>IF(O127=0,0,             IF(ISNUMBER(AI126),AI126,             IF(ISTEXT(AI126),INDEX(Z126:AG126,MATCH(AI126,$Z$17:$AG$17,0)),           IF(AH126="INT",_xll.qInterp(O127,R126:Y126,Z126:AG126),       INDEX(Z126:AG126,MATCH(AH126,$Z$17:$AG$17,0))))))</f>
        <v>0</v>
      </c>
      <c r="AK126" s="732">
        <v>100</v>
      </c>
      <c r="AL126" s="721">
        <f t="shared" si="18"/>
        <v>0</v>
      </c>
      <c r="AM126" s="284">
        <f>IF($O127,_xll.qDateYears($O126,$O127,DCC_Leg1_Fixed),0)</f>
        <v>0</v>
      </c>
      <c r="AN126" s="284">
        <f>IF($O127,_xll.qDateYears($O126,$O127,DCC_Leg1_Float),0)</f>
        <v>0</v>
      </c>
      <c r="AP126" s="350">
        <f t="shared" si="24"/>
        <v>0</v>
      </c>
      <c r="AQ126" s="375">
        <f>IF(GenType_1a="Fixed",GenRate_1a%*$AL125*AM125,          IF(GenType_1a="Float",$AL125*(_xll.qGetFwdRate($D$18,$O125,$O126,"T",DCC_Leg1_Float)%+GenRate_1a%%)*$AN125,        IF(GenType_1a="bp (Fixed)",GenRate_1a%%*$AM125*$AL125,   IF(GenType_1a="bp (Float)",GenRate_1a%%*$AL125*$AN125,0))))</f>
        <v>0</v>
      </c>
      <c r="AR126" s="561"/>
      <c r="AT126" s="341">
        <f t="shared" si="28"/>
        <v>0</v>
      </c>
      <c r="AV126" s="356"/>
      <c r="AW126" s="122">
        <v>0</v>
      </c>
      <c r="AX126" s="128">
        <f t="shared" si="19"/>
        <v>0</v>
      </c>
      <c r="AY126" s="357">
        <v>0</v>
      </c>
      <c r="AZ126" s="699">
        <f>IF($AW127=0,0,        _xll.qDateNext($AW126,AZ$17,"M",TRUE,Currency2))</f>
        <v>0</v>
      </c>
      <c r="BA126" s="699">
        <f>IF($AW127=0,0,        _xll.qDateNext($AW126,BA$17,"M",TRUE,Currency2))</f>
        <v>0</v>
      </c>
      <c r="BB126" s="699">
        <f>IF($AW127=0,0,        _xll.qDateNext($AW126,BB$17,"M",TRUE,Currency2))</f>
        <v>0</v>
      </c>
      <c r="BC126" s="699">
        <f>IF($AW127=0,0,        _xll.qDateNext($AW126,BC$17,"M",TRUE,Currency2))</f>
        <v>0</v>
      </c>
      <c r="BD126" s="699">
        <f>IF($AW127=0,0,        _xll.qDateNext($AW126,BD$17,"M",TRUE,Currency2))</f>
        <v>0</v>
      </c>
      <c r="BE126" s="699">
        <f>IF($AW127=0,0,        _xll.qDateNext($AW126,BE$17,"M",TRUE,Currency2))</f>
        <v>0</v>
      </c>
      <c r="BF126" s="699">
        <f>IF($AW127=0,0,        _xll.qDateNext($AW126,BF$17,"M",TRUE,Currency2))</f>
        <v>0</v>
      </c>
      <c r="BG126" s="699">
        <f>IF($AW127=0,0,        _xll.qDateNext($AW126,BG$17,"M",TRUE,Currency2))</f>
        <v>0</v>
      </c>
      <c r="BH126" s="703">
        <v>0</v>
      </c>
      <c r="BI126" s="703">
        <v>0</v>
      </c>
      <c r="BJ126" s="703">
        <v>0</v>
      </c>
      <c r="BK126" s="703">
        <v>0</v>
      </c>
      <c r="BL126" s="703">
        <f t="shared" si="25"/>
        <v>0</v>
      </c>
      <c r="BM126" s="703">
        <f t="shared" si="26"/>
        <v>0</v>
      </c>
      <c r="BN126" s="703">
        <v>0</v>
      </c>
      <c r="BO126" s="703">
        <v>0</v>
      </c>
      <c r="BP126" s="685">
        <v>0</v>
      </c>
      <c r="BQ126" s="667"/>
      <c r="BR126" s="670">
        <f>IF(AW127=0,0,             IF(ISNUMBER(BQ126),BQ126,             IF(ISTEXT(BQ126),INDEX(BH126:BO126,MATCH(BQ126,$BH$17:$BO$17,0)),           IF(BP126="INT",_xll.qInterp(AW127,AZ126:BG126,BH126:BO126),       INDEX(BH126:BO126,MATCH(BP126,$BH$17:$BO$17,0))))))</f>
        <v>0</v>
      </c>
      <c r="BS126" s="731">
        <f t="shared" si="20"/>
        <v>0</v>
      </c>
      <c r="BT126" s="406">
        <f t="shared" si="21"/>
        <v>0</v>
      </c>
      <c r="BU126" s="284">
        <f>IF($AW127,_xll.qDateYears($AW126,$AW127,DCC_Leg2_Fixed),0)</f>
        <v>0</v>
      </c>
      <c r="BV126" s="284">
        <f>IF($AW127,_xll.qDateYears($AW126,$AW127,DCC_Leg2_Float),0)</f>
        <v>0</v>
      </c>
      <c r="BX126" s="350">
        <f t="shared" si="27"/>
        <v>0</v>
      </c>
      <c r="BY126" s="375">
        <f>IF(GenType_2a="Fixed",GenRate_2a%*$BT125*BU125,          IF(GenType_2a="Float",$BT125*(_xll.qGetFwdRate($J$18,$AW125,$AW126,"T",DCC_Leg2_Float)%+GenRate_2a%%)*$BV125,        IF(GenType_2a="bp (Fixed)",GenRate_2a%%*$BU125*$BT125,   IF(GenType_2a="bp (Float)",GenRate_2a%%*$BT125*$BV125,0))))</f>
        <v>0</v>
      </c>
      <c r="BZ126" s="561"/>
      <c r="CB126" s="341">
        <f t="shared" si="29"/>
        <v>0</v>
      </c>
      <c r="CC126" s="563"/>
      <c r="CD126" s="356"/>
      <c r="CE126" s="341">
        <v>0</v>
      </c>
      <c r="CF126" s="563"/>
      <c r="CG126" s="356"/>
    </row>
    <row r="127" spans="15:85">
      <c r="O127" s="122">
        <v>0</v>
      </c>
      <c r="P127" s="128">
        <f t="shared" si="16"/>
        <v>0</v>
      </c>
      <c r="Q127" s="126">
        <v>0</v>
      </c>
      <c r="R127" s="699">
        <f>IF($O128=0,0,        _xll.qDateNext($O127,R$17,"M",TRUE,Currency1))</f>
        <v>0</v>
      </c>
      <c r="S127" s="699">
        <f>IF($O128=0,0,        _xll.qDateNext($O127,S$17,"M",TRUE,Currency1))</f>
        <v>0</v>
      </c>
      <c r="T127" s="699">
        <f>IF($O128=0,0,        _xll.qDateNext($O127,T$17,"M",TRUE,Currency1))</f>
        <v>0</v>
      </c>
      <c r="U127" s="699">
        <f>IF($O128=0,0,        _xll.qDateNext($O127,U$17,"M",TRUE,Currency1))</f>
        <v>0</v>
      </c>
      <c r="V127" s="699">
        <f>IF($O128=0,0,        _xll.qDateNext($O127,V$17,"M",TRUE,Currency1))</f>
        <v>0</v>
      </c>
      <c r="W127" s="699">
        <f>IF($O128=0,0,        _xll.qDateNext($O127,W$17,"M",TRUE,Currency1))</f>
        <v>0</v>
      </c>
      <c r="X127" s="699">
        <f>IF($O128=0,0,        _xll.qDateNext($O127,X$17,"M",TRUE,Currency1))</f>
        <v>0</v>
      </c>
      <c r="Y127" s="699">
        <f>IF($O128=0,0,        _xll.qDateNext($O127,Y$17,"M",TRUE,Currency1))</f>
        <v>0</v>
      </c>
      <c r="Z127" s="703">
        <f>IF($O128=0,0,           IF(FRM,_xll.qGetFwdRate(Z$14,$O127,R127,"T",DCC_Leg1_Float),_xll.qGetFwdRate(Z$14,$O127,$O128,"T",DCC_Leg1_Float)))</f>
        <v>0</v>
      </c>
      <c r="AA127" s="703">
        <f>IF($O128=0,0,           IF(FRM,_xll.qGetFwdRate(AA$14,$O127,S127,"T",DCC_Leg1_Float),_xll.qGetFwdRate(AA$14,$O127,$O128,"T",DCC_Leg1_Float)))</f>
        <v>0</v>
      </c>
      <c r="AB127" s="703">
        <f t="shared" si="17"/>
        <v>0</v>
      </c>
      <c r="AC127" s="703">
        <f>IF($O128=0,0,           IF(FRM,_xll.qGetFwdRate(AC$14,$O127,U127,"T",DCC_Leg1_Float),_xll.qGetFwdRate(AC$14,$O127,$O128,"T",DCC_Leg1_Float)))</f>
        <v>0</v>
      </c>
      <c r="AD127" s="703">
        <f t="shared" si="22"/>
        <v>0</v>
      </c>
      <c r="AE127" s="703">
        <f t="shared" si="23"/>
        <v>0</v>
      </c>
      <c r="AF127" s="703">
        <f>IF($O128=0,0,           IF(FRM,_xll.qGetFwdRate(AF$14,$O127,X127,"T",DCC_Leg1_Float),_xll.qGetFwdRate(AF$14,$O127,$O128,"T",DCC_Leg1_Float)))</f>
        <v>0</v>
      </c>
      <c r="AG127" s="703">
        <f>IF($O128=0,0,           IF(FRM,_xll.qGetFwdRate(AG$14,$O127,Y127,"T",DCC_Leg1_Float),_xll.qGetFwdRate(AG$14,$O127,$O128,"T",DCC_Leg1_Float)))</f>
        <v>0</v>
      </c>
      <c r="AH127" s="685">
        <v>0</v>
      </c>
      <c r="AI127" s="667"/>
      <c r="AJ127" s="670">
        <f>IF(O128=0,0,             IF(ISNUMBER(AI127),AI127,             IF(ISTEXT(AI127),INDEX(Z127:AG127,MATCH(AI127,$Z$17:$AG$17,0)),           IF(AH127="INT",_xll.qInterp(O128,R127:Y127,Z127:AG127),       INDEX(Z127:AG127,MATCH(AH127,$Z$17:$AG$17,0))))))</f>
        <v>0</v>
      </c>
      <c r="AK127" s="732">
        <v>100</v>
      </c>
      <c r="AL127" s="721">
        <f t="shared" si="18"/>
        <v>0</v>
      </c>
      <c r="AM127" s="284">
        <f>IF($O128,_xll.qDateYears($O127,$O128,DCC_Leg1_Fixed),0)</f>
        <v>0</v>
      </c>
      <c r="AN127" s="284">
        <f>IF($O128,_xll.qDateYears($O127,$O128,DCC_Leg1_Float),0)</f>
        <v>0</v>
      </c>
      <c r="AP127" s="350">
        <f t="shared" si="24"/>
        <v>0</v>
      </c>
      <c r="AQ127" s="375">
        <f>IF(GenType_1a="Fixed",GenRate_1a%*$AL126*AM126,          IF(GenType_1a="Float",$AL126*(_xll.qGetFwdRate($D$18,$O126,$O127,"T",DCC_Leg1_Float)%+GenRate_1a%%)*$AN126,        IF(GenType_1a="bp (Fixed)",GenRate_1a%%*$AM126*$AL126,   IF(GenType_1a="bp (Float)",GenRate_1a%%*$AL126*$AN126,0))))</f>
        <v>0</v>
      </c>
      <c r="AR127" s="561"/>
      <c r="AT127" s="341">
        <f t="shared" si="28"/>
        <v>0</v>
      </c>
      <c r="AV127" s="356"/>
      <c r="AW127" s="122">
        <v>0</v>
      </c>
      <c r="AX127" s="128">
        <f t="shared" si="19"/>
        <v>0</v>
      </c>
      <c r="AY127" s="357">
        <v>0</v>
      </c>
      <c r="AZ127" s="699">
        <f>IF($AW128=0,0,        _xll.qDateNext($AW127,AZ$17,"M",TRUE,Currency2))</f>
        <v>0</v>
      </c>
      <c r="BA127" s="699">
        <f>IF($AW128=0,0,        _xll.qDateNext($AW127,BA$17,"M",TRUE,Currency2))</f>
        <v>0</v>
      </c>
      <c r="BB127" s="699">
        <f>IF($AW128=0,0,        _xll.qDateNext($AW127,BB$17,"M",TRUE,Currency2))</f>
        <v>0</v>
      </c>
      <c r="BC127" s="699">
        <f>IF($AW128=0,0,        _xll.qDateNext($AW127,BC$17,"M",TRUE,Currency2))</f>
        <v>0</v>
      </c>
      <c r="BD127" s="699">
        <f>IF($AW128=0,0,        _xll.qDateNext($AW127,BD$17,"M",TRUE,Currency2))</f>
        <v>0</v>
      </c>
      <c r="BE127" s="699">
        <f>IF($AW128=0,0,        _xll.qDateNext($AW127,BE$17,"M",TRUE,Currency2))</f>
        <v>0</v>
      </c>
      <c r="BF127" s="699">
        <f>IF($AW128=0,0,        _xll.qDateNext($AW127,BF$17,"M",TRUE,Currency2))</f>
        <v>0</v>
      </c>
      <c r="BG127" s="699">
        <f>IF($AW128=0,0,        _xll.qDateNext($AW127,BG$17,"M",TRUE,Currency2))</f>
        <v>0</v>
      </c>
      <c r="BH127" s="703">
        <v>0</v>
      </c>
      <c r="BI127" s="703">
        <v>0</v>
      </c>
      <c r="BJ127" s="703">
        <v>0</v>
      </c>
      <c r="BK127" s="703">
        <v>0</v>
      </c>
      <c r="BL127" s="703">
        <f t="shared" si="25"/>
        <v>0</v>
      </c>
      <c r="BM127" s="703">
        <f t="shared" si="26"/>
        <v>0</v>
      </c>
      <c r="BN127" s="703">
        <v>0</v>
      </c>
      <c r="BO127" s="703">
        <v>0</v>
      </c>
      <c r="BP127" s="685">
        <v>0</v>
      </c>
      <c r="BQ127" s="667"/>
      <c r="BR127" s="670">
        <f>IF(AW128=0,0,             IF(ISNUMBER(BQ127),BQ127,             IF(ISTEXT(BQ127),INDEX(BH127:BO127,MATCH(BQ127,$BH$17:$BO$17,0)),           IF(BP127="INT",_xll.qInterp(AW128,AZ127:BG127,BH127:BO127),       INDEX(BH127:BO127,MATCH(BP127,$BH$17:$BO$17,0))))))</f>
        <v>0</v>
      </c>
      <c r="BS127" s="731">
        <f t="shared" si="20"/>
        <v>0</v>
      </c>
      <c r="BT127" s="406">
        <f t="shared" si="21"/>
        <v>0</v>
      </c>
      <c r="BU127" s="284">
        <f>IF($AW128,_xll.qDateYears($AW127,$AW128,DCC_Leg2_Fixed),0)</f>
        <v>0</v>
      </c>
      <c r="BV127" s="284">
        <f>IF($AW128,_xll.qDateYears($AW127,$AW128,DCC_Leg2_Float),0)</f>
        <v>0</v>
      </c>
      <c r="BX127" s="350">
        <f t="shared" si="27"/>
        <v>0</v>
      </c>
      <c r="BY127" s="375">
        <f>IF(GenType_2a="Fixed",GenRate_2a%*$BT126*BU126,          IF(GenType_2a="Float",$BT126*(_xll.qGetFwdRate($J$18,$AW126,$AW127,"T",DCC_Leg2_Float)%+GenRate_2a%%)*$BV126,        IF(GenType_2a="bp (Fixed)",GenRate_2a%%*$BU126*$BT126,   IF(GenType_2a="bp (Float)",GenRate_2a%%*$BT126*$BV126,0))))</f>
        <v>0</v>
      </c>
      <c r="BZ127" s="561"/>
      <c r="CB127" s="341">
        <f t="shared" si="29"/>
        <v>0</v>
      </c>
      <c r="CC127" s="563"/>
      <c r="CD127" s="356"/>
      <c r="CE127" s="341">
        <v>0</v>
      </c>
      <c r="CF127" s="563"/>
      <c r="CG127" s="356"/>
    </row>
    <row r="128" spans="15:85">
      <c r="O128" s="122">
        <v>0</v>
      </c>
      <c r="P128" s="128">
        <f t="shared" si="16"/>
        <v>0</v>
      </c>
      <c r="Q128" s="126">
        <v>0</v>
      </c>
      <c r="R128" s="699">
        <f>IF($O129=0,0,        _xll.qDateNext($O128,R$17,"M",TRUE,Currency1))</f>
        <v>0</v>
      </c>
      <c r="S128" s="699">
        <f>IF($O129=0,0,        _xll.qDateNext($O128,S$17,"M",TRUE,Currency1))</f>
        <v>0</v>
      </c>
      <c r="T128" s="699">
        <f>IF($O129=0,0,        _xll.qDateNext($O128,T$17,"M",TRUE,Currency1))</f>
        <v>0</v>
      </c>
      <c r="U128" s="699">
        <f>IF($O129=0,0,        _xll.qDateNext($O128,U$17,"M",TRUE,Currency1))</f>
        <v>0</v>
      </c>
      <c r="V128" s="699">
        <f>IF($O129=0,0,        _xll.qDateNext($O128,V$17,"M",TRUE,Currency1))</f>
        <v>0</v>
      </c>
      <c r="W128" s="699">
        <f>IF($O129=0,0,        _xll.qDateNext($O128,W$17,"M",TRUE,Currency1))</f>
        <v>0</v>
      </c>
      <c r="X128" s="699">
        <f>IF($O129=0,0,        _xll.qDateNext($O128,X$17,"M",TRUE,Currency1))</f>
        <v>0</v>
      </c>
      <c r="Y128" s="699">
        <f>IF($O129=0,0,        _xll.qDateNext($O128,Y$17,"M",TRUE,Currency1))</f>
        <v>0</v>
      </c>
      <c r="Z128" s="703">
        <f>IF($O129=0,0,           IF(FRM,_xll.qGetFwdRate(Z$14,$O128,R128,"T",DCC_Leg1_Float),_xll.qGetFwdRate(Z$14,$O128,$O129,"T",DCC_Leg1_Float)))</f>
        <v>0</v>
      </c>
      <c r="AA128" s="703">
        <f>IF($O129=0,0,           IF(FRM,_xll.qGetFwdRate(AA$14,$O128,S128,"T",DCC_Leg1_Float),_xll.qGetFwdRate(AA$14,$O128,$O129,"T",DCC_Leg1_Float)))</f>
        <v>0</v>
      </c>
      <c r="AB128" s="703">
        <f t="shared" si="17"/>
        <v>0</v>
      </c>
      <c r="AC128" s="703">
        <f>IF($O129=0,0,           IF(FRM,_xll.qGetFwdRate(AC$14,$O128,U128,"T",DCC_Leg1_Float),_xll.qGetFwdRate(AC$14,$O128,$O129,"T",DCC_Leg1_Float)))</f>
        <v>0</v>
      </c>
      <c r="AD128" s="703">
        <f t="shared" si="22"/>
        <v>0</v>
      </c>
      <c r="AE128" s="703">
        <f t="shared" si="23"/>
        <v>0</v>
      </c>
      <c r="AF128" s="703">
        <f>IF($O129=0,0,           IF(FRM,_xll.qGetFwdRate(AF$14,$O128,X128,"T",DCC_Leg1_Float),_xll.qGetFwdRate(AF$14,$O128,$O129,"T",DCC_Leg1_Float)))</f>
        <v>0</v>
      </c>
      <c r="AG128" s="703">
        <f>IF($O129=0,0,           IF(FRM,_xll.qGetFwdRate(AG$14,$O128,Y128,"T",DCC_Leg1_Float),_xll.qGetFwdRate(AG$14,$O128,$O129,"T",DCC_Leg1_Float)))</f>
        <v>0</v>
      </c>
      <c r="AH128" s="685">
        <v>0</v>
      </c>
      <c r="AI128" s="667"/>
      <c r="AJ128" s="670">
        <f>IF(O129=0,0,             IF(ISNUMBER(AI128),AI128,             IF(ISTEXT(AI128),INDEX(Z128:AG128,MATCH(AI128,$Z$17:$AG$17,0)),           IF(AH128="INT",_xll.qInterp(O129,R128:Y128,Z128:AG128),       INDEX(Z128:AG128,MATCH(AH128,$Z$17:$AG$17,0))))))</f>
        <v>0</v>
      </c>
      <c r="AK128" s="732">
        <v>100</v>
      </c>
      <c r="AL128" s="721">
        <f t="shared" si="18"/>
        <v>0</v>
      </c>
      <c r="AM128" s="284">
        <f>IF($O129,_xll.qDateYears($O128,$O129,DCC_Leg1_Fixed),0)</f>
        <v>0</v>
      </c>
      <c r="AN128" s="284">
        <f>IF($O129,_xll.qDateYears($O128,$O129,DCC_Leg1_Float),0)</f>
        <v>0</v>
      </c>
      <c r="AP128" s="350">
        <f t="shared" si="24"/>
        <v>0</v>
      </c>
      <c r="AQ128" s="375">
        <f>IF(GenType_1a="Fixed",GenRate_1a%*$AL127*AM127,          IF(GenType_1a="Float",$AL127*(_xll.qGetFwdRate($D$18,$O127,$O128,"T",DCC_Leg1_Float)%+GenRate_1a%%)*$AN127,        IF(GenType_1a="bp (Fixed)",GenRate_1a%%*$AM127*$AL127,   IF(GenType_1a="bp (Float)",GenRate_1a%%*$AL127*$AN127,0))))</f>
        <v>0</v>
      </c>
      <c r="AR128" s="561"/>
      <c r="AT128" s="341">
        <f t="shared" si="28"/>
        <v>0</v>
      </c>
      <c r="AV128" s="356"/>
      <c r="AW128" s="122">
        <v>0</v>
      </c>
      <c r="AX128" s="128">
        <f t="shared" si="19"/>
        <v>0</v>
      </c>
      <c r="AY128" s="357">
        <v>0</v>
      </c>
      <c r="AZ128" s="699">
        <f>IF($AW129=0,0,        _xll.qDateNext($AW128,AZ$17,"M",TRUE,Currency2))</f>
        <v>0</v>
      </c>
      <c r="BA128" s="699">
        <f>IF($AW129=0,0,        _xll.qDateNext($AW128,BA$17,"M",TRUE,Currency2))</f>
        <v>0</v>
      </c>
      <c r="BB128" s="699">
        <f>IF($AW129=0,0,        _xll.qDateNext($AW128,BB$17,"M",TRUE,Currency2))</f>
        <v>0</v>
      </c>
      <c r="BC128" s="699">
        <f>IF($AW129=0,0,        _xll.qDateNext($AW128,BC$17,"M",TRUE,Currency2))</f>
        <v>0</v>
      </c>
      <c r="BD128" s="699">
        <f>IF($AW129=0,0,        _xll.qDateNext($AW128,BD$17,"M",TRUE,Currency2))</f>
        <v>0</v>
      </c>
      <c r="BE128" s="699">
        <f>IF($AW129=0,0,        _xll.qDateNext($AW128,BE$17,"M",TRUE,Currency2))</f>
        <v>0</v>
      </c>
      <c r="BF128" s="699">
        <f>IF($AW129=0,0,        _xll.qDateNext($AW128,BF$17,"M",TRUE,Currency2))</f>
        <v>0</v>
      </c>
      <c r="BG128" s="699">
        <f>IF($AW129=0,0,        _xll.qDateNext($AW128,BG$17,"M",TRUE,Currency2))</f>
        <v>0</v>
      </c>
      <c r="BH128" s="703">
        <v>0</v>
      </c>
      <c r="BI128" s="703">
        <v>0</v>
      </c>
      <c r="BJ128" s="703">
        <v>0</v>
      </c>
      <c r="BK128" s="703">
        <v>0</v>
      </c>
      <c r="BL128" s="703">
        <f t="shared" si="25"/>
        <v>0</v>
      </c>
      <c r="BM128" s="703">
        <f t="shared" si="26"/>
        <v>0</v>
      </c>
      <c r="BN128" s="703">
        <v>0</v>
      </c>
      <c r="BO128" s="703">
        <v>0</v>
      </c>
      <c r="BP128" s="685">
        <v>0</v>
      </c>
      <c r="BQ128" s="667"/>
      <c r="BR128" s="670">
        <f>IF(AW129=0,0,             IF(ISNUMBER(BQ128),BQ128,             IF(ISTEXT(BQ128),INDEX(BH128:BO128,MATCH(BQ128,$BH$17:$BO$17,0)),           IF(BP128="INT",_xll.qInterp(AW129,AZ128:BG128,BH128:BO128),       INDEX(BH128:BO128,MATCH(BP128,$BH$17:$BO$17,0))))))</f>
        <v>0</v>
      </c>
      <c r="BS128" s="731">
        <f t="shared" si="20"/>
        <v>0</v>
      </c>
      <c r="BT128" s="406">
        <f t="shared" si="21"/>
        <v>0</v>
      </c>
      <c r="BU128" s="284">
        <f>IF($AW129,_xll.qDateYears($AW128,$AW129,DCC_Leg2_Fixed),0)</f>
        <v>0</v>
      </c>
      <c r="BV128" s="284">
        <f>IF($AW129,_xll.qDateYears($AW128,$AW129,DCC_Leg2_Float),0)</f>
        <v>0</v>
      </c>
      <c r="BX128" s="350">
        <f t="shared" si="27"/>
        <v>0</v>
      </c>
      <c r="BY128" s="375">
        <f>IF(GenType_2a="Fixed",GenRate_2a%*$BT127*BU127,          IF(GenType_2a="Float",$BT127*(_xll.qGetFwdRate($J$18,$AW127,$AW128,"T",DCC_Leg2_Float)%+GenRate_2a%%)*$BV127,        IF(GenType_2a="bp (Fixed)",GenRate_2a%%*$BU127*$BT127,   IF(GenType_2a="bp (Float)",GenRate_2a%%*$BT127*$BV127,0))))</f>
        <v>0</v>
      </c>
      <c r="BZ128" s="561"/>
      <c r="CB128" s="341">
        <f t="shared" si="29"/>
        <v>0</v>
      </c>
      <c r="CC128" s="563"/>
      <c r="CD128" s="356"/>
      <c r="CE128" s="341">
        <v>0</v>
      </c>
      <c r="CF128" s="563"/>
      <c r="CG128" s="356"/>
    </row>
    <row r="129" spans="15:85">
      <c r="O129" s="122">
        <v>0</v>
      </c>
      <c r="P129" s="128">
        <f t="shared" si="16"/>
        <v>0</v>
      </c>
      <c r="Q129" s="126">
        <v>0</v>
      </c>
      <c r="R129" s="699">
        <f>IF($O130=0,0,        _xll.qDateNext($O129,R$17,"M",TRUE,Currency1))</f>
        <v>0</v>
      </c>
      <c r="S129" s="699">
        <f>IF($O130=0,0,        _xll.qDateNext($O129,S$17,"M",TRUE,Currency1))</f>
        <v>0</v>
      </c>
      <c r="T129" s="699">
        <f>IF($O130=0,0,        _xll.qDateNext($O129,T$17,"M",TRUE,Currency1))</f>
        <v>0</v>
      </c>
      <c r="U129" s="699">
        <f>IF($O130=0,0,        _xll.qDateNext($O129,U$17,"M",TRUE,Currency1))</f>
        <v>0</v>
      </c>
      <c r="V129" s="699">
        <f>IF($O130=0,0,        _xll.qDateNext($O129,V$17,"M",TRUE,Currency1))</f>
        <v>0</v>
      </c>
      <c r="W129" s="699">
        <f>IF($O130=0,0,        _xll.qDateNext($O129,W$17,"M",TRUE,Currency1))</f>
        <v>0</v>
      </c>
      <c r="X129" s="699">
        <f>IF($O130=0,0,        _xll.qDateNext($O129,X$17,"M",TRUE,Currency1))</f>
        <v>0</v>
      </c>
      <c r="Y129" s="699">
        <f>IF($O130=0,0,        _xll.qDateNext($O129,Y$17,"M",TRUE,Currency1))</f>
        <v>0</v>
      </c>
      <c r="Z129" s="703">
        <f>IF($O130=0,0,           IF(FRM,_xll.qGetFwdRate(Z$14,$O129,R129,"T",DCC_Leg1_Float),_xll.qGetFwdRate(Z$14,$O129,$O130,"T",DCC_Leg1_Float)))</f>
        <v>0</v>
      </c>
      <c r="AA129" s="703">
        <f>IF($O130=0,0,           IF(FRM,_xll.qGetFwdRate(AA$14,$O129,S129,"T",DCC_Leg1_Float),_xll.qGetFwdRate(AA$14,$O129,$O130,"T",DCC_Leg1_Float)))</f>
        <v>0</v>
      </c>
      <c r="AB129" s="703">
        <f t="shared" si="17"/>
        <v>0</v>
      </c>
      <c r="AC129" s="703">
        <f>IF($O130=0,0,           IF(FRM,_xll.qGetFwdRate(AC$14,$O129,U129,"T",DCC_Leg1_Float),_xll.qGetFwdRate(AC$14,$O129,$O130,"T",DCC_Leg1_Float)))</f>
        <v>0</v>
      </c>
      <c r="AD129" s="703">
        <f t="shared" si="22"/>
        <v>0</v>
      </c>
      <c r="AE129" s="703">
        <f t="shared" si="23"/>
        <v>0</v>
      </c>
      <c r="AF129" s="703">
        <f>IF($O130=0,0,           IF(FRM,_xll.qGetFwdRate(AF$14,$O129,X129,"T",DCC_Leg1_Float),_xll.qGetFwdRate(AF$14,$O129,$O130,"T",DCC_Leg1_Float)))</f>
        <v>0</v>
      </c>
      <c r="AG129" s="703">
        <f>IF($O130=0,0,           IF(FRM,_xll.qGetFwdRate(AG$14,$O129,Y129,"T",DCC_Leg1_Float),_xll.qGetFwdRate(AG$14,$O129,$O130,"T",DCC_Leg1_Float)))</f>
        <v>0</v>
      </c>
      <c r="AH129" s="685">
        <v>0</v>
      </c>
      <c r="AI129" s="667"/>
      <c r="AJ129" s="670">
        <f>IF(O130=0,0,             IF(ISNUMBER(AI129),AI129,             IF(ISTEXT(AI129),INDEX(Z129:AG129,MATCH(AI129,$Z$17:$AG$17,0)),           IF(AH129="INT",_xll.qInterp(O130,R129:Y129,Z129:AG129),       INDEX(Z129:AG129,MATCH(AH129,$Z$17:$AG$17,0))))))</f>
        <v>0</v>
      </c>
      <c r="AK129" s="732">
        <v>100</v>
      </c>
      <c r="AL129" s="721">
        <f t="shared" si="18"/>
        <v>0</v>
      </c>
      <c r="AM129" s="284">
        <f>IF($O130,_xll.qDateYears($O129,$O130,DCC_Leg1_Fixed),0)</f>
        <v>0</v>
      </c>
      <c r="AN129" s="284">
        <f>IF($O130,_xll.qDateYears($O129,$O130,DCC_Leg1_Float),0)</f>
        <v>0</v>
      </c>
      <c r="AP129" s="350">
        <f t="shared" si="24"/>
        <v>0</v>
      </c>
      <c r="AQ129" s="375">
        <f>IF(GenType_1a="Fixed",GenRate_1a%*$AL128*AM128,          IF(GenType_1a="Float",$AL128*(_xll.qGetFwdRate($D$18,$O128,$O129,"T",DCC_Leg1_Float)%+GenRate_1a%%)*$AN128,        IF(GenType_1a="bp (Fixed)",GenRate_1a%%*$AM128*$AL128,   IF(GenType_1a="bp (Float)",GenRate_1a%%*$AL128*$AN128,0))))</f>
        <v>0</v>
      </c>
      <c r="AR129" s="561"/>
      <c r="AT129" s="341">
        <f t="shared" si="28"/>
        <v>0</v>
      </c>
      <c r="AV129" s="356"/>
      <c r="AW129" s="122">
        <v>0</v>
      </c>
      <c r="AX129" s="128">
        <f t="shared" si="19"/>
        <v>0</v>
      </c>
      <c r="AY129" s="357">
        <v>0</v>
      </c>
      <c r="AZ129" s="699">
        <f>IF($AW130=0,0,        _xll.qDateNext($AW129,AZ$17,"M",TRUE,Currency2))</f>
        <v>0</v>
      </c>
      <c r="BA129" s="699">
        <f>IF($AW130=0,0,        _xll.qDateNext($AW129,BA$17,"M",TRUE,Currency2))</f>
        <v>0</v>
      </c>
      <c r="BB129" s="699">
        <f>IF($AW130=0,0,        _xll.qDateNext($AW129,BB$17,"M",TRUE,Currency2))</f>
        <v>0</v>
      </c>
      <c r="BC129" s="699">
        <f>IF($AW130=0,0,        _xll.qDateNext($AW129,BC$17,"M",TRUE,Currency2))</f>
        <v>0</v>
      </c>
      <c r="BD129" s="699">
        <f>IF($AW130=0,0,        _xll.qDateNext($AW129,BD$17,"M",TRUE,Currency2))</f>
        <v>0</v>
      </c>
      <c r="BE129" s="699">
        <f>IF($AW130=0,0,        _xll.qDateNext($AW129,BE$17,"M",TRUE,Currency2))</f>
        <v>0</v>
      </c>
      <c r="BF129" s="699">
        <f>IF($AW130=0,0,        _xll.qDateNext($AW129,BF$17,"M",TRUE,Currency2))</f>
        <v>0</v>
      </c>
      <c r="BG129" s="699">
        <f>IF($AW130=0,0,        _xll.qDateNext($AW129,BG$17,"M",TRUE,Currency2))</f>
        <v>0</v>
      </c>
      <c r="BH129" s="703">
        <v>0</v>
      </c>
      <c r="BI129" s="703">
        <v>0</v>
      </c>
      <c r="BJ129" s="703">
        <v>0</v>
      </c>
      <c r="BK129" s="703">
        <v>0</v>
      </c>
      <c r="BL129" s="703">
        <f t="shared" si="25"/>
        <v>0</v>
      </c>
      <c r="BM129" s="703">
        <f t="shared" si="26"/>
        <v>0</v>
      </c>
      <c r="BN129" s="703">
        <v>0</v>
      </c>
      <c r="BO129" s="703">
        <v>0</v>
      </c>
      <c r="BP129" s="685">
        <v>0</v>
      </c>
      <c r="BQ129" s="667"/>
      <c r="BR129" s="670">
        <f>IF(AW130=0,0,             IF(ISNUMBER(BQ129),BQ129,             IF(ISTEXT(BQ129),INDEX(BH129:BO129,MATCH(BQ129,$BH$17:$BO$17,0)),           IF(BP129="INT",_xll.qInterp(AW130,AZ129:BG129,BH129:BO129),       INDEX(BH129:BO129,MATCH(BP129,$BH$17:$BO$17,0))))))</f>
        <v>0</v>
      </c>
      <c r="BS129" s="731">
        <f t="shared" si="20"/>
        <v>0</v>
      </c>
      <c r="BT129" s="406">
        <f t="shared" si="21"/>
        <v>0</v>
      </c>
      <c r="BU129" s="284">
        <f>IF($AW130,_xll.qDateYears($AW129,$AW130,DCC_Leg2_Fixed),0)</f>
        <v>0</v>
      </c>
      <c r="BV129" s="284">
        <f>IF($AW130,_xll.qDateYears($AW129,$AW130,DCC_Leg2_Float),0)</f>
        <v>0</v>
      </c>
      <c r="BX129" s="350">
        <f t="shared" si="27"/>
        <v>0</v>
      </c>
      <c r="BY129" s="375">
        <f>IF(GenType_2a="Fixed",GenRate_2a%*$BT128*BU128,          IF(GenType_2a="Float",$BT128*(_xll.qGetFwdRate($J$18,$AW128,$AW129,"T",DCC_Leg2_Float)%+GenRate_2a%%)*$BV128,        IF(GenType_2a="bp (Fixed)",GenRate_2a%%*$BU128*$BT128,   IF(GenType_2a="bp (Float)",GenRate_2a%%*$BT128*$BV128,0))))</f>
        <v>0</v>
      </c>
      <c r="BZ129" s="561"/>
      <c r="CB129" s="341">
        <f t="shared" si="29"/>
        <v>0</v>
      </c>
      <c r="CC129" s="563"/>
      <c r="CD129" s="356"/>
      <c r="CE129" s="341">
        <v>0</v>
      </c>
      <c r="CF129" s="563"/>
      <c r="CG129" s="356"/>
    </row>
    <row r="130" spans="15:85">
      <c r="O130" s="122">
        <v>0</v>
      </c>
      <c r="P130" s="128">
        <f t="shared" si="16"/>
        <v>0</v>
      </c>
      <c r="Q130" s="126">
        <v>0</v>
      </c>
      <c r="R130" s="699">
        <f>IF($O131=0,0,        _xll.qDateNext($O130,R$17,"M",TRUE,Currency1))</f>
        <v>0</v>
      </c>
      <c r="S130" s="699">
        <f>IF($O131=0,0,        _xll.qDateNext($O130,S$17,"M",TRUE,Currency1))</f>
        <v>0</v>
      </c>
      <c r="T130" s="699">
        <f>IF($O131=0,0,        _xll.qDateNext($O130,T$17,"M",TRUE,Currency1))</f>
        <v>0</v>
      </c>
      <c r="U130" s="699">
        <f>IF($O131=0,0,        _xll.qDateNext($O130,U$17,"M",TRUE,Currency1))</f>
        <v>0</v>
      </c>
      <c r="V130" s="699">
        <f>IF($O131=0,0,        _xll.qDateNext($O130,V$17,"M",TRUE,Currency1))</f>
        <v>0</v>
      </c>
      <c r="W130" s="699">
        <f>IF($O131=0,0,        _xll.qDateNext($O130,W$17,"M",TRUE,Currency1))</f>
        <v>0</v>
      </c>
      <c r="X130" s="699">
        <f>IF($O131=0,0,        _xll.qDateNext($O130,X$17,"M",TRUE,Currency1))</f>
        <v>0</v>
      </c>
      <c r="Y130" s="699">
        <f>IF($O131=0,0,        _xll.qDateNext($O130,Y$17,"M",TRUE,Currency1))</f>
        <v>0</v>
      </c>
      <c r="Z130" s="703">
        <f>IF($O131=0,0,           IF(FRM,_xll.qGetFwdRate(Z$14,$O130,R130,"T",DCC_Leg1_Float),_xll.qGetFwdRate(Z$14,$O130,$O131,"T",DCC_Leg1_Float)))</f>
        <v>0</v>
      </c>
      <c r="AA130" s="703">
        <f>IF($O131=0,0,           IF(FRM,_xll.qGetFwdRate(AA$14,$O130,S130,"T",DCC_Leg1_Float),_xll.qGetFwdRate(AA$14,$O130,$O131,"T",DCC_Leg1_Float)))</f>
        <v>0</v>
      </c>
      <c r="AB130" s="703">
        <f t="shared" si="17"/>
        <v>0</v>
      </c>
      <c r="AC130" s="703">
        <f>IF($O131=0,0,           IF(FRM,_xll.qGetFwdRate(AC$14,$O130,U130,"T",DCC_Leg1_Float),_xll.qGetFwdRate(AC$14,$O130,$O131,"T",DCC_Leg1_Float)))</f>
        <v>0</v>
      </c>
      <c r="AD130" s="703">
        <f t="shared" si="22"/>
        <v>0</v>
      </c>
      <c r="AE130" s="703">
        <f t="shared" si="23"/>
        <v>0</v>
      </c>
      <c r="AF130" s="703">
        <f>IF($O131=0,0,           IF(FRM,_xll.qGetFwdRate(AF$14,$O130,X130,"T",DCC_Leg1_Float),_xll.qGetFwdRate(AF$14,$O130,$O131,"T",DCC_Leg1_Float)))</f>
        <v>0</v>
      </c>
      <c r="AG130" s="703">
        <f>IF($O131=0,0,           IF(FRM,_xll.qGetFwdRate(AG$14,$O130,Y130,"T",DCC_Leg1_Float),_xll.qGetFwdRate(AG$14,$O130,$O131,"T",DCC_Leg1_Float)))</f>
        <v>0</v>
      </c>
      <c r="AH130" s="685">
        <v>0</v>
      </c>
      <c r="AI130" s="667"/>
      <c r="AJ130" s="670">
        <f>IF(O131=0,0,             IF(ISNUMBER(AI130),AI130,             IF(ISTEXT(AI130),INDEX(Z130:AG130,MATCH(AI130,$Z$17:$AG$17,0)),           IF(AH130="INT",_xll.qInterp(O131,R130:Y130,Z130:AG130),       INDEX(Z130:AG130,MATCH(AH130,$Z$17:$AG$17,0))))))</f>
        <v>0</v>
      </c>
      <c r="AK130" s="732">
        <v>100</v>
      </c>
      <c r="AL130" s="721">
        <f t="shared" si="18"/>
        <v>0</v>
      </c>
      <c r="AM130" s="284">
        <f>IF($O131,_xll.qDateYears($O130,$O131,DCC_Leg1_Fixed),0)</f>
        <v>0</v>
      </c>
      <c r="AN130" s="284">
        <f>IF($O131,_xll.qDateYears($O130,$O131,DCC_Leg1_Float),0)</f>
        <v>0</v>
      </c>
      <c r="AP130" s="350">
        <f t="shared" si="24"/>
        <v>0</v>
      </c>
      <c r="AQ130" s="375">
        <f>IF(GenType_1a="Fixed",GenRate_1a%*$AL129*AM129,          IF(GenType_1a="Float",$AL129*(_xll.qGetFwdRate($D$18,$O129,$O130,"T",DCC_Leg1_Float)%+GenRate_1a%%)*$AN129,        IF(GenType_1a="bp (Fixed)",GenRate_1a%%*$AM129*$AL129,   IF(GenType_1a="bp (Float)",GenRate_1a%%*$AL129*$AN129,0))))</f>
        <v>0</v>
      </c>
      <c r="AR130" s="561"/>
      <c r="AT130" s="341">
        <f t="shared" si="28"/>
        <v>0</v>
      </c>
      <c r="AV130" s="356"/>
      <c r="AW130" s="122">
        <v>0</v>
      </c>
      <c r="AX130" s="128">
        <f t="shared" si="19"/>
        <v>0</v>
      </c>
      <c r="AY130" s="357">
        <v>0</v>
      </c>
      <c r="AZ130" s="699">
        <f>IF($AW131=0,0,        _xll.qDateNext($AW130,AZ$17,"M",TRUE,Currency2))</f>
        <v>0</v>
      </c>
      <c r="BA130" s="699">
        <f>IF($AW131=0,0,        _xll.qDateNext($AW130,BA$17,"M",TRUE,Currency2))</f>
        <v>0</v>
      </c>
      <c r="BB130" s="699">
        <f>IF($AW131=0,0,        _xll.qDateNext($AW130,BB$17,"M",TRUE,Currency2))</f>
        <v>0</v>
      </c>
      <c r="BC130" s="699">
        <f>IF($AW131=0,0,        _xll.qDateNext($AW130,BC$17,"M",TRUE,Currency2))</f>
        <v>0</v>
      </c>
      <c r="BD130" s="699">
        <f>IF($AW131=0,0,        _xll.qDateNext($AW130,BD$17,"M",TRUE,Currency2))</f>
        <v>0</v>
      </c>
      <c r="BE130" s="699">
        <f>IF($AW131=0,0,        _xll.qDateNext($AW130,BE$17,"M",TRUE,Currency2))</f>
        <v>0</v>
      </c>
      <c r="BF130" s="699">
        <f>IF($AW131=0,0,        _xll.qDateNext($AW130,BF$17,"M",TRUE,Currency2))</f>
        <v>0</v>
      </c>
      <c r="BG130" s="699">
        <f>IF($AW131=0,0,        _xll.qDateNext($AW130,BG$17,"M",TRUE,Currency2))</f>
        <v>0</v>
      </c>
      <c r="BH130" s="703">
        <v>0</v>
      </c>
      <c r="BI130" s="703">
        <v>0</v>
      </c>
      <c r="BJ130" s="703">
        <v>0</v>
      </c>
      <c r="BK130" s="703">
        <v>0</v>
      </c>
      <c r="BL130" s="703">
        <f t="shared" si="25"/>
        <v>0</v>
      </c>
      <c r="BM130" s="703">
        <f t="shared" si="26"/>
        <v>0</v>
      </c>
      <c r="BN130" s="703">
        <v>0</v>
      </c>
      <c r="BO130" s="703">
        <v>0</v>
      </c>
      <c r="BP130" s="685">
        <v>0</v>
      </c>
      <c r="BQ130" s="667"/>
      <c r="BR130" s="670">
        <f>IF(AW131=0,0,             IF(ISNUMBER(BQ130),BQ130,             IF(ISTEXT(BQ130),INDEX(BH130:BO130,MATCH(BQ130,$BH$17:$BO$17,0)),           IF(BP130="INT",_xll.qInterp(AW131,AZ130:BG130,BH130:BO130),       INDEX(BH130:BO130,MATCH(BP130,$BH$17:$BO$17,0))))))</f>
        <v>0</v>
      </c>
      <c r="BS130" s="731">
        <f t="shared" si="20"/>
        <v>0</v>
      </c>
      <c r="BT130" s="406">
        <f t="shared" si="21"/>
        <v>0</v>
      </c>
      <c r="BU130" s="284">
        <f>IF($AW131,_xll.qDateYears($AW130,$AW131,DCC_Leg2_Fixed),0)</f>
        <v>0</v>
      </c>
      <c r="BV130" s="284">
        <f>IF($AW131,_xll.qDateYears($AW130,$AW131,DCC_Leg2_Float),0)</f>
        <v>0</v>
      </c>
      <c r="BX130" s="350">
        <f t="shared" si="27"/>
        <v>0</v>
      </c>
      <c r="BY130" s="375">
        <f>IF(GenType_2a="Fixed",GenRate_2a%*$BT129*BU129,          IF(GenType_2a="Float",$BT129*(_xll.qGetFwdRate($J$18,$AW129,$AW130,"T",DCC_Leg2_Float)%+GenRate_2a%%)*$BV129,        IF(GenType_2a="bp (Fixed)",GenRate_2a%%*$BU129*$BT129,   IF(GenType_2a="bp (Float)",GenRate_2a%%*$BT129*$BV129,0))))</f>
        <v>0</v>
      </c>
      <c r="BZ130" s="561"/>
      <c r="CB130" s="341">
        <f t="shared" si="29"/>
        <v>0</v>
      </c>
      <c r="CC130" s="563"/>
      <c r="CD130" s="356"/>
      <c r="CE130" s="341">
        <v>0</v>
      </c>
      <c r="CF130" s="563"/>
      <c r="CG130" s="356"/>
    </row>
    <row r="131" spans="15:85">
      <c r="O131" s="122">
        <v>0</v>
      </c>
      <c r="P131" s="128">
        <f t="shared" si="16"/>
        <v>0</v>
      </c>
      <c r="Q131" s="126">
        <v>0</v>
      </c>
      <c r="R131" s="699">
        <f>IF($O132=0,0,        _xll.qDateNext($O131,R$17,"M",TRUE,Currency1))</f>
        <v>0</v>
      </c>
      <c r="S131" s="699">
        <f>IF($O132=0,0,        _xll.qDateNext($O131,S$17,"M",TRUE,Currency1))</f>
        <v>0</v>
      </c>
      <c r="T131" s="699">
        <f>IF($O132=0,0,        _xll.qDateNext($O131,T$17,"M",TRUE,Currency1))</f>
        <v>0</v>
      </c>
      <c r="U131" s="699">
        <f>IF($O132=0,0,        _xll.qDateNext($O131,U$17,"M",TRUE,Currency1))</f>
        <v>0</v>
      </c>
      <c r="V131" s="699">
        <f>IF($O132=0,0,        _xll.qDateNext($O131,V$17,"M",TRUE,Currency1))</f>
        <v>0</v>
      </c>
      <c r="W131" s="699">
        <f>IF($O132=0,0,        _xll.qDateNext($O131,W$17,"M",TRUE,Currency1))</f>
        <v>0</v>
      </c>
      <c r="X131" s="699">
        <f>IF($O132=0,0,        _xll.qDateNext($O131,X$17,"M",TRUE,Currency1))</f>
        <v>0</v>
      </c>
      <c r="Y131" s="699">
        <f>IF($O132=0,0,        _xll.qDateNext($O131,Y$17,"M",TRUE,Currency1))</f>
        <v>0</v>
      </c>
      <c r="Z131" s="703">
        <f>IF($O132=0,0,           IF(FRM,_xll.qGetFwdRate(Z$14,$O131,R131,"T",DCC_Leg1_Float),_xll.qGetFwdRate(Z$14,$O131,$O132,"T",DCC_Leg1_Float)))</f>
        <v>0</v>
      </c>
      <c r="AA131" s="703">
        <f>IF($O132=0,0,           IF(FRM,_xll.qGetFwdRate(AA$14,$O131,S131,"T",DCC_Leg1_Float),_xll.qGetFwdRate(AA$14,$O131,$O132,"T",DCC_Leg1_Float)))</f>
        <v>0</v>
      </c>
      <c r="AB131" s="703">
        <f t="shared" si="17"/>
        <v>0</v>
      </c>
      <c r="AC131" s="703">
        <f>IF($O132=0,0,           IF(FRM,_xll.qGetFwdRate(AC$14,$O131,U131,"T",DCC_Leg1_Float),_xll.qGetFwdRate(AC$14,$O131,$O132,"T",DCC_Leg1_Float)))</f>
        <v>0</v>
      </c>
      <c r="AD131" s="703">
        <f t="shared" si="22"/>
        <v>0</v>
      </c>
      <c r="AE131" s="703">
        <f t="shared" si="23"/>
        <v>0</v>
      </c>
      <c r="AF131" s="703">
        <f>IF($O132=0,0,           IF(FRM,_xll.qGetFwdRate(AF$14,$O131,X131,"T",DCC_Leg1_Float),_xll.qGetFwdRate(AF$14,$O131,$O132,"T",DCC_Leg1_Float)))</f>
        <v>0</v>
      </c>
      <c r="AG131" s="703">
        <f>IF($O132=0,0,           IF(FRM,_xll.qGetFwdRate(AG$14,$O131,Y131,"T",DCC_Leg1_Float),_xll.qGetFwdRate(AG$14,$O131,$O132,"T",DCC_Leg1_Float)))</f>
        <v>0</v>
      </c>
      <c r="AH131" s="685">
        <v>0</v>
      </c>
      <c r="AI131" s="667"/>
      <c r="AJ131" s="670">
        <f>IF(O132=0,0,             IF(ISNUMBER(AI131),AI131,             IF(ISTEXT(AI131),INDEX(Z131:AG131,MATCH(AI131,$Z$17:$AG$17,0)),           IF(AH131="INT",_xll.qInterp(O132,R131:Y131,Z131:AG131),       INDEX(Z131:AG131,MATCH(AH131,$Z$17:$AG$17,0))))))</f>
        <v>0</v>
      </c>
      <c r="AK131" s="732">
        <v>100</v>
      </c>
      <c r="AL131" s="721">
        <f t="shared" si="18"/>
        <v>0</v>
      </c>
      <c r="AM131" s="284">
        <f>IF($O132,_xll.qDateYears($O131,$O132,DCC_Leg1_Fixed),0)</f>
        <v>0</v>
      </c>
      <c r="AN131" s="284">
        <f>IF($O132,_xll.qDateYears($O131,$O132,DCC_Leg1_Float),0)</f>
        <v>0</v>
      </c>
      <c r="AP131" s="350">
        <f t="shared" si="24"/>
        <v>0</v>
      </c>
      <c r="AQ131" s="375">
        <f>IF(GenType_1a="Fixed",GenRate_1a%*$AL130*AM130,          IF(GenType_1a="Float",$AL130*(_xll.qGetFwdRate($D$18,$O130,$O131,"T",DCC_Leg1_Float)%+GenRate_1a%%)*$AN130,        IF(GenType_1a="bp (Fixed)",GenRate_1a%%*$AM130*$AL130,   IF(GenType_1a="bp (Float)",GenRate_1a%%*$AL130*$AN130,0))))</f>
        <v>0</v>
      </c>
      <c r="AR131" s="561"/>
      <c r="AT131" s="341">
        <f t="shared" si="28"/>
        <v>0</v>
      </c>
      <c r="AV131" s="356"/>
      <c r="AW131" s="122">
        <v>0</v>
      </c>
      <c r="AX131" s="128">
        <f t="shared" si="19"/>
        <v>0</v>
      </c>
      <c r="AY131" s="357">
        <v>0</v>
      </c>
      <c r="AZ131" s="699">
        <f>IF($AW132=0,0,        _xll.qDateNext($AW131,AZ$17,"M",TRUE,Currency2))</f>
        <v>0</v>
      </c>
      <c r="BA131" s="699">
        <f>IF($AW132=0,0,        _xll.qDateNext($AW131,BA$17,"M",TRUE,Currency2))</f>
        <v>0</v>
      </c>
      <c r="BB131" s="699">
        <f>IF($AW132=0,0,        _xll.qDateNext($AW131,BB$17,"M",TRUE,Currency2))</f>
        <v>0</v>
      </c>
      <c r="BC131" s="699">
        <f>IF($AW132=0,0,        _xll.qDateNext($AW131,BC$17,"M",TRUE,Currency2))</f>
        <v>0</v>
      </c>
      <c r="BD131" s="699">
        <f>IF($AW132=0,0,        _xll.qDateNext($AW131,BD$17,"M",TRUE,Currency2))</f>
        <v>0</v>
      </c>
      <c r="BE131" s="699">
        <f>IF($AW132=0,0,        _xll.qDateNext($AW131,BE$17,"M",TRUE,Currency2))</f>
        <v>0</v>
      </c>
      <c r="BF131" s="699">
        <f>IF($AW132=0,0,        _xll.qDateNext($AW131,BF$17,"M",TRUE,Currency2))</f>
        <v>0</v>
      </c>
      <c r="BG131" s="699">
        <f>IF($AW132=0,0,        _xll.qDateNext($AW131,BG$17,"M",TRUE,Currency2))</f>
        <v>0</v>
      </c>
      <c r="BH131" s="703">
        <v>0</v>
      </c>
      <c r="BI131" s="703">
        <v>0</v>
      </c>
      <c r="BJ131" s="703">
        <v>0</v>
      </c>
      <c r="BK131" s="703">
        <v>0</v>
      </c>
      <c r="BL131" s="703">
        <f t="shared" si="25"/>
        <v>0</v>
      </c>
      <c r="BM131" s="703">
        <f t="shared" si="26"/>
        <v>0</v>
      </c>
      <c r="BN131" s="703">
        <v>0</v>
      </c>
      <c r="BO131" s="703">
        <v>0</v>
      </c>
      <c r="BP131" s="685">
        <v>0</v>
      </c>
      <c r="BQ131" s="667"/>
      <c r="BR131" s="670">
        <f>IF(AW132=0,0,             IF(ISNUMBER(BQ131),BQ131,             IF(ISTEXT(BQ131),INDEX(BH131:BO131,MATCH(BQ131,$BH$17:$BO$17,0)),           IF(BP131="INT",_xll.qInterp(AW132,AZ131:BG131,BH131:BO131),       INDEX(BH131:BO131,MATCH(BP131,$BH$17:$BO$17,0))))))</f>
        <v>0</v>
      </c>
      <c r="BS131" s="731">
        <f t="shared" si="20"/>
        <v>0</v>
      </c>
      <c r="BT131" s="406">
        <f t="shared" si="21"/>
        <v>0</v>
      </c>
      <c r="BU131" s="284">
        <f>IF($AW132,_xll.qDateYears($AW131,$AW132,DCC_Leg2_Fixed),0)</f>
        <v>0</v>
      </c>
      <c r="BV131" s="284">
        <f>IF($AW132,_xll.qDateYears($AW131,$AW132,DCC_Leg2_Float),0)</f>
        <v>0</v>
      </c>
      <c r="BX131" s="350">
        <f t="shared" si="27"/>
        <v>0</v>
      </c>
      <c r="BY131" s="375">
        <f>IF(GenType_2a="Fixed",GenRate_2a%*$BT130*BU130,          IF(GenType_2a="Float",$BT130*(_xll.qGetFwdRate($J$18,$AW130,$AW131,"T",DCC_Leg2_Float)%+GenRate_2a%%)*$BV130,        IF(GenType_2a="bp (Fixed)",GenRate_2a%%*$BU130*$BT130,   IF(GenType_2a="bp (Float)",GenRate_2a%%*$BT130*$BV130,0))))</f>
        <v>0</v>
      </c>
      <c r="BZ131" s="561"/>
      <c r="CB131" s="341">
        <f t="shared" si="29"/>
        <v>0</v>
      </c>
      <c r="CC131" s="563"/>
      <c r="CD131" s="356"/>
      <c r="CE131" s="341">
        <v>0</v>
      </c>
      <c r="CF131" s="563"/>
      <c r="CG131" s="356"/>
    </row>
    <row r="132" spans="15:85">
      <c r="O132" s="122">
        <v>0</v>
      </c>
      <c r="P132" s="128">
        <f t="shared" si="16"/>
        <v>0</v>
      </c>
      <c r="Q132" s="126">
        <v>0</v>
      </c>
      <c r="R132" s="699">
        <f>IF($O133=0,0,        _xll.qDateNext($O132,R$17,"M",TRUE,Currency1))</f>
        <v>0</v>
      </c>
      <c r="S132" s="699">
        <f>IF($O133=0,0,        _xll.qDateNext($O132,S$17,"M",TRUE,Currency1))</f>
        <v>0</v>
      </c>
      <c r="T132" s="699">
        <f>IF($O133=0,0,        _xll.qDateNext($O132,T$17,"M",TRUE,Currency1))</f>
        <v>0</v>
      </c>
      <c r="U132" s="699">
        <f>IF($O133=0,0,        _xll.qDateNext($O132,U$17,"M",TRUE,Currency1))</f>
        <v>0</v>
      </c>
      <c r="V132" s="699">
        <f>IF($O133=0,0,        _xll.qDateNext($O132,V$17,"M",TRUE,Currency1))</f>
        <v>0</v>
      </c>
      <c r="W132" s="699">
        <f>IF($O133=0,0,        _xll.qDateNext($O132,W$17,"M",TRUE,Currency1))</f>
        <v>0</v>
      </c>
      <c r="X132" s="699">
        <f>IF($O133=0,0,        _xll.qDateNext($O132,X$17,"M",TRUE,Currency1))</f>
        <v>0</v>
      </c>
      <c r="Y132" s="699">
        <f>IF($O133=0,0,        _xll.qDateNext($O132,Y$17,"M",TRUE,Currency1))</f>
        <v>0</v>
      </c>
      <c r="Z132" s="703">
        <f>IF($O133=0,0,           IF(FRM,_xll.qGetFwdRate(Z$14,$O132,R132,"T",DCC_Leg1_Float),_xll.qGetFwdRate(Z$14,$O132,$O133,"T",DCC_Leg1_Float)))</f>
        <v>0</v>
      </c>
      <c r="AA132" s="703">
        <f>IF($O133=0,0,           IF(FRM,_xll.qGetFwdRate(AA$14,$O132,S132,"T",DCC_Leg1_Float),_xll.qGetFwdRate(AA$14,$O132,$O133,"T",DCC_Leg1_Float)))</f>
        <v>0</v>
      </c>
      <c r="AB132" s="703">
        <f t="shared" si="17"/>
        <v>0</v>
      </c>
      <c r="AC132" s="703">
        <f>IF($O133=0,0,           IF(FRM,_xll.qGetFwdRate(AC$14,$O132,U132,"T",DCC_Leg1_Float),_xll.qGetFwdRate(AC$14,$O132,$O133,"T",DCC_Leg1_Float)))</f>
        <v>0</v>
      </c>
      <c r="AD132" s="703">
        <f t="shared" si="22"/>
        <v>0</v>
      </c>
      <c r="AE132" s="703">
        <f t="shared" si="23"/>
        <v>0</v>
      </c>
      <c r="AF132" s="703">
        <f>IF($O133=0,0,           IF(FRM,_xll.qGetFwdRate(AF$14,$O132,X132,"T",DCC_Leg1_Float),_xll.qGetFwdRate(AF$14,$O132,$O133,"T",DCC_Leg1_Float)))</f>
        <v>0</v>
      </c>
      <c r="AG132" s="703">
        <f>IF($O133=0,0,           IF(FRM,_xll.qGetFwdRate(AG$14,$O132,Y132,"T",DCC_Leg1_Float),_xll.qGetFwdRate(AG$14,$O132,$O133,"T",DCC_Leg1_Float)))</f>
        <v>0</v>
      </c>
      <c r="AH132" s="685">
        <v>0</v>
      </c>
      <c r="AI132" s="667"/>
      <c r="AJ132" s="670">
        <f>IF(O133=0,0,             IF(ISNUMBER(AI132),AI132,             IF(ISTEXT(AI132),INDEX(Z132:AG132,MATCH(AI132,$Z$17:$AG$17,0)),           IF(AH132="INT",_xll.qInterp(O133,R132:Y132,Z132:AG132),       INDEX(Z132:AG132,MATCH(AH132,$Z$17:$AG$17,0))))))</f>
        <v>0</v>
      </c>
      <c r="AK132" s="732">
        <v>100</v>
      </c>
      <c r="AL132" s="721">
        <f t="shared" si="18"/>
        <v>0</v>
      </c>
      <c r="AM132" s="284">
        <f>IF($O133,_xll.qDateYears($O132,$O133,DCC_Leg1_Fixed),0)</f>
        <v>0</v>
      </c>
      <c r="AN132" s="284">
        <f>IF($O133,_xll.qDateYears($O132,$O133,DCC_Leg1_Float),0)</f>
        <v>0</v>
      </c>
      <c r="AP132" s="350">
        <f t="shared" si="24"/>
        <v>0</v>
      </c>
      <c r="AQ132" s="375">
        <f>IF(GenType_1a="Fixed",GenRate_1a%*$AL131*AM131,          IF(GenType_1a="Float",$AL131*(_xll.qGetFwdRate($D$18,$O131,$O132,"T",DCC_Leg1_Float)%+GenRate_1a%%)*$AN131,        IF(GenType_1a="bp (Fixed)",GenRate_1a%%*$AM131*$AL131,   IF(GenType_1a="bp (Float)",GenRate_1a%%*$AL131*$AN131,0))))</f>
        <v>0</v>
      </c>
      <c r="AR132" s="561"/>
      <c r="AT132" s="341">
        <f t="shared" si="28"/>
        <v>0</v>
      </c>
      <c r="AV132" s="356"/>
      <c r="AW132" s="122">
        <v>0</v>
      </c>
      <c r="AX132" s="128">
        <f t="shared" si="19"/>
        <v>0</v>
      </c>
      <c r="AY132" s="357">
        <v>0</v>
      </c>
      <c r="AZ132" s="699">
        <f>IF($AW133=0,0,        _xll.qDateNext($AW132,AZ$17,"M",TRUE,Currency2))</f>
        <v>0</v>
      </c>
      <c r="BA132" s="699">
        <f>IF($AW133=0,0,        _xll.qDateNext($AW132,BA$17,"M",TRUE,Currency2))</f>
        <v>0</v>
      </c>
      <c r="BB132" s="699">
        <f>IF($AW133=0,0,        _xll.qDateNext($AW132,BB$17,"M",TRUE,Currency2))</f>
        <v>0</v>
      </c>
      <c r="BC132" s="699">
        <f>IF($AW133=0,0,        _xll.qDateNext($AW132,BC$17,"M",TRUE,Currency2))</f>
        <v>0</v>
      </c>
      <c r="BD132" s="699">
        <f>IF($AW133=0,0,        _xll.qDateNext($AW132,BD$17,"M",TRUE,Currency2))</f>
        <v>0</v>
      </c>
      <c r="BE132" s="699">
        <f>IF($AW133=0,0,        _xll.qDateNext($AW132,BE$17,"M",TRUE,Currency2))</f>
        <v>0</v>
      </c>
      <c r="BF132" s="699">
        <f>IF($AW133=0,0,        _xll.qDateNext($AW132,BF$17,"M",TRUE,Currency2))</f>
        <v>0</v>
      </c>
      <c r="BG132" s="699">
        <f>IF($AW133=0,0,        _xll.qDateNext($AW132,BG$17,"M",TRUE,Currency2))</f>
        <v>0</v>
      </c>
      <c r="BH132" s="703">
        <v>0</v>
      </c>
      <c r="BI132" s="703">
        <v>0</v>
      </c>
      <c r="BJ132" s="703">
        <v>0</v>
      </c>
      <c r="BK132" s="703">
        <v>0</v>
      </c>
      <c r="BL132" s="703">
        <f t="shared" si="25"/>
        <v>0</v>
      </c>
      <c r="BM132" s="703">
        <f t="shared" si="26"/>
        <v>0</v>
      </c>
      <c r="BN132" s="703">
        <v>0</v>
      </c>
      <c r="BO132" s="703">
        <v>0</v>
      </c>
      <c r="BP132" s="685">
        <v>0</v>
      </c>
      <c r="BQ132" s="667"/>
      <c r="BR132" s="670">
        <f>IF(AW133=0,0,             IF(ISNUMBER(BQ132),BQ132,             IF(ISTEXT(BQ132),INDEX(BH132:BO132,MATCH(BQ132,$BH$17:$BO$17,0)),           IF(BP132="INT",_xll.qInterp(AW133,AZ132:BG132,BH132:BO132),       INDEX(BH132:BO132,MATCH(BP132,$BH$17:$BO$17,0))))))</f>
        <v>0</v>
      </c>
      <c r="BS132" s="731">
        <f t="shared" si="20"/>
        <v>0</v>
      </c>
      <c r="BT132" s="406">
        <f t="shared" si="21"/>
        <v>0</v>
      </c>
      <c r="BU132" s="284">
        <f>IF($AW133,_xll.qDateYears($AW132,$AW133,DCC_Leg2_Fixed),0)</f>
        <v>0</v>
      </c>
      <c r="BV132" s="284">
        <f>IF($AW133,_xll.qDateYears($AW132,$AW133,DCC_Leg2_Float),0)</f>
        <v>0</v>
      </c>
      <c r="BX132" s="350">
        <f t="shared" si="27"/>
        <v>0</v>
      </c>
      <c r="BY132" s="375">
        <f>IF(GenType_2a="Fixed",GenRate_2a%*$BT131*BU131,          IF(GenType_2a="Float",$BT131*(_xll.qGetFwdRate($J$18,$AW131,$AW132,"T",DCC_Leg2_Float)%+GenRate_2a%%)*$BV131,        IF(GenType_2a="bp (Fixed)",GenRate_2a%%*$BU131*$BT131,   IF(GenType_2a="bp (Float)",GenRate_2a%%*$BT131*$BV131,0))))</f>
        <v>0</v>
      </c>
      <c r="BZ132" s="561"/>
      <c r="CB132" s="341">
        <f t="shared" si="29"/>
        <v>0</v>
      </c>
      <c r="CC132" s="563"/>
      <c r="CD132" s="356"/>
      <c r="CE132" s="341">
        <v>0</v>
      </c>
      <c r="CF132" s="563"/>
      <c r="CG132" s="356"/>
    </row>
    <row r="133" spans="15:85">
      <c r="O133" s="122">
        <v>0</v>
      </c>
      <c r="P133" s="128">
        <f t="shared" si="16"/>
        <v>0</v>
      </c>
      <c r="Q133" s="126">
        <v>0</v>
      </c>
      <c r="R133" s="699">
        <f>IF($O134=0,0,        _xll.qDateNext($O133,R$17,"M",TRUE,Currency1))</f>
        <v>0</v>
      </c>
      <c r="S133" s="699">
        <f>IF($O134=0,0,        _xll.qDateNext($O133,S$17,"M",TRUE,Currency1))</f>
        <v>0</v>
      </c>
      <c r="T133" s="699">
        <f>IF($O134=0,0,        _xll.qDateNext($O133,T$17,"M",TRUE,Currency1))</f>
        <v>0</v>
      </c>
      <c r="U133" s="699">
        <f>IF($O134=0,0,        _xll.qDateNext($O133,U$17,"M",TRUE,Currency1))</f>
        <v>0</v>
      </c>
      <c r="V133" s="699">
        <f>IF($O134=0,0,        _xll.qDateNext($O133,V$17,"M",TRUE,Currency1))</f>
        <v>0</v>
      </c>
      <c r="W133" s="699">
        <f>IF($O134=0,0,        _xll.qDateNext($O133,W$17,"M",TRUE,Currency1))</f>
        <v>0</v>
      </c>
      <c r="X133" s="699">
        <f>IF($O134=0,0,        _xll.qDateNext($O133,X$17,"M",TRUE,Currency1))</f>
        <v>0</v>
      </c>
      <c r="Y133" s="699">
        <f>IF($O134=0,0,        _xll.qDateNext($O133,Y$17,"M",TRUE,Currency1))</f>
        <v>0</v>
      </c>
      <c r="Z133" s="703">
        <f>IF($O134=0,0,           IF(FRM,_xll.qGetFwdRate(Z$14,$O133,R133,"T",DCC_Leg1_Float),_xll.qGetFwdRate(Z$14,$O133,$O134,"T",DCC_Leg1_Float)))</f>
        <v>0</v>
      </c>
      <c r="AA133" s="703">
        <f>IF($O134=0,0,           IF(FRM,_xll.qGetFwdRate(AA$14,$O133,S133,"T",DCC_Leg1_Float),_xll.qGetFwdRate(AA$14,$O133,$O134,"T",DCC_Leg1_Float)))</f>
        <v>0</v>
      </c>
      <c r="AB133" s="703">
        <f t="shared" si="17"/>
        <v>0</v>
      </c>
      <c r="AC133" s="703">
        <f>IF($O134=0,0,           IF(FRM,_xll.qGetFwdRate(AC$14,$O133,U133,"T",DCC_Leg1_Float),_xll.qGetFwdRate(AC$14,$O133,$O134,"T",DCC_Leg1_Float)))</f>
        <v>0</v>
      </c>
      <c r="AD133" s="703">
        <f t="shared" si="22"/>
        <v>0</v>
      </c>
      <c r="AE133" s="703">
        <f t="shared" si="23"/>
        <v>0</v>
      </c>
      <c r="AF133" s="703">
        <f>IF($O134=0,0,           IF(FRM,_xll.qGetFwdRate(AF$14,$O133,X133,"T",DCC_Leg1_Float),_xll.qGetFwdRate(AF$14,$O133,$O134,"T",DCC_Leg1_Float)))</f>
        <v>0</v>
      </c>
      <c r="AG133" s="703">
        <f>IF($O134=0,0,           IF(FRM,_xll.qGetFwdRate(AG$14,$O133,Y133,"T",DCC_Leg1_Float),_xll.qGetFwdRate(AG$14,$O133,$O134,"T",DCC_Leg1_Float)))</f>
        <v>0</v>
      </c>
      <c r="AH133" s="685">
        <v>0</v>
      </c>
      <c r="AI133" s="667"/>
      <c r="AJ133" s="670">
        <f>IF(O134=0,0,             IF(ISNUMBER(AI133),AI133,             IF(ISTEXT(AI133),INDEX(Z133:AG133,MATCH(AI133,$Z$17:$AG$17,0)),           IF(AH133="INT",_xll.qInterp(O134,R133:Y133,Z133:AG133),       INDEX(Z133:AG133,MATCH(AH133,$Z$17:$AG$17,0))))))</f>
        <v>0</v>
      </c>
      <c r="AK133" s="732">
        <v>100</v>
      </c>
      <c r="AL133" s="721">
        <f t="shared" si="18"/>
        <v>0</v>
      </c>
      <c r="AM133" s="284">
        <f>IF($O134,_xll.qDateYears($O133,$O134,DCC_Leg1_Fixed),0)</f>
        <v>0</v>
      </c>
      <c r="AN133" s="284">
        <f>IF($O134,_xll.qDateYears($O133,$O134,DCC_Leg1_Float),0)</f>
        <v>0</v>
      </c>
      <c r="AP133" s="350">
        <f t="shared" si="24"/>
        <v>0</v>
      </c>
      <c r="AQ133" s="375">
        <f>IF(GenType_1a="Fixed",GenRate_1a%*$AL132*AM132,          IF(GenType_1a="Float",$AL132*(_xll.qGetFwdRate($D$18,$O132,$O133,"T",DCC_Leg1_Float)%+GenRate_1a%%)*$AN132,        IF(GenType_1a="bp (Fixed)",GenRate_1a%%*$AM132*$AL132,   IF(GenType_1a="bp (Float)",GenRate_1a%%*$AL132*$AN132,0))))</f>
        <v>0</v>
      </c>
      <c r="AR133" s="561"/>
      <c r="AT133" s="341">
        <f t="shared" si="28"/>
        <v>0</v>
      </c>
      <c r="AV133" s="356"/>
      <c r="AW133" s="122">
        <v>0</v>
      </c>
      <c r="AX133" s="128">
        <f t="shared" si="19"/>
        <v>0</v>
      </c>
      <c r="AY133" s="357">
        <v>0</v>
      </c>
      <c r="AZ133" s="699">
        <f>IF($AW134=0,0,        _xll.qDateNext($AW133,AZ$17,"M",TRUE,Currency2))</f>
        <v>0</v>
      </c>
      <c r="BA133" s="699">
        <f>IF($AW134=0,0,        _xll.qDateNext($AW133,BA$17,"M",TRUE,Currency2))</f>
        <v>0</v>
      </c>
      <c r="BB133" s="699">
        <f>IF($AW134=0,0,        _xll.qDateNext($AW133,BB$17,"M",TRUE,Currency2))</f>
        <v>0</v>
      </c>
      <c r="BC133" s="699">
        <f>IF($AW134=0,0,        _xll.qDateNext($AW133,BC$17,"M",TRUE,Currency2))</f>
        <v>0</v>
      </c>
      <c r="BD133" s="699">
        <f>IF($AW134=0,0,        _xll.qDateNext($AW133,BD$17,"M",TRUE,Currency2))</f>
        <v>0</v>
      </c>
      <c r="BE133" s="699">
        <f>IF($AW134=0,0,        _xll.qDateNext($AW133,BE$17,"M",TRUE,Currency2))</f>
        <v>0</v>
      </c>
      <c r="BF133" s="699">
        <f>IF($AW134=0,0,        _xll.qDateNext($AW133,BF$17,"M",TRUE,Currency2))</f>
        <v>0</v>
      </c>
      <c r="BG133" s="699">
        <f>IF($AW134=0,0,        _xll.qDateNext($AW133,BG$17,"M",TRUE,Currency2))</f>
        <v>0</v>
      </c>
      <c r="BH133" s="703">
        <v>0</v>
      </c>
      <c r="BI133" s="703">
        <v>0</v>
      </c>
      <c r="BJ133" s="703">
        <v>0</v>
      </c>
      <c r="BK133" s="703">
        <v>0</v>
      </c>
      <c r="BL133" s="703">
        <f t="shared" si="25"/>
        <v>0</v>
      </c>
      <c r="BM133" s="703">
        <f t="shared" si="26"/>
        <v>0</v>
      </c>
      <c r="BN133" s="703">
        <v>0</v>
      </c>
      <c r="BO133" s="703">
        <v>0</v>
      </c>
      <c r="BP133" s="685">
        <v>0</v>
      </c>
      <c r="BQ133" s="667"/>
      <c r="BR133" s="670">
        <f>IF(AW134=0,0,             IF(ISNUMBER(BQ133),BQ133,             IF(ISTEXT(BQ133),INDEX(BH133:BO133,MATCH(BQ133,$BH$17:$BO$17,0)),           IF(BP133="INT",_xll.qInterp(AW134,AZ133:BG133,BH133:BO133),       INDEX(BH133:BO133,MATCH(BP133,$BH$17:$BO$17,0))))))</f>
        <v>0</v>
      </c>
      <c r="BS133" s="731">
        <f t="shared" si="20"/>
        <v>0</v>
      </c>
      <c r="BT133" s="406">
        <f t="shared" si="21"/>
        <v>0</v>
      </c>
      <c r="BU133" s="284">
        <f>IF($AW134,_xll.qDateYears($AW133,$AW134,DCC_Leg2_Fixed),0)</f>
        <v>0</v>
      </c>
      <c r="BV133" s="284">
        <f>IF($AW134,_xll.qDateYears($AW133,$AW134,DCC_Leg2_Float),0)</f>
        <v>0</v>
      </c>
      <c r="BX133" s="350">
        <f t="shared" si="27"/>
        <v>0</v>
      </c>
      <c r="BY133" s="375">
        <f>IF(GenType_2a="Fixed",GenRate_2a%*$BT132*BU132,          IF(GenType_2a="Float",$BT132*(_xll.qGetFwdRate($J$18,$AW132,$AW133,"T",DCC_Leg2_Float)%+GenRate_2a%%)*$BV132,        IF(GenType_2a="bp (Fixed)",GenRate_2a%%*$BU132*$BT132,   IF(GenType_2a="bp (Float)",GenRate_2a%%*$BT132*$BV132,0))))</f>
        <v>0</v>
      </c>
      <c r="BZ133" s="561"/>
      <c r="CB133" s="341">
        <f t="shared" si="29"/>
        <v>0</v>
      </c>
      <c r="CC133" s="563"/>
      <c r="CD133" s="356"/>
      <c r="CE133" s="341">
        <v>0</v>
      </c>
      <c r="CF133" s="563"/>
      <c r="CG133" s="356"/>
    </row>
    <row r="134" spans="15:85">
      <c r="O134" s="122">
        <v>0</v>
      </c>
      <c r="P134" s="128">
        <f t="shared" si="16"/>
        <v>0</v>
      </c>
      <c r="Q134" s="126">
        <v>0</v>
      </c>
      <c r="R134" s="699">
        <f>IF($O135=0,0,        _xll.qDateNext($O134,R$17,"M",TRUE,Currency1))</f>
        <v>0</v>
      </c>
      <c r="S134" s="699">
        <f>IF($O135=0,0,        _xll.qDateNext($O134,S$17,"M",TRUE,Currency1))</f>
        <v>0</v>
      </c>
      <c r="T134" s="699">
        <f>IF($O135=0,0,        _xll.qDateNext($O134,T$17,"M",TRUE,Currency1))</f>
        <v>0</v>
      </c>
      <c r="U134" s="699">
        <f>IF($O135=0,0,        _xll.qDateNext($O134,U$17,"M",TRUE,Currency1))</f>
        <v>0</v>
      </c>
      <c r="V134" s="699">
        <f>IF($O135=0,0,        _xll.qDateNext($O134,V$17,"M",TRUE,Currency1))</f>
        <v>0</v>
      </c>
      <c r="W134" s="699">
        <f>IF($O135=0,0,        _xll.qDateNext($O134,W$17,"M",TRUE,Currency1))</f>
        <v>0</v>
      </c>
      <c r="X134" s="699">
        <f>IF($O135=0,0,        _xll.qDateNext($O134,X$17,"M",TRUE,Currency1))</f>
        <v>0</v>
      </c>
      <c r="Y134" s="699">
        <f>IF($O135=0,0,        _xll.qDateNext($O134,Y$17,"M",TRUE,Currency1))</f>
        <v>0</v>
      </c>
      <c r="Z134" s="703">
        <f>IF($O135=0,0,           IF(FRM,_xll.qGetFwdRate(Z$14,$O134,R134,"T",DCC_Leg1_Float),_xll.qGetFwdRate(Z$14,$O134,$O135,"T",DCC_Leg1_Float)))</f>
        <v>0</v>
      </c>
      <c r="AA134" s="703">
        <f>IF($O135=0,0,           IF(FRM,_xll.qGetFwdRate(AA$14,$O134,S134,"T",DCC_Leg1_Float),_xll.qGetFwdRate(AA$14,$O134,$O135,"T",DCC_Leg1_Float)))</f>
        <v>0</v>
      </c>
      <c r="AB134" s="703">
        <f t="shared" si="17"/>
        <v>0</v>
      </c>
      <c r="AC134" s="703">
        <f>IF($O135=0,0,           IF(FRM,_xll.qGetFwdRate(AC$14,$O134,U134,"T",DCC_Leg1_Float),_xll.qGetFwdRate(AC$14,$O134,$O135,"T",DCC_Leg1_Float)))</f>
        <v>0</v>
      </c>
      <c r="AD134" s="703">
        <f t="shared" si="22"/>
        <v>0</v>
      </c>
      <c r="AE134" s="703">
        <f t="shared" si="23"/>
        <v>0</v>
      </c>
      <c r="AF134" s="703">
        <f>IF($O135=0,0,           IF(FRM,_xll.qGetFwdRate(AF$14,$O134,X134,"T",DCC_Leg1_Float),_xll.qGetFwdRate(AF$14,$O134,$O135,"T",DCC_Leg1_Float)))</f>
        <v>0</v>
      </c>
      <c r="AG134" s="703">
        <f>IF($O135=0,0,           IF(FRM,_xll.qGetFwdRate(AG$14,$O134,Y134,"T",DCC_Leg1_Float),_xll.qGetFwdRate(AG$14,$O134,$O135,"T",DCC_Leg1_Float)))</f>
        <v>0</v>
      </c>
      <c r="AH134" s="685">
        <v>0</v>
      </c>
      <c r="AI134" s="667"/>
      <c r="AJ134" s="670">
        <f>IF(O135=0,0,             IF(ISNUMBER(AI134),AI134,             IF(ISTEXT(AI134),INDEX(Z134:AG134,MATCH(AI134,$Z$17:$AG$17,0)),           IF(AH134="INT",_xll.qInterp(O135,R134:Y134,Z134:AG134),       INDEX(Z134:AG134,MATCH(AH134,$Z$17:$AG$17,0))))))</f>
        <v>0</v>
      </c>
      <c r="AK134" s="732">
        <v>100</v>
      </c>
      <c r="AL134" s="721">
        <f t="shared" si="18"/>
        <v>0</v>
      </c>
      <c r="AM134" s="284">
        <f>IF($O135,_xll.qDateYears($O134,$O135,DCC_Leg1_Fixed),0)</f>
        <v>0</v>
      </c>
      <c r="AN134" s="284">
        <f>IF($O135,_xll.qDateYears($O134,$O135,DCC_Leg1_Float),0)</f>
        <v>0</v>
      </c>
      <c r="AP134" s="350">
        <f t="shared" si="24"/>
        <v>0</v>
      </c>
      <c r="AQ134" s="375">
        <f>IF(GenType_1a="Fixed",GenRate_1a%*$AL133*AM133,          IF(GenType_1a="Float",$AL133*(_xll.qGetFwdRate($D$18,$O133,$O134,"T",DCC_Leg1_Float)%+GenRate_1a%%)*$AN133,        IF(GenType_1a="bp (Fixed)",GenRate_1a%%*$AM133*$AL133,   IF(GenType_1a="bp (Float)",GenRate_1a%%*$AL133*$AN133,0))))</f>
        <v>0</v>
      </c>
      <c r="AR134" s="561"/>
      <c r="AT134" s="341">
        <f t="shared" si="28"/>
        <v>0</v>
      </c>
      <c r="AV134" s="356"/>
      <c r="AW134" s="122">
        <v>0</v>
      </c>
      <c r="AX134" s="128">
        <f t="shared" si="19"/>
        <v>0</v>
      </c>
      <c r="AY134" s="357">
        <v>0</v>
      </c>
      <c r="AZ134" s="699">
        <f>IF($AW135=0,0,        _xll.qDateNext($AW134,AZ$17,"M",TRUE,Currency2))</f>
        <v>0</v>
      </c>
      <c r="BA134" s="699">
        <f>IF($AW135=0,0,        _xll.qDateNext($AW134,BA$17,"M",TRUE,Currency2))</f>
        <v>0</v>
      </c>
      <c r="BB134" s="699">
        <f>IF($AW135=0,0,        _xll.qDateNext($AW134,BB$17,"M",TRUE,Currency2))</f>
        <v>0</v>
      </c>
      <c r="BC134" s="699">
        <f>IF($AW135=0,0,        _xll.qDateNext($AW134,BC$17,"M",TRUE,Currency2))</f>
        <v>0</v>
      </c>
      <c r="BD134" s="699">
        <f>IF($AW135=0,0,        _xll.qDateNext($AW134,BD$17,"M",TRUE,Currency2))</f>
        <v>0</v>
      </c>
      <c r="BE134" s="699">
        <f>IF($AW135=0,0,        _xll.qDateNext($AW134,BE$17,"M",TRUE,Currency2))</f>
        <v>0</v>
      </c>
      <c r="BF134" s="699">
        <f>IF($AW135=0,0,        _xll.qDateNext($AW134,BF$17,"M",TRUE,Currency2))</f>
        <v>0</v>
      </c>
      <c r="BG134" s="699">
        <f>IF($AW135=0,0,        _xll.qDateNext($AW134,BG$17,"M",TRUE,Currency2))</f>
        <v>0</v>
      </c>
      <c r="BH134" s="703">
        <v>0</v>
      </c>
      <c r="BI134" s="703">
        <v>0</v>
      </c>
      <c r="BJ134" s="703">
        <v>0</v>
      </c>
      <c r="BK134" s="703">
        <v>0</v>
      </c>
      <c r="BL134" s="703">
        <f t="shared" si="25"/>
        <v>0</v>
      </c>
      <c r="BM134" s="703">
        <f t="shared" si="26"/>
        <v>0</v>
      </c>
      <c r="BN134" s="703">
        <v>0</v>
      </c>
      <c r="BO134" s="703">
        <v>0</v>
      </c>
      <c r="BP134" s="685">
        <v>0</v>
      </c>
      <c r="BQ134" s="667"/>
      <c r="BR134" s="670">
        <f>IF(AW135=0,0,             IF(ISNUMBER(BQ134),BQ134,             IF(ISTEXT(BQ134),INDEX(BH134:BO134,MATCH(BQ134,$BH$17:$BO$17,0)),           IF(BP134="INT",_xll.qInterp(AW135,AZ134:BG134,BH134:BO134),       INDEX(BH134:BO134,MATCH(BP134,$BH$17:$BO$17,0))))))</f>
        <v>0</v>
      </c>
      <c r="BS134" s="731">
        <f t="shared" si="20"/>
        <v>0</v>
      </c>
      <c r="BT134" s="406">
        <f t="shared" si="21"/>
        <v>0</v>
      </c>
      <c r="BU134" s="284">
        <f>IF($AW135,_xll.qDateYears($AW134,$AW135,DCC_Leg2_Fixed),0)</f>
        <v>0</v>
      </c>
      <c r="BV134" s="284">
        <f>IF($AW135,_xll.qDateYears($AW134,$AW135,DCC_Leg2_Float),0)</f>
        <v>0</v>
      </c>
      <c r="BX134" s="350">
        <f t="shared" si="27"/>
        <v>0</v>
      </c>
      <c r="BY134" s="375">
        <f>IF(GenType_2a="Fixed",GenRate_2a%*$BT133*BU133,          IF(GenType_2a="Float",$BT133*(_xll.qGetFwdRate($J$18,$AW133,$AW134,"T",DCC_Leg2_Float)%+GenRate_2a%%)*$BV133,        IF(GenType_2a="bp (Fixed)",GenRate_2a%%*$BU133*$BT133,   IF(GenType_2a="bp (Float)",GenRate_2a%%*$BT133*$BV133,0))))</f>
        <v>0</v>
      </c>
      <c r="BZ134" s="561"/>
      <c r="CB134" s="341">
        <f t="shared" si="29"/>
        <v>0</v>
      </c>
      <c r="CC134" s="563"/>
      <c r="CD134" s="356"/>
      <c r="CE134" s="341">
        <v>0</v>
      </c>
      <c r="CF134" s="563"/>
      <c r="CG134" s="356"/>
    </row>
    <row r="135" spans="15:85">
      <c r="O135" s="122">
        <v>0</v>
      </c>
      <c r="P135" s="128">
        <f t="shared" si="16"/>
        <v>0</v>
      </c>
      <c r="Q135" s="126">
        <v>0</v>
      </c>
      <c r="R135" s="699">
        <f>IF($O136=0,0,        _xll.qDateNext($O135,R$17,"M",TRUE,Currency1))</f>
        <v>0</v>
      </c>
      <c r="S135" s="699">
        <f>IF($O136=0,0,        _xll.qDateNext($O135,S$17,"M",TRUE,Currency1))</f>
        <v>0</v>
      </c>
      <c r="T135" s="699">
        <f>IF($O136=0,0,        _xll.qDateNext($O135,T$17,"M",TRUE,Currency1))</f>
        <v>0</v>
      </c>
      <c r="U135" s="699">
        <f>IF($O136=0,0,        _xll.qDateNext($O135,U$17,"M",TRUE,Currency1))</f>
        <v>0</v>
      </c>
      <c r="V135" s="699">
        <f>IF($O136=0,0,        _xll.qDateNext($O135,V$17,"M",TRUE,Currency1))</f>
        <v>0</v>
      </c>
      <c r="W135" s="699">
        <f>IF($O136=0,0,        _xll.qDateNext($O135,W$17,"M",TRUE,Currency1))</f>
        <v>0</v>
      </c>
      <c r="X135" s="699">
        <f>IF($O136=0,0,        _xll.qDateNext($O135,X$17,"M",TRUE,Currency1))</f>
        <v>0</v>
      </c>
      <c r="Y135" s="699">
        <f>IF($O136=0,0,        _xll.qDateNext($O135,Y$17,"M",TRUE,Currency1))</f>
        <v>0</v>
      </c>
      <c r="Z135" s="703">
        <f>IF($O136=0,0,           IF(FRM,_xll.qGetFwdRate(Z$14,$O135,R135,"T",DCC_Leg1_Float),_xll.qGetFwdRate(Z$14,$O135,$O136,"T",DCC_Leg1_Float)))</f>
        <v>0</v>
      </c>
      <c r="AA135" s="703">
        <f>IF($O136=0,0,           IF(FRM,_xll.qGetFwdRate(AA$14,$O135,S135,"T",DCC_Leg1_Float),_xll.qGetFwdRate(AA$14,$O135,$O136,"T",DCC_Leg1_Float)))</f>
        <v>0</v>
      </c>
      <c r="AB135" s="703">
        <f t="shared" si="17"/>
        <v>0</v>
      </c>
      <c r="AC135" s="703">
        <f>IF($O136=0,0,           IF(FRM,_xll.qGetFwdRate(AC$14,$O135,U135,"T",DCC_Leg1_Float),_xll.qGetFwdRate(AC$14,$O135,$O136,"T",DCC_Leg1_Float)))</f>
        <v>0</v>
      </c>
      <c r="AD135" s="703">
        <f t="shared" si="22"/>
        <v>0</v>
      </c>
      <c r="AE135" s="703">
        <f t="shared" si="23"/>
        <v>0</v>
      </c>
      <c r="AF135" s="703">
        <f>IF($O136=0,0,           IF(FRM,_xll.qGetFwdRate(AF$14,$O135,X135,"T",DCC_Leg1_Float),_xll.qGetFwdRate(AF$14,$O135,$O136,"T",DCC_Leg1_Float)))</f>
        <v>0</v>
      </c>
      <c r="AG135" s="703">
        <f>IF($O136=0,0,           IF(FRM,_xll.qGetFwdRate(AG$14,$O135,Y135,"T",DCC_Leg1_Float),_xll.qGetFwdRate(AG$14,$O135,$O136,"T",DCC_Leg1_Float)))</f>
        <v>0</v>
      </c>
      <c r="AH135" s="685">
        <v>0</v>
      </c>
      <c r="AI135" s="667"/>
      <c r="AJ135" s="670">
        <f>IF(O136=0,0,             IF(ISNUMBER(AI135),AI135,             IF(ISTEXT(AI135),INDEX(Z135:AG135,MATCH(AI135,$Z$17:$AG$17,0)),           IF(AH135="INT",_xll.qInterp(O136,R135:Y135,Z135:AG135),       INDEX(Z135:AG135,MATCH(AH135,$Z$17:$AG$17,0))))))</f>
        <v>0</v>
      </c>
      <c r="AK135" s="732">
        <v>100</v>
      </c>
      <c r="AL135" s="721">
        <f t="shared" si="18"/>
        <v>0</v>
      </c>
      <c r="AM135" s="284">
        <f>IF($O136,_xll.qDateYears($O135,$O136,DCC_Leg1_Fixed),0)</f>
        <v>0</v>
      </c>
      <c r="AN135" s="284">
        <f>IF($O136,_xll.qDateYears($O135,$O136,DCC_Leg1_Float),0)</f>
        <v>0</v>
      </c>
      <c r="AP135" s="350">
        <f t="shared" si="24"/>
        <v>0</v>
      </c>
      <c r="AQ135" s="375">
        <f>IF(GenType_1a="Fixed",GenRate_1a%*$AL134*AM134,          IF(GenType_1a="Float",$AL134*(_xll.qGetFwdRate($D$18,$O134,$O135,"T",DCC_Leg1_Float)%+GenRate_1a%%)*$AN134,        IF(GenType_1a="bp (Fixed)",GenRate_1a%%*$AM134*$AL134,   IF(GenType_1a="bp (Float)",GenRate_1a%%*$AL134*$AN134,0))))</f>
        <v>0</v>
      </c>
      <c r="AR135" s="561"/>
      <c r="AT135" s="341">
        <f t="shared" si="28"/>
        <v>0</v>
      </c>
      <c r="AV135" s="356"/>
      <c r="AW135" s="122">
        <v>0</v>
      </c>
      <c r="AX135" s="128">
        <f t="shared" si="19"/>
        <v>0</v>
      </c>
      <c r="AY135" s="357">
        <v>0</v>
      </c>
      <c r="AZ135" s="699">
        <f>IF($AW136=0,0,        _xll.qDateNext($AW135,AZ$17,"M",TRUE,Currency2))</f>
        <v>0</v>
      </c>
      <c r="BA135" s="699">
        <f>IF($AW136=0,0,        _xll.qDateNext($AW135,BA$17,"M",TRUE,Currency2))</f>
        <v>0</v>
      </c>
      <c r="BB135" s="699">
        <f>IF($AW136=0,0,        _xll.qDateNext($AW135,BB$17,"M",TRUE,Currency2))</f>
        <v>0</v>
      </c>
      <c r="BC135" s="699">
        <f>IF($AW136=0,0,        _xll.qDateNext($AW135,BC$17,"M",TRUE,Currency2))</f>
        <v>0</v>
      </c>
      <c r="BD135" s="699">
        <f>IF($AW136=0,0,        _xll.qDateNext($AW135,BD$17,"M",TRUE,Currency2))</f>
        <v>0</v>
      </c>
      <c r="BE135" s="699">
        <f>IF($AW136=0,0,        _xll.qDateNext($AW135,BE$17,"M",TRUE,Currency2))</f>
        <v>0</v>
      </c>
      <c r="BF135" s="699">
        <f>IF($AW136=0,0,        _xll.qDateNext($AW135,BF$17,"M",TRUE,Currency2))</f>
        <v>0</v>
      </c>
      <c r="BG135" s="699">
        <f>IF($AW136=0,0,        _xll.qDateNext($AW135,BG$17,"M",TRUE,Currency2))</f>
        <v>0</v>
      </c>
      <c r="BH135" s="703">
        <v>0</v>
      </c>
      <c r="BI135" s="703">
        <v>0</v>
      </c>
      <c r="BJ135" s="703">
        <v>0</v>
      </c>
      <c r="BK135" s="703">
        <v>0</v>
      </c>
      <c r="BL135" s="703">
        <f t="shared" si="25"/>
        <v>0</v>
      </c>
      <c r="BM135" s="703">
        <f t="shared" si="26"/>
        <v>0</v>
      </c>
      <c r="BN135" s="703">
        <v>0</v>
      </c>
      <c r="BO135" s="703">
        <v>0</v>
      </c>
      <c r="BP135" s="685">
        <v>0</v>
      </c>
      <c r="BQ135" s="667"/>
      <c r="BR135" s="670">
        <f>IF(AW136=0,0,             IF(ISNUMBER(BQ135),BQ135,             IF(ISTEXT(BQ135),INDEX(BH135:BO135,MATCH(BQ135,$BH$17:$BO$17,0)),           IF(BP135="INT",_xll.qInterp(AW136,AZ135:BG135,BH135:BO135),       INDEX(BH135:BO135,MATCH(BP135,$BH$17:$BO$17,0))))))</f>
        <v>0</v>
      </c>
      <c r="BS135" s="731">
        <f t="shared" si="20"/>
        <v>0</v>
      </c>
      <c r="BT135" s="406">
        <f t="shared" si="21"/>
        <v>0</v>
      </c>
      <c r="BU135" s="284">
        <f>IF($AW136,_xll.qDateYears($AW135,$AW136,DCC_Leg2_Fixed),0)</f>
        <v>0</v>
      </c>
      <c r="BV135" s="284">
        <f>IF($AW136,_xll.qDateYears($AW135,$AW136,DCC_Leg2_Float),0)</f>
        <v>0</v>
      </c>
      <c r="BX135" s="350">
        <f t="shared" si="27"/>
        <v>0</v>
      </c>
      <c r="BY135" s="375">
        <f>IF(GenType_2a="Fixed",GenRate_2a%*$BT134*BU134,          IF(GenType_2a="Float",$BT134*(_xll.qGetFwdRate($J$18,$AW134,$AW135,"T",DCC_Leg2_Float)%+GenRate_2a%%)*$BV134,        IF(GenType_2a="bp (Fixed)",GenRate_2a%%*$BU134*$BT134,   IF(GenType_2a="bp (Float)",GenRate_2a%%*$BT134*$BV134,0))))</f>
        <v>0</v>
      </c>
      <c r="BZ135" s="561"/>
      <c r="CB135" s="341">
        <f t="shared" si="29"/>
        <v>0</v>
      </c>
      <c r="CC135" s="563"/>
      <c r="CD135" s="356"/>
      <c r="CE135" s="341">
        <v>0</v>
      </c>
      <c r="CF135" s="563"/>
      <c r="CG135" s="356"/>
    </row>
    <row r="136" spans="15:85">
      <c r="O136" s="122">
        <v>0</v>
      </c>
      <c r="P136" s="128">
        <f t="shared" si="16"/>
        <v>0</v>
      </c>
      <c r="Q136" s="126">
        <v>0</v>
      </c>
      <c r="R136" s="699">
        <f>IF($O137=0,0,        _xll.qDateNext($O136,R$17,"M",TRUE,Currency1))</f>
        <v>0</v>
      </c>
      <c r="S136" s="699">
        <f>IF($O137=0,0,        _xll.qDateNext($O136,S$17,"M",TRUE,Currency1))</f>
        <v>0</v>
      </c>
      <c r="T136" s="699">
        <f>IF($O137=0,0,        _xll.qDateNext($O136,T$17,"M",TRUE,Currency1))</f>
        <v>0</v>
      </c>
      <c r="U136" s="699">
        <f>IF($O137=0,0,        _xll.qDateNext($O136,U$17,"M",TRUE,Currency1))</f>
        <v>0</v>
      </c>
      <c r="V136" s="699">
        <f>IF($O137=0,0,        _xll.qDateNext($O136,V$17,"M",TRUE,Currency1))</f>
        <v>0</v>
      </c>
      <c r="W136" s="699">
        <f>IF($O137=0,0,        _xll.qDateNext($O136,W$17,"M",TRUE,Currency1))</f>
        <v>0</v>
      </c>
      <c r="X136" s="699">
        <f>IF($O137=0,0,        _xll.qDateNext($O136,X$17,"M",TRUE,Currency1))</f>
        <v>0</v>
      </c>
      <c r="Y136" s="699">
        <f>IF($O137=0,0,        _xll.qDateNext($O136,Y$17,"M",TRUE,Currency1))</f>
        <v>0</v>
      </c>
      <c r="Z136" s="703">
        <f>IF($O137=0,0,           IF(FRM,_xll.qGetFwdRate(Z$14,$O136,R136,"T",DCC_Leg1_Float),_xll.qGetFwdRate(Z$14,$O136,$O137,"T",DCC_Leg1_Float)))</f>
        <v>0</v>
      </c>
      <c r="AA136" s="703">
        <f>IF($O137=0,0,           IF(FRM,_xll.qGetFwdRate(AA$14,$O136,S136,"T",DCC_Leg1_Float),_xll.qGetFwdRate(AA$14,$O136,$O137,"T",DCC_Leg1_Float)))</f>
        <v>0</v>
      </c>
      <c r="AB136" s="703">
        <f t="shared" si="17"/>
        <v>0</v>
      </c>
      <c r="AC136" s="703">
        <f>IF($O137=0,0,           IF(FRM,_xll.qGetFwdRate(AC$14,$O136,U136,"T",DCC_Leg1_Float),_xll.qGetFwdRate(AC$14,$O136,$O137,"T",DCC_Leg1_Float)))</f>
        <v>0</v>
      </c>
      <c r="AD136" s="703">
        <f t="shared" si="22"/>
        <v>0</v>
      </c>
      <c r="AE136" s="703">
        <f t="shared" si="23"/>
        <v>0</v>
      </c>
      <c r="AF136" s="703">
        <f>IF($O137=0,0,           IF(FRM,_xll.qGetFwdRate(AF$14,$O136,X136,"T",DCC_Leg1_Float),_xll.qGetFwdRate(AF$14,$O136,$O137,"T",DCC_Leg1_Float)))</f>
        <v>0</v>
      </c>
      <c r="AG136" s="703">
        <f>IF($O137=0,0,           IF(FRM,_xll.qGetFwdRate(AG$14,$O136,Y136,"T",DCC_Leg1_Float),_xll.qGetFwdRate(AG$14,$O136,$O137,"T",DCC_Leg1_Float)))</f>
        <v>0</v>
      </c>
      <c r="AH136" s="685">
        <v>0</v>
      </c>
      <c r="AI136" s="667"/>
      <c r="AJ136" s="670">
        <f>IF(O137=0,0,             IF(ISNUMBER(AI136),AI136,             IF(ISTEXT(AI136),INDEX(Z136:AG136,MATCH(AI136,$Z$17:$AG$17,0)),           IF(AH136="INT",_xll.qInterp(O137,R136:Y136,Z136:AG136),       INDEX(Z136:AG136,MATCH(AH136,$Z$17:$AG$17,0))))))</f>
        <v>0</v>
      </c>
      <c r="AK136" s="732">
        <v>100</v>
      </c>
      <c r="AL136" s="721">
        <f t="shared" si="18"/>
        <v>0</v>
      </c>
      <c r="AM136" s="284">
        <f>IF($O137,_xll.qDateYears($O136,$O137,DCC_Leg1_Fixed),0)</f>
        <v>0</v>
      </c>
      <c r="AN136" s="284">
        <f>IF($O137,_xll.qDateYears($O136,$O137,DCC_Leg1_Float),0)</f>
        <v>0</v>
      </c>
      <c r="AP136" s="350">
        <f t="shared" si="24"/>
        <v>0</v>
      </c>
      <c r="AQ136" s="375">
        <f>IF(GenType_1a="Fixed",GenRate_1a%*$AL135*AM135,          IF(GenType_1a="Float",$AL135*(_xll.qGetFwdRate($D$18,$O135,$O136,"T",DCC_Leg1_Float)%+GenRate_1a%%)*$AN135,        IF(GenType_1a="bp (Fixed)",GenRate_1a%%*$AM135*$AL135,   IF(GenType_1a="bp (Float)",GenRate_1a%%*$AL135*$AN135,0))))</f>
        <v>0</v>
      </c>
      <c r="AR136" s="561"/>
      <c r="AT136" s="341">
        <f t="shared" si="28"/>
        <v>0</v>
      </c>
      <c r="AV136" s="356"/>
      <c r="AW136" s="122">
        <v>0</v>
      </c>
      <c r="AX136" s="128">
        <f t="shared" si="19"/>
        <v>0</v>
      </c>
      <c r="AY136" s="357">
        <v>0</v>
      </c>
      <c r="AZ136" s="699">
        <f>IF($AW137=0,0,        _xll.qDateNext($AW136,AZ$17,"M",TRUE,Currency2))</f>
        <v>0</v>
      </c>
      <c r="BA136" s="699">
        <f>IF($AW137=0,0,        _xll.qDateNext($AW136,BA$17,"M",TRUE,Currency2))</f>
        <v>0</v>
      </c>
      <c r="BB136" s="699">
        <f>IF($AW137=0,0,        _xll.qDateNext($AW136,BB$17,"M",TRUE,Currency2))</f>
        <v>0</v>
      </c>
      <c r="BC136" s="699">
        <f>IF($AW137=0,0,        _xll.qDateNext($AW136,BC$17,"M",TRUE,Currency2))</f>
        <v>0</v>
      </c>
      <c r="BD136" s="699">
        <f>IF($AW137=0,0,        _xll.qDateNext($AW136,BD$17,"M",TRUE,Currency2))</f>
        <v>0</v>
      </c>
      <c r="BE136" s="699">
        <f>IF($AW137=0,0,        _xll.qDateNext($AW136,BE$17,"M",TRUE,Currency2))</f>
        <v>0</v>
      </c>
      <c r="BF136" s="699">
        <f>IF($AW137=0,0,        _xll.qDateNext($AW136,BF$17,"M",TRUE,Currency2))</f>
        <v>0</v>
      </c>
      <c r="BG136" s="699">
        <f>IF($AW137=0,0,        _xll.qDateNext($AW136,BG$17,"M",TRUE,Currency2))</f>
        <v>0</v>
      </c>
      <c r="BH136" s="703">
        <v>0</v>
      </c>
      <c r="BI136" s="703">
        <v>0</v>
      </c>
      <c r="BJ136" s="703">
        <v>0</v>
      </c>
      <c r="BK136" s="703">
        <v>0</v>
      </c>
      <c r="BL136" s="703">
        <f t="shared" si="25"/>
        <v>0</v>
      </c>
      <c r="BM136" s="703">
        <f t="shared" si="26"/>
        <v>0</v>
      </c>
      <c r="BN136" s="703">
        <v>0</v>
      </c>
      <c r="BO136" s="703">
        <v>0</v>
      </c>
      <c r="BP136" s="685">
        <v>0</v>
      </c>
      <c r="BQ136" s="667"/>
      <c r="BR136" s="670">
        <f>IF(AW137=0,0,             IF(ISNUMBER(BQ136),BQ136,             IF(ISTEXT(BQ136),INDEX(BH136:BO136,MATCH(BQ136,$BH$17:$BO$17,0)),           IF(BP136="INT",_xll.qInterp(AW137,AZ136:BG136,BH136:BO136),       INDEX(BH136:BO136,MATCH(BP136,$BH$17:$BO$17,0))))))</f>
        <v>0</v>
      </c>
      <c r="BS136" s="731">
        <f t="shared" si="20"/>
        <v>0</v>
      </c>
      <c r="BT136" s="406">
        <f t="shared" si="21"/>
        <v>0</v>
      </c>
      <c r="BU136" s="284">
        <f>IF($AW137,_xll.qDateYears($AW136,$AW137,DCC_Leg2_Fixed),0)</f>
        <v>0</v>
      </c>
      <c r="BV136" s="284">
        <f>IF($AW137,_xll.qDateYears($AW136,$AW137,DCC_Leg2_Float),0)</f>
        <v>0</v>
      </c>
      <c r="BX136" s="350">
        <f t="shared" si="27"/>
        <v>0</v>
      </c>
      <c r="BY136" s="375">
        <f>IF(GenType_2a="Fixed",GenRate_2a%*$BT135*BU135,          IF(GenType_2a="Float",$BT135*(_xll.qGetFwdRate($J$18,$AW135,$AW136,"T",DCC_Leg2_Float)%+GenRate_2a%%)*$BV135,        IF(GenType_2a="bp (Fixed)",GenRate_2a%%*$BU135*$BT135,   IF(GenType_2a="bp (Float)",GenRate_2a%%*$BT135*$BV135,0))))</f>
        <v>0</v>
      </c>
      <c r="BZ136" s="561"/>
      <c r="CB136" s="341">
        <f t="shared" si="29"/>
        <v>0</v>
      </c>
      <c r="CC136" s="563"/>
      <c r="CD136" s="356"/>
      <c r="CE136" s="341">
        <v>0</v>
      </c>
      <c r="CF136" s="563"/>
      <c r="CG136" s="356"/>
    </row>
    <row r="137" spans="15:85">
      <c r="O137" s="122">
        <v>0</v>
      </c>
      <c r="P137" s="128">
        <f t="shared" si="16"/>
        <v>0</v>
      </c>
      <c r="Q137" s="126">
        <v>0</v>
      </c>
      <c r="R137" s="699">
        <f>IF($O138=0,0,        _xll.qDateNext($O137,R$17,"M",TRUE,Currency1))</f>
        <v>0</v>
      </c>
      <c r="S137" s="699">
        <f>IF($O138=0,0,        _xll.qDateNext($O137,S$17,"M",TRUE,Currency1))</f>
        <v>0</v>
      </c>
      <c r="T137" s="699">
        <f>IF($O138=0,0,        _xll.qDateNext($O137,T$17,"M",TRUE,Currency1))</f>
        <v>0</v>
      </c>
      <c r="U137" s="699">
        <f>IF($O138=0,0,        _xll.qDateNext($O137,U$17,"M",TRUE,Currency1))</f>
        <v>0</v>
      </c>
      <c r="V137" s="699">
        <f>IF($O138=0,0,        _xll.qDateNext($O137,V$17,"M",TRUE,Currency1))</f>
        <v>0</v>
      </c>
      <c r="W137" s="699">
        <f>IF($O138=0,0,        _xll.qDateNext($O137,W$17,"M",TRUE,Currency1))</f>
        <v>0</v>
      </c>
      <c r="X137" s="699">
        <f>IF($O138=0,0,        _xll.qDateNext($O137,X$17,"M",TRUE,Currency1))</f>
        <v>0</v>
      </c>
      <c r="Y137" s="699">
        <f>IF($O138=0,0,        _xll.qDateNext($O137,Y$17,"M",TRUE,Currency1))</f>
        <v>0</v>
      </c>
      <c r="Z137" s="703">
        <f>IF($O138=0,0,           IF(FRM,_xll.qGetFwdRate(Z$14,$O137,R137,"T",DCC_Leg1_Float),_xll.qGetFwdRate(Z$14,$O137,$O138,"T",DCC_Leg1_Float)))</f>
        <v>0</v>
      </c>
      <c r="AA137" s="703">
        <f>IF($O138=0,0,           IF(FRM,_xll.qGetFwdRate(AA$14,$O137,S137,"T",DCC_Leg1_Float),_xll.qGetFwdRate(AA$14,$O137,$O138,"T",DCC_Leg1_Float)))</f>
        <v>0</v>
      </c>
      <c r="AB137" s="703">
        <f t="shared" si="17"/>
        <v>0</v>
      </c>
      <c r="AC137" s="703">
        <f>IF($O138=0,0,           IF(FRM,_xll.qGetFwdRate(AC$14,$O137,U137,"T",DCC_Leg1_Float),_xll.qGetFwdRate(AC$14,$O137,$O138,"T",DCC_Leg1_Float)))</f>
        <v>0</v>
      </c>
      <c r="AD137" s="703">
        <f t="shared" si="22"/>
        <v>0</v>
      </c>
      <c r="AE137" s="703">
        <f t="shared" si="23"/>
        <v>0</v>
      </c>
      <c r="AF137" s="703">
        <f>IF($O138=0,0,           IF(FRM,_xll.qGetFwdRate(AF$14,$O137,X137,"T",DCC_Leg1_Float),_xll.qGetFwdRate(AF$14,$O137,$O138,"T",DCC_Leg1_Float)))</f>
        <v>0</v>
      </c>
      <c r="AG137" s="703">
        <f>IF($O138=0,0,           IF(FRM,_xll.qGetFwdRate(AG$14,$O137,Y137,"T",DCC_Leg1_Float),_xll.qGetFwdRate(AG$14,$O137,$O138,"T",DCC_Leg1_Float)))</f>
        <v>0</v>
      </c>
      <c r="AH137" s="685">
        <v>0</v>
      </c>
      <c r="AI137" s="667"/>
      <c r="AJ137" s="670">
        <f>IF(O138=0,0,             IF(ISNUMBER(AI137),AI137,             IF(ISTEXT(AI137),INDEX(Z137:AG137,MATCH(AI137,$Z$17:$AG$17,0)),           IF(AH137="INT",_xll.qInterp(O138,R137:Y137,Z137:AG137),       INDEX(Z137:AG137,MATCH(AH137,$Z$17:$AG$17,0))))))</f>
        <v>0</v>
      </c>
      <c r="AK137" s="732">
        <v>100</v>
      </c>
      <c r="AL137" s="721">
        <f t="shared" si="18"/>
        <v>0</v>
      </c>
      <c r="AM137" s="284">
        <f>IF($O138,_xll.qDateYears($O137,$O138,DCC_Leg1_Fixed),0)</f>
        <v>0</v>
      </c>
      <c r="AN137" s="284">
        <f>IF($O138,_xll.qDateYears($O137,$O138,DCC_Leg1_Float),0)</f>
        <v>0</v>
      </c>
      <c r="AP137" s="350">
        <f t="shared" si="24"/>
        <v>0</v>
      </c>
      <c r="AQ137" s="375">
        <f>IF(GenType_1a="Fixed",GenRate_1a%*$AL136*AM136,          IF(GenType_1a="Float",$AL136*(_xll.qGetFwdRate($D$18,$O136,$O137,"T",DCC_Leg1_Float)%+GenRate_1a%%)*$AN136,        IF(GenType_1a="bp (Fixed)",GenRate_1a%%*$AM136*$AL136,   IF(GenType_1a="bp (Float)",GenRate_1a%%*$AL136*$AN136,0))))</f>
        <v>0</v>
      </c>
      <c r="AR137" s="561"/>
      <c r="AT137" s="341">
        <f t="shared" si="28"/>
        <v>0</v>
      </c>
      <c r="AV137" s="356"/>
      <c r="AW137" s="122">
        <v>0</v>
      </c>
      <c r="AX137" s="128">
        <f t="shared" si="19"/>
        <v>0</v>
      </c>
      <c r="AY137" s="357">
        <v>0</v>
      </c>
      <c r="AZ137" s="699">
        <f>IF($AW138=0,0,        _xll.qDateNext($AW137,AZ$17,"M",TRUE,Currency2))</f>
        <v>0</v>
      </c>
      <c r="BA137" s="699">
        <f>IF($AW138=0,0,        _xll.qDateNext($AW137,BA$17,"M",TRUE,Currency2))</f>
        <v>0</v>
      </c>
      <c r="BB137" s="699">
        <f>IF($AW138=0,0,        _xll.qDateNext($AW137,BB$17,"M",TRUE,Currency2))</f>
        <v>0</v>
      </c>
      <c r="BC137" s="699">
        <f>IF($AW138=0,0,        _xll.qDateNext($AW137,BC$17,"M",TRUE,Currency2))</f>
        <v>0</v>
      </c>
      <c r="BD137" s="699">
        <f>IF($AW138=0,0,        _xll.qDateNext($AW137,BD$17,"M",TRUE,Currency2))</f>
        <v>0</v>
      </c>
      <c r="BE137" s="699">
        <f>IF($AW138=0,0,        _xll.qDateNext($AW137,BE$17,"M",TRUE,Currency2))</f>
        <v>0</v>
      </c>
      <c r="BF137" s="699">
        <f>IF($AW138=0,0,        _xll.qDateNext($AW137,BF$17,"M",TRUE,Currency2))</f>
        <v>0</v>
      </c>
      <c r="BG137" s="699">
        <f>IF($AW138=0,0,        _xll.qDateNext($AW137,BG$17,"M",TRUE,Currency2))</f>
        <v>0</v>
      </c>
      <c r="BH137" s="703">
        <v>0</v>
      </c>
      <c r="BI137" s="703">
        <v>0</v>
      </c>
      <c r="BJ137" s="703">
        <v>0</v>
      </c>
      <c r="BK137" s="703">
        <v>0</v>
      </c>
      <c r="BL137" s="703">
        <f t="shared" si="25"/>
        <v>0</v>
      </c>
      <c r="BM137" s="703">
        <f t="shared" si="26"/>
        <v>0</v>
      </c>
      <c r="BN137" s="703">
        <v>0</v>
      </c>
      <c r="BO137" s="703">
        <v>0</v>
      </c>
      <c r="BP137" s="685">
        <v>0</v>
      </c>
      <c r="BQ137" s="667"/>
      <c r="BR137" s="670">
        <f>IF(AW138=0,0,             IF(ISNUMBER(BQ137),BQ137,             IF(ISTEXT(BQ137),INDEX(BH137:BO137,MATCH(BQ137,$BH$17:$BO$17,0)),           IF(BP137="INT",_xll.qInterp(AW138,AZ137:BG137,BH137:BO137),       INDEX(BH137:BO137,MATCH(BP137,$BH$17:$BO$17,0))))))</f>
        <v>0</v>
      </c>
      <c r="BS137" s="731">
        <f t="shared" si="20"/>
        <v>0</v>
      </c>
      <c r="BT137" s="406">
        <f t="shared" si="21"/>
        <v>0</v>
      </c>
      <c r="BU137" s="284">
        <f>IF($AW138,_xll.qDateYears($AW137,$AW138,DCC_Leg2_Fixed),0)</f>
        <v>0</v>
      </c>
      <c r="BV137" s="284">
        <f>IF($AW138,_xll.qDateYears($AW137,$AW138,DCC_Leg2_Float),0)</f>
        <v>0</v>
      </c>
      <c r="BX137" s="350">
        <f t="shared" si="27"/>
        <v>0</v>
      </c>
      <c r="BY137" s="375">
        <f>IF(GenType_2a="Fixed",GenRate_2a%*$BT136*BU136,          IF(GenType_2a="Float",$BT136*(_xll.qGetFwdRate($J$18,$AW136,$AW137,"T",DCC_Leg2_Float)%+GenRate_2a%%)*$BV136,        IF(GenType_2a="bp (Fixed)",GenRate_2a%%*$BU136*$BT136,   IF(GenType_2a="bp (Float)",GenRate_2a%%*$BT136*$BV136,0))))</f>
        <v>0</v>
      </c>
      <c r="BZ137" s="561"/>
      <c r="CB137" s="341">
        <f t="shared" si="29"/>
        <v>0</v>
      </c>
      <c r="CC137" s="563"/>
      <c r="CD137" s="356"/>
      <c r="CE137" s="341">
        <v>0</v>
      </c>
      <c r="CF137" s="563"/>
      <c r="CG137" s="356"/>
    </row>
    <row r="138" spans="15:85">
      <c r="O138" s="122">
        <v>0</v>
      </c>
      <c r="P138" s="128">
        <f t="shared" si="16"/>
        <v>0</v>
      </c>
      <c r="Q138" s="126">
        <v>0</v>
      </c>
      <c r="R138" s="699">
        <f>IF($O139=0,0,        _xll.qDateNext($O138,R$17,"M",TRUE,Currency1))</f>
        <v>0</v>
      </c>
      <c r="S138" s="699">
        <f>IF($O139=0,0,        _xll.qDateNext($O138,S$17,"M",TRUE,Currency1))</f>
        <v>0</v>
      </c>
      <c r="T138" s="699">
        <f>IF($O139=0,0,        _xll.qDateNext($O138,T$17,"M",TRUE,Currency1))</f>
        <v>0</v>
      </c>
      <c r="U138" s="699">
        <f>IF($O139=0,0,        _xll.qDateNext($O138,U$17,"M",TRUE,Currency1))</f>
        <v>0</v>
      </c>
      <c r="V138" s="699">
        <f>IF($O139=0,0,        _xll.qDateNext($O138,V$17,"M",TRUE,Currency1))</f>
        <v>0</v>
      </c>
      <c r="W138" s="699">
        <f>IF($O139=0,0,        _xll.qDateNext($O138,W$17,"M",TRUE,Currency1))</f>
        <v>0</v>
      </c>
      <c r="X138" s="699">
        <f>IF($O139=0,0,        _xll.qDateNext($O138,X$17,"M",TRUE,Currency1))</f>
        <v>0</v>
      </c>
      <c r="Y138" s="699">
        <f>IF($O139=0,0,        _xll.qDateNext($O138,Y$17,"M",TRUE,Currency1))</f>
        <v>0</v>
      </c>
      <c r="Z138" s="703">
        <f>IF($O139=0,0,           IF(FRM,_xll.qGetFwdRate(Z$14,$O138,R138,"T",DCC_Leg1_Float),_xll.qGetFwdRate(Z$14,$O138,$O139,"T",DCC_Leg1_Float)))</f>
        <v>0</v>
      </c>
      <c r="AA138" s="703">
        <f>IF($O139=0,0,           IF(FRM,_xll.qGetFwdRate(AA$14,$O138,S138,"T",DCC_Leg1_Float),_xll.qGetFwdRate(AA$14,$O138,$O139,"T",DCC_Leg1_Float)))</f>
        <v>0</v>
      </c>
      <c r="AB138" s="703">
        <f t="shared" si="17"/>
        <v>0</v>
      </c>
      <c r="AC138" s="703">
        <f>IF($O139=0,0,           IF(FRM,_xll.qGetFwdRate(AC$14,$O138,U138,"T",DCC_Leg1_Float),_xll.qGetFwdRate(AC$14,$O138,$O139,"T",DCC_Leg1_Float)))</f>
        <v>0</v>
      </c>
      <c r="AD138" s="703">
        <f t="shared" si="22"/>
        <v>0</v>
      </c>
      <c r="AE138" s="703">
        <f t="shared" si="23"/>
        <v>0</v>
      </c>
      <c r="AF138" s="703">
        <f>IF($O139=0,0,           IF(FRM,_xll.qGetFwdRate(AF$14,$O138,X138,"T",DCC_Leg1_Float),_xll.qGetFwdRate(AF$14,$O138,$O139,"T",DCC_Leg1_Float)))</f>
        <v>0</v>
      </c>
      <c r="AG138" s="703">
        <f>IF($O139=0,0,           IF(FRM,_xll.qGetFwdRate(AG$14,$O138,Y138,"T",DCC_Leg1_Float),_xll.qGetFwdRate(AG$14,$O138,$O139,"T",DCC_Leg1_Float)))</f>
        <v>0</v>
      </c>
      <c r="AH138" s="685">
        <v>0</v>
      </c>
      <c r="AI138" s="667"/>
      <c r="AJ138" s="670">
        <f>IF(O139=0,0,             IF(ISNUMBER(AI138),AI138,             IF(ISTEXT(AI138),INDEX(Z138:AG138,MATCH(AI138,$Z$17:$AG$17,0)),           IF(AH138="INT",_xll.qInterp(O139,R138:Y138,Z138:AG138),       INDEX(Z138:AG138,MATCH(AH138,$Z$17:$AG$17,0))))))</f>
        <v>0</v>
      </c>
      <c r="AK138" s="732">
        <v>100</v>
      </c>
      <c r="AL138" s="721">
        <f t="shared" si="18"/>
        <v>0</v>
      </c>
      <c r="AM138" s="284">
        <f>IF($O139,_xll.qDateYears($O138,$O139,DCC_Leg1_Fixed),0)</f>
        <v>0</v>
      </c>
      <c r="AN138" s="284">
        <f>IF($O139,_xll.qDateYears($O138,$O139,DCC_Leg1_Float),0)</f>
        <v>0</v>
      </c>
      <c r="AP138" s="350">
        <f t="shared" si="24"/>
        <v>0</v>
      </c>
      <c r="AQ138" s="375">
        <f>IF(GenType_1a="Fixed",GenRate_1a%*$AL137*AM137,          IF(GenType_1a="Float",$AL137*(_xll.qGetFwdRate($D$18,$O137,$O138,"T",DCC_Leg1_Float)%+GenRate_1a%%)*$AN137,        IF(GenType_1a="bp (Fixed)",GenRate_1a%%*$AM137*$AL137,   IF(GenType_1a="bp (Float)",GenRate_1a%%*$AL137*$AN137,0))))</f>
        <v>0</v>
      </c>
      <c r="AR138" s="561"/>
      <c r="AT138" s="341">
        <f t="shared" si="28"/>
        <v>0</v>
      </c>
      <c r="AV138" s="356"/>
      <c r="AW138" s="122">
        <v>0</v>
      </c>
      <c r="AX138" s="128">
        <f t="shared" si="19"/>
        <v>0</v>
      </c>
      <c r="AY138" s="357">
        <v>0</v>
      </c>
      <c r="AZ138" s="699">
        <f>IF($AW139=0,0,        _xll.qDateNext($AW138,AZ$17,"M",TRUE,Currency2))</f>
        <v>0</v>
      </c>
      <c r="BA138" s="699">
        <f>IF($AW139=0,0,        _xll.qDateNext($AW138,BA$17,"M",TRUE,Currency2))</f>
        <v>0</v>
      </c>
      <c r="BB138" s="699">
        <f>IF($AW139=0,0,        _xll.qDateNext($AW138,BB$17,"M",TRUE,Currency2))</f>
        <v>0</v>
      </c>
      <c r="BC138" s="699">
        <f>IF($AW139=0,0,        _xll.qDateNext($AW138,BC$17,"M",TRUE,Currency2))</f>
        <v>0</v>
      </c>
      <c r="BD138" s="699">
        <f>IF($AW139=0,0,        _xll.qDateNext($AW138,BD$17,"M",TRUE,Currency2))</f>
        <v>0</v>
      </c>
      <c r="BE138" s="699">
        <f>IF($AW139=0,0,        _xll.qDateNext($AW138,BE$17,"M",TRUE,Currency2))</f>
        <v>0</v>
      </c>
      <c r="BF138" s="699">
        <f>IF($AW139=0,0,        _xll.qDateNext($AW138,BF$17,"M",TRUE,Currency2))</f>
        <v>0</v>
      </c>
      <c r="BG138" s="699">
        <f>IF($AW139=0,0,        _xll.qDateNext($AW138,BG$17,"M",TRUE,Currency2))</f>
        <v>0</v>
      </c>
      <c r="BH138" s="703">
        <v>0</v>
      </c>
      <c r="BI138" s="703">
        <v>0</v>
      </c>
      <c r="BJ138" s="703">
        <v>0</v>
      </c>
      <c r="BK138" s="703">
        <v>0</v>
      </c>
      <c r="BL138" s="703">
        <f t="shared" si="25"/>
        <v>0</v>
      </c>
      <c r="BM138" s="703">
        <f t="shared" si="26"/>
        <v>0</v>
      </c>
      <c r="BN138" s="703">
        <v>0</v>
      </c>
      <c r="BO138" s="703">
        <v>0</v>
      </c>
      <c r="BP138" s="685">
        <v>0</v>
      </c>
      <c r="BQ138" s="667"/>
      <c r="BR138" s="670">
        <f>IF(AW139=0,0,             IF(ISNUMBER(BQ138),BQ138,             IF(ISTEXT(BQ138),INDEX(BH138:BO138,MATCH(BQ138,$BH$17:$BO$17,0)),           IF(BP138="INT",_xll.qInterp(AW139,AZ138:BG138,BH138:BO138),       INDEX(BH138:BO138,MATCH(BP138,$BH$17:$BO$17,0))))))</f>
        <v>0</v>
      </c>
      <c r="BS138" s="731">
        <f t="shared" si="20"/>
        <v>0</v>
      </c>
      <c r="BT138" s="406">
        <f t="shared" si="21"/>
        <v>0</v>
      </c>
      <c r="BU138" s="284">
        <f>IF($AW139,_xll.qDateYears($AW138,$AW139,DCC_Leg2_Fixed),0)</f>
        <v>0</v>
      </c>
      <c r="BV138" s="284">
        <f>IF($AW139,_xll.qDateYears($AW138,$AW139,DCC_Leg2_Float),0)</f>
        <v>0</v>
      </c>
      <c r="BX138" s="350">
        <f t="shared" si="27"/>
        <v>0</v>
      </c>
      <c r="BY138" s="375">
        <f>IF(GenType_2a="Fixed",GenRate_2a%*$BT137*BU137,          IF(GenType_2a="Float",$BT137*(_xll.qGetFwdRate($J$18,$AW137,$AW138,"T",DCC_Leg2_Float)%+GenRate_2a%%)*$BV137,        IF(GenType_2a="bp (Fixed)",GenRate_2a%%*$BU137*$BT137,   IF(GenType_2a="bp (Float)",GenRate_2a%%*$BT137*$BV137,0))))</f>
        <v>0</v>
      </c>
      <c r="BZ138" s="561"/>
      <c r="CB138" s="341">
        <f t="shared" si="29"/>
        <v>0</v>
      </c>
      <c r="CC138" s="563"/>
      <c r="CD138" s="356"/>
      <c r="CE138" s="341">
        <v>0</v>
      </c>
      <c r="CF138" s="563"/>
      <c r="CG138" s="356"/>
    </row>
    <row r="139" spans="15:85">
      <c r="O139" s="122">
        <v>0</v>
      </c>
      <c r="P139" s="128">
        <f t="shared" si="16"/>
        <v>0</v>
      </c>
      <c r="Q139" s="126">
        <v>0</v>
      </c>
      <c r="R139" s="699">
        <f>IF($O140=0,0,        _xll.qDateNext($O139,R$17,"M",TRUE,Currency1))</f>
        <v>0</v>
      </c>
      <c r="S139" s="699">
        <f>IF($O140=0,0,        _xll.qDateNext($O139,S$17,"M",TRUE,Currency1))</f>
        <v>0</v>
      </c>
      <c r="T139" s="699">
        <f>IF($O140=0,0,        _xll.qDateNext($O139,T$17,"M",TRUE,Currency1))</f>
        <v>0</v>
      </c>
      <c r="U139" s="699">
        <f>IF($O140=0,0,        _xll.qDateNext($O139,U$17,"M",TRUE,Currency1))</f>
        <v>0</v>
      </c>
      <c r="V139" s="699">
        <f>IF($O140=0,0,        _xll.qDateNext($O139,V$17,"M",TRUE,Currency1))</f>
        <v>0</v>
      </c>
      <c r="W139" s="699">
        <f>IF($O140=0,0,        _xll.qDateNext($O139,W$17,"M",TRUE,Currency1))</f>
        <v>0</v>
      </c>
      <c r="X139" s="699">
        <f>IF($O140=0,0,        _xll.qDateNext($O139,X$17,"M",TRUE,Currency1))</f>
        <v>0</v>
      </c>
      <c r="Y139" s="699">
        <f>IF($O140=0,0,        _xll.qDateNext($O139,Y$17,"M",TRUE,Currency1))</f>
        <v>0</v>
      </c>
      <c r="Z139" s="703">
        <f>IF($O140=0,0,           IF(FRM,_xll.qGetFwdRate(Z$14,$O139,R139,"T",DCC_Leg1_Float),_xll.qGetFwdRate(Z$14,$O139,$O140,"T",DCC_Leg1_Float)))</f>
        <v>0</v>
      </c>
      <c r="AA139" s="703">
        <f>IF($O140=0,0,           IF(FRM,_xll.qGetFwdRate(AA$14,$O139,S139,"T",DCC_Leg1_Float),_xll.qGetFwdRate(AA$14,$O139,$O140,"T",DCC_Leg1_Float)))</f>
        <v>0</v>
      </c>
      <c r="AB139" s="703">
        <f t="shared" si="17"/>
        <v>0</v>
      </c>
      <c r="AC139" s="703">
        <f>IF($O140=0,0,           IF(FRM,_xll.qGetFwdRate(AC$14,$O139,U139,"T",DCC_Leg1_Float),_xll.qGetFwdRate(AC$14,$O139,$O140,"T",DCC_Leg1_Float)))</f>
        <v>0</v>
      </c>
      <c r="AD139" s="703">
        <f t="shared" si="22"/>
        <v>0</v>
      </c>
      <c r="AE139" s="703">
        <f t="shared" si="23"/>
        <v>0</v>
      </c>
      <c r="AF139" s="703">
        <f>IF($O140=0,0,           IF(FRM,_xll.qGetFwdRate(AF$14,$O139,X139,"T",DCC_Leg1_Float),_xll.qGetFwdRate(AF$14,$O139,$O140,"T",DCC_Leg1_Float)))</f>
        <v>0</v>
      </c>
      <c r="AG139" s="703">
        <f>IF($O140=0,0,           IF(FRM,_xll.qGetFwdRate(AG$14,$O139,Y139,"T",DCC_Leg1_Float),_xll.qGetFwdRate(AG$14,$O139,$O140,"T",DCC_Leg1_Float)))</f>
        <v>0</v>
      </c>
      <c r="AH139" s="685">
        <v>0</v>
      </c>
      <c r="AI139" s="667"/>
      <c r="AJ139" s="670">
        <f>IF(O140=0,0,             IF(ISNUMBER(AI139),AI139,             IF(ISTEXT(AI139),INDEX(Z139:AG139,MATCH(AI139,$Z$17:$AG$17,0)),           IF(AH139="INT",_xll.qInterp(O140,R139:Y139,Z139:AG139),       INDEX(Z139:AG139,MATCH(AH139,$Z$17:$AG$17,0))))))</f>
        <v>0</v>
      </c>
      <c r="AK139" s="732">
        <v>100</v>
      </c>
      <c r="AL139" s="721">
        <f t="shared" si="18"/>
        <v>0</v>
      </c>
      <c r="AM139" s="284">
        <f>IF($O140,_xll.qDateYears($O139,$O140,DCC_Leg1_Fixed),0)</f>
        <v>0</v>
      </c>
      <c r="AN139" s="284">
        <f>IF($O140,_xll.qDateYears($O139,$O140,DCC_Leg1_Float),0)</f>
        <v>0</v>
      </c>
      <c r="AP139" s="350">
        <f t="shared" si="24"/>
        <v>0</v>
      </c>
      <c r="AQ139" s="375">
        <f>IF(GenType_1a="Fixed",GenRate_1a%*$AL138*AM138,          IF(GenType_1a="Float",$AL138*(_xll.qGetFwdRate($D$18,$O138,$O139,"T",DCC_Leg1_Float)%+GenRate_1a%%)*$AN138,        IF(GenType_1a="bp (Fixed)",GenRate_1a%%*$AM138*$AL138,   IF(GenType_1a="bp (Float)",GenRate_1a%%*$AL138*$AN138,0))))</f>
        <v>0</v>
      </c>
      <c r="AR139" s="561"/>
      <c r="AT139" s="341">
        <f t="shared" si="28"/>
        <v>0</v>
      </c>
      <c r="AV139" s="356"/>
      <c r="AW139" s="122">
        <v>0</v>
      </c>
      <c r="AX139" s="128">
        <f t="shared" si="19"/>
        <v>0</v>
      </c>
      <c r="AY139" s="357">
        <v>0</v>
      </c>
      <c r="AZ139" s="699">
        <f>IF($AW140=0,0,        _xll.qDateNext($AW139,AZ$17,"M",TRUE,Currency2))</f>
        <v>0</v>
      </c>
      <c r="BA139" s="699">
        <f>IF($AW140=0,0,        _xll.qDateNext($AW139,BA$17,"M",TRUE,Currency2))</f>
        <v>0</v>
      </c>
      <c r="BB139" s="699">
        <f>IF($AW140=0,0,        _xll.qDateNext($AW139,BB$17,"M",TRUE,Currency2))</f>
        <v>0</v>
      </c>
      <c r="BC139" s="699">
        <f>IF($AW140=0,0,        _xll.qDateNext($AW139,BC$17,"M",TRUE,Currency2))</f>
        <v>0</v>
      </c>
      <c r="BD139" s="699">
        <f>IF($AW140=0,0,        _xll.qDateNext($AW139,BD$17,"M",TRUE,Currency2))</f>
        <v>0</v>
      </c>
      <c r="BE139" s="699">
        <f>IF($AW140=0,0,        _xll.qDateNext($AW139,BE$17,"M",TRUE,Currency2))</f>
        <v>0</v>
      </c>
      <c r="BF139" s="699">
        <f>IF($AW140=0,0,        _xll.qDateNext($AW139,BF$17,"M",TRUE,Currency2))</f>
        <v>0</v>
      </c>
      <c r="BG139" s="699">
        <f>IF($AW140=0,0,        _xll.qDateNext($AW139,BG$17,"M",TRUE,Currency2))</f>
        <v>0</v>
      </c>
      <c r="BH139" s="703">
        <v>0</v>
      </c>
      <c r="BI139" s="703">
        <v>0</v>
      </c>
      <c r="BJ139" s="703">
        <v>0</v>
      </c>
      <c r="BK139" s="703">
        <v>0</v>
      </c>
      <c r="BL139" s="703">
        <f t="shared" si="25"/>
        <v>0</v>
      </c>
      <c r="BM139" s="703">
        <f t="shared" si="26"/>
        <v>0</v>
      </c>
      <c r="BN139" s="703">
        <v>0</v>
      </c>
      <c r="BO139" s="703">
        <v>0</v>
      </c>
      <c r="BP139" s="685">
        <v>0</v>
      </c>
      <c r="BQ139" s="667"/>
      <c r="BR139" s="670">
        <f>IF(AW140=0,0,             IF(ISNUMBER(BQ139),BQ139,             IF(ISTEXT(BQ139),INDEX(BH139:BO139,MATCH(BQ139,$BH$17:$BO$17,0)),           IF(BP139="INT",_xll.qInterp(AW140,AZ139:BG139,BH139:BO139),       INDEX(BH139:BO139,MATCH(BP139,$BH$17:$BO$17,0))))))</f>
        <v>0</v>
      </c>
      <c r="BS139" s="731">
        <f t="shared" si="20"/>
        <v>0</v>
      </c>
      <c r="BT139" s="406">
        <f t="shared" si="21"/>
        <v>0</v>
      </c>
      <c r="BU139" s="284">
        <f>IF($AW140,_xll.qDateYears($AW139,$AW140,DCC_Leg2_Fixed),0)</f>
        <v>0</v>
      </c>
      <c r="BV139" s="284">
        <f>IF($AW140,_xll.qDateYears($AW139,$AW140,DCC_Leg2_Float),0)</f>
        <v>0</v>
      </c>
      <c r="BX139" s="350">
        <f t="shared" si="27"/>
        <v>0</v>
      </c>
      <c r="BY139" s="375">
        <f>IF(GenType_2a="Fixed",GenRate_2a%*$BT138*BU138,          IF(GenType_2a="Float",$BT138*(_xll.qGetFwdRate($J$18,$AW138,$AW139,"T",DCC_Leg2_Float)%+GenRate_2a%%)*$BV138,        IF(GenType_2a="bp (Fixed)",GenRate_2a%%*$BU138*$BT138,   IF(GenType_2a="bp (Float)",GenRate_2a%%*$BT138*$BV138,0))))</f>
        <v>0</v>
      </c>
      <c r="BZ139" s="561"/>
      <c r="CB139" s="341">
        <f t="shared" si="29"/>
        <v>0</v>
      </c>
      <c r="CC139" s="563"/>
      <c r="CD139" s="356"/>
      <c r="CE139" s="341">
        <v>0</v>
      </c>
      <c r="CF139" s="563"/>
      <c r="CG139" s="356"/>
    </row>
    <row r="140" spans="15:85">
      <c r="O140" s="122">
        <v>0</v>
      </c>
      <c r="P140" s="128">
        <f t="shared" si="16"/>
        <v>0</v>
      </c>
      <c r="Q140" s="126">
        <v>0</v>
      </c>
      <c r="R140" s="699">
        <f>IF($O141=0,0,        _xll.qDateNext($O140,R$17,"M",TRUE,Currency1))</f>
        <v>0</v>
      </c>
      <c r="S140" s="699">
        <f>IF($O141=0,0,        _xll.qDateNext($O140,S$17,"M",TRUE,Currency1))</f>
        <v>0</v>
      </c>
      <c r="T140" s="699">
        <f>IF($O141=0,0,        _xll.qDateNext($O140,T$17,"M",TRUE,Currency1))</f>
        <v>0</v>
      </c>
      <c r="U140" s="699">
        <f>IF($O141=0,0,        _xll.qDateNext($O140,U$17,"M",TRUE,Currency1))</f>
        <v>0</v>
      </c>
      <c r="V140" s="699">
        <f>IF($O141=0,0,        _xll.qDateNext($O140,V$17,"M",TRUE,Currency1))</f>
        <v>0</v>
      </c>
      <c r="W140" s="699">
        <f>IF($O141=0,0,        _xll.qDateNext($O140,W$17,"M",TRUE,Currency1))</f>
        <v>0</v>
      </c>
      <c r="X140" s="699">
        <f>IF($O141=0,0,        _xll.qDateNext($O140,X$17,"M",TRUE,Currency1))</f>
        <v>0</v>
      </c>
      <c r="Y140" s="699">
        <f>IF($O141=0,0,        _xll.qDateNext($O140,Y$17,"M",TRUE,Currency1))</f>
        <v>0</v>
      </c>
      <c r="Z140" s="703">
        <f>IF($O141=0,0,           IF(FRM,_xll.qGetFwdRate(Z$14,$O140,R140,"T",DCC_Leg1_Float),_xll.qGetFwdRate(Z$14,$O140,$O141,"T",DCC_Leg1_Float)))</f>
        <v>0</v>
      </c>
      <c r="AA140" s="703">
        <f>IF($O141=0,0,           IF(FRM,_xll.qGetFwdRate(AA$14,$O140,S140,"T",DCC_Leg1_Float),_xll.qGetFwdRate(AA$14,$O140,$O141,"T",DCC_Leg1_Float)))</f>
        <v>0</v>
      </c>
      <c r="AB140" s="703">
        <f t="shared" si="17"/>
        <v>0</v>
      </c>
      <c r="AC140" s="703">
        <f>IF($O141=0,0,           IF(FRM,_xll.qGetFwdRate(AC$14,$O140,U140,"T",DCC_Leg1_Float),_xll.qGetFwdRate(AC$14,$O140,$O141,"T",DCC_Leg1_Float)))</f>
        <v>0</v>
      </c>
      <c r="AD140" s="703">
        <f t="shared" si="22"/>
        <v>0</v>
      </c>
      <c r="AE140" s="703">
        <f t="shared" si="23"/>
        <v>0</v>
      </c>
      <c r="AF140" s="703">
        <f>IF($O141=0,0,           IF(FRM,_xll.qGetFwdRate(AF$14,$O140,X140,"T",DCC_Leg1_Float),_xll.qGetFwdRate(AF$14,$O140,$O141,"T",DCC_Leg1_Float)))</f>
        <v>0</v>
      </c>
      <c r="AG140" s="703">
        <f>IF($O141=0,0,           IF(FRM,_xll.qGetFwdRate(AG$14,$O140,Y140,"T",DCC_Leg1_Float),_xll.qGetFwdRate(AG$14,$O140,$O141,"T",DCC_Leg1_Float)))</f>
        <v>0</v>
      </c>
      <c r="AH140" s="685">
        <v>0</v>
      </c>
      <c r="AI140" s="667"/>
      <c r="AJ140" s="670">
        <f>IF(O141=0,0,             IF(ISNUMBER(AI140),AI140,             IF(ISTEXT(AI140),INDEX(Z140:AG140,MATCH(AI140,$Z$17:$AG$17,0)),           IF(AH140="INT",_xll.qInterp(O141,R140:Y140,Z140:AG140),       INDEX(Z140:AG140,MATCH(AH140,$Z$17:$AG$17,0))))))</f>
        <v>0</v>
      </c>
      <c r="AK140" s="732">
        <v>100</v>
      </c>
      <c r="AL140" s="721">
        <f t="shared" si="18"/>
        <v>0</v>
      </c>
      <c r="AM140" s="284">
        <f>IF($O141,_xll.qDateYears($O140,$O141,DCC_Leg1_Fixed),0)</f>
        <v>0</v>
      </c>
      <c r="AN140" s="284">
        <f>IF($O141,_xll.qDateYears($O140,$O141,DCC_Leg1_Float),0)</f>
        <v>0</v>
      </c>
      <c r="AP140" s="350">
        <f t="shared" si="24"/>
        <v>0</v>
      </c>
      <c r="AQ140" s="375">
        <f>IF(GenType_1a="Fixed",GenRate_1a%*$AL139*AM139,          IF(GenType_1a="Float",$AL139*(_xll.qGetFwdRate($D$18,$O139,$O140,"T",DCC_Leg1_Float)%+GenRate_1a%%)*$AN139,        IF(GenType_1a="bp (Fixed)",GenRate_1a%%*$AM139*$AL139,   IF(GenType_1a="bp (Float)",GenRate_1a%%*$AL139*$AN139,0))))</f>
        <v>0</v>
      </c>
      <c r="AR140" s="561"/>
      <c r="AT140" s="341">
        <f t="shared" si="28"/>
        <v>0</v>
      </c>
      <c r="AV140" s="356"/>
      <c r="AW140" s="122">
        <v>0</v>
      </c>
      <c r="AX140" s="128">
        <f t="shared" si="19"/>
        <v>0</v>
      </c>
      <c r="AY140" s="357">
        <v>0</v>
      </c>
      <c r="AZ140" s="699">
        <f>IF($AW141=0,0,        _xll.qDateNext($AW140,AZ$17,"M",TRUE,Currency2))</f>
        <v>0</v>
      </c>
      <c r="BA140" s="699">
        <f>IF($AW141=0,0,        _xll.qDateNext($AW140,BA$17,"M",TRUE,Currency2))</f>
        <v>0</v>
      </c>
      <c r="BB140" s="699">
        <f>IF($AW141=0,0,        _xll.qDateNext($AW140,BB$17,"M",TRUE,Currency2))</f>
        <v>0</v>
      </c>
      <c r="BC140" s="699">
        <f>IF($AW141=0,0,        _xll.qDateNext($AW140,BC$17,"M",TRUE,Currency2))</f>
        <v>0</v>
      </c>
      <c r="BD140" s="699">
        <f>IF($AW141=0,0,        _xll.qDateNext($AW140,BD$17,"M",TRUE,Currency2))</f>
        <v>0</v>
      </c>
      <c r="BE140" s="699">
        <f>IF($AW141=0,0,        _xll.qDateNext($AW140,BE$17,"M",TRUE,Currency2))</f>
        <v>0</v>
      </c>
      <c r="BF140" s="699">
        <f>IF($AW141=0,0,        _xll.qDateNext($AW140,BF$17,"M",TRUE,Currency2))</f>
        <v>0</v>
      </c>
      <c r="BG140" s="699">
        <f>IF($AW141=0,0,        _xll.qDateNext($AW140,BG$17,"M",TRUE,Currency2))</f>
        <v>0</v>
      </c>
      <c r="BH140" s="703">
        <v>0</v>
      </c>
      <c r="BI140" s="703">
        <v>0</v>
      </c>
      <c r="BJ140" s="703">
        <v>0</v>
      </c>
      <c r="BK140" s="703">
        <v>0</v>
      </c>
      <c r="BL140" s="703">
        <f t="shared" si="25"/>
        <v>0</v>
      </c>
      <c r="BM140" s="703">
        <f t="shared" si="26"/>
        <v>0</v>
      </c>
      <c r="BN140" s="703">
        <v>0</v>
      </c>
      <c r="BO140" s="703">
        <v>0</v>
      </c>
      <c r="BP140" s="685">
        <v>0</v>
      </c>
      <c r="BQ140" s="667"/>
      <c r="BR140" s="670">
        <f>IF(AW141=0,0,             IF(ISNUMBER(BQ140),BQ140,             IF(ISTEXT(BQ140),INDEX(BH140:BO140,MATCH(BQ140,$BH$17:$BO$17,0)),           IF(BP140="INT",_xll.qInterp(AW141,AZ140:BG140,BH140:BO140),       INDEX(BH140:BO140,MATCH(BP140,$BH$17:$BO$17,0))))))</f>
        <v>0</v>
      </c>
      <c r="BS140" s="731">
        <f t="shared" si="20"/>
        <v>0</v>
      </c>
      <c r="BT140" s="406">
        <f t="shared" si="21"/>
        <v>0</v>
      </c>
      <c r="BU140" s="284">
        <f>IF($AW141,_xll.qDateYears($AW140,$AW141,DCC_Leg2_Fixed),0)</f>
        <v>0</v>
      </c>
      <c r="BV140" s="284">
        <f>IF($AW141,_xll.qDateYears($AW140,$AW141,DCC_Leg2_Float),0)</f>
        <v>0</v>
      </c>
      <c r="BX140" s="350">
        <f t="shared" si="27"/>
        <v>0</v>
      </c>
      <c r="BY140" s="375">
        <f>IF(GenType_2a="Fixed",GenRate_2a%*$BT139*BU139,          IF(GenType_2a="Float",$BT139*(_xll.qGetFwdRate($J$18,$AW139,$AW140,"T",DCC_Leg2_Float)%+GenRate_2a%%)*$BV139,        IF(GenType_2a="bp (Fixed)",GenRate_2a%%*$BU139*$BT139,   IF(GenType_2a="bp (Float)",GenRate_2a%%*$BT139*$BV139,0))))</f>
        <v>0</v>
      </c>
      <c r="BZ140" s="561"/>
      <c r="CB140" s="341">
        <f t="shared" si="29"/>
        <v>0</v>
      </c>
      <c r="CC140" s="563"/>
      <c r="CD140" s="356"/>
      <c r="CE140" s="341">
        <v>0</v>
      </c>
      <c r="CF140" s="563"/>
      <c r="CG140" s="356"/>
    </row>
    <row r="141" spans="15:85">
      <c r="O141" s="122">
        <v>0</v>
      </c>
      <c r="P141" s="128">
        <f t="shared" si="16"/>
        <v>0</v>
      </c>
      <c r="Q141" s="126">
        <v>0</v>
      </c>
      <c r="R141" s="699">
        <f>IF($O142=0,0,        _xll.qDateNext($O141,R$17,"M",TRUE,Currency1))</f>
        <v>0</v>
      </c>
      <c r="S141" s="699">
        <f>IF($O142=0,0,        _xll.qDateNext($O141,S$17,"M",TRUE,Currency1))</f>
        <v>0</v>
      </c>
      <c r="T141" s="699">
        <f>IF($O142=0,0,        _xll.qDateNext($O141,T$17,"M",TRUE,Currency1))</f>
        <v>0</v>
      </c>
      <c r="U141" s="699">
        <f>IF($O142=0,0,        _xll.qDateNext($O141,U$17,"M",TRUE,Currency1))</f>
        <v>0</v>
      </c>
      <c r="V141" s="699">
        <f>IF($O142=0,0,        _xll.qDateNext($O141,V$17,"M",TRUE,Currency1))</f>
        <v>0</v>
      </c>
      <c r="W141" s="699">
        <f>IF($O142=0,0,        _xll.qDateNext($O141,W$17,"M",TRUE,Currency1))</f>
        <v>0</v>
      </c>
      <c r="X141" s="699">
        <f>IF($O142=0,0,        _xll.qDateNext($O141,X$17,"M",TRUE,Currency1))</f>
        <v>0</v>
      </c>
      <c r="Y141" s="699">
        <f>IF($O142=0,0,        _xll.qDateNext($O141,Y$17,"M",TRUE,Currency1))</f>
        <v>0</v>
      </c>
      <c r="Z141" s="703">
        <f>IF($O142=0,0,           IF(FRM,_xll.qGetFwdRate(Z$14,$O141,R141,"T",DCC_Leg1_Float),_xll.qGetFwdRate(Z$14,$O141,$O142,"T",DCC_Leg1_Float)))</f>
        <v>0</v>
      </c>
      <c r="AA141" s="703">
        <f>IF($O142=0,0,           IF(FRM,_xll.qGetFwdRate(AA$14,$O141,S141,"T",DCC_Leg1_Float),_xll.qGetFwdRate(AA$14,$O141,$O142,"T",DCC_Leg1_Float)))</f>
        <v>0</v>
      </c>
      <c r="AB141" s="703">
        <f t="shared" si="17"/>
        <v>0</v>
      </c>
      <c r="AC141" s="703">
        <f>IF($O142=0,0,           IF(FRM,_xll.qGetFwdRate(AC$14,$O141,U141,"T",DCC_Leg1_Float),_xll.qGetFwdRate(AC$14,$O141,$O142,"T",DCC_Leg1_Float)))</f>
        <v>0</v>
      </c>
      <c r="AD141" s="703">
        <f t="shared" si="22"/>
        <v>0</v>
      </c>
      <c r="AE141" s="703">
        <f t="shared" si="23"/>
        <v>0</v>
      </c>
      <c r="AF141" s="703">
        <f>IF($O142=0,0,           IF(FRM,_xll.qGetFwdRate(AF$14,$O141,X141,"T",DCC_Leg1_Float),_xll.qGetFwdRate(AF$14,$O141,$O142,"T",DCC_Leg1_Float)))</f>
        <v>0</v>
      </c>
      <c r="AG141" s="703">
        <f>IF($O142=0,0,           IF(FRM,_xll.qGetFwdRate(AG$14,$O141,Y141,"T",DCC_Leg1_Float),_xll.qGetFwdRate(AG$14,$O141,$O142,"T",DCC_Leg1_Float)))</f>
        <v>0</v>
      </c>
      <c r="AH141" s="685">
        <v>0</v>
      </c>
      <c r="AI141" s="667"/>
      <c r="AJ141" s="670">
        <f>IF(O142=0,0,             IF(ISNUMBER(AI141),AI141,             IF(ISTEXT(AI141),INDEX(Z141:AG141,MATCH(AI141,$Z$17:$AG$17,0)),           IF(AH141="INT",_xll.qInterp(O142,R141:Y141,Z141:AG141),       INDEX(Z141:AG141,MATCH(AH141,$Z$17:$AG$17,0))))))</f>
        <v>0</v>
      </c>
      <c r="AK141" s="732">
        <v>100</v>
      </c>
      <c r="AL141" s="721">
        <f t="shared" si="18"/>
        <v>0</v>
      </c>
      <c r="AM141" s="284">
        <f>IF($O142,_xll.qDateYears($O141,$O142,DCC_Leg1_Fixed),0)</f>
        <v>0</v>
      </c>
      <c r="AN141" s="284">
        <f>IF($O142,_xll.qDateYears($O141,$O142,DCC_Leg1_Float),0)</f>
        <v>0</v>
      </c>
      <c r="AP141" s="350">
        <f t="shared" si="24"/>
        <v>0</v>
      </c>
      <c r="AQ141" s="375">
        <f>IF(GenType_1a="Fixed",GenRate_1a%*$AL140*AM140,          IF(GenType_1a="Float",$AL140*(_xll.qGetFwdRate($D$18,$O140,$O141,"T",DCC_Leg1_Float)%+GenRate_1a%%)*$AN140,        IF(GenType_1a="bp (Fixed)",GenRate_1a%%*$AM140*$AL140,   IF(GenType_1a="bp (Float)",GenRate_1a%%*$AL140*$AN140,0))))</f>
        <v>0</v>
      </c>
      <c r="AR141" s="561"/>
      <c r="AT141" s="341">
        <f t="shared" si="28"/>
        <v>0</v>
      </c>
      <c r="AV141" s="356"/>
      <c r="AW141" s="122">
        <v>0</v>
      </c>
      <c r="AX141" s="128">
        <f t="shared" si="19"/>
        <v>0</v>
      </c>
      <c r="AY141" s="357">
        <v>0</v>
      </c>
      <c r="AZ141" s="699">
        <f>IF($AW142=0,0,        _xll.qDateNext($AW141,AZ$17,"M",TRUE,Currency2))</f>
        <v>0</v>
      </c>
      <c r="BA141" s="699">
        <f>IF($AW142=0,0,        _xll.qDateNext($AW141,BA$17,"M",TRUE,Currency2))</f>
        <v>0</v>
      </c>
      <c r="BB141" s="699">
        <f>IF($AW142=0,0,        _xll.qDateNext($AW141,BB$17,"M",TRUE,Currency2))</f>
        <v>0</v>
      </c>
      <c r="BC141" s="699">
        <f>IF($AW142=0,0,        _xll.qDateNext($AW141,BC$17,"M",TRUE,Currency2))</f>
        <v>0</v>
      </c>
      <c r="BD141" s="699">
        <f>IF($AW142=0,0,        _xll.qDateNext($AW141,BD$17,"M",TRUE,Currency2))</f>
        <v>0</v>
      </c>
      <c r="BE141" s="699">
        <f>IF($AW142=0,0,        _xll.qDateNext($AW141,BE$17,"M",TRUE,Currency2))</f>
        <v>0</v>
      </c>
      <c r="BF141" s="699">
        <f>IF($AW142=0,0,        _xll.qDateNext($AW141,BF$17,"M",TRUE,Currency2))</f>
        <v>0</v>
      </c>
      <c r="BG141" s="699">
        <f>IF($AW142=0,0,        _xll.qDateNext($AW141,BG$17,"M",TRUE,Currency2))</f>
        <v>0</v>
      </c>
      <c r="BH141" s="703">
        <v>0</v>
      </c>
      <c r="BI141" s="703">
        <v>0</v>
      </c>
      <c r="BJ141" s="703">
        <v>0</v>
      </c>
      <c r="BK141" s="703">
        <v>0</v>
      </c>
      <c r="BL141" s="703">
        <f t="shared" si="25"/>
        <v>0</v>
      </c>
      <c r="BM141" s="703">
        <f t="shared" si="26"/>
        <v>0</v>
      </c>
      <c r="BN141" s="703">
        <v>0</v>
      </c>
      <c r="BO141" s="703">
        <v>0</v>
      </c>
      <c r="BP141" s="685">
        <v>0</v>
      </c>
      <c r="BQ141" s="667"/>
      <c r="BR141" s="670">
        <f>IF(AW142=0,0,             IF(ISNUMBER(BQ141),BQ141,             IF(ISTEXT(BQ141),INDEX(BH141:BO141,MATCH(BQ141,$BH$17:$BO$17,0)),           IF(BP141="INT",_xll.qInterp(AW142,AZ141:BG141,BH141:BO141),       INDEX(BH141:BO141,MATCH(BP141,$BH$17:$BO$17,0))))))</f>
        <v>0</v>
      </c>
      <c r="BS141" s="731">
        <f t="shared" si="20"/>
        <v>0</v>
      </c>
      <c r="BT141" s="406">
        <f t="shared" si="21"/>
        <v>0</v>
      </c>
      <c r="BU141" s="284">
        <f>IF($AW142,_xll.qDateYears($AW141,$AW142,DCC_Leg2_Fixed),0)</f>
        <v>0</v>
      </c>
      <c r="BV141" s="284">
        <f>IF($AW142,_xll.qDateYears($AW141,$AW142,DCC_Leg2_Float),0)</f>
        <v>0</v>
      </c>
      <c r="BX141" s="350">
        <f t="shared" si="27"/>
        <v>0</v>
      </c>
      <c r="BY141" s="375">
        <f>IF(GenType_2a="Fixed",GenRate_2a%*$BT140*BU140,          IF(GenType_2a="Float",$BT140*(_xll.qGetFwdRate($J$18,$AW140,$AW141,"T",DCC_Leg2_Float)%+GenRate_2a%%)*$BV140,        IF(GenType_2a="bp (Fixed)",GenRate_2a%%*$BU140*$BT140,   IF(GenType_2a="bp (Float)",GenRate_2a%%*$BT140*$BV140,0))))</f>
        <v>0</v>
      </c>
      <c r="BZ141" s="561"/>
      <c r="CB141" s="341">
        <f t="shared" si="29"/>
        <v>0</v>
      </c>
      <c r="CC141" s="563"/>
      <c r="CD141" s="356"/>
      <c r="CE141" s="341">
        <v>0</v>
      </c>
      <c r="CF141" s="563"/>
      <c r="CG141" s="356"/>
    </row>
    <row r="142" spans="15:85">
      <c r="O142" s="122">
        <v>0</v>
      </c>
      <c r="P142" s="128">
        <f t="shared" si="16"/>
        <v>0</v>
      </c>
      <c r="Q142" s="126">
        <v>0</v>
      </c>
      <c r="R142" s="699">
        <f>IF($O143=0,0,        _xll.qDateNext($O142,R$17,"M",TRUE,Currency1))</f>
        <v>0</v>
      </c>
      <c r="S142" s="699">
        <f>IF($O143=0,0,        _xll.qDateNext($O142,S$17,"M",TRUE,Currency1))</f>
        <v>0</v>
      </c>
      <c r="T142" s="699">
        <f>IF($O143=0,0,        _xll.qDateNext($O142,T$17,"M",TRUE,Currency1))</f>
        <v>0</v>
      </c>
      <c r="U142" s="699">
        <f>IF($O143=0,0,        _xll.qDateNext($O142,U$17,"M",TRUE,Currency1))</f>
        <v>0</v>
      </c>
      <c r="V142" s="699">
        <f>IF($O143=0,0,        _xll.qDateNext($O142,V$17,"M",TRUE,Currency1))</f>
        <v>0</v>
      </c>
      <c r="W142" s="699">
        <f>IF($O143=0,0,        _xll.qDateNext($O142,W$17,"M",TRUE,Currency1))</f>
        <v>0</v>
      </c>
      <c r="X142" s="699">
        <f>IF($O143=0,0,        _xll.qDateNext($O142,X$17,"M",TRUE,Currency1))</f>
        <v>0</v>
      </c>
      <c r="Y142" s="699">
        <f>IF($O143=0,0,        _xll.qDateNext($O142,Y$17,"M",TRUE,Currency1))</f>
        <v>0</v>
      </c>
      <c r="Z142" s="703">
        <f>IF($O143=0,0,           IF(FRM,_xll.qGetFwdRate(Z$14,$O142,R142,"T",DCC_Leg1_Float),_xll.qGetFwdRate(Z$14,$O142,$O143,"T",DCC_Leg1_Float)))</f>
        <v>0</v>
      </c>
      <c r="AA142" s="703">
        <f>IF($O143=0,0,           IF(FRM,_xll.qGetFwdRate(AA$14,$O142,S142,"T",DCC_Leg1_Float),_xll.qGetFwdRate(AA$14,$O142,$O143,"T",DCC_Leg1_Float)))</f>
        <v>0</v>
      </c>
      <c r="AB142" s="703">
        <f t="shared" si="17"/>
        <v>0</v>
      </c>
      <c r="AC142" s="703">
        <f>IF($O143=0,0,           IF(FRM,_xll.qGetFwdRate(AC$14,$O142,U142,"T",DCC_Leg1_Float),_xll.qGetFwdRate(AC$14,$O142,$O143,"T",DCC_Leg1_Float)))</f>
        <v>0</v>
      </c>
      <c r="AD142" s="703">
        <f t="shared" si="22"/>
        <v>0</v>
      </c>
      <c r="AE142" s="703">
        <f t="shared" si="23"/>
        <v>0</v>
      </c>
      <c r="AF142" s="703">
        <f>IF($O143=0,0,           IF(FRM,_xll.qGetFwdRate(AF$14,$O142,X142,"T",DCC_Leg1_Float),_xll.qGetFwdRate(AF$14,$O142,$O143,"T",DCC_Leg1_Float)))</f>
        <v>0</v>
      </c>
      <c r="AG142" s="703">
        <f>IF($O143=0,0,           IF(FRM,_xll.qGetFwdRate(AG$14,$O142,Y142,"T",DCC_Leg1_Float),_xll.qGetFwdRate(AG$14,$O142,$O143,"T",DCC_Leg1_Float)))</f>
        <v>0</v>
      </c>
      <c r="AH142" s="685">
        <v>0</v>
      </c>
      <c r="AI142" s="667"/>
      <c r="AJ142" s="670">
        <f>IF(O143=0,0,             IF(ISNUMBER(AI142),AI142,             IF(ISTEXT(AI142),INDEX(Z142:AG142,MATCH(AI142,$Z$17:$AG$17,0)),           IF(AH142="INT",_xll.qInterp(O143,R142:Y142,Z142:AG142),       INDEX(Z142:AG142,MATCH(AH142,$Z$17:$AG$17,0))))))</f>
        <v>0</v>
      </c>
      <c r="AK142" s="732">
        <v>100</v>
      </c>
      <c r="AL142" s="721">
        <f t="shared" si="18"/>
        <v>0</v>
      </c>
      <c r="AM142" s="284">
        <f>IF($O143,_xll.qDateYears($O142,$O143,DCC_Leg1_Fixed),0)</f>
        <v>0</v>
      </c>
      <c r="AN142" s="284">
        <f>IF($O143,_xll.qDateYears($O142,$O143,DCC_Leg1_Float),0)</f>
        <v>0</v>
      </c>
      <c r="AP142" s="350">
        <f t="shared" si="24"/>
        <v>0</v>
      </c>
      <c r="AQ142" s="375">
        <f>IF(GenType_1a="Fixed",GenRate_1a%*$AL141*AM141,          IF(GenType_1a="Float",$AL141*(_xll.qGetFwdRate($D$18,$O141,$O142,"T",DCC_Leg1_Float)%+GenRate_1a%%)*$AN141,        IF(GenType_1a="bp (Fixed)",GenRate_1a%%*$AM141*$AL141,   IF(GenType_1a="bp (Float)",GenRate_1a%%*$AL141*$AN141,0))))</f>
        <v>0</v>
      </c>
      <c r="AR142" s="561"/>
      <c r="AT142" s="341">
        <f t="shared" si="28"/>
        <v>0</v>
      </c>
      <c r="AV142" s="356"/>
      <c r="AW142" s="122">
        <v>0</v>
      </c>
      <c r="AX142" s="128">
        <f t="shared" si="19"/>
        <v>0</v>
      </c>
      <c r="AY142" s="357">
        <v>0</v>
      </c>
      <c r="AZ142" s="699">
        <f>IF($AW143=0,0,        _xll.qDateNext($AW142,AZ$17,"M",TRUE,Currency2))</f>
        <v>0</v>
      </c>
      <c r="BA142" s="699">
        <f>IF($AW143=0,0,        _xll.qDateNext($AW142,BA$17,"M",TRUE,Currency2))</f>
        <v>0</v>
      </c>
      <c r="BB142" s="699">
        <f>IF($AW143=0,0,        _xll.qDateNext($AW142,BB$17,"M",TRUE,Currency2))</f>
        <v>0</v>
      </c>
      <c r="BC142" s="699">
        <f>IF($AW143=0,0,        _xll.qDateNext($AW142,BC$17,"M",TRUE,Currency2))</f>
        <v>0</v>
      </c>
      <c r="BD142" s="699">
        <f>IF($AW143=0,0,        _xll.qDateNext($AW142,BD$17,"M",TRUE,Currency2))</f>
        <v>0</v>
      </c>
      <c r="BE142" s="699">
        <f>IF($AW143=0,0,        _xll.qDateNext($AW142,BE$17,"M",TRUE,Currency2))</f>
        <v>0</v>
      </c>
      <c r="BF142" s="699">
        <f>IF($AW143=0,0,        _xll.qDateNext($AW142,BF$17,"M",TRUE,Currency2))</f>
        <v>0</v>
      </c>
      <c r="BG142" s="699">
        <f>IF($AW143=0,0,        _xll.qDateNext($AW142,BG$17,"M",TRUE,Currency2))</f>
        <v>0</v>
      </c>
      <c r="BH142" s="703">
        <v>0</v>
      </c>
      <c r="BI142" s="703">
        <v>0</v>
      </c>
      <c r="BJ142" s="703">
        <v>0</v>
      </c>
      <c r="BK142" s="703">
        <v>0</v>
      </c>
      <c r="BL142" s="703">
        <f t="shared" si="25"/>
        <v>0</v>
      </c>
      <c r="BM142" s="703">
        <f t="shared" si="26"/>
        <v>0</v>
      </c>
      <c r="BN142" s="703">
        <v>0</v>
      </c>
      <c r="BO142" s="703">
        <v>0</v>
      </c>
      <c r="BP142" s="685">
        <v>0</v>
      </c>
      <c r="BQ142" s="667"/>
      <c r="BR142" s="670">
        <f>IF(AW143=0,0,             IF(ISNUMBER(BQ142),BQ142,             IF(ISTEXT(BQ142),INDEX(BH142:BO142,MATCH(BQ142,$BH$17:$BO$17,0)),           IF(BP142="INT",_xll.qInterp(AW143,AZ142:BG142,BH142:BO142),       INDEX(BH142:BO142,MATCH(BP142,$BH$17:$BO$17,0))))))</f>
        <v>0</v>
      </c>
      <c r="BS142" s="731">
        <f t="shared" si="20"/>
        <v>0</v>
      </c>
      <c r="BT142" s="406">
        <f t="shared" si="21"/>
        <v>0</v>
      </c>
      <c r="BU142" s="284">
        <f>IF($AW143,_xll.qDateYears($AW142,$AW143,DCC_Leg2_Fixed),0)</f>
        <v>0</v>
      </c>
      <c r="BV142" s="284">
        <f>IF($AW143,_xll.qDateYears($AW142,$AW143,DCC_Leg2_Float),0)</f>
        <v>0</v>
      </c>
      <c r="BX142" s="350">
        <f t="shared" si="27"/>
        <v>0</v>
      </c>
      <c r="BY142" s="375">
        <f>IF(GenType_2a="Fixed",GenRate_2a%*$BT141*BU141,          IF(GenType_2a="Float",$BT141*(_xll.qGetFwdRate($J$18,$AW141,$AW142,"T",DCC_Leg2_Float)%+GenRate_2a%%)*$BV141,        IF(GenType_2a="bp (Fixed)",GenRate_2a%%*$BU141*$BT141,   IF(GenType_2a="bp (Float)",GenRate_2a%%*$BT141*$BV141,0))))</f>
        <v>0</v>
      </c>
      <c r="BZ142" s="561"/>
      <c r="CB142" s="341">
        <f t="shared" si="29"/>
        <v>0</v>
      </c>
      <c r="CC142" s="563"/>
      <c r="CD142" s="356"/>
      <c r="CE142" s="341">
        <v>0</v>
      </c>
      <c r="CF142" s="563"/>
      <c r="CG142" s="356"/>
    </row>
    <row r="143" spans="15:85">
      <c r="O143" s="122">
        <v>0</v>
      </c>
      <c r="P143" s="128">
        <f t="shared" si="16"/>
        <v>0</v>
      </c>
      <c r="Q143" s="126">
        <v>0</v>
      </c>
      <c r="R143" s="699">
        <f>IF($O144=0,0,        _xll.qDateNext($O143,R$17,"M",TRUE,Currency1))</f>
        <v>0</v>
      </c>
      <c r="S143" s="699">
        <f>IF($O144=0,0,        _xll.qDateNext($O143,S$17,"M",TRUE,Currency1))</f>
        <v>0</v>
      </c>
      <c r="T143" s="699">
        <f>IF($O144=0,0,        _xll.qDateNext($O143,T$17,"M",TRUE,Currency1))</f>
        <v>0</v>
      </c>
      <c r="U143" s="699">
        <f>IF($O144=0,0,        _xll.qDateNext($O143,U$17,"M",TRUE,Currency1))</f>
        <v>0</v>
      </c>
      <c r="V143" s="699">
        <f>IF($O144=0,0,        _xll.qDateNext($O143,V$17,"M",TRUE,Currency1))</f>
        <v>0</v>
      </c>
      <c r="W143" s="699">
        <f>IF($O144=0,0,        _xll.qDateNext($O143,W$17,"M",TRUE,Currency1))</f>
        <v>0</v>
      </c>
      <c r="X143" s="699">
        <f>IF($O144=0,0,        _xll.qDateNext($O143,X$17,"M",TRUE,Currency1))</f>
        <v>0</v>
      </c>
      <c r="Y143" s="699">
        <f>IF($O144=0,0,        _xll.qDateNext($O143,Y$17,"M",TRUE,Currency1))</f>
        <v>0</v>
      </c>
      <c r="Z143" s="703">
        <f>IF($O144=0,0,           IF(FRM,_xll.qGetFwdRate(Z$14,$O143,R143,"T",DCC_Leg1_Float),_xll.qGetFwdRate(Z$14,$O143,$O144,"T",DCC_Leg1_Float)))</f>
        <v>0</v>
      </c>
      <c r="AA143" s="703">
        <f>IF($O144=0,0,           IF(FRM,_xll.qGetFwdRate(AA$14,$O143,S143,"T",DCC_Leg1_Float),_xll.qGetFwdRate(AA$14,$O143,$O144,"T",DCC_Leg1_Float)))</f>
        <v>0</v>
      </c>
      <c r="AB143" s="703">
        <f t="shared" si="17"/>
        <v>0</v>
      </c>
      <c r="AC143" s="703">
        <f>IF($O144=0,0,           IF(FRM,_xll.qGetFwdRate(AC$14,$O143,U143,"T",DCC_Leg1_Float),_xll.qGetFwdRate(AC$14,$O143,$O144,"T",DCC_Leg1_Float)))</f>
        <v>0</v>
      </c>
      <c r="AD143" s="703">
        <f t="shared" si="22"/>
        <v>0</v>
      </c>
      <c r="AE143" s="703">
        <f t="shared" si="23"/>
        <v>0</v>
      </c>
      <c r="AF143" s="703">
        <f>IF($O144=0,0,           IF(FRM,_xll.qGetFwdRate(AF$14,$O143,X143,"T",DCC_Leg1_Float),_xll.qGetFwdRate(AF$14,$O143,$O144,"T",DCC_Leg1_Float)))</f>
        <v>0</v>
      </c>
      <c r="AG143" s="703">
        <f>IF($O144=0,0,           IF(FRM,_xll.qGetFwdRate(AG$14,$O143,Y143,"T",DCC_Leg1_Float),_xll.qGetFwdRate(AG$14,$O143,$O144,"T",DCC_Leg1_Float)))</f>
        <v>0</v>
      </c>
      <c r="AH143" s="685">
        <v>0</v>
      </c>
      <c r="AI143" s="667"/>
      <c r="AJ143" s="670">
        <f>IF(O144=0,0,             IF(ISNUMBER(AI143),AI143,             IF(ISTEXT(AI143),INDEX(Z143:AG143,MATCH(AI143,$Z$17:$AG$17,0)),           IF(AH143="INT",_xll.qInterp(O144,R143:Y143,Z143:AG143),       INDEX(Z143:AG143,MATCH(AH143,$Z$17:$AG$17,0))))))</f>
        <v>0</v>
      </c>
      <c r="AK143" s="732">
        <v>100</v>
      </c>
      <c r="AL143" s="721">
        <f t="shared" si="18"/>
        <v>0</v>
      </c>
      <c r="AM143" s="284">
        <f>IF($O144,_xll.qDateYears($O143,$O144,DCC_Leg1_Fixed),0)</f>
        <v>0</v>
      </c>
      <c r="AN143" s="284">
        <f>IF($O144,_xll.qDateYears($O143,$O144,DCC_Leg1_Float),0)</f>
        <v>0</v>
      </c>
      <c r="AP143" s="350">
        <f t="shared" si="24"/>
        <v>0</v>
      </c>
      <c r="AQ143" s="375">
        <f>IF(GenType_1a="Fixed",GenRate_1a%*$AL142*AM142,          IF(GenType_1a="Float",$AL142*(_xll.qGetFwdRate($D$18,$O142,$O143,"T",DCC_Leg1_Float)%+GenRate_1a%%)*$AN142,        IF(GenType_1a="bp (Fixed)",GenRate_1a%%*$AM142*$AL142,   IF(GenType_1a="bp (Float)",GenRate_1a%%*$AL142*$AN142,0))))</f>
        <v>0</v>
      </c>
      <c r="AR143" s="561"/>
      <c r="AT143" s="341">
        <f t="shared" si="28"/>
        <v>0</v>
      </c>
      <c r="AV143" s="356"/>
      <c r="AW143" s="122">
        <v>0</v>
      </c>
      <c r="AX143" s="128">
        <f t="shared" si="19"/>
        <v>0</v>
      </c>
      <c r="AY143" s="357">
        <v>0</v>
      </c>
      <c r="AZ143" s="699">
        <f>IF($AW144=0,0,        _xll.qDateNext($AW143,AZ$17,"M",TRUE,Currency2))</f>
        <v>0</v>
      </c>
      <c r="BA143" s="699">
        <f>IF($AW144=0,0,        _xll.qDateNext($AW143,BA$17,"M",TRUE,Currency2))</f>
        <v>0</v>
      </c>
      <c r="BB143" s="699">
        <f>IF($AW144=0,0,        _xll.qDateNext($AW143,BB$17,"M",TRUE,Currency2))</f>
        <v>0</v>
      </c>
      <c r="BC143" s="699">
        <f>IF($AW144=0,0,        _xll.qDateNext($AW143,BC$17,"M",TRUE,Currency2))</f>
        <v>0</v>
      </c>
      <c r="BD143" s="699">
        <f>IF($AW144=0,0,        _xll.qDateNext($AW143,BD$17,"M",TRUE,Currency2))</f>
        <v>0</v>
      </c>
      <c r="BE143" s="699">
        <f>IF($AW144=0,0,        _xll.qDateNext($AW143,BE$17,"M",TRUE,Currency2))</f>
        <v>0</v>
      </c>
      <c r="BF143" s="699">
        <f>IF($AW144=0,0,        _xll.qDateNext($AW143,BF$17,"M",TRUE,Currency2))</f>
        <v>0</v>
      </c>
      <c r="BG143" s="699">
        <f>IF($AW144=0,0,        _xll.qDateNext($AW143,BG$17,"M",TRUE,Currency2))</f>
        <v>0</v>
      </c>
      <c r="BH143" s="703">
        <v>0</v>
      </c>
      <c r="BI143" s="703">
        <v>0</v>
      </c>
      <c r="BJ143" s="703">
        <v>0</v>
      </c>
      <c r="BK143" s="703">
        <v>0</v>
      </c>
      <c r="BL143" s="703">
        <f t="shared" si="25"/>
        <v>0</v>
      </c>
      <c r="BM143" s="703">
        <f t="shared" si="26"/>
        <v>0</v>
      </c>
      <c r="BN143" s="703">
        <v>0</v>
      </c>
      <c r="BO143" s="703">
        <v>0</v>
      </c>
      <c r="BP143" s="685">
        <v>0</v>
      </c>
      <c r="BQ143" s="667"/>
      <c r="BR143" s="670">
        <f>IF(AW144=0,0,             IF(ISNUMBER(BQ143),BQ143,             IF(ISTEXT(BQ143),INDEX(BH143:BO143,MATCH(BQ143,$BH$17:$BO$17,0)),           IF(BP143="INT",_xll.qInterp(AW144,AZ143:BG143,BH143:BO143),       INDEX(BH143:BO143,MATCH(BP143,$BH$17:$BO$17,0))))))</f>
        <v>0</v>
      </c>
      <c r="BS143" s="731">
        <f t="shared" si="20"/>
        <v>0</v>
      </c>
      <c r="BT143" s="406">
        <f t="shared" si="21"/>
        <v>0</v>
      </c>
      <c r="BU143" s="284">
        <f>IF($AW144,_xll.qDateYears($AW143,$AW144,DCC_Leg2_Fixed),0)</f>
        <v>0</v>
      </c>
      <c r="BV143" s="284">
        <f>IF($AW144,_xll.qDateYears($AW143,$AW144,DCC_Leg2_Float),0)</f>
        <v>0</v>
      </c>
      <c r="BX143" s="350">
        <f t="shared" si="27"/>
        <v>0</v>
      </c>
      <c r="BY143" s="375">
        <f>IF(GenType_2a="Fixed",GenRate_2a%*$BT142*BU142,          IF(GenType_2a="Float",$BT142*(_xll.qGetFwdRate($J$18,$AW142,$AW143,"T",DCC_Leg2_Float)%+GenRate_2a%%)*$BV142,        IF(GenType_2a="bp (Fixed)",GenRate_2a%%*$BU142*$BT142,   IF(GenType_2a="bp (Float)",GenRate_2a%%*$BT142*$BV142,0))))</f>
        <v>0</v>
      </c>
      <c r="BZ143" s="561"/>
      <c r="CB143" s="341">
        <f t="shared" si="29"/>
        <v>0</v>
      </c>
      <c r="CC143" s="563"/>
      <c r="CD143" s="356"/>
      <c r="CE143" s="341">
        <v>0</v>
      </c>
      <c r="CF143" s="563"/>
      <c r="CG143" s="356"/>
    </row>
    <row r="144" spans="15:85">
      <c r="O144" s="122">
        <v>0</v>
      </c>
      <c r="P144" s="128">
        <f t="shared" si="16"/>
        <v>0</v>
      </c>
      <c r="Q144" s="126">
        <v>0</v>
      </c>
      <c r="R144" s="699">
        <f>IF($O145=0,0,        _xll.qDateNext($O144,R$17,"M",TRUE,Currency1))</f>
        <v>0</v>
      </c>
      <c r="S144" s="699">
        <f>IF($O145=0,0,        _xll.qDateNext($O144,S$17,"M",TRUE,Currency1))</f>
        <v>0</v>
      </c>
      <c r="T144" s="699">
        <f>IF($O145=0,0,        _xll.qDateNext($O144,T$17,"M",TRUE,Currency1))</f>
        <v>0</v>
      </c>
      <c r="U144" s="699">
        <f>IF($O145=0,0,        _xll.qDateNext($O144,U$17,"M",TRUE,Currency1))</f>
        <v>0</v>
      </c>
      <c r="V144" s="699">
        <f>IF($O145=0,0,        _xll.qDateNext($O144,V$17,"M",TRUE,Currency1))</f>
        <v>0</v>
      </c>
      <c r="W144" s="699">
        <f>IF($O145=0,0,        _xll.qDateNext($O144,W$17,"M",TRUE,Currency1))</f>
        <v>0</v>
      </c>
      <c r="X144" s="699">
        <f>IF($O145=0,0,        _xll.qDateNext($O144,X$17,"M",TRUE,Currency1))</f>
        <v>0</v>
      </c>
      <c r="Y144" s="699">
        <f>IF($O145=0,0,        _xll.qDateNext($O144,Y$17,"M",TRUE,Currency1))</f>
        <v>0</v>
      </c>
      <c r="Z144" s="703">
        <f>IF($O145=0,0,           IF(FRM,_xll.qGetFwdRate(Z$14,$O144,R144,"T",DCC_Leg1_Float),_xll.qGetFwdRate(Z$14,$O144,$O145,"T",DCC_Leg1_Float)))</f>
        <v>0</v>
      </c>
      <c r="AA144" s="703">
        <f>IF($O145=0,0,           IF(FRM,_xll.qGetFwdRate(AA$14,$O144,S144,"T",DCC_Leg1_Float),_xll.qGetFwdRate(AA$14,$O144,$O145,"T",DCC_Leg1_Float)))</f>
        <v>0</v>
      </c>
      <c r="AB144" s="703">
        <f t="shared" si="17"/>
        <v>0</v>
      </c>
      <c r="AC144" s="703">
        <f>IF($O145=0,0,           IF(FRM,_xll.qGetFwdRate(AC$14,$O144,U144,"T",DCC_Leg1_Float),_xll.qGetFwdRate(AC$14,$O144,$O145,"T",DCC_Leg1_Float)))</f>
        <v>0</v>
      </c>
      <c r="AD144" s="703">
        <f t="shared" si="22"/>
        <v>0</v>
      </c>
      <c r="AE144" s="703">
        <f t="shared" si="23"/>
        <v>0</v>
      </c>
      <c r="AF144" s="703">
        <f>IF($O145=0,0,           IF(FRM,_xll.qGetFwdRate(AF$14,$O144,X144,"T",DCC_Leg1_Float),_xll.qGetFwdRate(AF$14,$O144,$O145,"T",DCC_Leg1_Float)))</f>
        <v>0</v>
      </c>
      <c r="AG144" s="703">
        <f>IF($O145=0,0,           IF(FRM,_xll.qGetFwdRate(AG$14,$O144,Y144,"T",DCC_Leg1_Float),_xll.qGetFwdRate(AG$14,$O144,$O145,"T",DCC_Leg1_Float)))</f>
        <v>0</v>
      </c>
      <c r="AH144" s="685">
        <v>0</v>
      </c>
      <c r="AI144" s="667"/>
      <c r="AJ144" s="670">
        <f>IF(O145=0,0,             IF(ISNUMBER(AI144),AI144,             IF(ISTEXT(AI144),INDEX(Z144:AG144,MATCH(AI144,$Z$17:$AG$17,0)),           IF(AH144="INT",_xll.qInterp(O145,R144:Y144,Z144:AG144),       INDEX(Z144:AG144,MATCH(AH144,$Z$17:$AG$17,0))))))</f>
        <v>0</v>
      </c>
      <c r="AK144" s="732">
        <v>100</v>
      </c>
      <c r="AL144" s="721">
        <f t="shared" si="18"/>
        <v>0</v>
      </c>
      <c r="AM144" s="284">
        <f>IF($O145,_xll.qDateYears($O144,$O145,DCC_Leg1_Fixed),0)</f>
        <v>0</v>
      </c>
      <c r="AN144" s="284">
        <f>IF($O145,_xll.qDateYears($O144,$O145,DCC_Leg1_Float),0)</f>
        <v>0</v>
      </c>
      <c r="AP144" s="350">
        <f t="shared" si="24"/>
        <v>0</v>
      </c>
      <c r="AQ144" s="375">
        <f>IF(GenType_1a="Fixed",GenRate_1a%*$AL143*AM143,          IF(GenType_1a="Float",$AL143*(_xll.qGetFwdRate($D$18,$O143,$O144,"T",DCC_Leg1_Float)%+GenRate_1a%%)*$AN143,        IF(GenType_1a="bp (Fixed)",GenRate_1a%%*$AM143*$AL143,   IF(GenType_1a="bp (Float)",GenRate_1a%%*$AL143*$AN143,0))))</f>
        <v>0</v>
      </c>
      <c r="AR144" s="561"/>
      <c r="AT144" s="341">
        <f t="shared" si="28"/>
        <v>0</v>
      </c>
      <c r="AV144" s="356"/>
      <c r="AW144" s="122">
        <v>0</v>
      </c>
      <c r="AX144" s="128">
        <f t="shared" si="19"/>
        <v>0</v>
      </c>
      <c r="AY144" s="357">
        <v>0</v>
      </c>
      <c r="AZ144" s="699">
        <f>IF($AW145=0,0,        _xll.qDateNext($AW144,AZ$17,"M",TRUE,Currency2))</f>
        <v>0</v>
      </c>
      <c r="BA144" s="699">
        <f>IF($AW145=0,0,        _xll.qDateNext($AW144,BA$17,"M",TRUE,Currency2))</f>
        <v>0</v>
      </c>
      <c r="BB144" s="699">
        <f>IF($AW145=0,0,        _xll.qDateNext($AW144,BB$17,"M",TRUE,Currency2))</f>
        <v>0</v>
      </c>
      <c r="BC144" s="699">
        <f>IF($AW145=0,0,        _xll.qDateNext($AW144,BC$17,"M",TRUE,Currency2))</f>
        <v>0</v>
      </c>
      <c r="BD144" s="699">
        <f>IF($AW145=0,0,        _xll.qDateNext($AW144,BD$17,"M",TRUE,Currency2))</f>
        <v>0</v>
      </c>
      <c r="BE144" s="699">
        <f>IF($AW145=0,0,        _xll.qDateNext($AW144,BE$17,"M",TRUE,Currency2))</f>
        <v>0</v>
      </c>
      <c r="BF144" s="699">
        <f>IF($AW145=0,0,        _xll.qDateNext($AW144,BF$17,"M",TRUE,Currency2))</f>
        <v>0</v>
      </c>
      <c r="BG144" s="699">
        <f>IF($AW145=0,0,        _xll.qDateNext($AW144,BG$17,"M",TRUE,Currency2))</f>
        <v>0</v>
      </c>
      <c r="BH144" s="703">
        <v>0</v>
      </c>
      <c r="BI144" s="703">
        <v>0</v>
      </c>
      <c r="BJ144" s="703">
        <v>0</v>
      </c>
      <c r="BK144" s="703">
        <v>0</v>
      </c>
      <c r="BL144" s="703">
        <f t="shared" si="25"/>
        <v>0</v>
      </c>
      <c r="BM144" s="703">
        <f t="shared" si="26"/>
        <v>0</v>
      </c>
      <c r="BN144" s="703">
        <v>0</v>
      </c>
      <c r="BO144" s="703">
        <v>0</v>
      </c>
      <c r="BP144" s="685">
        <v>0</v>
      </c>
      <c r="BQ144" s="667"/>
      <c r="BR144" s="670">
        <f>IF(AW145=0,0,             IF(ISNUMBER(BQ144),BQ144,             IF(ISTEXT(BQ144),INDEX(BH144:BO144,MATCH(BQ144,$BH$17:$BO$17,0)),           IF(BP144="INT",_xll.qInterp(AW145,AZ144:BG144,BH144:BO144),       INDEX(BH144:BO144,MATCH(BP144,$BH$17:$BO$17,0))))))</f>
        <v>0</v>
      </c>
      <c r="BS144" s="731">
        <f t="shared" si="20"/>
        <v>0</v>
      </c>
      <c r="BT144" s="406">
        <f t="shared" si="21"/>
        <v>0</v>
      </c>
      <c r="BU144" s="284">
        <f>IF($AW145,_xll.qDateYears($AW144,$AW145,DCC_Leg2_Fixed),0)</f>
        <v>0</v>
      </c>
      <c r="BV144" s="284">
        <f>IF($AW145,_xll.qDateYears($AW144,$AW145,DCC_Leg2_Float),0)</f>
        <v>0</v>
      </c>
      <c r="BX144" s="350">
        <f t="shared" si="27"/>
        <v>0</v>
      </c>
      <c r="BY144" s="375">
        <f>IF(GenType_2a="Fixed",GenRate_2a%*$BT143*BU143,          IF(GenType_2a="Float",$BT143*(_xll.qGetFwdRate($J$18,$AW143,$AW144,"T",DCC_Leg2_Float)%+GenRate_2a%%)*$BV143,        IF(GenType_2a="bp (Fixed)",GenRate_2a%%*$BU143*$BT143,   IF(GenType_2a="bp (Float)",GenRate_2a%%*$BT143*$BV143,0))))</f>
        <v>0</v>
      </c>
      <c r="BZ144" s="561"/>
      <c r="CB144" s="341">
        <f t="shared" si="29"/>
        <v>0</v>
      </c>
      <c r="CC144" s="563"/>
      <c r="CD144" s="356"/>
      <c r="CE144" s="341">
        <v>0</v>
      </c>
      <c r="CF144" s="563"/>
      <c r="CG144" s="356"/>
    </row>
    <row r="145" spans="15:85">
      <c r="O145" s="122">
        <v>0</v>
      </c>
      <c r="P145" s="128">
        <f t="shared" si="16"/>
        <v>0</v>
      </c>
      <c r="Q145" s="126">
        <v>0</v>
      </c>
      <c r="R145" s="699">
        <f>IF($O146=0,0,        _xll.qDateNext($O145,R$17,"M",TRUE,Currency1))</f>
        <v>0</v>
      </c>
      <c r="S145" s="699">
        <f>IF($O146=0,0,        _xll.qDateNext($O145,S$17,"M",TRUE,Currency1))</f>
        <v>0</v>
      </c>
      <c r="T145" s="699">
        <f>IF($O146=0,0,        _xll.qDateNext($O145,T$17,"M",TRUE,Currency1))</f>
        <v>0</v>
      </c>
      <c r="U145" s="699">
        <f>IF($O146=0,0,        _xll.qDateNext($O145,U$17,"M",TRUE,Currency1))</f>
        <v>0</v>
      </c>
      <c r="V145" s="699">
        <f>IF($O146=0,0,        _xll.qDateNext($O145,V$17,"M",TRUE,Currency1))</f>
        <v>0</v>
      </c>
      <c r="W145" s="699">
        <f>IF($O146=0,0,        _xll.qDateNext($O145,W$17,"M",TRUE,Currency1))</f>
        <v>0</v>
      </c>
      <c r="X145" s="699">
        <f>IF($O146=0,0,        _xll.qDateNext($O145,X$17,"M",TRUE,Currency1))</f>
        <v>0</v>
      </c>
      <c r="Y145" s="699">
        <f>IF($O146=0,0,        _xll.qDateNext($O145,Y$17,"M",TRUE,Currency1))</f>
        <v>0</v>
      </c>
      <c r="Z145" s="703">
        <f>IF($O146=0,0,           IF(FRM,_xll.qGetFwdRate(Z$14,$O145,R145,"T",DCC_Leg1_Float),_xll.qGetFwdRate(Z$14,$O145,$O146,"T",DCC_Leg1_Float)))</f>
        <v>0</v>
      </c>
      <c r="AA145" s="703">
        <f>IF($O146=0,0,           IF(FRM,_xll.qGetFwdRate(AA$14,$O145,S145,"T",DCC_Leg1_Float),_xll.qGetFwdRate(AA$14,$O145,$O146,"T",DCC_Leg1_Float)))</f>
        <v>0</v>
      </c>
      <c r="AB145" s="703">
        <f t="shared" si="17"/>
        <v>0</v>
      </c>
      <c r="AC145" s="703">
        <f>IF($O146=0,0,           IF(FRM,_xll.qGetFwdRate(AC$14,$O145,U145,"T",DCC_Leg1_Float),_xll.qGetFwdRate(AC$14,$O145,$O146,"T",DCC_Leg1_Float)))</f>
        <v>0</v>
      </c>
      <c r="AD145" s="703">
        <f t="shared" si="22"/>
        <v>0</v>
      </c>
      <c r="AE145" s="703">
        <f t="shared" si="23"/>
        <v>0</v>
      </c>
      <c r="AF145" s="703">
        <f>IF($O146=0,0,           IF(FRM,_xll.qGetFwdRate(AF$14,$O145,X145,"T",DCC_Leg1_Float),_xll.qGetFwdRate(AF$14,$O145,$O146,"T",DCC_Leg1_Float)))</f>
        <v>0</v>
      </c>
      <c r="AG145" s="703">
        <f>IF($O146=0,0,           IF(FRM,_xll.qGetFwdRate(AG$14,$O145,Y145,"T",DCC_Leg1_Float),_xll.qGetFwdRate(AG$14,$O145,$O146,"T",DCC_Leg1_Float)))</f>
        <v>0</v>
      </c>
      <c r="AH145" s="685">
        <v>0</v>
      </c>
      <c r="AI145" s="667"/>
      <c r="AJ145" s="670">
        <f>IF(O146=0,0,             IF(ISNUMBER(AI145),AI145,             IF(ISTEXT(AI145),INDEX(Z145:AG145,MATCH(AI145,$Z$17:$AG$17,0)),           IF(AH145="INT",_xll.qInterp(O146,R145:Y145,Z145:AG145),       INDEX(Z145:AG145,MATCH(AH145,$Z$17:$AG$17,0))))))</f>
        <v>0</v>
      </c>
      <c r="AK145" s="732">
        <v>100</v>
      </c>
      <c r="AL145" s="721">
        <f t="shared" si="18"/>
        <v>0</v>
      </c>
      <c r="AM145" s="284">
        <f>IF($O146,_xll.qDateYears($O145,$O146,DCC_Leg1_Fixed),0)</f>
        <v>0</v>
      </c>
      <c r="AN145" s="284">
        <f>IF($O146,_xll.qDateYears($O145,$O146,DCC_Leg1_Float),0)</f>
        <v>0</v>
      </c>
      <c r="AP145" s="350">
        <f t="shared" si="24"/>
        <v>0</v>
      </c>
      <c r="AQ145" s="375">
        <f>IF(GenType_1a="Fixed",GenRate_1a%*$AL144*AM144,          IF(GenType_1a="Float",$AL144*(_xll.qGetFwdRate($D$18,$O144,$O145,"T",DCC_Leg1_Float)%+GenRate_1a%%)*$AN144,        IF(GenType_1a="bp (Fixed)",GenRate_1a%%*$AM144*$AL144,   IF(GenType_1a="bp (Float)",GenRate_1a%%*$AL144*$AN144,0))))</f>
        <v>0</v>
      </c>
      <c r="AR145" s="561"/>
      <c r="AT145" s="341">
        <f t="shared" si="28"/>
        <v>0</v>
      </c>
      <c r="AV145" s="356"/>
      <c r="AW145" s="122">
        <v>0</v>
      </c>
      <c r="AX145" s="128">
        <f t="shared" si="19"/>
        <v>0</v>
      </c>
      <c r="AY145" s="357">
        <v>0</v>
      </c>
      <c r="AZ145" s="699">
        <f>IF($AW146=0,0,        _xll.qDateNext($AW145,AZ$17,"M",TRUE,Currency2))</f>
        <v>0</v>
      </c>
      <c r="BA145" s="699">
        <f>IF($AW146=0,0,        _xll.qDateNext($AW145,BA$17,"M",TRUE,Currency2))</f>
        <v>0</v>
      </c>
      <c r="BB145" s="699">
        <f>IF($AW146=0,0,        _xll.qDateNext($AW145,BB$17,"M",TRUE,Currency2))</f>
        <v>0</v>
      </c>
      <c r="BC145" s="699">
        <f>IF($AW146=0,0,        _xll.qDateNext($AW145,BC$17,"M",TRUE,Currency2))</f>
        <v>0</v>
      </c>
      <c r="BD145" s="699">
        <f>IF($AW146=0,0,        _xll.qDateNext($AW145,BD$17,"M",TRUE,Currency2))</f>
        <v>0</v>
      </c>
      <c r="BE145" s="699">
        <f>IF($AW146=0,0,        _xll.qDateNext($AW145,BE$17,"M",TRUE,Currency2))</f>
        <v>0</v>
      </c>
      <c r="BF145" s="699">
        <f>IF($AW146=0,0,        _xll.qDateNext($AW145,BF$17,"M",TRUE,Currency2))</f>
        <v>0</v>
      </c>
      <c r="BG145" s="699">
        <f>IF($AW146=0,0,        _xll.qDateNext($AW145,BG$17,"M",TRUE,Currency2))</f>
        <v>0</v>
      </c>
      <c r="BH145" s="703">
        <v>0</v>
      </c>
      <c r="BI145" s="703">
        <v>0</v>
      </c>
      <c r="BJ145" s="703">
        <v>0</v>
      </c>
      <c r="BK145" s="703">
        <v>0</v>
      </c>
      <c r="BL145" s="703">
        <f t="shared" si="25"/>
        <v>0</v>
      </c>
      <c r="BM145" s="703">
        <f t="shared" si="26"/>
        <v>0</v>
      </c>
      <c r="BN145" s="703">
        <v>0</v>
      </c>
      <c r="BO145" s="703">
        <v>0</v>
      </c>
      <c r="BP145" s="685">
        <v>0</v>
      </c>
      <c r="BQ145" s="667"/>
      <c r="BR145" s="670">
        <f>IF(AW146=0,0,             IF(ISNUMBER(BQ145),BQ145,             IF(ISTEXT(BQ145),INDEX(BH145:BO145,MATCH(BQ145,$BH$17:$BO$17,0)),           IF(BP145="INT",_xll.qInterp(AW146,AZ145:BG145,BH145:BO145),       INDEX(BH145:BO145,MATCH(BP145,$BH$17:$BO$17,0))))))</f>
        <v>0</v>
      </c>
      <c r="BS145" s="731">
        <f t="shared" si="20"/>
        <v>0</v>
      </c>
      <c r="BT145" s="406">
        <f t="shared" si="21"/>
        <v>0</v>
      </c>
      <c r="BU145" s="284">
        <f>IF($AW146,_xll.qDateYears($AW145,$AW146,DCC_Leg2_Fixed),0)</f>
        <v>0</v>
      </c>
      <c r="BV145" s="284">
        <f>IF($AW146,_xll.qDateYears($AW145,$AW146,DCC_Leg2_Float),0)</f>
        <v>0</v>
      </c>
      <c r="BX145" s="350">
        <f t="shared" si="27"/>
        <v>0</v>
      </c>
      <c r="BY145" s="375">
        <f>IF(GenType_2a="Fixed",GenRate_2a%*$BT144*BU144,          IF(GenType_2a="Float",$BT144*(_xll.qGetFwdRate($J$18,$AW144,$AW145,"T",DCC_Leg2_Float)%+GenRate_2a%%)*$BV144,        IF(GenType_2a="bp (Fixed)",GenRate_2a%%*$BU144*$BT144,   IF(GenType_2a="bp (Float)",GenRate_2a%%*$BT144*$BV144,0))))</f>
        <v>0</v>
      </c>
      <c r="BZ145" s="561"/>
      <c r="CB145" s="341">
        <f t="shared" si="29"/>
        <v>0</v>
      </c>
      <c r="CC145" s="563"/>
      <c r="CD145" s="356"/>
      <c r="CE145" s="341">
        <v>0</v>
      </c>
      <c r="CF145" s="563"/>
      <c r="CG145" s="356"/>
    </row>
    <row r="146" spans="15:85">
      <c r="O146" s="122">
        <v>0</v>
      </c>
      <c r="P146" s="128">
        <f t="shared" ref="P146:P209" si="30">IF(O147,O147-O146,0)</f>
        <v>0</v>
      </c>
      <c r="Q146" s="126">
        <v>0</v>
      </c>
      <c r="R146" s="699">
        <f>IF($O147=0,0,        _xll.qDateNext($O146,R$17,"M",TRUE,Currency1))</f>
        <v>0</v>
      </c>
      <c r="S146" s="699">
        <f>IF($O147=0,0,        _xll.qDateNext($O146,S$17,"M",TRUE,Currency1))</f>
        <v>0</v>
      </c>
      <c r="T146" s="699">
        <f>IF($O147=0,0,        _xll.qDateNext($O146,T$17,"M",TRUE,Currency1))</f>
        <v>0</v>
      </c>
      <c r="U146" s="699">
        <f>IF($O147=0,0,        _xll.qDateNext($O146,U$17,"M",TRUE,Currency1))</f>
        <v>0</v>
      </c>
      <c r="V146" s="699">
        <f>IF($O147=0,0,        _xll.qDateNext($O146,V$17,"M",TRUE,Currency1))</f>
        <v>0</v>
      </c>
      <c r="W146" s="699">
        <f>IF($O147=0,0,        _xll.qDateNext($O146,W$17,"M",TRUE,Currency1))</f>
        <v>0</v>
      </c>
      <c r="X146" s="699">
        <f>IF($O147=0,0,        _xll.qDateNext($O146,X$17,"M",TRUE,Currency1))</f>
        <v>0</v>
      </c>
      <c r="Y146" s="699">
        <f>IF($O147=0,0,        _xll.qDateNext($O146,Y$17,"M",TRUE,Currency1))</f>
        <v>0</v>
      </c>
      <c r="Z146" s="703">
        <f>IF($O147=0,0,           IF(FRM,_xll.qGetFwdRate(Z$14,$O146,R146,"T",DCC_Leg1_Float),_xll.qGetFwdRate(Z$14,$O146,$O147,"T",DCC_Leg1_Float)))</f>
        <v>0</v>
      </c>
      <c r="AA146" s="703">
        <f>IF($O147=0,0,           IF(FRM,_xll.qGetFwdRate(AA$14,$O146,S146,"T",DCC_Leg1_Float),_xll.qGetFwdRate(AA$14,$O146,$O147,"T",DCC_Leg1_Float)))</f>
        <v>0</v>
      </c>
      <c r="AB146" s="703">
        <f t="shared" ref="AB146:AB209" si="31">AVERAGE(AA146,AC146)</f>
        <v>0</v>
      </c>
      <c r="AC146" s="703">
        <f>IF($O147=0,0,           IF(FRM,_xll.qGetFwdRate(AC$14,$O146,U146,"T",DCC_Leg1_Float),_xll.qGetFwdRate(AC$14,$O146,$O147,"T",DCC_Leg1_Float)))</f>
        <v>0</v>
      </c>
      <c r="AD146" s="703">
        <f t="shared" si="22"/>
        <v>0</v>
      </c>
      <c r="AE146" s="703">
        <f t="shared" si="23"/>
        <v>0</v>
      </c>
      <c r="AF146" s="703">
        <f>IF($O147=0,0,           IF(FRM,_xll.qGetFwdRate(AF$14,$O146,X146,"T",DCC_Leg1_Float),_xll.qGetFwdRate(AF$14,$O146,$O147,"T",DCC_Leg1_Float)))</f>
        <v>0</v>
      </c>
      <c r="AG146" s="703">
        <f>IF($O147=0,0,           IF(FRM,_xll.qGetFwdRate(AG$14,$O146,Y146,"T",DCC_Leg1_Float),_xll.qGetFwdRate(AG$14,$O146,$O147,"T",DCC_Leg1_Float)))</f>
        <v>0</v>
      </c>
      <c r="AH146" s="685">
        <v>0</v>
      </c>
      <c r="AI146" s="667"/>
      <c r="AJ146" s="670">
        <f>IF(O147=0,0,             IF(ISNUMBER(AI146),AI146,             IF(ISTEXT(AI146),INDEX(Z146:AG146,MATCH(AI146,$Z$17:$AG$17,0)),           IF(AH146="INT",_xll.qInterp(O147,R146:Y146,Z146:AG146),       INDEX(Z146:AG146,MATCH(AH146,$Z$17:$AG$17,0))))))</f>
        <v>0</v>
      </c>
      <c r="AK146" s="732">
        <v>100</v>
      </c>
      <c r="AL146" s="721">
        <f t="shared" ref="AL146:AL209" si="32">IF(O147,AK146*1000000*$AN$11,0)</f>
        <v>0</v>
      </c>
      <c r="AM146" s="284">
        <f>IF($O147,_xll.qDateYears($O146,$O147,DCC_Leg1_Fixed),0)</f>
        <v>0</v>
      </c>
      <c r="AN146" s="284">
        <f>IF($O147,_xll.qDateYears($O146,$O147,DCC_Leg1_Float),0)</f>
        <v>0</v>
      </c>
      <c r="AP146" s="350">
        <f t="shared" si="24"/>
        <v>0</v>
      </c>
      <c r="AQ146" s="375">
        <f>IF(GenType_1a="Fixed",GenRate_1a%*$AL145*AM145,          IF(GenType_1a="Float",$AL145*(_xll.qGetFwdRate($D$18,$O145,$O146,"T",DCC_Leg1_Float)%+GenRate_1a%%)*$AN145,        IF(GenType_1a="bp (Fixed)",GenRate_1a%%*$AM145*$AL145,   IF(GenType_1a="bp (Float)",GenRate_1a%%*$AL145*$AN145,0))))</f>
        <v>0</v>
      </c>
      <c r="AR146" s="561"/>
      <c r="AT146" s="341">
        <f t="shared" si="28"/>
        <v>0</v>
      </c>
      <c r="AV146" s="356"/>
      <c r="AW146" s="122">
        <v>0</v>
      </c>
      <c r="AX146" s="128">
        <f t="shared" ref="AX146:AX209" si="33">IF(AW147,AW147-AW146,0)</f>
        <v>0</v>
      </c>
      <c r="AY146" s="357">
        <v>0</v>
      </c>
      <c r="AZ146" s="699">
        <f>IF($AW147=0,0,        _xll.qDateNext($AW146,AZ$17,"M",TRUE,Currency2))</f>
        <v>0</v>
      </c>
      <c r="BA146" s="699">
        <f>IF($AW147=0,0,        _xll.qDateNext($AW146,BA$17,"M",TRUE,Currency2))</f>
        <v>0</v>
      </c>
      <c r="BB146" s="699">
        <f>IF($AW147=0,0,        _xll.qDateNext($AW146,BB$17,"M",TRUE,Currency2))</f>
        <v>0</v>
      </c>
      <c r="BC146" s="699">
        <f>IF($AW147=0,0,        _xll.qDateNext($AW146,BC$17,"M",TRUE,Currency2))</f>
        <v>0</v>
      </c>
      <c r="BD146" s="699">
        <f>IF($AW147=0,0,        _xll.qDateNext($AW146,BD$17,"M",TRUE,Currency2))</f>
        <v>0</v>
      </c>
      <c r="BE146" s="699">
        <f>IF($AW147=0,0,        _xll.qDateNext($AW146,BE$17,"M",TRUE,Currency2))</f>
        <v>0</v>
      </c>
      <c r="BF146" s="699">
        <f>IF($AW147=0,0,        _xll.qDateNext($AW146,BF$17,"M",TRUE,Currency2))</f>
        <v>0</v>
      </c>
      <c r="BG146" s="699">
        <f>IF($AW147=0,0,        _xll.qDateNext($AW146,BG$17,"M",TRUE,Currency2))</f>
        <v>0</v>
      </c>
      <c r="BH146" s="703">
        <v>0</v>
      </c>
      <c r="BI146" s="703">
        <v>0</v>
      </c>
      <c r="BJ146" s="703">
        <v>0</v>
      </c>
      <c r="BK146" s="703">
        <v>0</v>
      </c>
      <c r="BL146" s="703">
        <f t="shared" si="25"/>
        <v>0</v>
      </c>
      <c r="BM146" s="703">
        <f t="shared" si="26"/>
        <v>0</v>
      </c>
      <c r="BN146" s="703">
        <v>0</v>
      </c>
      <c r="BO146" s="703">
        <v>0</v>
      </c>
      <c r="BP146" s="685">
        <v>0</v>
      </c>
      <c r="BQ146" s="667"/>
      <c r="BR146" s="670">
        <f>IF(AW147=0,0,             IF(ISNUMBER(BQ146),BQ146,             IF(ISTEXT(BQ146),INDEX(BH146:BO146,MATCH(BQ146,$BH$17:$BO$17,0)),           IF(BP146="INT",_xll.qInterp(AW147,AZ146:BG146,BH146:BO146),       INDEX(BH146:BO146,MATCH(BP146,$BH$17:$BO$17,0))))))</f>
        <v>0</v>
      </c>
      <c r="BS146" s="731">
        <f t="shared" ref="BS146:BS209" si="34">IF(AW147,INDEX($AK$18:$AK$516,MATCH(AW146,OFFSET($O$18,0,0,$AN$12,1)))*$F$6,0)</f>
        <v>0</v>
      </c>
      <c r="BT146" s="406">
        <f t="shared" ref="BT146:BT209" si="35">IF(AW146,BS146*1000000*$BV$11,0)</f>
        <v>0</v>
      </c>
      <c r="BU146" s="284">
        <f>IF($AW147,_xll.qDateYears($AW146,$AW147,DCC_Leg2_Fixed),0)</f>
        <v>0</v>
      </c>
      <c r="BV146" s="284">
        <f>IF($AW147,_xll.qDateYears($AW146,$AW147,DCC_Leg2_Float),0)</f>
        <v>0</v>
      </c>
      <c r="BX146" s="350">
        <f t="shared" si="27"/>
        <v>0</v>
      </c>
      <c r="BY146" s="375">
        <f>IF(GenType_2a="Fixed",GenRate_2a%*$BT145*BU145,          IF(GenType_2a="Float",$BT145*(_xll.qGetFwdRate($J$18,$AW145,$AW146,"T",DCC_Leg2_Float)%+GenRate_2a%%)*$BV145,        IF(GenType_2a="bp (Fixed)",GenRate_2a%%*$BU145*$BT145,   IF(GenType_2a="bp (Float)",GenRate_2a%%*$BT145*$BV145,0))))</f>
        <v>0</v>
      </c>
      <c r="BZ146" s="561"/>
      <c r="CB146" s="341">
        <f t="shared" si="29"/>
        <v>0</v>
      </c>
      <c r="CC146" s="563"/>
      <c r="CD146" s="356"/>
      <c r="CE146" s="341">
        <v>0</v>
      </c>
      <c r="CF146" s="563"/>
      <c r="CG146" s="356"/>
    </row>
    <row r="147" spans="15:85">
      <c r="O147" s="122">
        <v>0</v>
      </c>
      <c r="P147" s="128">
        <f t="shared" si="30"/>
        <v>0</v>
      </c>
      <c r="Q147" s="126">
        <v>0</v>
      </c>
      <c r="R147" s="699">
        <f>IF($O148=0,0,        _xll.qDateNext($O147,R$17,"M",TRUE,Currency1))</f>
        <v>0</v>
      </c>
      <c r="S147" s="699">
        <f>IF($O148=0,0,        _xll.qDateNext($O147,S$17,"M",TRUE,Currency1))</f>
        <v>0</v>
      </c>
      <c r="T147" s="699">
        <f>IF($O148=0,0,        _xll.qDateNext($O147,T$17,"M",TRUE,Currency1))</f>
        <v>0</v>
      </c>
      <c r="U147" s="699">
        <f>IF($O148=0,0,        _xll.qDateNext($O147,U$17,"M",TRUE,Currency1))</f>
        <v>0</v>
      </c>
      <c r="V147" s="699">
        <f>IF($O148=0,0,        _xll.qDateNext($O147,V$17,"M",TRUE,Currency1))</f>
        <v>0</v>
      </c>
      <c r="W147" s="699">
        <f>IF($O148=0,0,        _xll.qDateNext($O147,W$17,"M",TRUE,Currency1))</f>
        <v>0</v>
      </c>
      <c r="X147" s="699">
        <f>IF($O148=0,0,        _xll.qDateNext($O147,X$17,"M",TRUE,Currency1))</f>
        <v>0</v>
      </c>
      <c r="Y147" s="699">
        <f>IF($O148=0,0,        _xll.qDateNext($O147,Y$17,"M",TRUE,Currency1))</f>
        <v>0</v>
      </c>
      <c r="Z147" s="703">
        <f>IF($O148=0,0,           IF(FRM,_xll.qGetFwdRate(Z$14,$O147,R147,"T",DCC_Leg1_Float),_xll.qGetFwdRate(Z$14,$O147,$O148,"T",DCC_Leg1_Float)))</f>
        <v>0</v>
      </c>
      <c r="AA147" s="703">
        <f>IF($O148=0,0,           IF(FRM,_xll.qGetFwdRate(AA$14,$O147,S147,"T",DCC_Leg1_Float),_xll.qGetFwdRate(AA$14,$O147,$O148,"T",DCC_Leg1_Float)))</f>
        <v>0</v>
      </c>
      <c r="AB147" s="703">
        <f t="shared" si="31"/>
        <v>0</v>
      </c>
      <c r="AC147" s="703">
        <f>IF($O148=0,0,           IF(FRM,_xll.qGetFwdRate(AC$14,$O147,U147,"T",DCC_Leg1_Float),_xll.qGetFwdRate(AC$14,$O147,$O148,"T",DCC_Leg1_Float)))</f>
        <v>0</v>
      </c>
      <c r="AD147" s="703">
        <f t="shared" ref="AD147:AD210" si="36">(AF147-AC147)/3+AC147</f>
        <v>0</v>
      </c>
      <c r="AE147" s="703">
        <f t="shared" ref="AE147:AE210" si="37">AVERAGE(AD147,AF147)</f>
        <v>0</v>
      </c>
      <c r="AF147" s="703">
        <f>IF($O148=0,0,           IF(FRM,_xll.qGetFwdRate(AF$14,$O147,X147,"T",DCC_Leg1_Float),_xll.qGetFwdRate(AF$14,$O147,$O148,"T",DCC_Leg1_Float)))</f>
        <v>0</v>
      </c>
      <c r="AG147" s="703">
        <f>IF($O148=0,0,           IF(FRM,_xll.qGetFwdRate(AG$14,$O147,Y147,"T",DCC_Leg1_Float),_xll.qGetFwdRate(AG$14,$O147,$O148,"T",DCC_Leg1_Float)))</f>
        <v>0</v>
      </c>
      <c r="AH147" s="685">
        <v>0</v>
      </c>
      <c r="AI147" s="667"/>
      <c r="AJ147" s="670">
        <f>IF(O148=0,0,             IF(ISNUMBER(AI147),AI147,             IF(ISTEXT(AI147),INDEX(Z147:AG147,MATCH(AI147,$Z$17:$AG$17,0)),           IF(AH147="INT",_xll.qInterp(O148,R147:Y147,Z147:AG147),       INDEX(Z147:AG147,MATCH(AH147,$Z$17:$AG$17,0))))))</f>
        <v>0</v>
      </c>
      <c r="AK147" s="732">
        <v>100</v>
      </c>
      <c r="AL147" s="721">
        <f t="shared" si="32"/>
        <v>0</v>
      </c>
      <c r="AM147" s="284">
        <f>IF($O148,_xll.qDateYears($O147,$O148,DCC_Leg1_Fixed),0)</f>
        <v>0</v>
      </c>
      <c r="AN147" s="284">
        <f>IF($O148,_xll.qDateYears($O147,$O148,DCC_Leg1_Float),0)</f>
        <v>0</v>
      </c>
      <c r="AP147" s="350">
        <f t="shared" ref="AP147:AP210" si="38">IF(Principal1?,$AL146-$AL147,       0)</f>
        <v>0</v>
      </c>
      <c r="AQ147" s="375">
        <f>IF(GenType_1a="Fixed",GenRate_1a%*$AL146*AM146,          IF(GenType_1a="Float",$AL146*(_xll.qGetFwdRate($D$18,$O146,$O147,"T",DCC_Leg1_Float)%+GenRate_1a%%)*$AN146,        IF(GenType_1a="bp (Fixed)",GenRate_1a%%*$AM146*$AL146,   IF(GenType_1a="bp (Float)",GenRate_1a%%*$AL146*$AN146,0))))</f>
        <v>0</v>
      </c>
      <c r="AR147" s="561"/>
      <c r="AT147" s="341">
        <f t="shared" si="28"/>
        <v>0</v>
      </c>
      <c r="AV147" s="356"/>
      <c r="AW147" s="122">
        <v>0</v>
      </c>
      <c r="AX147" s="128">
        <f t="shared" si="33"/>
        <v>0</v>
      </c>
      <c r="AY147" s="357">
        <v>0</v>
      </c>
      <c r="AZ147" s="699">
        <f>IF($AW148=0,0,        _xll.qDateNext($AW147,AZ$17,"M",TRUE,Currency2))</f>
        <v>0</v>
      </c>
      <c r="BA147" s="699">
        <f>IF($AW148=0,0,        _xll.qDateNext($AW147,BA$17,"M",TRUE,Currency2))</f>
        <v>0</v>
      </c>
      <c r="BB147" s="699">
        <f>IF($AW148=0,0,        _xll.qDateNext($AW147,BB$17,"M",TRUE,Currency2))</f>
        <v>0</v>
      </c>
      <c r="BC147" s="699">
        <f>IF($AW148=0,0,        _xll.qDateNext($AW147,BC$17,"M",TRUE,Currency2))</f>
        <v>0</v>
      </c>
      <c r="BD147" s="699">
        <f>IF($AW148=0,0,        _xll.qDateNext($AW147,BD$17,"M",TRUE,Currency2))</f>
        <v>0</v>
      </c>
      <c r="BE147" s="699">
        <f>IF($AW148=0,0,        _xll.qDateNext($AW147,BE$17,"M",TRUE,Currency2))</f>
        <v>0</v>
      </c>
      <c r="BF147" s="699">
        <f>IF($AW148=0,0,        _xll.qDateNext($AW147,BF$17,"M",TRUE,Currency2))</f>
        <v>0</v>
      </c>
      <c r="BG147" s="699">
        <f>IF($AW148=0,0,        _xll.qDateNext($AW147,BG$17,"M",TRUE,Currency2))</f>
        <v>0</v>
      </c>
      <c r="BH147" s="703">
        <v>0</v>
      </c>
      <c r="BI147" s="703">
        <v>0</v>
      </c>
      <c r="BJ147" s="703">
        <v>0</v>
      </c>
      <c r="BK147" s="703">
        <v>0</v>
      </c>
      <c r="BL147" s="703">
        <f t="shared" ref="BL147:BL210" si="39">(BN147-BK147)/3+BK147</f>
        <v>0</v>
      </c>
      <c r="BM147" s="703">
        <f t="shared" ref="BM147:BM210" si="40">AVERAGE(BL147,BN147)</f>
        <v>0</v>
      </c>
      <c r="BN147" s="703">
        <v>0</v>
      </c>
      <c r="BO147" s="703">
        <v>0</v>
      </c>
      <c r="BP147" s="685">
        <v>0</v>
      </c>
      <c r="BQ147" s="667"/>
      <c r="BR147" s="670">
        <f>IF(AW148=0,0,             IF(ISNUMBER(BQ147),BQ147,             IF(ISTEXT(BQ147),INDEX(BH147:BO147,MATCH(BQ147,$BH$17:$BO$17,0)),           IF(BP147="INT",_xll.qInterp(AW148,AZ147:BG147,BH147:BO147),       INDEX(BH147:BO147,MATCH(BP147,$BH$17:$BO$17,0))))))</f>
        <v>0</v>
      </c>
      <c r="BS147" s="731">
        <f t="shared" si="34"/>
        <v>0</v>
      </c>
      <c r="BT147" s="406">
        <f t="shared" si="35"/>
        <v>0</v>
      </c>
      <c r="BU147" s="284">
        <f>IF($AW148,_xll.qDateYears($AW147,$AW148,DCC_Leg2_Fixed),0)</f>
        <v>0</v>
      </c>
      <c r="BV147" s="284">
        <f>IF($AW148,_xll.qDateYears($AW147,$AW148,DCC_Leg2_Float),0)</f>
        <v>0</v>
      </c>
      <c r="BX147" s="350">
        <f t="shared" ref="BX147:BX210" si="41">IF(Principal2?,$BT146-$BT147,       0)</f>
        <v>0</v>
      </c>
      <c r="BY147" s="375">
        <f>IF(GenType_2a="Fixed",GenRate_2a%*$BT146*BU146,          IF(GenType_2a="Float",$BT146*(_xll.qGetFwdRate($J$18,$AW146,$AW147,"T",DCC_Leg2_Float)%+GenRate_2a%%)*$BV146,        IF(GenType_2a="bp (Fixed)",GenRate_2a%%*$BU146*$BT146,   IF(GenType_2a="bp (Float)",GenRate_2a%%*$BT146*$BV146,0))))</f>
        <v>0</v>
      </c>
      <c r="BZ147" s="561"/>
      <c r="CB147" s="341">
        <f t="shared" si="29"/>
        <v>0</v>
      </c>
      <c r="CC147" s="563"/>
      <c r="CD147" s="356"/>
      <c r="CE147" s="341">
        <v>0</v>
      </c>
      <c r="CF147" s="563"/>
      <c r="CG147" s="356"/>
    </row>
    <row r="148" spans="15:85">
      <c r="O148" s="122">
        <v>0</v>
      </c>
      <c r="P148" s="128">
        <f t="shared" si="30"/>
        <v>0</v>
      </c>
      <c r="Q148" s="126">
        <v>0</v>
      </c>
      <c r="R148" s="699">
        <f>IF($O149=0,0,        _xll.qDateNext($O148,R$17,"M",TRUE,Currency1))</f>
        <v>0</v>
      </c>
      <c r="S148" s="699">
        <f>IF($O149=0,0,        _xll.qDateNext($O148,S$17,"M",TRUE,Currency1))</f>
        <v>0</v>
      </c>
      <c r="T148" s="699">
        <f>IF($O149=0,0,        _xll.qDateNext($O148,T$17,"M",TRUE,Currency1))</f>
        <v>0</v>
      </c>
      <c r="U148" s="699">
        <f>IF($O149=0,0,        _xll.qDateNext($O148,U$17,"M",TRUE,Currency1))</f>
        <v>0</v>
      </c>
      <c r="V148" s="699">
        <f>IF($O149=0,0,        _xll.qDateNext($O148,V$17,"M",TRUE,Currency1))</f>
        <v>0</v>
      </c>
      <c r="W148" s="699">
        <f>IF($O149=0,0,        _xll.qDateNext($O148,W$17,"M",TRUE,Currency1))</f>
        <v>0</v>
      </c>
      <c r="X148" s="699">
        <f>IF($O149=0,0,        _xll.qDateNext($O148,X$17,"M",TRUE,Currency1))</f>
        <v>0</v>
      </c>
      <c r="Y148" s="699">
        <f>IF($O149=0,0,        _xll.qDateNext($O148,Y$17,"M",TRUE,Currency1))</f>
        <v>0</v>
      </c>
      <c r="Z148" s="703">
        <f>IF($O149=0,0,           IF(FRM,_xll.qGetFwdRate(Z$14,$O148,R148,"T",DCC_Leg1_Float),_xll.qGetFwdRate(Z$14,$O148,$O149,"T",DCC_Leg1_Float)))</f>
        <v>0</v>
      </c>
      <c r="AA148" s="703">
        <f>IF($O149=0,0,           IF(FRM,_xll.qGetFwdRate(AA$14,$O148,S148,"T",DCC_Leg1_Float),_xll.qGetFwdRate(AA$14,$O148,$O149,"T",DCC_Leg1_Float)))</f>
        <v>0</v>
      </c>
      <c r="AB148" s="703">
        <f t="shared" si="31"/>
        <v>0</v>
      </c>
      <c r="AC148" s="703">
        <f>IF($O149=0,0,           IF(FRM,_xll.qGetFwdRate(AC$14,$O148,U148,"T",DCC_Leg1_Float),_xll.qGetFwdRate(AC$14,$O148,$O149,"T",DCC_Leg1_Float)))</f>
        <v>0</v>
      </c>
      <c r="AD148" s="703">
        <f t="shared" si="36"/>
        <v>0</v>
      </c>
      <c r="AE148" s="703">
        <f t="shared" si="37"/>
        <v>0</v>
      </c>
      <c r="AF148" s="703">
        <f>IF($O149=0,0,           IF(FRM,_xll.qGetFwdRate(AF$14,$O148,X148,"T",DCC_Leg1_Float),_xll.qGetFwdRate(AF$14,$O148,$O149,"T",DCC_Leg1_Float)))</f>
        <v>0</v>
      </c>
      <c r="AG148" s="703">
        <f>IF($O149=0,0,           IF(FRM,_xll.qGetFwdRate(AG$14,$O148,Y148,"T",DCC_Leg1_Float),_xll.qGetFwdRate(AG$14,$O148,$O149,"T",DCC_Leg1_Float)))</f>
        <v>0</v>
      </c>
      <c r="AH148" s="685">
        <v>0</v>
      </c>
      <c r="AI148" s="667"/>
      <c r="AJ148" s="670">
        <f>IF(O149=0,0,             IF(ISNUMBER(AI148),AI148,             IF(ISTEXT(AI148),INDEX(Z148:AG148,MATCH(AI148,$Z$17:$AG$17,0)),           IF(AH148="INT",_xll.qInterp(O149,R148:Y148,Z148:AG148),       INDEX(Z148:AG148,MATCH(AH148,$Z$17:$AG$17,0))))))</f>
        <v>0</v>
      </c>
      <c r="AK148" s="732">
        <v>100</v>
      </c>
      <c r="AL148" s="721">
        <f t="shared" si="32"/>
        <v>0</v>
      </c>
      <c r="AM148" s="284">
        <f>IF($O149,_xll.qDateYears($O148,$O149,DCC_Leg1_Fixed),0)</f>
        <v>0</v>
      </c>
      <c r="AN148" s="284">
        <f>IF($O149,_xll.qDateYears($O148,$O149,DCC_Leg1_Float),0)</f>
        <v>0</v>
      </c>
      <c r="AP148" s="350">
        <f t="shared" si="38"/>
        <v>0</v>
      </c>
      <c r="AQ148" s="375">
        <f>IF(GenType_1a="Fixed",GenRate_1a%*$AL147*AM147,          IF(GenType_1a="Float",$AL147*(_xll.qGetFwdRate($D$18,$O147,$O148,"T",DCC_Leg1_Float)%+GenRate_1a%%)*$AN147,        IF(GenType_1a="bp (Fixed)",GenRate_1a%%*$AM147*$AL147,   IF(GenType_1a="bp (Float)",GenRate_1a%%*$AL147*$AN147,0))))</f>
        <v>0</v>
      </c>
      <c r="AR148" s="561"/>
      <c r="AT148" s="341">
        <f t="shared" si="28"/>
        <v>0</v>
      </c>
      <c r="AV148" s="356"/>
      <c r="AW148" s="122">
        <v>0</v>
      </c>
      <c r="AX148" s="128">
        <f t="shared" si="33"/>
        <v>0</v>
      </c>
      <c r="AY148" s="357">
        <v>0</v>
      </c>
      <c r="AZ148" s="699">
        <f>IF($AW149=0,0,        _xll.qDateNext($AW148,AZ$17,"M",TRUE,Currency2))</f>
        <v>0</v>
      </c>
      <c r="BA148" s="699">
        <f>IF($AW149=0,0,        _xll.qDateNext($AW148,BA$17,"M",TRUE,Currency2))</f>
        <v>0</v>
      </c>
      <c r="BB148" s="699">
        <f>IF($AW149=0,0,        _xll.qDateNext($AW148,BB$17,"M",TRUE,Currency2))</f>
        <v>0</v>
      </c>
      <c r="BC148" s="699">
        <f>IF($AW149=0,0,        _xll.qDateNext($AW148,BC$17,"M",TRUE,Currency2))</f>
        <v>0</v>
      </c>
      <c r="BD148" s="699">
        <f>IF($AW149=0,0,        _xll.qDateNext($AW148,BD$17,"M",TRUE,Currency2))</f>
        <v>0</v>
      </c>
      <c r="BE148" s="699">
        <f>IF($AW149=0,0,        _xll.qDateNext($AW148,BE$17,"M",TRUE,Currency2))</f>
        <v>0</v>
      </c>
      <c r="BF148" s="699">
        <f>IF($AW149=0,0,        _xll.qDateNext($AW148,BF$17,"M",TRUE,Currency2))</f>
        <v>0</v>
      </c>
      <c r="BG148" s="699">
        <f>IF($AW149=0,0,        _xll.qDateNext($AW148,BG$17,"M",TRUE,Currency2))</f>
        <v>0</v>
      </c>
      <c r="BH148" s="703">
        <v>0</v>
      </c>
      <c r="BI148" s="703">
        <v>0</v>
      </c>
      <c r="BJ148" s="703">
        <v>0</v>
      </c>
      <c r="BK148" s="703">
        <v>0</v>
      </c>
      <c r="BL148" s="703">
        <f t="shared" si="39"/>
        <v>0</v>
      </c>
      <c r="BM148" s="703">
        <f t="shared" si="40"/>
        <v>0</v>
      </c>
      <c r="BN148" s="703">
        <v>0</v>
      </c>
      <c r="BO148" s="703">
        <v>0</v>
      </c>
      <c r="BP148" s="685">
        <v>0</v>
      </c>
      <c r="BQ148" s="667"/>
      <c r="BR148" s="670">
        <f>IF(AW149=0,0,             IF(ISNUMBER(BQ148),BQ148,             IF(ISTEXT(BQ148),INDEX(BH148:BO148,MATCH(BQ148,$BH$17:$BO$17,0)),           IF(BP148="INT",_xll.qInterp(AW149,AZ148:BG148,BH148:BO148),       INDEX(BH148:BO148,MATCH(BP148,$BH$17:$BO$17,0))))))</f>
        <v>0</v>
      </c>
      <c r="BS148" s="731">
        <f t="shared" si="34"/>
        <v>0</v>
      </c>
      <c r="BT148" s="406">
        <f t="shared" si="35"/>
        <v>0</v>
      </c>
      <c r="BU148" s="284">
        <f>IF($AW149,_xll.qDateYears($AW148,$AW149,DCC_Leg2_Fixed),0)</f>
        <v>0</v>
      </c>
      <c r="BV148" s="284">
        <f>IF($AW149,_xll.qDateYears($AW148,$AW149,DCC_Leg2_Float),0)</f>
        <v>0</v>
      </c>
      <c r="BX148" s="350">
        <f t="shared" si="41"/>
        <v>0</v>
      </c>
      <c r="BY148" s="375">
        <f>IF(GenType_2a="Fixed",GenRate_2a%*$BT147*BU147,          IF(GenType_2a="Float",$BT147*(_xll.qGetFwdRate($J$18,$AW147,$AW148,"T",DCC_Leg2_Float)%+GenRate_2a%%)*$BV147,        IF(GenType_2a="bp (Fixed)",GenRate_2a%%*$BU147*$BT147,   IF(GenType_2a="bp (Float)",GenRate_2a%%*$BT147*$BV147,0))))</f>
        <v>0</v>
      </c>
      <c r="BZ148" s="561"/>
      <c r="CB148" s="341">
        <f t="shared" si="29"/>
        <v>0</v>
      </c>
      <c r="CC148" s="563"/>
      <c r="CD148" s="356"/>
      <c r="CE148" s="341">
        <v>0</v>
      </c>
      <c r="CF148" s="563"/>
      <c r="CG148" s="356"/>
    </row>
    <row r="149" spans="15:85">
      <c r="O149" s="122">
        <v>0</v>
      </c>
      <c r="P149" s="128">
        <f t="shared" si="30"/>
        <v>0</v>
      </c>
      <c r="Q149" s="126">
        <v>0</v>
      </c>
      <c r="R149" s="699">
        <f>IF($O150=0,0,        _xll.qDateNext($O149,R$17,"M",TRUE,Currency1))</f>
        <v>0</v>
      </c>
      <c r="S149" s="699">
        <f>IF($O150=0,0,        _xll.qDateNext($O149,S$17,"M",TRUE,Currency1))</f>
        <v>0</v>
      </c>
      <c r="T149" s="699">
        <f>IF($O150=0,0,        _xll.qDateNext($O149,T$17,"M",TRUE,Currency1))</f>
        <v>0</v>
      </c>
      <c r="U149" s="699">
        <f>IF($O150=0,0,        _xll.qDateNext($O149,U$17,"M",TRUE,Currency1))</f>
        <v>0</v>
      </c>
      <c r="V149" s="699">
        <f>IF($O150=0,0,        _xll.qDateNext($O149,V$17,"M",TRUE,Currency1))</f>
        <v>0</v>
      </c>
      <c r="W149" s="699">
        <f>IF($O150=0,0,        _xll.qDateNext($O149,W$17,"M",TRUE,Currency1))</f>
        <v>0</v>
      </c>
      <c r="X149" s="699">
        <f>IF($O150=0,0,        _xll.qDateNext($O149,X$17,"M",TRUE,Currency1))</f>
        <v>0</v>
      </c>
      <c r="Y149" s="699">
        <f>IF($O150=0,0,        _xll.qDateNext($O149,Y$17,"M",TRUE,Currency1))</f>
        <v>0</v>
      </c>
      <c r="Z149" s="703">
        <f>IF($O150=0,0,           IF(FRM,_xll.qGetFwdRate(Z$14,$O149,R149,"T",DCC_Leg1_Float),_xll.qGetFwdRate(Z$14,$O149,$O150,"T",DCC_Leg1_Float)))</f>
        <v>0</v>
      </c>
      <c r="AA149" s="703">
        <f>IF($O150=0,0,           IF(FRM,_xll.qGetFwdRate(AA$14,$O149,S149,"T",DCC_Leg1_Float),_xll.qGetFwdRate(AA$14,$O149,$O150,"T",DCC_Leg1_Float)))</f>
        <v>0</v>
      </c>
      <c r="AB149" s="703">
        <f t="shared" si="31"/>
        <v>0</v>
      </c>
      <c r="AC149" s="703">
        <f>IF($O150=0,0,           IF(FRM,_xll.qGetFwdRate(AC$14,$O149,U149,"T",DCC_Leg1_Float),_xll.qGetFwdRate(AC$14,$O149,$O150,"T",DCC_Leg1_Float)))</f>
        <v>0</v>
      </c>
      <c r="AD149" s="703">
        <f t="shared" si="36"/>
        <v>0</v>
      </c>
      <c r="AE149" s="703">
        <f t="shared" si="37"/>
        <v>0</v>
      </c>
      <c r="AF149" s="703">
        <f>IF($O150=0,0,           IF(FRM,_xll.qGetFwdRate(AF$14,$O149,X149,"T",DCC_Leg1_Float),_xll.qGetFwdRate(AF$14,$O149,$O150,"T",DCC_Leg1_Float)))</f>
        <v>0</v>
      </c>
      <c r="AG149" s="703">
        <f>IF($O150=0,0,           IF(FRM,_xll.qGetFwdRate(AG$14,$O149,Y149,"T",DCC_Leg1_Float),_xll.qGetFwdRate(AG$14,$O149,$O150,"T",DCC_Leg1_Float)))</f>
        <v>0</v>
      </c>
      <c r="AH149" s="685">
        <v>0</v>
      </c>
      <c r="AI149" s="667"/>
      <c r="AJ149" s="670">
        <f>IF(O150=0,0,             IF(ISNUMBER(AI149),AI149,             IF(ISTEXT(AI149),INDEX(Z149:AG149,MATCH(AI149,$Z$17:$AG$17,0)),           IF(AH149="INT",_xll.qInterp(O150,R149:Y149,Z149:AG149),       INDEX(Z149:AG149,MATCH(AH149,$Z$17:$AG$17,0))))))</f>
        <v>0</v>
      </c>
      <c r="AK149" s="732">
        <v>100</v>
      </c>
      <c r="AL149" s="721">
        <f t="shared" si="32"/>
        <v>0</v>
      </c>
      <c r="AM149" s="284">
        <f>IF($O150,_xll.qDateYears($O149,$O150,DCC_Leg1_Fixed),0)</f>
        <v>0</v>
      </c>
      <c r="AN149" s="284">
        <f>IF($O150,_xll.qDateYears($O149,$O150,DCC_Leg1_Float),0)</f>
        <v>0</v>
      </c>
      <c r="AP149" s="350">
        <f t="shared" si="38"/>
        <v>0</v>
      </c>
      <c r="AQ149" s="375">
        <f>IF(GenType_1a="Fixed",GenRate_1a%*$AL148*AM148,          IF(GenType_1a="Float",$AL148*(_xll.qGetFwdRate($D$18,$O148,$O149,"T",DCC_Leg1_Float)%+GenRate_1a%%)*$AN148,        IF(GenType_1a="bp (Fixed)",GenRate_1a%%*$AM148*$AL148,   IF(GenType_1a="bp (Float)",GenRate_1a%%*$AL148*$AN148,0))))</f>
        <v>0</v>
      </c>
      <c r="AR149" s="561"/>
      <c r="AT149" s="341">
        <f t="shared" si="28"/>
        <v>0</v>
      </c>
      <c r="AV149" s="356"/>
      <c r="AW149" s="122">
        <v>0</v>
      </c>
      <c r="AX149" s="128">
        <f t="shared" si="33"/>
        <v>0</v>
      </c>
      <c r="AY149" s="357">
        <v>0</v>
      </c>
      <c r="AZ149" s="699">
        <f>IF($AW150=0,0,        _xll.qDateNext($AW149,AZ$17,"M",TRUE,Currency2))</f>
        <v>0</v>
      </c>
      <c r="BA149" s="699">
        <f>IF($AW150=0,0,        _xll.qDateNext($AW149,BA$17,"M",TRUE,Currency2))</f>
        <v>0</v>
      </c>
      <c r="BB149" s="699">
        <f>IF($AW150=0,0,        _xll.qDateNext($AW149,BB$17,"M",TRUE,Currency2))</f>
        <v>0</v>
      </c>
      <c r="BC149" s="699">
        <f>IF($AW150=0,0,        _xll.qDateNext($AW149,BC$17,"M",TRUE,Currency2))</f>
        <v>0</v>
      </c>
      <c r="BD149" s="699">
        <f>IF($AW150=0,0,        _xll.qDateNext($AW149,BD$17,"M",TRUE,Currency2))</f>
        <v>0</v>
      </c>
      <c r="BE149" s="699">
        <f>IF($AW150=0,0,        _xll.qDateNext($AW149,BE$17,"M",TRUE,Currency2))</f>
        <v>0</v>
      </c>
      <c r="BF149" s="699">
        <f>IF($AW150=0,0,        _xll.qDateNext($AW149,BF$17,"M",TRUE,Currency2))</f>
        <v>0</v>
      </c>
      <c r="BG149" s="699">
        <f>IF($AW150=0,0,        _xll.qDateNext($AW149,BG$17,"M",TRUE,Currency2))</f>
        <v>0</v>
      </c>
      <c r="BH149" s="703">
        <v>0</v>
      </c>
      <c r="BI149" s="703">
        <v>0</v>
      </c>
      <c r="BJ149" s="703">
        <v>0</v>
      </c>
      <c r="BK149" s="703">
        <v>0</v>
      </c>
      <c r="BL149" s="703">
        <f t="shared" si="39"/>
        <v>0</v>
      </c>
      <c r="BM149" s="703">
        <f t="shared" si="40"/>
        <v>0</v>
      </c>
      <c r="BN149" s="703">
        <v>0</v>
      </c>
      <c r="BO149" s="703">
        <v>0</v>
      </c>
      <c r="BP149" s="685">
        <v>0</v>
      </c>
      <c r="BQ149" s="667"/>
      <c r="BR149" s="670">
        <f>IF(AW150=0,0,             IF(ISNUMBER(BQ149),BQ149,             IF(ISTEXT(BQ149),INDEX(BH149:BO149,MATCH(BQ149,$BH$17:$BO$17,0)),           IF(BP149="INT",_xll.qInterp(AW150,AZ149:BG149,BH149:BO149),       INDEX(BH149:BO149,MATCH(BP149,$BH$17:$BO$17,0))))))</f>
        <v>0</v>
      </c>
      <c r="BS149" s="731">
        <f t="shared" si="34"/>
        <v>0</v>
      </c>
      <c r="BT149" s="406">
        <f t="shared" si="35"/>
        <v>0</v>
      </c>
      <c r="BU149" s="284">
        <f>IF($AW150,_xll.qDateYears($AW149,$AW150,DCC_Leg2_Fixed),0)</f>
        <v>0</v>
      </c>
      <c r="BV149" s="284">
        <f>IF($AW150,_xll.qDateYears($AW149,$AW150,DCC_Leg2_Float),0)</f>
        <v>0</v>
      </c>
      <c r="BX149" s="350">
        <f t="shared" si="41"/>
        <v>0</v>
      </c>
      <c r="BY149" s="375">
        <f>IF(GenType_2a="Fixed",GenRate_2a%*$BT148*BU148,          IF(GenType_2a="Float",$BT148*(_xll.qGetFwdRate($J$18,$AW148,$AW149,"T",DCC_Leg2_Float)%+GenRate_2a%%)*$BV148,        IF(GenType_2a="bp (Fixed)",GenRate_2a%%*$BU148*$BT148,   IF(GenType_2a="bp (Float)",GenRate_2a%%*$BT148*$BV148,0))))</f>
        <v>0</v>
      </c>
      <c r="BZ149" s="561"/>
      <c r="CB149" s="341">
        <f t="shared" si="29"/>
        <v>0</v>
      </c>
      <c r="CC149" s="563"/>
      <c r="CD149" s="356"/>
      <c r="CE149" s="341">
        <v>0</v>
      </c>
      <c r="CF149" s="563"/>
      <c r="CG149" s="356"/>
    </row>
    <row r="150" spans="15:85">
      <c r="O150" s="122">
        <v>0</v>
      </c>
      <c r="P150" s="128">
        <f t="shared" si="30"/>
        <v>0</v>
      </c>
      <c r="Q150" s="126">
        <v>0</v>
      </c>
      <c r="R150" s="699">
        <f>IF($O151=0,0,        _xll.qDateNext($O150,R$17,"M",TRUE,Currency1))</f>
        <v>0</v>
      </c>
      <c r="S150" s="699">
        <f>IF($O151=0,0,        _xll.qDateNext($O150,S$17,"M",TRUE,Currency1))</f>
        <v>0</v>
      </c>
      <c r="T150" s="699">
        <f>IF($O151=0,0,        _xll.qDateNext($O150,T$17,"M",TRUE,Currency1))</f>
        <v>0</v>
      </c>
      <c r="U150" s="699">
        <f>IF($O151=0,0,        _xll.qDateNext($O150,U$17,"M",TRUE,Currency1))</f>
        <v>0</v>
      </c>
      <c r="V150" s="699">
        <f>IF($O151=0,0,        _xll.qDateNext($O150,V$17,"M",TRUE,Currency1))</f>
        <v>0</v>
      </c>
      <c r="W150" s="699">
        <f>IF($O151=0,0,        _xll.qDateNext($O150,W$17,"M",TRUE,Currency1))</f>
        <v>0</v>
      </c>
      <c r="X150" s="699">
        <f>IF($O151=0,0,        _xll.qDateNext($O150,X$17,"M",TRUE,Currency1))</f>
        <v>0</v>
      </c>
      <c r="Y150" s="699">
        <f>IF($O151=0,0,        _xll.qDateNext($O150,Y$17,"M",TRUE,Currency1))</f>
        <v>0</v>
      </c>
      <c r="Z150" s="703">
        <f>IF($O151=0,0,           IF(FRM,_xll.qGetFwdRate(Z$14,$O150,R150,"T",DCC_Leg1_Float),_xll.qGetFwdRate(Z$14,$O150,$O151,"T",DCC_Leg1_Float)))</f>
        <v>0</v>
      </c>
      <c r="AA150" s="703">
        <f>IF($O151=0,0,           IF(FRM,_xll.qGetFwdRate(AA$14,$O150,S150,"T",DCC_Leg1_Float),_xll.qGetFwdRate(AA$14,$O150,$O151,"T",DCC_Leg1_Float)))</f>
        <v>0</v>
      </c>
      <c r="AB150" s="703">
        <f t="shared" si="31"/>
        <v>0</v>
      </c>
      <c r="AC150" s="703">
        <f>IF($O151=0,0,           IF(FRM,_xll.qGetFwdRate(AC$14,$O150,U150,"T",DCC_Leg1_Float),_xll.qGetFwdRate(AC$14,$O150,$O151,"T",DCC_Leg1_Float)))</f>
        <v>0</v>
      </c>
      <c r="AD150" s="703">
        <f t="shared" si="36"/>
        <v>0</v>
      </c>
      <c r="AE150" s="703">
        <f t="shared" si="37"/>
        <v>0</v>
      </c>
      <c r="AF150" s="703">
        <f>IF($O151=0,0,           IF(FRM,_xll.qGetFwdRate(AF$14,$O150,X150,"T",DCC_Leg1_Float),_xll.qGetFwdRate(AF$14,$O150,$O151,"T",DCC_Leg1_Float)))</f>
        <v>0</v>
      </c>
      <c r="AG150" s="703">
        <f>IF($O151=0,0,           IF(FRM,_xll.qGetFwdRate(AG$14,$O150,Y150,"T",DCC_Leg1_Float),_xll.qGetFwdRate(AG$14,$O150,$O151,"T",DCC_Leg1_Float)))</f>
        <v>0</v>
      </c>
      <c r="AH150" s="685">
        <v>0</v>
      </c>
      <c r="AI150" s="667"/>
      <c r="AJ150" s="670">
        <f>IF(O151=0,0,             IF(ISNUMBER(AI150),AI150,             IF(ISTEXT(AI150),INDEX(Z150:AG150,MATCH(AI150,$Z$17:$AG$17,0)),           IF(AH150="INT",_xll.qInterp(O151,R150:Y150,Z150:AG150),       INDEX(Z150:AG150,MATCH(AH150,$Z$17:$AG$17,0))))))</f>
        <v>0</v>
      </c>
      <c r="AK150" s="732">
        <v>100</v>
      </c>
      <c r="AL150" s="721">
        <f t="shared" si="32"/>
        <v>0</v>
      </c>
      <c r="AM150" s="284">
        <f>IF($O151,_xll.qDateYears($O150,$O151,DCC_Leg1_Fixed),0)</f>
        <v>0</v>
      </c>
      <c r="AN150" s="284">
        <f>IF($O151,_xll.qDateYears($O150,$O151,DCC_Leg1_Float),0)</f>
        <v>0</v>
      </c>
      <c r="AP150" s="350">
        <f t="shared" si="38"/>
        <v>0</v>
      </c>
      <c r="AQ150" s="375">
        <f>IF(GenType_1a="Fixed",GenRate_1a%*$AL149*AM149,          IF(GenType_1a="Float",$AL149*(_xll.qGetFwdRate($D$18,$O149,$O150,"T",DCC_Leg1_Float)%+GenRate_1a%%)*$AN149,        IF(GenType_1a="bp (Fixed)",GenRate_1a%%*$AM149*$AL149,   IF(GenType_1a="bp (Float)",GenRate_1a%%*$AL149*$AN149,0))))</f>
        <v>0</v>
      </c>
      <c r="AR150" s="561"/>
      <c r="AT150" s="341">
        <f t="shared" si="28"/>
        <v>0</v>
      </c>
      <c r="AV150" s="356"/>
      <c r="AW150" s="122">
        <v>0</v>
      </c>
      <c r="AX150" s="128">
        <f t="shared" si="33"/>
        <v>0</v>
      </c>
      <c r="AY150" s="357">
        <v>0</v>
      </c>
      <c r="AZ150" s="699">
        <f>IF($AW151=0,0,        _xll.qDateNext($AW150,AZ$17,"M",TRUE,Currency2))</f>
        <v>0</v>
      </c>
      <c r="BA150" s="699">
        <f>IF($AW151=0,0,        _xll.qDateNext($AW150,BA$17,"M",TRUE,Currency2))</f>
        <v>0</v>
      </c>
      <c r="BB150" s="699">
        <f>IF($AW151=0,0,        _xll.qDateNext($AW150,BB$17,"M",TRUE,Currency2))</f>
        <v>0</v>
      </c>
      <c r="BC150" s="699">
        <f>IF($AW151=0,0,        _xll.qDateNext($AW150,BC$17,"M",TRUE,Currency2))</f>
        <v>0</v>
      </c>
      <c r="BD150" s="699">
        <f>IF($AW151=0,0,        _xll.qDateNext($AW150,BD$17,"M",TRUE,Currency2))</f>
        <v>0</v>
      </c>
      <c r="BE150" s="699">
        <f>IF($AW151=0,0,        _xll.qDateNext($AW150,BE$17,"M",TRUE,Currency2))</f>
        <v>0</v>
      </c>
      <c r="BF150" s="699">
        <f>IF($AW151=0,0,        _xll.qDateNext($AW150,BF$17,"M",TRUE,Currency2))</f>
        <v>0</v>
      </c>
      <c r="BG150" s="699">
        <f>IF($AW151=0,0,        _xll.qDateNext($AW150,BG$17,"M",TRUE,Currency2))</f>
        <v>0</v>
      </c>
      <c r="BH150" s="703">
        <v>0</v>
      </c>
      <c r="BI150" s="703">
        <v>0</v>
      </c>
      <c r="BJ150" s="703">
        <v>0</v>
      </c>
      <c r="BK150" s="703">
        <v>0</v>
      </c>
      <c r="BL150" s="703">
        <f t="shared" si="39"/>
        <v>0</v>
      </c>
      <c r="BM150" s="703">
        <f t="shared" si="40"/>
        <v>0</v>
      </c>
      <c r="BN150" s="703">
        <v>0</v>
      </c>
      <c r="BO150" s="703">
        <v>0</v>
      </c>
      <c r="BP150" s="685">
        <v>0</v>
      </c>
      <c r="BQ150" s="667"/>
      <c r="BR150" s="670">
        <f>IF(AW151=0,0,             IF(ISNUMBER(BQ150),BQ150,             IF(ISTEXT(BQ150),INDEX(BH150:BO150,MATCH(BQ150,$BH$17:$BO$17,0)),           IF(BP150="INT",_xll.qInterp(AW151,AZ150:BG150,BH150:BO150),       INDEX(BH150:BO150,MATCH(BP150,$BH$17:$BO$17,0))))))</f>
        <v>0</v>
      </c>
      <c r="BS150" s="731">
        <f t="shared" si="34"/>
        <v>0</v>
      </c>
      <c r="BT150" s="406">
        <f t="shared" si="35"/>
        <v>0</v>
      </c>
      <c r="BU150" s="284">
        <f>IF($AW151,_xll.qDateYears($AW150,$AW151,DCC_Leg2_Fixed),0)</f>
        <v>0</v>
      </c>
      <c r="BV150" s="284">
        <f>IF($AW151,_xll.qDateYears($AW150,$AW151,DCC_Leg2_Float),0)</f>
        <v>0</v>
      </c>
      <c r="BX150" s="350">
        <f t="shared" si="41"/>
        <v>0</v>
      </c>
      <c r="BY150" s="375">
        <f>IF(GenType_2a="Fixed",GenRate_2a%*$BT149*BU149,          IF(GenType_2a="Float",$BT149*(_xll.qGetFwdRate($J$18,$AW149,$AW150,"T",DCC_Leg2_Float)%+GenRate_2a%%)*$BV149,        IF(GenType_2a="bp (Fixed)",GenRate_2a%%*$BU149*$BT149,   IF(GenType_2a="bp (Float)",GenRate_2a%%*$BT149*$BV149,0))))</f>
        <v>0</v>
      </c>
      <c r="BZ150" s="561"/>
      <c r="CB150" s="341">
        <f t="shared" si="29"/>
        <v>0</v>
      </c>
      <c r="CC150" s="563"/>
      <c r="CD150" s="356"/>
      <c r="CE150" s="341">
        <v>0</v>
      </c>
      <c r="CF150" s="563"/>
      <c r="CG150" s="356"/>
    </row>
    <row r="151" spans="15:85">
      <c r="O151" s="122">
        <v>0</v>
      </c>
      <c r="P151" s="128">
        <f t="shared" si="30"/>
        <v>0</v>
      </c>
      <c r="Q151" s="126">
        <v>0</v>
      </c>
      <c r="R151" s="699">
        <f>IF($O152=0,0,        _xll.qDateNext($O151,R$17,"M",TRUE,Currency1))</f>
        <v>0</v>
      </c>
      <c r="S151" s="699">
        <f>IF($O152=0,0,        _xll.qDateNext($O151,S$17,"M",TRUE,Currency1))</f>
        <v>0</v>
      </c>
      <c r="T151" s="699">
        <f>IF($O152=0,0,        _xll.qDateNext($O151,T$17,"M",TRUE,Currency1))</f>
        <v>0</v>
      </c>
      <c r="U151" s="699">
        <f>IF($O152=0,0,        _xll.qDateNext($O151,U$17,"M",TRUE,Currency1))</f>
        <v>0</v>
      </c>
      <c r="V151" s="699">
        <f>IF($O152=0,0,        _xll.qDateNext($O151,V$17,"M",TRUE,Currency1))</f>
        <v>0</v>
      </c>
      <c r="W151" s="699">
        <f>IF($O152=0,0,        _xll.qDateNext($O151,W$17,"M",TRUE,Currency1))</f>
        <v>0</v>
      </c>
      <c r="X151" s="699">
        <f>IF($O152=0,0,        _xll.qDateNext($O151,X$17,"M",TRUE,Currency1))</f>
        <v>0</v>
      </c>
      <c r="Y151" s="699">
        <f>IF($O152=0,0,        _xll.qDateNext($O151,Y$17,"M",TRUE,Currency1))</f>
        <v>0</v>
      </c>
      <c r="Z151" s="703">
        <f>IF($O152=0,0,           IF(FRM,_xll.qGetFwdRate(Z$14,$O151,R151,"T",DCC_Leg1_Float),_xll.qGetFwdRate(Z$14,$O151,$O152,"T",DCC_Leg1_Float)))</f>
        <v>0</v>
      </c>
      <c r="AA151" s="703">
        <f>IF($O152=0,0,           IF(FRM,_xll.qGetFwdRate(AA$14,$O151,S151,"T",DCC_Leg1_Float),_xll.qGetFwdRate(AA$14,$O151,$O152,"T",DCC_Leg1_Float)))</f>
        <v>0</v>
      </c>
      <c r="AB151" s="703">
        <f t="shared" si="31"/>
        <v>0</v>
      </c>
      <c r="AC151" s="703">
        <f>IF($O152=0,0,           IF(FRM,_xll.qGetFwdRate(AC$14,$O151,U151,"T",DCC_Leg1_Float),_xll.qGetFwdRate(AC$14,$O151,$O152,"T",DCC_Leg1_Float)))</f>
        <v>0</v>
      </c>
      <c r="AD151" s="703">
        <f t="shared" si="36"/>
        <v>0</v>
      </c>
      <c r="AE151" s="703">
        <f t="shared" si="37"/>
        <v>0</v>
      </c>
      <c r="AF151" s="703">
        <f>IF($O152=0,0,           IF(FRM,_xll.qGetFwdRate(AF$14,$O151,X151,"T",DCC_Leg1_Float),_xll.qGetFwdRate(AF$14,$O151,$O152,"T",DCC_Leg1_Float)))</f>
        <v>0</v>
      </c>
      <c r="AG151" s="703">
        <f>IF($O152=0,0,           IF(FRM,_xll.qGetFwdRate(AG$14,$O151,Y151,"T",DCC_Leg1_Float),_xll.qGetFwdRate(AG$14,$O151,$O152,"T",DCC_Leg1_Float)))</f>
        <v>0</v>
      </c>
      <c r="AH151" s="685">
        <v>0</v>
      </c>
      <c r="AI151" s="667"/>
      <c r="AJ151" s="670">
        <f>IF(O152=0,0,             IF(ISNUMBER(AI151),AI151,             IF(ISTEXT(AI151),INDEX(Z151:AG151,MATCH(AI151,$Z$17:$AG$17,0)),           IF(AH151="INT",_xll.qInterp(O152,R151:Y151,Z151:AG151),       INDEX(Z151:AG151,MATCH(AH151,$Z$17:$AG$17,0))))))</f>
        <v>0</v>
      </c>
      <c r="AK151" s="732">
        <v>100</v>
      </c>
      <c r="AL151" s="721">
        <f t="shared" si="32"/>
        <v>0</v>
      </c>
      <c r="AM151" s="284">
        <f>IF($O152,_xll.qDateYears($O151,$O152,DCC_Leg1_Fixed),0)</f>
        <v>0</v>
      </c>
      <c r="AN151" s="284">
        <f>IF($O152,_xll.qDateYears($O151,$O152,DCC_Leg1_Float),0)</f>
        <v>0</v>
      </c>
      <c r="AP151" s="350">
        <f t="shared" si="38"/>
        <v>0</v>
      </c>
      <c r="AQ151" s="375">
        <f>IF(GenType_1a="Fixed",GenRate_1a%*$AL150*AM150,          IF(GenType_1a="Float",$AL150*(_xll.qGetFwdRate($D$18,$O150,$O151,"T",DCC_Leg1_Float)%+GenRate_1a%%)*$AN150,        IF(GenType_1a="bp (Fixed)",GenRate_1a%%*$AM150*$AL150,   IF(GenType_1a="bp (Float)",GenRate_1a%%*$AL150*$AN150,0))))</f>
        <v>0</v>
      </c>
      <c r="AR151" s="561"/>
      <c r="AT151" s="341">
        <f t="shared" si="28"/>
        <v>0</v>
      </c>
      <c r="AV151" s="356"/>
      <c r="AW151" s="122">
        <v>0</v>
      </c>
      <c r="AX151" s="128">
        <f t="shared" si="33"/>
        <v>0</v>
      </c>
      <c r="AY151" s="357">
        <v>0</v>
      </c>
      <c r="AZ151" s="699">
        <f>IF($AW152=0,0,        _xll.qDateNext($AW151,AZ$17,"M",TRUE,Currency2))</f>
        <v>0</v>
      </c>
      <c r="BA151" s="699">
        <f>IF($AW152=0,0,        _xll.qDateNext($AW151,BA$17,"M",TRUE,Currency2))</f>
        <v>0</v>
      </c>
      <c r="BB151" s="699">
        <f>IF($AW152=0,0,        _xll.qDateNext($AW151,BB$17,"M",TRUE,Currency2))</f>
        <v>0</v>
      </c>
      <c r="BC151" s="699">
        <f>IF($AW152=0,0,        _xll.qDateNext($AW151,BC$17,"M",TRUE,Currency2))</f>
        <v>0</v>
      </c>
      <c r="BD151" s="699">
        <f>IF($AW152=0,0,        _xll.qDateNext($AW151,BD$17,"M",TRUE,Currency2))</f>
        <v>0</v>
      </c>
      <c r="BE151" s="699">
        <f>IF($AW152=0,0,        _xll.qDateNext($AW151,BE$17,"M",TRUE,Currency2))</f>
        <v>0</v>
      </c>
      <c r="BF151" s="699">
        <f>IF($AW152=0,0,        _xll.qDateNext($AW151,BF$17,"M",TRUE,Currency2))</f>
        <v>0</v>
      </c>
      <c r="BG151" s="699">
        <f>IF($AW152=0,0,        _xll.qDateNext($AW151,BG$17,"M",TRUE,Currency2))</f>
        <v>0</v>
      </c>
      <c r="BH151" s="703">
        <v>0</v>
      </c>
      <c r="BI151" s="703">
        <v>0</v>
      </c>
      <c r="BJ151" s="703">
        <v>0</v>
      </c>
      <c r="BK151" s="703">
        <v>0</v>
      </c>
      <c r="BL151" s="703">
        <f t="shared" si="39"/>
        <v>0</v>
      </c>
      <c r="BM151" s="703">
        <f t="shared" si="40"/>
        <v>0</v>
      </c>
      <c r="BN151" s="703">
        <v>0</v>
      </c>
      <c r="BO151" s="703">
        <v>0</v>
      </c>
      <c r="BP151" s="685">
        <v>0</v>
      </c>
      <c r="BQ151" s="667"/>
      <c r="BR151" s="670">
        <f>IF(AW152=0,0,             IF(ISNUMBER(BQ151),BQ151,             IF(ISTEXT(BQ151),INDEX(BH151:BO151,MATCH(BQ151,$BH$17:$BO$17,0)),           IF(BP151="INT",_xll.qInterp(AW152,AZ151:BG151,BH151:BO151),       INDEX(BH151:BO151,MATCH(BP151,$BH$17:$BO$17,0))))))</f>
        <v>0</v>
      </c>
      <c r="BS151" s="731">
        <f t="shared" si="34"/>
        <v>0</v>
      </c>
      <c r="BT151" s="406">
        <f t="shared" si="35"/>
        <v>0</v>
      </c>
      <c r="BU151" s="284">
        <f>IF($AW152,_xll.qDateYears($AW151,$AW152,DCC_Leg2_Fixed),0)</f>
        <v>0</v>
      </c>
      <c r="BV151" s="284">
        <f>IF($AW152,_xll.qDateYears($AW151,$AW152,DCC_Leg2_Float),0)</f>
        <v>0</v>
      </c>
      <c r="BX151" s="350">
        <f t="shared" si="41"/>
        <v>0</v>
      </c>
      <c r="BY151" s="375">
        <f>IF(GenType_2a="Fixed",GenRate_2a%*$BT150*BU150,          IF(GenType_2a="Float",$BT150*(_xll.qGetFwdRate($J$18,$AW150,$AW151,"T",DCC_Leg2_Float)%+GenRate_2a%%)*$BV150,        IF(GenType_2a="bp (Fixed)",GenRate_2a%%*$BU150*$BT150,   IF(GenType_2a="bp (Float)",GenRate_2a%%*$BT150*$BV150,0))))</f>
        <v>0</v>
      </c>
      <c r="BZ151" s="561"/>
      <c r="CB151" s="341">
        <f t="shared" si="29"/>
        <v>0</v>
      </c>
      <c r="CC151" s="563"/>
      <c r="CD151" s="356"/>
      <c r="CE151" s="341">
        <v>0</v>
      </c>
      <c r="CF151" s="563"/>
      <c r="CG151" s="356"/>
    </row>
    <row r="152" spans="15:85">
      <c r="O152" s="122">
        <v>0</v>
      </c>
      <c r="P152" s="128">
        <f t="shared" si="30"/>
        <v>0</v>
      </c>
      <c r="Q152" s="126">
        <v>0</v>
      </c>
      <c r="R152" s="699">
        <f>IF($O153=0,0,        _xll.qDateNext($O152,R$17,"M",TRUE,Currency1))</f>
        <v>0</v>
      </c>
      <c r="S152" s="699">
        <f>IF($O153=0,0,        _xll.qDateNext($O152,S$17,"M",TRUE,Currency1))</f>
        <v>0</v>
      </c>
      <c r="T152" s="699">
        <f>IF($O153=0,0,        _xll.qDateNext($O152,T$17,"M",TRUE,Currency1))</f>
        <v>0</v>
      </c>
      <c r="U152" s="699">
        <f>IF($O153=0,0,        _xll.qDateNext($O152,U$17,"M",TRUE,Currency1))</f>
        <v>0</v>
      </c>
      <c r="V152" s="699">
        <f>IF($O153=0,0,        _xll.qDateNext($O152,V$17,"M",TRUE,Currency1))</f>
        <v>0</v>
      </c>
      <c r="W152" s="699">
        <f>IF($O153=0,0,        _xll.qDateNext($O152,W$17,"M",TRUE,Currency1))</f>
        <v>0</v>
      </c>
      <c r="X152" s="699">
        <f>IF($O153=0,0,        _xll.qDateNext($O152,X$17,"M",TRUE,Currency1))</f>
        <v>0</v>
      </c>
      <c r="Y152" s="699">
        <f>IF($O153=0,0,        _xll.qDateNext($O152,Y$17,"M",TRUE,Currency1))</f>
        <v>0</v>
      </c>
      <c r="Z152" s="703">
        <f>IF($O153=0,0,           IF(FRM,_xll.qGetFwdRate(Z$14,$O152,R152,"T",DCC_Leg1_Float),_xll.qGetFwdRate(Z$14,$O152,$O153,"T",DCC_Leg1_Float)))</f>
        <v>0</v>
      </c>
      <c r="AA152" s="703">
        <f>IF($O153=0,0,           IF(FRM,_xll.qGetFwdRate(AA$14,$O152,S152,"T",DCC_Leg1_Float),_xll.qGetFwdRate(AA$14,$O152,$O153,"T",DCC_Leg1_Float)))</f>
        <v>0</v>
      </c>
      <c r="AB152" s="703">
        <f t="shared" si="31"/>
        <v>0</v>
      </c>
      <c r="AC152" s="703">
        <f>IF($O153=0,0,           IF(FRM,_xll.qGetFwdRate(AC$14,$O152,U152,"T",DCC_Leg1_Float),_xll.qGetFwdRate(AC$14,$O152,$O153,"T",DCC_Leg1_Float)))</f>
        <v>0</v>
      </c>
      <c r="AD152" s="703">
        <f t="shared" si="36"/>
        <v>0</v>
      </c>
      <c r="AE152" s="703">
        <f t="shared" si="37"/>
        <v>0</v>
      </c>
      <c r="AF152" s="703">
        <f>IF($O153=0,0,           IF(FRM,_xll.qGetFwdRate(AF$14,$O152,X152,"T",DCC_Leg1_Float),_xll.qGetFwdRate(AF$14,$O152,$O153,"T",DCC_Leg1_Float)))</f>
        <v>0</v>
      </c>
      <c r="AG152" s="703">
        <f>IF($O153=0,0,           IF(FRM,_xll.qGetFwdRate(AG$14,$O152,Y152,"T",DCC_Leg1_Float),_xll.qGetFwdRate(AG$14,$O152,$O153,"T",DCC_Leg1_Float)))</f>
        <v>0</v>
      </c>
      <c r="AH152" s="685">
        <v>0</v>
      </c>
      <c r="AI152" s="667"/>
      <c r="AJ152" s="670">
        <f>IF(O153=0,0,             IF(ISNUMBER(AI152),AI152,             IF(ISTEXT(AI152),INDEX(Z152:AG152,MATCH(AI152,$Z$17:$AG$17,0)),           IF(AH152="INT",_xll.qInterp(O153,R152:Y152,Z152:AG152),       INDEX(Z152:AG152,MATCH(AH152,$Z$17:$AG$17,0))))))</f>
        <v>0</v>
      </c>
      <c r="AK152" s="732">
        <v>100</v>
      </c>
      <c r="AL152" s="721">
        <f t="shared" si="32"/>
        <v>0</v>
      </c>
      <c r="AM152" s="284">
        <f>IF($O153,_xll.qDateYears($O152,$O153,DCC_Leg1_Fixed),0)</f>
        <v>0</v>
      </c>
      <c r="AN152" s="284">
        <f>IF($O153,_xll.qDateYears($O152,$O153,DCC_Leg1_Float),0)</f>
        <v>0</v>
      </c>
      <c r="AP152" s="350">
        <f t="shared" si="38"/>
        <v>0</v>
      </c>
      <c r="AQ152" s="375">
        <f>IF(GenType_1a="Fixed",GenRate_1a%*$AL151*AM151,          IF(GenType_1a="Float",$AL151*(_xll.qGetFwdRate($D$18,$O151,$O152,"T",DCC_Leg1_Float)%+GenRate_1a%%)*$AN151,        IF(GenType_1a="bp (Fixed)",GenRate_1a%%*$AM151*$AL151,   IF(GenType_1a="bp (Float)",GenRate_1a%%*$AL151*$AN151,0))))</f>
        <v>0</v>
      </c>
      <c r="AR152" s="561"/>
      <c r="AT152" s="341">
        <f t="shared" si="28"/>
        <v>0</v>
      </c>
      <c r="AV152" s="356"/>
      <c r="AW152" s="122">
        <v>0</v>
      </c>
      <c r="AX152" s="128">
        <f t="shared" si="33"/>
        <v>0</v>
      </c>
      <c r="AY152" s="357">
        <v>0</v>
      </c>
      <c r="AZ152" s="699">
        <f>IF($AW153=0,0,        _xll.qDateNext($AW152,AZ$17,"M",TRUE,Currency2))</f>
        <v>0</v>
      </c>
      <c r="BA152" s="699">
        <f>IF($AW153=0,0,        _xll.qDateNext($AW152,BA$17,"M",TRUE,Currency2))</f>
        <v>0</v>
      </c>
      <c r="BB152" s="699">
        <f>IF($AW153=0,0,        _xll.qDateNext($AW152,BB$17,"M",TRUE,Currency2))</f>
        <v>0</v>
      </c>
      <c r="BC152" s="699">
        <f>IF($AW153=0,0,        _xll.qDateNext($AW152,BC$17,"M",TRUE,Currency2))</f>
        <v>0</v>
      </c>
      <c r="BD152" s="699">
        <f>IF($AW153=0,0,        _xll.qDateNext($AW152,BD$17,"M",TRUE,Currency2))</f>
        <v>0</v>
      </c>
      <c r="BE152" s="699">
        <f>IF($AW153=0,0,        _xll.qDateNext($AW152,BE$17,"M",TRUE,Currency2))</f>
        <v>0</v>
      </c>
      <c r="BF152" s="699">
        <f>IF($AW153=0,0,        _xll.qDateNext($AW152,BF$17,"M",TRUE,Currency2))</f>
        <v>0</v>
      </c>
      <c r="BG152" s="699">
        <f>IF($AW153=0,0,        _xll.qDateNext($AW152,BG$17,"M",TRUE,Currency2))</f>
        <v>0</v>
      </c>
      <c r="BH152" s="703">
        <v>0</v>
      </c>
      <c r="BI152" s="703">
        <v>0</v>
      </c>
      <c r="BJ152" s="703">
        <v>0</v>
      </c>
      <c r="BK152" s="703">
        <v>0</v>
      </c>
      <c r="BL152" s="703">
        <f t="shared" si="39"/>
        <v>0</v>
      </c>
      <c r="BM152" s="703">
        <f t="shared" si="40"/>
        <v>0</v>
      </c>
      <c r="BN152" s="703">
        <v>0</v>
      </c>
      <c r="BO152" s="703">
        <v>0</v>
      </c>
      <c r="BP152" s="685">
        <v>0</v>
      </c>
      <c r="BQ152" s="667"/>
      <c r="BR152" s="670">
        <f>IF(AW153=0,0,             IF(ISNUMBER(BQ152),BQ152,             IF(ISTEXT(BQ152),INDEX(BH152:BO152,MATCH(BQ152,$BH$17:$BO$17,0)),           IF(BP152="INT",_xll.qInterp(AW153,AZ152:BG152,BH152:BO152),       INDEX(BH152:BO152,MATCH(BP152,$BH$17:$BO$17,0))))))</f>
        <v>0</v>
      </c>
      <c r="BS152" s="731">
        <f t="shared" si="34"/>
        <v>0</v>
      </c>
      <c r="BT152" s="406">
        <f t="shared" si="35"/>
        <v>0</v>
      </c>
      <c r="BU152" s="284">
        <f>IF($AW153,_xll.qDateYears($AW152,$AW153,DCC_Leg2_Fixed),0)</f>
        <v>0</v>
      </c>
      <c r="BV152" s="284">
        <f>IF($AW153,_xll.qDateYears($AW152,$AW153,DCC_Leg2_Float),0)</f>
        <v>0</v>
      </c>
      <c r="BX152" s="350">
        <f t="shared" si="41"/>
        <v>0</v>
      </c>
      <c r="BY152" s="375">
        <f>IF(GenType_2a="Fixed",GenRate_2a%*$BT151*BU151,          IF(GenType_2a="Float",$BT151*(_xll.qGetFwdRate($J$18,$AW151,$AW152,"T",DCC_Leg2_Float)%+GenRate_2a%%)*$BV151,        IF(GenType_2a="bp (Fixed)",GenRate_2a%%*$BU151*$BT151,   IF(GenType_2a="bp (Float)",GenRate_2a%%*$BT151*$BV151,0))))</f>
        <v>0</v>
      </c>
      <c r="BZ152" s="561"/>
      <c r="CB152" s="341">
        <f t="shared" si="29"/>
        <v>0</v>
      </c>
      <c r="CC152" s="563"/>
      <c r="CD152" s="356"/>
      <c r="CE152" s="341">
        <v>0</v>
      </c>
      <c r="CF152" s="563"/>
      <c r="CG152" s="356"/>
    </row>
    <row r="153" spans="15:85">
      <c r="O153" s="122">
        <v>0</v>
      </c>
      <c r="P153" s="128">
        <f t="shared" si="30"/>
        <v>0</v>
      </c>
      <c r="Q153" s="126">
        <v>0</v>
      </c>
      <c r="R153" s="699">
        <f>IF($O154=0,0,        _xll.qDateNext($O153,R$17,"M",TRUE,Currency1))</f>
        <v>0</v>
      </c>
      <c r="S153" s="699">
        <f>IF($O154=0,0,        _xll.qDateNext($O153,S$17,"M",TRUE,Currency1))</f>
        <v>0</v>
      </c>
      <c r="T153" s="699">
        <f>IF($O154=0,0,        _xll.qDateNext($O153,T$17,"M",TRUE,Currency1))</f>
        <v>0</v>
      </c>
      <c r="U153" s="699">
        <f>IF($O154=0,0,        _xll.qDateNext($O153,U$17,"M",TRUE,Currency1))</f>
        <v>0</v>
      </c>
      <c r="V153" s="699">
        <f>IF($O154=0,0,        _xll.qDateNext($O153,V$17,"M",TRUE,Currency1))</f>
        <v>0</v>
      </c>
      <c r="W153" s="699">
        <f>IF($O154=0,0,        _xll.qDateNext($O153,W$17,"M",TRUE,Currency1))</f>
        <v>0</v>
      </c>
      <c r="X153" s="699">
        <f>IF($O154=0,0,        _xll.qDateNext($O153,X$17,"M",TRUE,Currency1))</f>
        <v>0</v>
      </c>
      <c r="Y153" s="699">
        <f>IF($O154=0,0,        _xll.qDateNext($O153,Y$17,"M",TRUE,Currency1))</f>
        <v>0</v>
      </c>
      <c r="Z153" s="703">
        <f>IF($O154=0,0,           IF(FRM,_xll.qGetFwdRate(Z$14,$O153,R153,"T",DCC_Leg1_Float),_xll.qGetFwdRate(Z$14,$O153,$O154,"T",DCC_Leg1_Float)))</f>
        <v>0</v>
      </c>
      <c r="AA153" s="703">
        <f>IF($O154=0,0,           IF(FRM,_xll.qGetFwdRate(AA$14,$O153,S153,"T",DCC_Leg1_Float),_xll.qGetFwdRate(AA$14,$O153,$O154,"T",DCC_Leg1_Float)))</f>
        <v>0</v>
      </c>
      <c r="AB153" s="703">
        <f t="shared" si="31"/>
        <v>0</v>
      </c>
      <c r="AC153" s="703">
        <f>IF($O154=0,0,           IF(FRM,_xll.qGetFwdRate(AC$14,$O153,U153,"T",DCC_Leg1_Float),_xll.qGetFwdRate(AC$14,$O153,$O154,"T",DCC_Leg1_Float)))</f>
        <v>0</v>
      </c>
      <c r="AD153" s="703">
        <f t="shared" si="36"/>
        <v>0</v>
      </c>
      <c r="AE153" s="703">
        <f t="shared" si="37"/>
        <v>0</v>
      </c>
      <c r="AF153" s="703">
        <f>IF($O154=0,0,           IF(FRM,_xll.qGetFwdRate(AF$14,$O153,X153,"T",DCC_Leg1_Float),_xll.qGetFwdRate(AF$14,$O153,$O154,"T",DCC_Leg1_Float)))</f>
        <v>0</v>
      </c>
      <c r="AG153" s="703">
        <f>IF($O154=0,0,           IF(FRM,_xll.qGetFwdRate(AG$14,$O153,Y153,"T",DCC_Leg1_Float),_xll.qGetFwdRate(AG$14,$O153,$O154,"T",DCC_Leg1_Float)))</f>
        <v>0</v>
      </c>
      <c r="AH153" s="685">
        <v>0</v>
      </c>
      <c r="AI153" s="667"/>
      <c r="AJ153" s="670">
        <f>IF(O154=0,0,             IF(ISNUMBER(AI153),AI153,             IF(ISTEXT(AI153),INDEX(Z153:AG153,MATCH(AI153,$Z$17:$AG$17,0)),           IF(AH153="INT",_xll.qInterp(O154,R153:Y153,Z153:AG153),       INDEX(Z153:AG153,MATCH(AH153,$Z$17:$AG$17,0))))))</f>
        <v>0</v>
      </c>
      <c r="AK153" s="732">
        <v>100</v>
      </c>
      <c r="AL153" s="721">
        <f t="shared" si="32"/>
        <v>0</v>
      </c>
      <c r="AM153" s="284">
        <f>IF($O154,_xll.qDateYears($O153,$O154,DCC_Leg1_Fixed),0)</f>
        <v>0</v>
      </c>
      <c r="AN153" s="284">
        <f>IF($O154,_xll.qDateYears($O153,$O154,DCC_Leg1_Float),0)</f>
        <v>0</v>
      </c>
      <c r="AP153" s="350">
        <f t="shared" si="38"/>
        <v>0</v>
      </c>
      <c r="AQ153" s="375">
        <f>IF(GenType_1a="Fixed",GenRate_1a%*$AL152*AM152,          IF(GenType_1a="Float",$AL152*(_xll.qGetFwdRate($D$18,$O152,$O153,"T",DCC_Leg1_Float)%+GenRate_1a%%)*$AN152,        IF(GenType_1a="bp (Fixed)",GenRate_1a%%*$AM152*$AL152,   IF(GenType_1a="bp (Float)",GenRate_1a%%*$AL152*$AN152,0))))</f>
        <v>0</v>
      </c>
      <c r="AR153" s="561"/>
      <c r="AT153" s="341">
        <f t="shared" si="28"/>
        <v>0</v>
      </c>
      <c r="AV153" s="356"/>
      <c r="AW153" s="122">
        <v>0</v>
      </c>
      <c r="AX153" s="128">
        <f t="shared" si="33"/>
        <v>0</v>
      </c>
      <c r="AY153" s="357">
        <v>0</v>
      </c>
      <c r="AZ153" s="699">
        <f>IF($AW154=0,0,        _xll.qDateNext($AW153,AZ$17,"M",TRUE,Currency2))</f>
        <v>0</v>
      </c>
      <c r="BA153" s="699">
        <f>IF($AW154=0,0,        _xll.qDateNext($AW153,BA$17,"M",TRUE,Currency2))</f>
        <v>0</v>
      </c>
      <c r="BB153" s="699">
        <f>IF($AW154=0,0,        _xll.qDateNext($AW153,BB$17,"M",TRUE,Currency2))</f>
        <v>0</v>
      </c>
      <c r="BC153" s="699">
        <f>IF($AW154=0,0,        _xll.qDateNext($AW153,BC$17,"M",TRUE,Currency2))</f>
        <v>0</v>
      </c>
      <c r="BD153" s="699">
        <f>IF($AW154=0,0,        _xll.qDateNext($AW153,BD$17,"M",TRUE,Currency2))</f>
        <v>0</v>
      </c>
      <c r="BE153" s="699">
        <f>IF($AW154=0,0,        _xll.qDateNext($AW153,BE$17,"M",TRUE,Currency2))</f>
        <v>0</v>
      </c>
      <c r="BF153" s="699">
        <f>IF($AW154=0,0,        _xll.qDateNext($AW153,BF$17,"M",TRUE,Currency2))</f>
        <v>0</v>
      </c>
      <c r="BG153" s="699">
        <f>IF($AW154=0,0,        _xll.qDateNext($AW153,BG$17,"M",TRUE,Currency2))</f>
        <v>0</v>
      </c>
      <c r="BH153" s="703">
        <v>0</v>
      </c>
      <c r="BI153" s="703">
        <v>0</v>
      </c>
      <c r="BJ153" s="703">
        <v>0</v>
      </c>
      <c r="BK153" s="703">
        <v>0</v>
      </c>
      <c r="BL153" s="703">
        <f t="shared" si="39"/>
        <v>0</v>
      </c>
      <c r="BM153" s="703">
        <f t="shared" si="40"/>
        <v>0</v>
      </c>
      <c r="BN153" s="703">
        <v>0</v>
      </c>
      <c r="BO153" s="703">
        <v>0</v>
      </c>
      <c r="BP153" s="685">
        <v>0</v>
      </c>
      <c r="BQ153" s="667"/>
      <c r="BR153" s="670">
        <f>IF(AW154=0,0,             IF(ISNUMBER(BQ153),BQ153,             IF(ISTEXT(BQ153),INDEX(BH153:BO153,MATCH(BQ153,$BH$17:$BO$17,0)),           IF(BP153="INT",_xll.qInterp(AW154,AZ153:BG153,BH153:BO153),       INDEX(BH153:BO153,MATCH(BP153,$BH$17:$BO$17,0))))))</f>
        <v>0</v>
      </c>
      <c r="BS153" s="731">
        <f t="shared" si="34"/>
        <v>0</v>
      </c>
      <c r="BT153" s="406">
        <f t="shared" si="35"/>
        <v>0</v>
      </c>
      <c r="BU153" s="284">
        <f>IF($AW154,_xll.qDateYears($AW153,$AW154,DCC_Leg2_Fixed),0)</f>
        <v>0</v>
      </c>
      <c r="BV153" s="284">
        <f>IF($AW154,_xll.qDateYears($AW153,$AW154,DCC_Leg2_Float),0)</f>
        <v>0</v>
      </c>
      <c r="BX153" s="350">
        <f t="shared" si="41"/>
        <v>0</v>
      </c>
      <c r="BY153" s="375">
        <f>IF(GenType_2a="Fixed",GenRate_2a%*$BT152*BU152,          IF(GenType_2a="Float",$BT152*(_xll.qGetFwdRate($J$18,$AW152,$AW153,"T",DCC_Leg2_Float)%+GenRate_2a%%)*$BV152,        IF(GenType_2a="bp (Fixed)",GenRate_2a%%*$BU152*$BT152,   IF(GenType_2a="bp (Float)",GenRate_2a%%*$BT152*$BV152,0))))</f>
        <v>0</v>
      </c>
      <c r="BZ153" s="561"/>
      <c r="CB153" s="341">
        <f t="shared" si="29"/>
        <v>0</v>
      </c>
      <c r="CC153" s="563"/>
      <c r="CD153" s="356"/>
      <c r="CE153" s="341">
        <v>0</v>
      </c>
      <c r="CF153" s="563"/>
      <c r="CG153" s="356"/>
    </row>
    <row r="154" spans="15:85">
      <c r="O154" s="122">
        <v>0</v>
      </c>
      <c r="P154" s="128">
        <f t="shared" si="30"/>
        <v>0</v>
      </c>
      <c r="Q154" s="126">
        <v>0</v>
      </c>
      <c r="R154" s="699">
        <f>IF($O155=0,0,        _xll.qDateNext($O154,R$17,"M",TRUE,Currency1))</f>
        <v>0</v>
      </c>
      <c r="S154" s="699">
        <f>IF($O155=0,0,        _xll.qDateNext($O154,S$17,"M",TRUE,Currency1))</f>
        <v>0</v>
      </c>
      <c r="T154" s="699">
        <f>IF($O155=0,0,        _xll.qDateNext($O154,T$17,"M",TRUE,Currency1))</f>
        <v>0</v>
      </c>
      <c r="U154" s="699">
        <f>IF($O155=0,0,        _xll.qDateNext($O154,U$17,"M",TRUE,Currency1))</f>
        <v>0</v>
      </c>
      <c r="V154" s="699">
        <f>IF($O155=0,0,        _xll.qDateNext($O154,V$17,"M",TRUE,Currency1))</f>
        <v>0</v>
      </c>
      <c r="W154" s="699">
        <f>IF($O155=0,0,        _xll.qDateNext($O154,W$17,"M",TRUE,Currency1))</f>
        <v>0</v>
      </c>
      <c r="X154" s="699">
        <f>IF($O155=0,0,        _xll.qDateNext($O154,X$17,"M",TRUE,Currency1))</f>
        <v>0</v>
      </c>
      <c r="Y154" s="699">
        <f>IF($O155=0,0,        _xll.qDateNext($O154,Y$17,"M",TRUE,Currency1))</f>
        <v>0</v>
      </c>
      <c r="Z154" s="703">
        <f>IF($O155=0,0,           IF(FRM,_xll.qGetFwdRate(Z$14,$O154,R154,"T",DCC_Leg1_Float),_xll.qGetFwdRate(Z$14,$O154,$O155,"T",DCC_Leg1_Float)))</f>
        <v>0</v>
      </c>
      <c r="AA154" s="703">
        <f>IF($O155=0,0,           IF(FRM,_xll.qGetFwdRate(AA$14,$O154,S154,"T",DCC_Leg1_Float),_xll.qGetFwdRate(AA$14,$O154,$O155,"T",DCC_Leg1_Float)))</f>
        <v>0</v>
      </c>
      <c r="AB154" s="703">
        <f t="shared" si="31"/>
        <v>0</v>
      </c>
      <c r="AC154" s="703">
        <f>IF($O155=0,0,           IF(FRM,_xll.qGetFwdRate(AC$14,$O154,U154,"T",DCC_Leg1_Float),_xll.qGetFwdRate(AC$14,$O154,$O155,"T",DCC_Leg1_Float)))</f>
        <v>0</v>
      </c>
      <c r="AD154" s="703">
        <f t="shared" si="36"/>
        <v>0</v>
      </c>
      <c r="AE154" s="703">
        <f t="shared" si="37"/>
        <v>0</v>
      </c>
      <c r="AF154" s="703">
        <f>IF($O155=0,0,           IF(FRM,_xll.qGetFwdRate(AF$14,$O154,X154,"T",DCC_Leg1_Float),_xll.qGetFwdRate(AF$14,$O154,$O155,"T",DCC_Leg1_Float)))</f>
        <v>0</v>
      </c>
      <c r="AG154" s="703">
        <f>IF($O155=0,0,           IF(FRM,_xll.qGetFwdRate(AG$14,$O154,Y154,"T",DCC_Leg1_Float),_xll.qGetFwdRate(AG$14,$O154,$O155,"T",DCC_Leg1_Float)))</f>
        <v>0</v>
      </c>
      <c r="AH154" s="685">
        <v>0</v>
      </c>
      <c r="AI154" s="667"/>
      <c r="AJ154" s="670">
        <f>IF(O155=0,0,             IF(ISNUMBER(AI154),AI154,             IF(ISTEXT(AI154),INDEX(Z154:AG154,MATCH(AI154,$Z$17:$AG$17,0)),           IF(AH154="INT",_xll.qInterp(O155,R154:Y154,Z154:AG154),       INDEX(Z154:AG154,MATCH(AH154,$Z$17:$AG$17,0))))))</f>
        <v>0</v>
      </c>
      <c r="AK154" s="732">
        <v>100</v>
      </c>
      <c r="AL154" s="721">
        <f t="shared" si="32"/>
        <v>0</v>
      </c>
      <c r="AM154" s="284">
        <f>IF($O155,_xll.qDateYears($O154,$O155,DCC_Leg1_Fixed),0)</f>
        <v>0</v>
      </c>
      <c r="AN154" s="284">
        <f>IF($O155,_xll.qDateYears($O154,$O155,DCC_Leg1_Float),0)</f>
        <v>0</v>
      </c>
      <c r="AP154" s="350">
        <f t="shared" si="38"/>
        <v>0</v>
      </c>
      <c r="AQ154" s="375">
        <f>IF(GenType_1a="Fixed",GenRate_1a%*$AL153*AM153,          IF(GenType_1a="Float",$AL153*(_xll.qGetFwdRate($D$18,$O153,$O154,"T",DCC_Leg1_Float)%+GenRate_1a%%)*$AN153,        IF(GenType_1a="bp (Fixed)",GenRate_1a%%*$AM153*$AL153,   IF(GenType_1a="bp (Float)",GenRate_1a%%*$AL153*$AN153,0))))</f>
        <v>0</v>
      </c>
      <c r="AR154" s="561"/>
      <c r="AT154" s="341">
        <f t="shared" si="28"/>
        <v>0</v>
      </c>
      <c r="AV154" s="356"/>
      <c r="AW154" s="122">
        <v>0</v>
      </c>
      <c r="AX154" s="128">
        <f t="shared" si="33"/>
        <v>0</v>
      </c>
      <c r="AY154" s="357">
        <v>0</v>
      </c>
      <c r="AZ154" s="699">
        <f>IF($AW155=0,0,        _xll.qDateNext($AW154,AZ$17,"M",TRUE,Currency2))</f>
        <v>0</v>
      </c>
      <c r="BA154" s="699">
        <f>IF($AW155=0,0,        _xll.qDateNext($AW154,BA$17,"M",TRUE,Currency2))</f>
        <v>0</v>
      </c>
      <c r="BB154" s="699">
        <f>IF($AW155=0,0,        _xll.qDateNext($AW154,BB$17,"M",TRUE,Currency2))</f>
        <v>0</v>
      </c>
      <c r="BC154" s="699">
        <f>IF($AW155=0,0,        _xll.qDateNext($AW154,BC$17,"M",TRUE,Currency2))</f>
        <v>0</v>
      </c>
      <c r="BD154" s="699">
        <f>IF($AW155=0,0,        _xll.qDateNext($AW154,BD$17,"M",TRUE,Currency2))</f>
        <v>0</v>
      </c>
      <c r="BE154" s="699">
        <f>IF($AW155=0,0,        _xll.qDateNext($AW154,BE$17,"M",TRUE,Currency2))</f>
        <v>0</v>
      </c>
      <c r="BF154" s="699">
        <f>IF($AW155=0,0,        _xll.qDateNext($AW154,BF$17,"M",TRUE,Currency2))</f>
        <v>0</v>
      </c>
      <c r="BG154" s="699">
        <f>IF($AW155=0,0,        _xll.qDateNext($AW154,BG$17,"M",TRUE,Currency2))</f>
        <v>0</v>
      </c>
      <c r="BH154" s="703">
        <v>0</v>
      </c>
      <c r="BI154" s="703">
        <v>0</v>
      </c>
      <c r="BJ154" s="703">
        <v>0</v>
      </c>
      <c r="BK154" s="703">
        <v>0</v>
      </c>
      <c r="BL154" s="703">
        <f t="shared" si="39"/>
        <v>0</v>
      </c>
      <c r="BM154" s="703">
        <f t="shared" si="40"/>
        <v>0</v>
      </c>
      <c r="BN154" s="703">
        <v>0</v>
      </c>
      <c r="BO154" s="703">
        <v>0</v>
      </c>
      <c r="BP154" s="685">
        <v>0</v>
      </c>
      <c r="BQ154" s="667"/>
      <c r="BR154" s="670">
        <f>IF(AW155=0,0,             IF(ISNUMBER(BQ154),BQ154,             IF(ISTEXT(BQ154),INDEX(BH154:BO154,MATCH(BQ154,$BH$17:$BO$17,0)),           IF(BP154="INT",_xll.qInterp(AW155,AZ154:BG154,BH154:BO154),       INDEX(BH154:BO154,MATCH(BP154,$BH$17:$BO$17,0))))))</f>
        <v>0</v>
      </c>
      <c r="BS154" s="731">
        <f t="shared" si="34"/>
        <v>0</v>
      </c>
      <c r="BT154" s="406">
        <f t="shared" si="35"/>
        <v>0</v>
      </c>
      <c r="BU154" s="284">
        <f>IF($AW155,_xll.qDateYears($AW154,$AW155,DCC_Leg2_Fixed),0)</f>
        <v>0</v>
      </c>
      <c r="BV154" s="284">
        <f>IF($AW155,_xll.qDateYears($AW154,$AW155,DCC_Leg2_Float),0)</f>
        <v>0</v>
      </c>
      <c r="BX154" s="350">
        <f t="shared" si="41"/>
        <v>0</v>
      </c>
      <c r="BY154" s="375">
        <f>IF(GenType_2a="Fixed",GenRate_2a%*$BT153*BU153,          IF(GenType_2a="Float",$BT153*(_xll.qGetFwdRate($J$18,$AW153,$AW154,"T",DCC_Leg2_Float)%+GenRate_2a%%)*$BV153,        IF(GenType_2a="bp (Fixed)",GenRate_2a%%*$BU153*$BT153,   IF(GenType_2a="bp (Float)",GenRate_2a%%*$BT153*$BV153,0))))</f>
        <v>0</v>
      </c>
      <c r="BZ154" s="561"/>
      <c r="CB154" s="341">
        <f t="shared" si="29"/>
        <v>0</v>
      </c>
      <c r="CC154" s="563"/>
      <c r="CD154" s="356"/>
      <c r="CE154" s="341">
        <v>0</v>
      </c>
      <c r="CF154" s="563"/>
      <c r="CG154" s="356"/>
    </row>
    <row r="155" spans="15:85">
      <c r="O155" s="122">
        <v>0</v>
      </c>
      <c r="P155" s="128">
        <f t="shared" si="30"/>
        <v>0</v>
      </c>
      <c r="Q155" s="126">
        <v>0</v>
      </c>
      <c r="R155" s="699">
        <f>IF($O156=0,0,        _xll.qDateNext($O155,R$17,"M",TRUE,Currency1))</f>
        <v>0</v>
      </c>
      <c r="S155" s="699">
        <f>IF($O156=0,0,        _xll.qDateNext($O155,S$17,"M",TRUE,Currency1))</f>
        <v>0</v>
      </c>
      <c r="T155" s="699">
        <f>IF($O156=0,0,        _xll.qDateNext($O155,T$17,"M",TRUE,Currency1))</f>
        <v>0</v>
      </c>
      <c r="U155" s="699">
        <f>IF($O156=0,0,        _xll.qDateNext($O155,U$17,"M",TRUE,Currency1))</f>
        <v>0</v>
      </c>
      <c r="V155" s="699">
        <f>IF($O156=0,0,        _xll.qDateNext($O155,V$17,"M",TRUE,Currency1))</f>
        <v>0</v>
      </c>
      <c r="W155" s="699">
        <f>IF($O156=0,0,        _xll.qDateNext($O155,W$17,"M",TRUE,Currency1))</f>
        <v>0</v>
      </c>
      <c r="X155" s="699">
        <f>IF($O156=0,0,        _xll.qDateNext($O155,X$17,"M",TRUE,Currency1))</f>
        <v>0</v>
      </c>
      <c r="Y155" s="699">
        <f>IF($O156=0,0,        _xll.qDateNext($O155,Y$17,"M",TRUE,Currency1))</f>
        <v>0</v>
      </c>
      <c r="Z155" s="703">
        <f>IF($O156=0,0,           IF(FRM,_xll.qGetFwdRate(Z$14,$O155,R155,"T",DCC_Leg1_Float),_xll.qGetFwdRate(Z$14,$O155,$O156,"T",DCC_Leg1_Float)))</f>
        <v>0</v>
      </c>
      <c r="AA155" s="703">
        <f>IF($O156=0,0,           IF(FRM,_xll.qGetFwdRate(AA$14,$O155,S155,"T",DCC_Leg1_Float),_xll.qGetFwdRate(AA$14,$O155,$O156,"T",DCC_Leg1_Float)))</f>
        <v>0</v>
      </c>
      <c r="AB155" s="703">
        <f t="shared" si="31"/>
        <v>0</v>
      </c>
      <c r="AC155" s="703">
        <f>IF($O156=0,0,           IF(FRM,_xll.qGetFwdRate(AC$14,$O155,U155,"T",DCC_Leg1_Float),_xll.qGetFwdRate(AC$14,$O155,$O156,"T",DCC_Leg1_Float)))</f>
        <v>0</v>
      </c>
      <c r="AD155" s="703">
        <f t="shared" si="36"/>
        <v>0</v>
      </c>
      <c r="AE155" s="703">
        <f t="shared" si="37"/>
        <v>0</v>
      </c>
      <c r="AF155" s="703">
        <f>IF($O156=0,0,           IF(FRM,_xll.qGetFwdRate(AF$14,$O155,X155,"T",DCC_Leg1_Float),_xll.qGetFwdRate(AF$14,$O155,$O156,"T",DCC_Leg1_Float)))</f>
        <v>0</v>
      </c>
      <c r="AG155" s="703">
        <f>IF($O156=0,0,           IF(FRM,_xll.qGetFwdRate(AG$14,$O155,Y155,"T",DCC_Leg1_Float),_xll.qGetFwdRate(AG$14,$O155,$O156,"T",DCC_Leg1_Float)))</f>
        <v>0</v>
      </c>
      <c r="AH155" s="685">
        <v>0</v>
      </c>
      <c r="AI155" s="667"/>
      <c r="AJ155" s="670">
        <f>IF(O156=0,0,             IF(ISNUMBER(AI155),AI155,             IF(ISTEXT(AI155),INDEX(Z155:AG155,MATCH(AI155,$Z$17:$AG$17,0)),           IF(AH155="INT",_xll.qInterp(O156,R155:Y155,Z155:AG155),       INDEX(Z155:AG155,MATCH(AH155,$Z$17:$AG$17,0))))))</f>
        <v>0</v>
      </c>
      <c r="AK155" s="732">
        <v>100</v>
      </c>
      <c r="AL155" s="721">
        <f t="shared" si="32"/>
        <v>0</v>
      </c>
      <c r="AM155" s="284">
        <f>IF($O156,_xll.qDateYears($O155,$O156,DCC_Leg1_Fixed),0)</f>
        <v>0</v>
      </c>
      <c r="AN155" s="284">
        <f>IF($O156,_xll.qDateYears($O155,$O156,DCC_Leg1_Float),0)</f>
        <v>0</v>
      </c>
      <c r="AP155" s="350">
        <f t="shared" si="38"/>
        <v>0</v>
      </c>
      <c r="AQ155" s="375">
        <f>IF(GenType_1a="Fixed",GenRate_1a%*$AL154*AM154,          IF(GenType_1a="Float",$AL154*(_xll.qGetFwdRate($D$18,$O154,$O155,"T",DCC_Leg1_Float)%+GenRate_1a%%)*$AN154,        IF(GenType_1a="bp (Fixed)",GenRate_1a%%*$AM154*$AL154,   IF(GenType_1a="bp (Float)",GenRate_1a%%*$AL154*$AN154,0))))</f>
        <v>0</v>
      </c>
      <c r="AR155" s="561"/>
      <c r="AT155" s="341">
        <f t="shared" si="28"/>
        <v>0</v>
      </c>
      <c r="AV155" s="356"/>
      <c r="AW155" s="122">
        <v>0</v>
      </c>
      <c r="AX155" s="128">
        <f t="shared" si="33"/>
        <v>0</v>
      </c>
      <c r="AY155" s="357">
        <v>0</v>
      </c>
      <c r="AZ155" s="699">
        <f>IF($AW156=0,0,        _xll.qDateNext($AW155,AZ$17,"M",TRUE,Currency2))</f>
        <v>0</v>
      </c>
      <c r="BA155" s="699">
        <f>IF($AW156=0,0,        _xll.qDateNext($AW155,BA$17,"M",TRUE,Currency2))</f>
        <v>0</v>
      </c>
      <c r="BB155" s="699">
        <f>IF($AW156=0,0,        _xll.qDateNext($AW155,BB$17,"M",TRUE,Currency2))</f>
        <v>0</v>
      </c>
      <c r="BC155" s="699">
        <f>IF($AW156=0,0,        _xll.qDateNext($AW155,BC$17,"M",TRUE,Currency2))</f>
        <v>0</v>
      </c>
      <c r="BD155" s="699">
        <f>IF($AW156=0,0,        _xll.qDateNext($AW155,BD$17,"M",TRUE,Currency2))</f>
        <v>0</v>
      </c>
      <c r="BE155" s="699">
        <f>IF($AW156=0,0,        _xll.qDateNext($AW155,BE$17,"M",TRUE,Currency2))</f>
        <v>0</v>
      </c>
      <c r="BF155" s="699">
        <f>IF($AW156=0,0,        _xll.qDateNext($AW155,BF$17,"M",TRUE,Currency2))</f>
        <v>0</v>
      </c>
      <c r="BG155" s="699">
        <f>IF($AW156=0,0,        _xll.qDateNext($AW155,BG$17,"M",TRUE,Currency2))</f>
        <v>0</v>
      </c>
      <c r="BH155" s="703">
        <v>0</v>
      </c>
      <c r="BI155" s="703">
        <v>0</v>
      </c>
      <c r="BJ155" s="703">
        <v>0</v>
      </c>
      <c r="BK155" s="703">
        <v>0</v>
      </c>
      <c r="BL155" s="703">
        <f t="shared" si="39"/>
        <v>0</v>
      </c>
      <c r="BM155" s="703">
        <f t="shared" si="40"/>
        <v>0</v>
      </c>
      <c r="BN155" s="703">
        <v>0</v>
      </c>
      <c r="BO155" s="703">
        <v>0</v>
      </c>
      <c r="BP155" s="685">
        <v>0</v>
      </c>
      <c r="BQ155" s="667"/>
      <c r="BR155" s="670">
        <f>IF(AW156=0,0,             IF(ISNUMBER(BQ155),BQ155,             IF(ISTEXT(BQ155),INDEX(BH155:BO155,MATCH(BQ155,$BH$17:$BO$17,0)),           IF(BP155="INT",_xll.qInterp(AW156,AZ155:BG155,BH155:BO155),       INDEX(BH155:BO155,MATCH(BP155,$BH$17:$BO$17,0))))))</f>
        <v>0</v>
      </c>
      <c r="BS155" s="731">
        <f t="shared" si="34"/>
        <v>0</v>
      </c>
      <c r="BT155" s="406">
        <f t="shared" si="35"/>
        <v>0</v>
      </c>
      <c r="BU155" s="284">
        <f>IF($AW156,_xll.qDateYears($AW155,$AW156,DCC_Leg2_Fixed),0)</f>
        <v>0</v>
      </c>
      <c r="BV155" s="284">
        <f>IF($AW156,_xll.qDateYears($AW155,$AW156,DCC_Leg2_Float),0)</f>
        <v>0</v>
      </c>
      <c r="BX155" s="350">
        <f t="shared" si="41"/>
        <v>0</v>
      </c>
      <c r="BY155" s="375">
        <f>IF(GenType_2a="Fixed",GenRate_2a%*$BT154*BU154,          IF(GenType_2a="Float",$BT154*(_xll.qGetFwdRate($J$18,$AW154,$AW155,"T",DCC_Leg2_Float)%+GenRate_2a%%)*$BV154,        IF(GenType_2a="bp (Fixed)",GenRate_2a%%*$BU154*$BT154,   IF(GenType_2a="bp (Float)",GenRate_2a%%*$BT154*$BV154,0))))</f>
        <v>0</v>
      </c>
      <c r="BZ155" s="561"/>
      <c r="CB155" s="341">
        <f t="shared" si="29"/>
        <v>0</v>
      </c>
      <c r="CC155" s="563"/>
      <c r="CD155" s="356"/>
      <c r="CE155" s="341">
        <v>0</v>
      </c>
      <c r="CF155" s="563"/>
      <c r="CG155" s="356"/>
    </row>
    <row r="156" spans="15:85">
      <c r="O156" s="122">
        <v>0</v>
      </c>
      <c r="P156" s="128">
        <f t="shared" si="30"/>
        <v>0</v>
      </c>
      <c r="Q156" s="126">
        <v>0</v>
      </c>
      <c r="R156" s="699">
        <f>IF($O157=0,0,        _xll.qDateNext($O156,R$17,"M",TRUE,Currency1))</f>
        <v>0</v>
      </c>
      <c r="S156" s="699">
        <f>IF($O157=0,0,        _xll.qDateNext($O156,S$17,"M",TRUE,Currency1))</f>
        <v>0</v>
      </c>
      <c r="T156" s="699">
        <f>IF($O157=0,0,        _xll.qDateNext($O156,T$17,"M",TRUE,Currency1))</f>
        <v>0</v>
      </c>
      <c r="U156" s="699">
        <f>IF($O157=0,0,        _xll.qDateNext($O156,U$17,"M",TRUE,Currency1))</f>
        <v>0</v>
      </c>
      <c r="V156" s="699">
        <f>IF($O157=0,0,        _xll.qDateNext($O156,V$17,"M",TRUE,Currency1))</f>
        <v>0</v>
      </c>
      <c r="W156" s="699">
        <f>IF($O157=0,0,        _xll.qDateNext($O156,W$17,"M",TRUE,Currency1))</f>
        <v>0</v>
      </c>
      <c r="X156" s="699">
        <f>IF($O157=0,0,        _xll.qDateNext($O156,X$17,"M",TRUE,Currency1))</f>
        <v>0</v>
      </c>
      <c r="Y156" s="699">
        <f>IF($O157=0,0,        _xll.qDateNext($O156,Y$17,"M",TRUE,Currency1))</f>
        <v>0</v>
      </c>
      <c r="Z156" s="703">
        <f>IF($O157=0,0,           IF(FRM,_xll.qGetFwdRate(Z$14,$O156,R156,"T",DCC_Leg1_Float),_xll.qGetFwdRate(Z$14,$O156,$O157,"T",DCC_Leg1_Float)))</f>
        <v>0</v>
      </c>
      <c r="AA156" s="703">
        <f>IF($O157=0,0,           IF(FRM,_xll.qGetFwdRate(AA$14,$O156,S156,"T",DCC_Leg1_Float),_xll.qGetFwdRate(AA$14,$O156,$O157,"T",DCC_Leg1_Float)))</f>
        <v>0</v>
      </c>
      <c r="AB156" s="703">
        <f t="shared" si="31"/>
        <v>0</v>
      </c>
      <c r="AC156" s="703">
        <f>IF($O157=0,0,           IF(FRM,_xll.qGetFwdRate(AC$14,$O156,U156,"T",DCC_Leg1_Float),_xll.qGetFwdRate(AC$14,$O156,$O157,"T",DCC_Leg1_Float)))</f>
        <v>0</v>
      </c>
      <c r="AD156" s="703">
        <f t="shared" si="36"/>
        <v>0</v>
      </c>
      <c r="AE156" s="703">
        <f t="shared" si="37"/>
        <v>0</v>
      </c>
      <c r="AF156" s="703">
        <f>IF($O157=0,0,           IF(FRM,_xll.qGetFwdRate(AF$14,$O156,X156,"T",DCC_Leg1_Float),_xll.qGetFwdRate(AF$14,$O156,$O157,"T",DCC_Leg1_Float)))</f>
        <v>0</v>
      </c>
      <c r="AG156" s="703">
        <f>IF($O157=0,0,           IF(FRM,_xll.qGetFwdRate(AG$14,$O156,Y156,"T",DCC_Leg1_Float),_xll.qGetFwdRate(AG$14,$O156,$O157,"T",DCC_Leg1_Float)))</f>
        <v>0</v>
      </c>
      <c r="AH156" s="685">
        <v>0</v>
      </c>
      <c r="AI156" s="667"/>
      <c r="AJ156" s="670">
        <f>IF(O157=0,0,             IF(ISNUMBER(AI156),AI156,             IF(ISTEXT(AI156),INDEX(Z156:AG156,MATCH(AI156,$Z$17:$AG$17,0)),           IF(AH156="INT",_xll.qInterp(O157,R156:Y156,Z156:AG156),       INDEX(Z156:AG156,MATCH(AH156,$Z$17:$AG$17,0))))))</f>
        <v>0</v>
      </c>
      <c r="AK156" s="732">
        <v>100</v>
      </c>
      <c r="AL156" s="721">
        <f t="shared" si="32"/>
        <v>0</v>
      </c>
      <c r="AM156" s="284">
        <f>IF($O157,_xll.qDateYears($O156,$O157,DCC_Leg1_Fixed),0)</f>
        <v>0</v>
      </c>
      <c r="AN156" s="284">
        <f>IF($O157,_xll.qDateYears($O156,$O157,DCC_Leg1_Float),0)</f>
        <v>0</v>
      </c>
      <c r="AP156" s="350">
        <f t="shared" si="38"/>
        <v>0</v>
      </c>
      <c r="AQ156" s="375">
        <f>IF(GenType_1a="Fixed",GenRate_1a%*$AL155*AM155,          IF(GenType_1a="Float",$AL155*(_xll.qGetFwdRate($D$18,$O155,$O156,"T",DCC_Leg1_Float)%+GenRate_1a%%)*$AN155,        IF(GenType_1a="bp (Fixed)",GenRate_1a%%*$AM155*$AL155,   IF(GenType_1a="bp (Float)",GenRate_1a%%*$AL155*$AN155,0))))</f>
        <v>0</v>
      </c>
      <c r="AR156" s="561"/>
      <c r="AT156" s="341">
        <f t="shared" si="28"/>
        <v>0</v>
      </c>
      <c r="AV156" s="356"/>
      <c r="AW156" s="122">
        <v>0</v>
      </c>
      <c r="AX156" s="128">
        <f t="shared" si="33"/>
        <v>0</v>
      </c>
      <c r="AY156" s="357">
        <v>0</v>
      </c>
      <c r="AZ156" s="699">
        <f>IF($AW157=0,0,        _xll.qDateNext($AW156,AZ$17,"M",TRUE,Currency2))</f>
        <v>0</v>
      </c>
      <c r="BA156" s="699">
        <f>IF($AW157=0,0,        _xll.qDateNext($AW156,BA$17,"M",TRUE,Currency2))</f>
        <v>0</v>
      </c>
      <c r="BB156" s="699">
        <f>IF($AW157=0,0,        _xll.qDateNext($AW156,BB$17,"M",TRUE,Currency2))</f>
        <v>0</v>
      </c>
      <c r="BC156" s="699">
        <f>IF($AW157=0,0,        _xll.qDateNext($AW156,BC$17,"M",TRUE,Currency2))</f>
        <v>0</v>
      </c>
      <c r="BD156" s="699">
        <f>IF($AW157=0,0,        _xll.qDateNext($AW156,BD$17,"M",TRUE,Currency2))</f>
        <v>0</v>
      </c>
      <c r="BE156" s="699">
        <f>IF($AW157=0,0,        _xll.qDateNext($AW156,BE$17,"M",TRUE,Currency2))</f>
        <v>0</v>
      </c>
      <c r="BF156" s="699">
        <f>IF($AW157=0,0,        _xll.qDateNext($AW156,BF$17,"M",TRUE,Currency2))</f>
        <v>0</v>
      </c>
      <c r="BG156" s="699">
        <f>IF($AW157=0,0,        _xll.qDateNext($AW156,BG$17,"M",TRUE,Currency2))</f>
        <v>0</v>
      </c>
      <c r="BH156" s="703">
        <v>0</v>
      </c>
      <c r="BI156" s="703">
        <v>0</v>
      </c>
      <c r="BJ156" s="703">
        <v>0</v>
      </c>
      <c r="BK156" s="703">
        <v>0</v>
      </c>
      <c r="BL156" s="703">
        <f t="shared" si="39"/>
        <v>0</v>
      </c>
      <c r="BM156" s="703">
        <f t="shared" si="40"/>
        <v>0</v>
      </c>
      <c r="BN156" s="703">
        <v>0</v>
      </c>
      <c r="BO156" s="703">
        <v>0</v>
      </c>
      <c r="BP156" s="685">
        <v>0</v>
      </c>
      <c r="BQ156" s="667"/>
      <c r="BR156" s="670">
        <f>IF(AW157=0,0,             IF(ISNUMBER(BQ156),BQ156,             IF(ISTEXT(BQ156),INDEX(BH156:BO156,MATCH(BQ156,$BH$17:$BO$17,0)),           IF(BP156="INT",_xll.qInterp(AW157,AZ156:BG156,BH156:BO156),       INDEX(BH156:BO156,MATCH(BP156,$BH$17:$BO$17,0))))))</f>
        <v>0</v>
      </c>
      <c r="BS156" s="731">
        <f t="shared" si="34"/>
        <v>0</v>
      </c>
      <c r="BT156" s="406">
        <f t="shared" si="35"/>
        <v>0</v>
      </c>
      <c r="BU156" s="284">
        <f>IF($AW157,_xll.qDateYears($AW156,$AW157,DCC_Leg2_Fixed),0)</f>
        <v>0</v>
      </c>
      <c r="BV156" s="284">
        <f>IF($AW157,_xll.qDateYears($AW156,$AW157,DCC_Leg2_Float),0)</f>
        <v>0</v>
      </c>
      <c r="BX156" s="350">
        <f t="shared" si="41"/>
        <v>0</v>
      </c>
      <c r="BY156" s="375">
        <f>IF(GenType_2a="Fixed",GenRate_2a%*$BT155*BU155,          IF(GenType_2a="Float",$BT155*(_xll.qGetFwdRate($J$18,$AW155,$AW156,"T",DCC_Leg2_Float)%+GenRate_2a%%)*$BV155,        IF(GenType_2a="bp (Fixed)",GenRate_2a%%*$BU155*$BT155,   IF(GenType_2a="bp (Float)",GenRate_2a%%*$BT155*$BV155,0))))</f>
        <v>0</v>
      </c>
      <c r="BZ156" s="561"/>
      <c r="CB156" s="341">
        <f t="shared" si="29"/>
        <v>0</v>
      </c>
      <c r="CC156" s="563"/>
      <c r="CD156" s="356"/>
      <c r="CE156" s="341">
        <v>0</v>
      </c>
      <c r="CF156" s="563"/>
      <c r="CG156" s="356"/>
    </row>
    <row r="157" spans="15:85">
      <c r="O157" s="122">
        <v>0</v>
      </c>
      <c r="P157" s="128">
        <f t="shared" si="30"/>
        <v>0</v>
      </c>
      <c r="Q157" s="126">
        <v>0</v>
      </c>
      <c r="R157" s="699">
        <f>IF($O158=0,0,        _xll.qDateNext($O157,R$17,"M",TRUE,Currency1))</f>
        <v>0</v>
      </c>
      <c r="S157" s="699">
        <f>IF($O158=0,0,        _xll.qDateNext($O157,S$17,"M",TRUE,Currency1))</f>
        <v>0</v>
      </c>
      <c r="T157" s="699">
        <f>IF($O158=0,0,        _xll.qDateNext($O157,T$17,"M",TRUE,Currency1))</f>
        <v>0</v>
      </c>
      <c r="U157" s="699">
        <f>IF($O158=0,0,        _xll.qDateNext($O157,U$17,"M",TRUE,Currency1))</f>
        <v>0</v>
      </c>
      <c r="V157" s="699">
        <f>IF($O158=0,0,        _xll.qDateNext($O157,V$17,"M",TRUE,Currency1))</f>
        <v>0</v>
      </c>
      <c r="W157" s="699">
        <f>IF($O158=0,0,        _xll.qDateNext($O157,W$17,"M",TRUE,Currency1))</f>
        <v>0</v>
      </c>
      <c r="X157" s="699">
        <f>IF($O158=0,0,        _xll.qDateNext($O157,X$17,"M",TRUE,Currency1))</f>
        <v>0</v>
      </c>
      <c r="Y157" s="699">
        <f>IF($O158=0,0,        _xll.qDateNext($O157,Y$17,"M",TRUE,Currency1))</f>
        <v>0</v>
      </c>
      <c r="Z157" s="703">
        <f>IF($O158=0,0,           IF(FRM,_xll.qGetFwdRate(Z$14,$O157,R157,"T",DCC_Leg1_Float),_xll.qGetFwdRate(Z$14,$O157,$O158,"T",DCC_Leg1_Float)))</f>
        <v>0</v>
      </c>
      <c r="AA157" s="703">
        <f>IF($O158=0,0,           IF(FRM,_xll.qGetFwdRate(AA$14,$O157,S157,"T",DCC_Leg1_Float),_xll.qGetFwdRate(AA$14,$O157,$O158,"T",DCC_Leg1_Float)))</f>
        <v>0</v>
      </c>
      <c r="AB157" s="703">
        <f t="shared" si="31"/>
        <v>0</v>
      </c>
      <c r="AC157" s="703">
        <f>IF($O158=0,0,           IF(FRM,_xll.qGetFwdRate(AC$14,$O157,U157,"T",DCC_Leg1_Float),_xll.qGetFwdRate(AC$14,$O157,$O158,"T",DCC_Leg1_Float)))</f>
        <v>0</v>
      </c>
      <c r="AD157" s="703">
        <f t="shared" si="36"/>
        <v>0</v>
      </c>
      <c r="AE157" s="703">
        <f t="shared" si="37"/>
        <v>0</v>
      </c>
      <c r="AF157" s="703">
        <f>IF($O158=0,0,           IF(FRM,_xll.qGetFwdRate(AF$14,$O157,X157,"T",DCC_Leg1_Float),_xll.qGetFwdRate(AF$14,$O157,$O158,"T",DCC_Leg1_Float)))</f>
        <v>0</v>
      </c>
      <c r="AG157" s="703">
        <f>IF($O158=0,0,           IF(FRM,_xll.qGetFwdRate(AG$14,$O157,Y157,"T",DCC_Leg1_Float),_xll.qGetFwdRate(AG$14,$O157,$O158,"T",DCC_Leg1_Float)))</f>
        <v>0</v>
      </c>
      <c r="AH157" s="685">
        <v>0</v>
      </c>
      <c r="AI157" s="667"/>
      <c r="AJ157" s="670">
        <f>IF(O158=0,0,             IF(ISNUMBER(AI157),AI157,             IF(ISTEXT(AI157),INDEX(Z157:AG157,MATCH(AI157,$Z$17:$AG$17,0)),           IF(AH157="INT",_xll.qInterp(O158,R157:Y157,Z157:AG157),       INDEX(Z157:AG157,MATCH(AH157,$Z$17:$AG$17,0))))))</f>
        <v>0</v>
      </c>
      <c r="AK157" s="732">
        <v>100</v>
      </c>
      <c r="AL157" s="721">
        <f t="shared" si="32"/>
        <v>0</v>
      </c>
      <c r="AM157" s="284">
        <f>IF($O158,_xll.qDateYears($O157,$O158,DCC_Leg1_Fixed),0)</f>
        <v>0</v>
      </c>
      <c r="AN157" s="284">
        <f>IF($O158,_xll.qDateYears($O157,$O158,DCC_Leg1_Float),0)</f>
        <v>0</v>
      </c>
      <c r="AP157" s="350">
        <f t="shared" si="38"/>
        <v>0</v>
      </c>
      <c r="AQ157" s="375">
        <f>IF(GenType_1a="Fixed",GenRate_1a%*$AL156*AM156,          IF(GenType_1a="Float",$AL156*(_xll.qGetFwdRate($D$18,$O156,$O157,"T",DCC_Leg1_Float)%+GenRate_1a%%)*$AN156,        IF(GenType_1a="bp (Fixed)",GenRate_1a%%*$AM156*$AL156,   IF(GenType_1a="bp (Float)",GenRate_1a%%*$AL156*$AN156,0))))</f>
        <v>0</v>
      </c>
      <c r="AR157" s="561"/>
      <c r="AT157" s="341">
        <f t="shared" si="28"/>
        <v>0</v>
      </c>
      <c r="AV157" s="356"/>
      <c r="AW157" s="122">
        <v>0</v>
      </c>
      <c r="AX157" s="128">
        <f t="shared" si="33"/>
        <v>0</v>
      </c>
      <c r="AY157" s="357">
        <v>0</v>
      </c>
      <c r="AZ157" s="699">
        <f>IF($AW158=0,0,        _xll.qDateNext($AW157,AZ$17,"M",TRUE,Currency2))</f>
        <v>0</v>
      </c>
      <c r="BA157" s="699">
        <f>IF($AW158=0,0,        _xll.qDateNext($AW157,BA$17,"M",TRUE,Currency2))</f>
        <v>0</v>
      </c>
      <c r="BB157" s="699">
        <f>IF($AW158=0,0,        _xll.qDateNext($AW157,BB$17,"M",TRUE,Currency2))</f>
        <v>0</v>
      </c>
      <c r="BC157" s="699">
        <f>IF($AW158=0,0,        _xll.qDateNext($AW157,BC$17,"M",TRUE,Currency2))</f>
        <v>0</v>
      </c>
      <c r="BD157" s="699">
        <f>IF($AW158=0,0,        _xll.qDateNext($AW157,BD$17,"M",TRUE,Currency2))</f>
        <v>0</v>
      </c>
      <c r="BE157" s="699">
        <f>IF($AW158=0,0,        _xll.qDateNext($AW157,BE$17,"M",TRUE,Currency2))</f>
        <v>0</v>
      </c>
      <c r="BF157" s="699">
        <f>IF($AW158=0,0,        _xll.qDateNext($AW157,BF$17,"M",TRUE,Currency2))</f>
        <v>0</v>
      </c>
      <c r="BG157" s="699">
        <f>IF($AW158=0,0,        _xll.qDateNext($AW157,BG$17,"M",TRUE,Currency2))</f>
        <v>0</v>
      </c>
      <c r="BH157" s="703">
        <v>0</v>
      </c>
      <c r="BI157" s="703">
        <v>0</v>
      </c>
      <c r="BJ157" s="703">
        <v>0</v>
      </c>
      <c r="BK157" s="703">
        <v>0</v>
      </c>
      <c r="BL157" s="703">
        <f t="shared" si="39"/>
        <v>0</v>
      </c>
      <c r="BM157" s="703">
        <f t="shared" si="40"/>
        <v>0</v>
      </c>
      <c r="BN157" s="703">
        <v>0</v>
      </c>
      <c r="BO157" s="703">
        <v>0</v>
      </c>
      <c r="BP157" s="685">
        <v>0</v>
      </c>
      <c r="BQ157" s="667"/>
      <c r="BR157" s="670">
        <f>IF(AW158=0,0,             IF(ISNUMBER(BQ157),BQ157,             IF(ISTEXT(BQ157),INDEX(BH157:BO157,MATCH(BQ157,$BH$17:$BO$17,0)),           IF(BP157="INT",_xll.qInterp(AW158,AZ157:BG157,BH157:BO157),       INDEX(BH157:BO157,MATCH(BP157,$BH$17:$BO$17,0))))))</f>
        <v>0</v>
      </c>
      <c r="BS157" s="731">
        <f t="shared" si="34"/>
        <v>0</v>
      </c>
      <c r="BT157" s="406">
        <f t="shared" si="35"/>
        <v>0</v>
      </c>
      <c r="BU157" s="284">
        <f>IF($AW158,_xll.qDateYears($AW157,$AW158,DCC_Leg2_Fixed),0)</f>
        <v>0</v>
      </c>
      <c r="BV157" s="284">
        <f>IF($AW158,_xll.qDateYears($AW157,$AW158,DCC_Leg2_Float),0)</f>
        <v>0</v>
      </c>
      <c r="BX157" s="350">
        <f t="shared" si="41"/>
        <v>0</v>
      </c>
      <c r="BY157" s="375">
        <f>IF(GenType_2a="Fixed",GenRate_2a%*$BT156*BU156,          IF(GenType_2a="Float",$BT156*(_xll.qGetFwdRate($J$18,$AW156,$AW157,"T",DCC_Leg2_Float)%+GenRate_2a%%)*$BV156,        IF(GenType_2a="bp (Fixed)",GenRate_2a%%*$BU156*$BT156,   IF(GenType_2a="bp (Float)",GenRate_2a%%*$BT156*$BV156,0))))</f>
        <v>0</v>
      </c>
      <c r="BZ157" s="561"/>
      <c r="CB157" s="341">
        <f t="shared" si="29"/>
        <v>0</v>
      </c>
      <c r="CC157" s="563"/>
      <c r="CD157" s="356"/>
      <c r="CE157" s="341">
        <v>0</v>
      </c>
      <c r="CF157" s="563"/>
      <c r="CG157" s="356"/>
    </row>
    <row r="158" spans="15:85">
      <c r="O158" s="122">
        <v>0</v>
      </c>
      <c r="P158" s="128">
        <f t="shared" si="30"/>
        <v>0</v>
      </c>
      <c r="Q158" s="126">
        <v>0</v>
      </c>
      <c r="R158" s="699">
        <f>IF($O159=0,0,        _xll.qDateNext($O158,R$17,"M",TRUE,Currency1))</f>
        <v>0</v>
      </c>
      <c r="S158" s="699">
        <f>IF($O159=0,0,        _xll.qDateNext($O158,S$17,"M",TRUE,Currency1))</f>
        <v>0</v>
      </c>
      <c r="T158" s="699">
        <f>IF($O159=0,0,        _xll.qDateNext($O158,T$17,"M",TRUE,Currency1))</f>
        <v>0</v>
      </c>
      <c r="U158" s="699">
        <f>IF($O159=0,0,        _xll.qDateNext($O158,U$17,"M",TRUE,Currency1))</f>
        <v>0</v>
      </c>
      <c r="V158" s="699">
        <f>IF($O159=0,0,        _xll.qDateNext($O158,V$17,"M",TRUE,Currency1))</f>
        <v>0</v>
      </c>
      <c r="W158" s="699">
        <f>IF($O159=0,0,        _xll.qDateNext($O158,W$17,"M",TRUE,Currency1))</f>
        <v>0</v>
      </c>
      <c r="X158" s="699">
        <f>IF($O159=0,0,        _xll.qDateNext($O158,X$17,"M",TRUE,Currency1))</f>
        <v>0</v>
      </c>
      <c r="Y158" s="699">
        <f>IF($O159=0,0,        _xll.qDateNext($O158,Y$17,"M",TRUE,Currency1))</f>
        <v>0</v>
      </c>
      <c r="Z158" s="703">
        <f>IF($O159=0,0,           IF(FRM,_xll.qGetFwdRate(Z$14,$O158,R158,"T",DCC_Leg1_Float),_xll.qGetFwdRate(Z$14,$O158,$O159,"T",DCC_Leg1_Float)))</f>
        <v>0</v>
      </c>
      <c r="AA158" s="703">
        <f>IF($O159=0,0,           IF(FRM,_xll.qGetFwdRate(AA$14,$O158,S158,"T",DCC_Leg1_Float),_xll.qGetFwdRate(AA$14,$O158,$O159,"T",DCC_Leg1_Float)))</f>
        <v>0</v>
      </c>
      <c r="AB158" s="703">
        <f t="shared" si="31"/>
        <v>0</v>
      </c>
      <c r="AC158" s="703">
        <f>IF($O159=0,0,           IF(FRM,_xll.qGetFwdRate(AC$14,$O158,U158,"T",DCC_Leg1_Float),_xll.qGetFwdRate(AC$14,$O158,$O159,"T",DCC_Leg1_Float)))</f>
        <v>0</v>
      </c>
      <c r="AD158" s="703">
        <f t="shared" si="36"/>
        <v>0</v>
      </c>
      <c r="AE158" s="703">
        <f t="shared" si="37"/>
        <v>0</v>
      </c>
      <c r="AF158" s="703">
        <f>IF($O159=0,0,           IF(FRM,_xll.qGetFwdRate(AF$14,$O158,X158,"T",DCC_Leg1_Float),_xll.qGetFwdRate(AF$14,$O158,$O159,"T",DCC_Leg1_Float)))</f>
        <v>0</v>
      </c>
      <c r="AG158" s="703">
        <f>IF($O159=0,0,           IF(FRM,_xll.qGetFwdRate(AG$14,$O158,Y158,"T",DCC_Leg1_Float),_xll.qGetFwdRate(AG$14,$O158,$O159,"T",DCC_Leg1_Float)))</f>
        <v>0</v>
      </c>
      <c r="AH158" s="685">
        <v>0</v>
      </c>
      <c r="AI158" s="667"/>
      <c r="AJ158" s="670">
        <f>IF(O159=0,0,             IF(ISNUMBER(AI158),AI158,             IF(ISTEXT(AI158),INDEX(Z158:AG158,MATCH(AI158,$Z$17:$AG$17,0)),           IF(AH158="INT",_xll.qInterp(O159,R158:Y158,Z158:AG158),       INDEX(Z158:AG158,MATCH(AH158,$Z$17:$AG$17,0))))))</f>
        <v>0</v>
      </c>
      <c r="AK158" s="732">
        <v>100</v>
      </c>
      <c r="AL158" s="721">
        <f t="shared" si="32"/>
        <v>0</v>
      </c>
      <c r="AM158" s="284">
        <f>IF($O159,_xll.qDateYears($O158,$O159,DCC_Leg1_Fixed),0)</f>
        <v>0</v>
      </c>
      <c r="AN158" s="284">
        <f>IF($O159,_xll.qDateYears($O158,$O159,DCC_Leg1_Float),0)</f>
        <v>0</v>
      </c>
      <c r="AP158" s="350">
        <f t="shared" si="38"/>
        <v>0</v>
      </c>
      <c r="AQ158" s="375">
        <f>IF(GenType_1a="Fixed",GenRate_1a%*$AL157*AM157,          IF(GenType_1a="Float",$AL157*(_xll.qGetFwdRate($D$18,$O157,$O158,"T",DCC_Leg1_Float)%+GenRate_1a%%)*$AN157,        IF(GenType_1a="bp (Fixed)",GenRate_1a%%*$AM157*$AL157,   IF(GenType_1a="bp (Float)",GenRate_1a%%*$AL157*$AN157,0))))</f>
        <v>0</v>
      </c>
      <c r="AR158" s="561"/>
      <c r="AT158" s="341">
        <f t="shared" si="28"/>
        <v>0</v>
      </c>
      <c r="AV158" s="356"/>
      <c r="AW158" s="122">
        <v>0</v>
      </c>
      <c r="AX158" s="128">
        <f t="shared" si="33"/>
        <v>0</v>
      </c>
      <c r="AY158" s="357">
        <v>0</v>
      </c>
      <c r="AZ158" s="699">
        <f>IF($AW159=0,0,        _xll.qDateNext($AW158,AZ$17,"M",TRUE,Currency2))</f>
        <v>0</v>
      </c>
      <c r="BA158" s="699">
        <f>IF($AW159=0,0,        _xll.qDateNext($AW158,BA$17,"M",TRUE,Currency2))</f>
        <v>0</v>
      </c>
      <c r="BB158" s="699">
        <f>IF($AW159=0,0,        _xll.qDateNext($AW158,BB$17,"M",TRUE,Currency2))</f>
        <v>0</v>
      </c>
      <c r="BC158" s="699">
        <f>IF($AW159=0,0,        _xll.qDateNext($AW158,BC$17,"M",TRUE,Currency2))</f>
        <v>0</v>
      </c>
      <c r="BD158" s="699">
        <f>IF($AW159=0,0,        _xll.qDateNext($AW158,BD$17,"M",TRUE,Currency2))</f>
        <v>0</v>
      </c>
      <c r="BE158" s="699">
        <f>IF($AW159=0,0,        _xll.qDateNext($AW158,BE$17,"M",TRUE,Currency2))</f>
        <v>0</v>
      </c>
      <c r="BF158" s="699">
        <f>IF($AW159=0,0,        _xll.qDateNext($AW158,BF$17,"M",TRUE,Currency2))</f>
        <v>0</v>
      </c>
      <c r="BG158" s="699">
        <f>IF($AW159=0,0,        _xll.qDateNext($AW158,BG$17,"M",TRUE,Currency2))</f>
        <v>0</v>
      </c>
      <c r="BH158" s="703">
        <v>0</v>
      </c>
      <c r="BI158" s="703">
        <v>0</v>
      </c>
      <c r="BJ158" s="703">
        <v>0</v>
      </c>
      <c r="BK158" s="703">
        <v>0</v>
      </c>
      <c r="BL158" s="703">
        <f t="shared" si="39"/>
        <v>0</v>
      </c>
      <c r="BM158" s="703">
        <f t="shared" si="40"/>
        <v>0</v>
      </c>
      <c r="BN158" s="703">
        <v>0</v>
      </c>
      <c r="BO158" s="703">
        <v>0</v>
      </c>
      <c r="BP158" s="685">
        <v>0</v>
      </c>
      <c r="BQ158" s="667"/>
      <c r="BR158" s="670">
        <f>IF(AW159=0,0,             IF(ISNUMBER(BQ158),BQ158,             IF(ISTEXT(BQ158),INDEX(BH158:BO158,MATCH(BQ158,$BH$17:$BO$17,0)),           IF(BP158="INT",_xll.qInterp(AW159,AZ158:BG158,BH158:BO158),       INDEX(BH158:BO158,MATCH(BP158,$BH$17:$BO$17,0))))))</f>
        <v>0</v>
      </c>
      <c r="BS158" s="731">
        <f t="shared" si="34"/>
        <v>0</v>
      </c>
      <c r="BT158" s="406">
        <f t="shared" si="35"/>
        <v>0</v>
      </c>
      <c r="BU158" s="284">
        <f>IF($AW159,_xll.qDateYears($AW158,$AW159,DCC_Leg2_Fixed),0)</f>
        <v>0</v>
      </c>
      <c r="BV158" s="284">
        <f>IF($AW159,_xll.qDateYears($AW158,$AW159,DCC_Leg2_Float),0)</f>
        <v>0</v>
      </c>
      <c r="BX158" s="350">
        <f t="shared" si="41"/>
        <v>0</v>
      </c>
      <c r="BY158" s="375">
        <f>IF(GenType_2a="Fixed",GenRate_2a%*$BT157*BU157,          IF(GenType_2a="Float",$BT157*(_xll.qGetFwdRate($J$18,$AW157,$AW158,"T",DCC_Leg2_Float)%+GenRate_2a%%)*$BV157,        IF(GenType_2a="bp (Fixed)",GenRate_2a%%*$BU157*$BT157,   IF(GenType_2a="bp (Float)",GenRate_2a%%*$BT157*$BV157,0))))</f>
        <v>0</v>
      </c>
      <c r="BZ158" s="561"/>
      <c r="CB158" s="341">
        <f t="shared" si="29"/>
        <v>0</v>
      </c>
      <c r="CC158" s="563"/>
      <c r="CD158" s="356"/>
      <c r="CE158" s="341">
        <v>0</v>
      </c>
      <c r="CF158" s="563"/>
      <c r="CG158" s="356"/>
    </row>
    <row r="159" spans="15:85">
      <c r="O159" s="122">
        <v>0</v>
      </c>
      <c r="P159" s="128">
        <f t="shared" si="30"/>
        <v>0</v>
      </c>
      <c r="Q159" s="126">
        <v>0</v>
      </c>
      <c r="R159" s="699">
        <f>IF($O160=0,0,        _xll.qDateNext($O159,R$17,"M",TRUE,Currency1))</f>
        <v>0</v>
      </c>
      <c r="S159" s="699">
        <f>IF($O160=0,0,        _xll.qDateNext($O159,S$17,"M",TRUE,Currency1))</f>
        <v>0</v>
      </c>
      <c r="T159" s="699">
        <f>IF($O160=0,0,        _xll.qDateNext($O159,T$17,"M",TRUE,Currency1))</f>
        <v>0</v>
      </c>
      <c r="U159" s="699">
        <f>IF($O160=0,0,        _xll.qDateNext($O159,U$17,"M",TRUE,Currency1))</f>
        <v>0</v>
      </c>
      <c r="V159" s="699">
        <f>IF($O160=0,0,        _xll.qDateNext($O159,V$17,"M",TRUE,Currency1))</f>
        <v>0</v>
      </c>
      <c r="W159" s="699">
        <f>IF($O160=0,0,        _xll.qDateNext($O159,W$17,"M",TRUE,Currency1))</f>
        <v>0</v>
      </c>
      <c r="X159" s="699">
        <f>IF($O160=0,0,        _xll.qDateNext($O159,X$17,"M",TRUE,Currency1))</f>
        <v>0</v>
      </c>
      <c r="Y159" s="699">
        <f>IF($O160=0,0,        _xll.qDateNext($O159,Y$17,"M",TRUE,Currency1))</f>
        <v>0</v>
      </c>
      <c r="Z159" s="703">
        <f>IF($O160=0,0,           IF(FRM,_xll.qGetFwdRate(Z$14,$O159,R159,"T",DCC_Leg1_Float),_xll.qGetFwdRate(Z$14,$O159,$O160,"T",DCC_Leg1_Float)))</f>
        <v>0</v>
      </c>
      <c r="AA159" s="703">
        <f>IF($O160=0,0,           IF(FRM,_xll.qGetFwdRate(AA$14,$O159,S159,"T",DCC_Leg1_Float),_xll.qGetFwdRate(AA$14,$O159,$O160,"T",DCC_Leg1_Float)))</f>
        <v>0</v>
      </c>
      <c r="AB159" s="703">
        <f t="shared" si="31"/>
        <v>0</v>
      </c>
      <c r="AC159" s="703">
        <f>IF($O160=0,0,           IF(FRM,_xll.qGetFwdRate(AC$14,$O159,U159,"T",DCC_Leg1_Float),_xll.qGetFwdRate(AC$14,$O159,$O160,"T",DCC_Leg1_Float)))</f>
        <v>0</v>
      </c>
      <c r="AD159" s="703">
        <f t="shared" si="36"/>
        <v>0</v>
      </c>
      <c r="AE159" s="703">
        <f t="shared" si="37"/>
        <v>0</v>
      </c>
      <c r="AF159" s="703">
        <f>IF($O160=0,0,           IF(FRM,_xll.qGetFwdRate(AF$14,$O159,X159,"T",DCC_Leg1_Float),_xll.qGetFwdRate(AF$14,$O159,$O160,"T",DCC_Leg1_Float)))</f>
        <v>0</v>
      </c>
      <c r="AG159" s="703">
        <f>IF($O160=0,0,           IF(FRM,_xll.qGetFwdRate(AG$14,$O159,Y159,"T",DCC_Leg1_Float),_xll.qGetFwdRate(AG$14,$O159,$O160,"T",DCC_Leg1_Float)))</f>
        <v>0</v>
      </c>
      <c r="AH159" s="685">
        <v>0</v>
      </c>
      <c r="AI159" s="667"/>
      <c r="AJ159" s="670">
        <f>IF(O160=0,0,             IF(ISNUMBER(AI159),AI159,             IF(ISTEXT(AI159),INDEX(Z159:AG159,MATCH(AI159,$Z$17:$AG$17,0)),           IF(AH159="INT",_xll.qInterp(O160,R159:Y159,Z159:AG159),       INDEX(Z159:AG159,MATCH(AH159,$Z$17:$AG$17,0))))))</f>
        <v>0</v>
      </c>
      <c r="AK159" s="732">
        <v>100</v>
      </c>
      <c r="AL159" s="721">
        <f t="shared" si="32"/>
        <v>0</v>
      </c>
      <c r="AM159" s="284">
        <f>IF($O160,_xll.qDateYears($O159,$O160,DCC_Leg1_Fixed),0)</f>
        <v>0</v>
      </c>
      <c r="AN159" s="284">
        <f>IF($O160,_xll.qDateYears($O159,$O160,DCC_Leg1_Float),0)</f>
        <v>0</v>
      </c>
      <c r="AP159" s="350">
        <f t="shared" si="38"/>
        <v>0</v>
      </c>
      <c r="AQ159" s="375">
        <f>IF(GenType_1a="Fixed",GenRate_1a%*$AL158*AM158,          IF(GenType_1a="Float",$AL158*(_xll.qGetFwdRate($D$18,$O158,$O159,"T",DCC_Leg1_Float)%+GenRate_1a%%)*$AN158,        IF(GenType_1a="bp (Fixed)",GenRate_1a%%*$AM158*$AL158,   IF(GenType_1a="bp (Float)",GenRate_1a%%*$AL158*$AN158,0))))</f>
        <v>0</v>
      </c>
      <c r="AR159" s="561"/>
      <c r="AT159" s="341">
        <f t="shared" si="28"/>
        <v>0</v>
      </c>
      <c r="AV159" s="356"/>
      <c r="AW159" s="122">
        <v>0</v>
      </c>
      <c r="AX159" s="128">
        <f t="shared" si="33"/>
        <v>0</v>
      </c>
      <c r="AY159" s="357">
        <v>0</v>
      </c>
      <c r="AZ159" s="699">
        <f>IF($AW160=0,0,        _xll.qDateNext($AW159,AZ$17,"M",TRUE,Currency2))</f>
        <v>0</v>
      </c>
      <c r="BA159" s="699">
        <f>IF($AW160=0,0,        _xll.qDateNext($AW159,BA$17,"M",TRUE,Currency2))</f>
        <v>0</v>
      </c>
      <c r="BB159" s="699">
        <f>IF($AW160=0,0,        _xll.qDateNext($AW159,BB$17,"M",TRUE,Currency2))</f>
        <v>0</v>
      </c>
      <c r="BC159" s="699">
        <f>IF($AW160=0,0,        _xll.qDateNext($AW159,BC$17,"M",TRUE,Currency2))</f>
        <v>0</v>
      </c>
      <c r="BD159" s="699">
        <f>IF($AW160=0,0,        _xll.qDateNext($AW159,BD$17,"M",TRUE,Currency2))</f>
        <v>0</v>
      </c>
      <c r="BE159" s="699">
        <f>IF($AW160=0,0,        _xll.qDateNext($AW159,BE$17,"M",TRUE,Currency2))</f>
        <v>0</v>
      </c>
      <c r="BF159" s="699">
        <f>IF($AW160=0,0,        _xll.qDateNext($AW159,BF$17,"M",TRUE,Currency2))</f>
        <v>0</v>
      </c>
      <c r="BG159" s="699">
        <f>IF($AW160=0,0,        _xll.qDateNext($AW159,BG$17,"M",TRUE,Currency2))</f>
        <v>0</v>
      </c>
      <c r="BH159" s="703">
        <v>0</v>
      </c>
      <c r="BI159" s="703">
        <v>0</v>
      </c>
      <c r="BJ159" s="703">
        <v>0</v>
      </c>
      <c r="BK159" s="703">
        <v>0</v>
      </c>
      <c r="BL159" s="703">
        <f t="shared" si="39"/>
        <v>0</v>
      </c>
      <c r="BM159" s="703">
        <f t="shared" si="40"/>
        <v>0</v>
      </c>
      <c r="BN159" s="703">
        <v>0</v>
      </c>
      <c r="BO159" s="703">
        <v>0</v>
      </c>
      <c r="BP159" s="685">
        <v>0</v>
      </c>
      <c r="BQ159" s="667"/>
      <c r="BR159" s="670">
        <f>IF(AW160=0,0,             IF(ISNUMBER(BQ159),BQ159,             IF(ISTEXT(BQ159),INDEX(BH159:BO159,MATCH(BQ159,$BH$17:$BO$17,0)),           IF(BP159="INT",_xll.qInterp(AW160,AZ159:BG159,BH159:BO159),       INDEX(BH159:BO159,MATCH(BP159,$BH$17:$BO$17,0))))))</f>
        <v>0</v>
      </c>
      <c r="BS159" s="731">
        <f t="shared" si="34"/>
        <v>0</v>
      </c>
      <c r="BT159" s="406">
        <f t="shared" si="35"/>
        <v>0</v>
      </c>
      <c r="BU159" s="284">
        <f>IF($AW160,_xll.qDateYears($AW159,$AW160,DCC_Leg2_Fixed),0)</f>
        <v>0</v>
      </c>
      <c r="BV159" s="284">
        <f>IF($AW160,_xll.qDateYears($AW159,$AW160,DCC_Leg2_Float),0)</f>
        <v>0</v>
      </c>
      <c r="BX159" s="350">
        <f t="shared" si="41"/>
        <v>0</v>
      </c>
      <c r="BY159" s="375">
        <f>IF(GenType_2a="Fixed",GenRate_2a%*$BT158*BU158,          IF(GenType_2a="Float",$BT158*(_xll.qGetFwdRate($J$18,$AW158,$AW159,"T",DCC_Leg2_Float)%+GenRate_2a%%)*$BV158,        IF(GenType_2a="bp (Fixed)",GenRate_2a%%*$BU158*$BT158,   IF(GenType_2a="bp (Float)",GenRate_2a%%*$BT158*$BV158,0))))</f>
        <v>0</v>
      </c>
      <c r="BZ159" s="561"/>
      <c r="CB159" s="341">
        <f t="shared" si="29"/>
        <v>0</v>
      </c>
      <c r="CC159" s="563"/>
      <c r="CD159" s="356"/>
      <c r="CE159" s="341">
        <v>0</v>
      </c>
      <c r="CF159" s="563"/>
      <c r="CG159" s="356"/>
    </row>
    <row r="160" spans="15:85">
      <c r="O160" s="122">
        <v>0</v>
      </c>
      <c r="P160" s="128">
        <f t="shared" si="30"/>
        <v>0</v>
      </c>
      <c r="Q160" s="126">
        <v>0</v>
      </c>
      <c r="R160" s="699">
        <f>IF($O161=0,0,        _xll.qDateNext($O160,R$17,"M",TRUE,Currency1))</f>
        <v>0</v>
      </c>
      <c r="S160" s="699">
        <f>IF($O161=0,0,        _xll.qDateNext($O160,S$17,"M",TRUE,Currency1))</f>
        <v>0</v>
      </c>
      <c r="T160" s="699">
        <f>IF($O161=0,0,        _xll.qDateNext($O160,T$17,"M",TRUE,Currency1))</f>
        <v>0</v>
      </c>
      <c r="U160" s="699">
        <f>IF($O161=0,0,        _xll.qDateNext($O160,U$17,"M",TRUE,Currency1))</f>
        <v>0</v>
      </c>
      <c r="V160" s="699">
        <f>IF($O161=0,0,        _xll.qDateNext($O160,V$17,"M",TRUE,Currency1))</f>
        <v>0</v>
      </c>
      <c r="W160" s="699">
        <f>IF($O161=0,0,        _xll.qDateNext($O160,W$17,"M",TRUE,Currency1))</f>
        <v>0</v>
      </c>
      <c r="X160" s="699">
        <f>IF($O161=0,0,        _xll.qDateNext($O160,X$17,"M",TRUE,Currency1))</f>
        <v>0</v>
      </c>
      <c r="Y160" s="699">
        <f>IF($O161=0,0,        _xll.qDateNext($O160,Y$17,"M",TRUE,Currency1))</f>
        <v>0</v>
      </c>
      <c r="Z160" s="703">
        <f>IF($O161=0,0,           IF(FRM,_xll.qGetFwdRate(Z$14,$O160,R160,"T",DCC_Leg1_Float),_xll.qGetFwdRate(Z$14,$O160,$O161,"T",DCC_Leg1_Float)))</f>
        <v>0</v>
      </c>
      <c r="AA160" s="703">
        <f>IF($O161=0,0,           IF(FRM,_xll.qGetFwdRate(AA$14,$O160,S160,"T",DCC_Leg1_Float),_xll.qGetFwdRate(AA$14,$O160,$O161,"T",DCC_Leg1_Float)))</f>
        <v>0</v>
      </c>
      <c r="AB160" s="703">
        <f t="shared" si="31"/>
        <v>0</v>
      </c>
      <c r="AC160" s="703">
        <f>IF($O161=0,0,           IF(FRM,_xll.qGetFwdRate(AC$14,$O160,U160,"T",DCC_Leg1_Float),_xll.qGetFwdRate(AC$14,$O160,$O161,"T",DCC_Leg1_Float)))</f>
        <v>0</v>
      </c>
      <c r="AD160" s="703">
        <f t="shared" si="36"/>
        <v>0</v>
      </c>
      <c r="AE160" s="703">
        <f t="shared" si="37"/>
        <v>0</v>
      </c>
      <c r="AF160" s="703">
        <f>IF($O161=0,0,           IF(FRM,_xll.qGetFwdRate(AF$14,$O160,X160,"T",DCC_Leg1_Float),_xll.qGetFwdRate(AF$14,$O160,$O161,"T",DCC_Leg1_Float)))</f>
        <v>0</v>
      </c>
      <c r="AG160" s="703">
        <f>IF($O161=0,0,           IF(FRM,_xll.qGetFwdRate(AG$14,$O160,Y160,"T",DCC_Leg1_Float),_xll.qGetFwdRate(AG$14,$O160,$O161,"T",DCC_Leg1_Float)))</f>
        <v>0</v>
      </c>
      <c r="AH160" s="685">
        <v>0</v>
      </c>
      <c r="AI160" s="667"/>
      <c r="AJ160" s="670">
        <f>IF(O161=0,0,             IF(ISNUMBER(AI160),AI160,             IF(ISTEXT(AI160),INDEX(Z160:AG160,MATCH(AI160,$Z$17:$AG$17,0)),           IF(AH160="INT",_xll.qInterp(O161,R160:Y160,Z160:AG160),       INDEX(Z160:AG160,MATCH(AH160,$Z$17:$AG$17,0))))))</f>
        <v>0</v>
      </c>
      <c r="AK160" s="732">
        <v>100</v>
      </c>
      <c r="AL160" s="721">
        <f t="shared" si="32"/>
        <v>0</v>
      </c>
      <c r="AM160" s="284">
        <f>IF($O161,_xll.qDateYears($O160,$O161,DCC_Leg1_Fixed),0)</f>
        <v>0</v>
      </c>
      <c r="AN160" s="284">
        <f>IF($O161,_xll.qDateYears($O160,$O161,DCC_Leg1_Float),0)</f>
        <v>0</v>
      </c>
      <c r="AP160" s="350">
        <f t="shared" si="38"/>
        <v>0</v>
      </c>
      <c r="AQ160" s="375">
        <f>IF(GenType_1a="Fixed",GenRate_1a%*$AL159*AM159,          IF(GenType_1a="Float",$AL159*(_xll.qGetFwdRate($D$18,$O159,$O160,"T",DCC_Leg1_Float)%+GenRate_1a%%)*$AN159,        IF(GenType_1a="bp (Fixed)",GenRate_1a%%*$AM159*$AL159,   IF(GenType_1a="bp (Float)",GenRate_1a%%*$AL159*$AN159,0))))</f>
        <v>0</v>
      </c>
      <c r="AR160" s="561"/>
      <c r="AT160" s="341">
        <f t="shared" si="28"/>
        <v>0</v>
      </c>
      <c r="AV160" s="356"/>
      <c r="AW160" s="122">
        <v>0</v>
      </c>
      <c r="AX160" s="128">
        <f t="shared" si="33"/>
        <v>0</v>
      </c>
      <c r="AY160" s="357">
        <v>0</v>
      </c>
      <c r="AZ160" s="699">
        <f>IF($AW161=0,0,        _xll.qDateNext($AW160,AZ$17,"M",TRUE,Currency2))</f>
        <v>0</v>
      </c>
      <c r="BA160" s="699">
        <f>IF($AW161=0,0,        _xll.qDateNext($AW160,BA$17,"M",TRUE,Currency2))</f>
        <v>0</v>
      </c>
      <c r="BB160" s="699">
        <f>IF($AW161=0,0,        _xll.qDateNext($AW160,BB$17,"M",TRUE,Currency2))</f>
        <v>0</v>
      </c>
      <c r="BC160" s="699">
        <f>IF($AW161=0,0,        _xll.qDateNext($AW160,BC$17,"M",TRUE,Currency2))</f>
        <v>0</v>
      </c>
      <c r="BD160" s="699">
        <f>IF($AW161=0,0,        _xll.qDateNext($AW160,BD$17,"M",TRUE,Currency2))</f>
        <v>0</v>
      </c>
      <c r="BE160" s="699">
        <f>IF($AW161=0,0,        _xll.qDateNext($AW160,BE$17,"M",TRUE,Currency2))</f>
        <v>0</v>
      </c>
      <c r="BF160" s="699">
        <f>IF($AW161=0,0,        _xll.qDateNext($AW160,BF$17,"M",TRUE,Currency2))</f>
        <v>0</v>
      </c>
      <c r="BG160" s="699">
        <f>IF($AW161=0,0,        _xll.qDateNext($AW160,BG$17,"M",TRUE,Currency2))</f>
        <v>0</v>
      </c>
      <c r="BH160" s="703">
        <v>0</v>
      </c>
      <c r="BI160" s="703">
        <v>0</v>
      </c>
      <c r="BJ160" s="703">
        <v>0</v>
      </c>
      <c r="BK160" s="703">
        <v>0</v>
      </c>
      <c r="BL160" s="703">
        <f t="shared" si="39"/>
        <v>0</v>
      </c>
      <c r="BM160" s="703">
        <f t="shared" si="40"/>
        <v>0</v>
      </c>
      <c r="BN160" s="703">
        <v>0</v>
      </c>
      <c r="BO160" s="703">
        <v>0</v>
      </c>
      <c r="BP160" s="685">
        <v>0</v>
      </c>
      <c r="BQ160" s="667"/>
      <c r="BR160" s="670">
        <f>IF(AW161=0,0,             IF(ISNUMBER(BQ160),BQ160,             IF(ISTEXT(BQ160),INDEX(BH160:BO160,MATCH(BQ160,$BH$17:$BO$17,0)),           IF(BP160="INT",_xll.qInterp(AW161,AZ160:BG160,BH160:BO160),       INDEX(BH160:BO160,MATCH(BP160,$BH$17:$BO$17,0))))))</f>
        <v>0</v>
      </c>
      <c r="BS160" s="731">
        <f t="shared" si="34"/>
        <v>0</v>
      </c>
      <c r="BT160" s="406">
        <f t="shared" si="35"/>
        <v>0</v>
      </c>
      <c r="BU160" s="284">
        <f>IF($AW161,_xll.qDateYears($AW160,$AW161,DCC_Leg2_Fixed),0)</f>
        <v>0</v>
      </c>
      <c r="BV160" s="284">
        <f>IF($AW161,_xll.qDateYears($AW160,$AW161,DCC_Leg2_Float),0)</f>
        <v>0</v>
      </c>
      <c r="BX160" s="350">
        <f t="shared" si="41"/>
        <v>0</v>
      </c>
      <c r="BY160" s="375">
        <f>IF(GenType_2a="Fixed",GenRate_2a%*$BT159*BU159,          IF(GenType_2a="Float",$BT159*(_xll.qGetFwdRate($J$18,$AW159,$AW160,"T",DCC_Leg2_Float)%+GenRate_2a%%)*$BV159,        IF(GenType_2a="bp (Fixed)",GenRate_2a%%*$BU159*$BT159,   IF(GenType_2a="bp (Float)",GenRate_2a%%*$BT159*$BV159,0))))</f>
        <v>0</v>
      </c>
      <c r="BZ160" s="561"/>
      <c r="CB160" s="341">
        <f t="shared" si="29"/>
        <v>0</v>
      </c>
      <c r="CC160" s="563"/>
      <c r="CD160" s="356"/>
      <c r="CE160" s="341">
        <v>0</v>
      </c>
      <c r="CF160" s="563"/>
      <c r="CG160" s="356"/>
    </row>
    <row r="161" spans="15:85">
      <c r="O161" s="122">
        <v>0</v>
      </c>
      <c r="P161" s="128">
        <f t="shared" si="30"/>
        <v>0</v>
      </c>
      <c r="Q161" s="126">
        <v>0</v>
      </c>
      <c r="R161" s="699">
        <f>IF($O162=0,0,        _xll.qDateNext($O161,R$17,"M",TRUE,Currency1))</f>
        <v>0</v>
      </c>
      <c r="S161" s="699">
        <f>IF($O162=0,0,        _xll.qDateNext($O161,S$17,"M",TRUE,Currency1))</f>
        <v>0</v>
      </c>
      <c r="T161" s="699">
        <f>IF($O162=0,0,        _xll.qDateNext($O161,T$17,"M",TRUE,Currency1))</f>
        <v>0</v>
      </c>
      <c r="U161" s="699">
        <f>IF($O162=0,0,        _xll.qDateNext($O161,U$17,"M",TRUE,Currency1))</f>
        <v>0</v>
      </c>
      <c r="V161" s="699">
        <f>IF($O162=0,0,        _xll.qDateNext($O161,V$17,"M",TRUE,Currency1))</f>
        <v>0</v>
      </c>
      <c r="W161" s="699">
        <f>IF($O162=0,0,        _xll.qDateNext($O161,W$17,"M",TRUE,Currency1))</f>
        <v>0</v>
      </c>
      <c r="X161" s="699">
        <f>IF($O162=0,0,        _xll.qDateNext($O161,X$17,"M",TRUE,Currency1))</f>
        <v>0</v>
      </c>
      <c r="Y161" s="699">
        <f>IF($O162=0,0,        _xll.qDateNext($O161,Y$17,"M",TRUE,Currency1))</f>
        <v>0</v>
      </c>
      <c r="Z161" s="703">
        <f>IF($O162=0,0,           IF(FRM,_xll.qGetFwdRate(Z$14,$O161,R161,"T",DCC_Leg1_Float),_xll.qGetFwdRate(Z$14,$O161,$O162,"T",DCC_Leg1_Float)))</f>
        <v>0</v>
      </c>
      <c r="AA161" s="703">
        <f>IF($O162=0,0,           IF(FRM,_xll.qGetFwdRate(AA$14,$O161,S161,"T",DCC_Leg1_Float),_xll.qGetFwdRate(AA$14,$O161,$O162,"T",DCC_Leg1_Float)))</f>
        <v>0</v>
      </c>
      <c r="AB161" s="703">
        <f t="shared" si="31"/>
        <v>0</v>
      </c>
      <c r="AC161" s="703">
        <f>IF($O162=0,0,           IF(FRM,_xll.qGetFwdRate(AC$14,$O161,U161,"T",DCC_Leg1_Float),_xll.qGetFwdRate(AC$14,$O161,$O162,"T",DCC_Leg1_Float)))</f>
        <v>0</v>
      </c>
      <c r="AD161" s="703">
        <f t="shared" si="36"/>
        <v>0</v>
      </c>
      <c r="AE161" s="703">
        <f t="shared" si="37"/>
        <v>0</v>
      </c>
      <c r="AF161" s="703">
        <f>IF($O162=0,0,           IF(FRM,_xll.qGetFwdRate(AF$14,$O161,X161,"T",DCC_Leg1_Float),_xll.qGetFwdRate(AF$14,$O161,$O162,"T",DCC_Leg1_Float)))</f>
        <v>0</v>
      </c>
      <c r="AG161" s="703">
        <f>IF($O162=0,0,           IF(FRM,_xll.qGetFwdRate(AG$14,$O161,Y161,"T",DCC_Leg1_Float),_xll.qGetFwdRate(AG$14,$O161,$O162,"T",DCC_Leg1_Float)))</f>
        <v>0</v>
      </c>
      <c r="AH161" s="685">
        <v>0</v>
      </c>
      <c r="AI161" s="667"/>
      <c r="AJ161" s="670">
        <f>IF(O162=0,0,             IF(ISNUMBER(AI161),AI161,             IF(ISTEXT(AI161),INDEX(Z161:AG161,MATCH(AI161,$Z$17:$AG$17,0)),           IF(AH161="INT",_xll.qInterp(O162,R161:Y161,Z161:AG161),       INDEX(Z161:AG161,MATCH(AH161,$Z$17:$AG$17,0))))))</f>
        <v>0</v>
      </c>
      <c r="AK161" s="732">
        <v>100</v>
      </c>
      <c r="AL161" s="721">
        <f t="shared" si="32"/>
        <v>0</v>
      </c>
      <c r="AM161" s="284">
        <f>IF($O162,_xll.qDateYears($O161,$O162,DCC_Leg1_Fixed),0)</f>
        <v>0</v>
      </c>
      <c r="AN161" s="284">
        <f>IF($O162,_xll.qDateYears($O161,$O162,DCC_Leg1_Float),0)</f>
        <v>0</v>
      </c>
      <c r="AP161" s="350">
        <f t="shared" si="38"/>
        <v>0</v>
      </c>
      <c r="AQ161" s="375">
        <f>IF(GenType_1a="Fixed",GenRate_1a%*$AL160*AM160,          IF(GenType_1a="Float",$AL160*(_xll.qGetFwdRate($D$18,$O160,$O161,"T",DCC_Leg1_Float)%+GenRate_1a%%)*$AN160,        IF(GenType_1a="bp (Fixed)",GenRate_1a%%*$AM160*$AL160,   IF(GenType_1a="bp (Float)",GenRate_1a%%*$AL160*$AN160,0))))</f>
        <v>0</v>
      </c>
      <c r="AR161" s="561"/>
      <c r="AT161" s="341">
        <f t="shared" si="28"/>
        <v>0</v>
      </c>
      <c r="AV161" s="356"/>
      <c r="AW161" s="122">
        <v>0</v>
      </c>
      <c r="AX161" s="128">
        <f t="shared" si="33"/>
        <v>0</v>
      </c>
      <c r="AY161" s="357">
        <v>0</v>
      </c>
      <c r="AZ161" s="699">
        <f>IF($AW162=0,0,        _xll.qDateNext($AW161,AZ$17,"M",TRUE,Currency2))</f>
        <v>0</v>
      </c>
      <c r="BA161" s="699">
        <f>IF($AW162=0,0,        _xll.qDateNext($AW161,BA$17,"M",TRUE,Currency2))</f>
        <v>0</v>
      </c>
      <c r="BB161" s="699">
        <f>IF($AW162=0,0,        _xll.qDateNext($AW161,BB$17,"M",TRUE,Currency2))</f>
        <v>0</v>
      </c>
      <c r="BC161" s="699">
        <f>IF($AW162=0,0,        _xll.qDateNext($AW161,BC$17,"M",TRUE,Currency2))</f>
        <v>0</v>
      </c>
      <c r="BD161" s="699">
        <f>IF($AW162=0,0,        _xll.qDateNext($AW161,BD$17,"M",TRUE,Currency2))</f>
        <v>0</v>
      </c>
      <c r="BE161" s="699">
        <f>IF($AW162=0,0,        _xll.qDateNext($AW161,BE$17,"M",TRUE,Currency2))</f>
        <v>0</v>
      </c>
      <c r="BF161" s="699">
        <f>IF($AW162=0,0,        _xll.qDateNext($AW161,BF$17,"M",TRUE,Currency2))</f>
        <v>0</v>
      </c>
      <c r="BG161" s="699">
        <f>IF($AW162=0,0,        _xll.qDateNext($AW161,BG$17,"M",TRUE,Currency2))</f>
        <v>0</v>
      </c>
      <c r="BH161" s="703">
        <v>0</v>
      </c>
      <c r="BI161" s="703">
        <v>0</v>
      </c>
      <c r="BJ161" s="703">
        <v>0</v>
      </c>
      <c r="BK161" s="703">
        <v>0</v>
      </c>
      <c r="BL161" s="703">
        <f t="shared" si="39"/>
        <v>0</v>
      </c>
      <c r="BM161" s="703">
        <f t="shared" si="40"/>
        <v>0</v>
      </c>
      <c r="BN161" s="703">
        <v>0</v>
      </c>
      <c r="BO161" s="703">
        <v>0</v>
      </c>
      <c r="BP161" s="685">
        <v>0</v>
      </c>
      <c r="BQ161" s="667"/>
      <c r="BR161" s="670">
        <f>IF(AW162=0,0,             IF(ISNUMBER(BQ161),BQ161,             IF(ISTEXT(BQ161),INDEX(BH161:BO161,MATCH(BQ161,$BH$17:$BO$17,0)),           IF(BP161="INT",_xll.qInterp(AW162,AZ161:BG161,BH161:BO161),       INDEX(BH161:BO161,MATCH(BP161,$BH$17:$BO$17,0))))))</f>
        <v>0</v>
      </c>
      <c r="BS161" s="731">
        <f t="shared" si="34"/>
        <v>0</v>
      </c>
      <c r="BT161" s="406">
        <f t="shared" si="35"/>
        <v>0</v>
      </c>
      <c r="BU161" s="284">
        <f>IF($AW162,_xll.qDateYears($AW161,$AW162,DCC_Leg2_Fixed),0)</f>
        <v>0</v>
      </c>
      <c r="BV161" s="284">
        <f>IF($AW162,_xll.qDateYears($AW161,$AW162,DCC_Leg2_Float),0)</f>
        <v>0</v>
      </c>
      <c r="BX161" s="350">
        <f t="shared" si="41"/>
        <v>0</v>
      </c>
      <c r="BY161" s="375">
        <f>IF(GenType_2a="Fixed",GenRate_2a%*$BT160*BU160,          IF(GenType_2a="Float",$BT160*(_xll.qGetFwdRate($J$18,$AW160,$AW161,"T",DCC_Leg2_Float)%+GenRate_2a%%)*$BV160,        IF(GenType_2a="bp (Fixed)",GenRate_2a%%*$BU160*$BT160,   IF(GenType_2a="bp (Float)",GenRate_2a%%*$BT160*$BV160,0))))</f>
        <v>0</v>
      </c>
      <c r="BZ161" s="561"/>
      <c r="CB161" s="341">
        <f t="shared" si="29"/>
        <v>0</v>
      </c>
      <c r="CC161" s="563"/>
      <c r="CD161" s="356"/>
      <c r="CE161" s="341">
        <v>0</v>
      </c>
      <c r="CF161" s="563"/>
      <c r="CG161" s="356"/>
    </row>
    <row r="162" spans="15:85">
      <c r="O162" s="122">
        <v>0</v>
      </c>
      <c r="P162" s="128">
        <f t="shared" si="30"/>
        <v>0</v>
      </c>
      <c r="Q162" s="126">
        <v>0</v>
      </c>
      <c r="R162" s="699">
        <f>IF($O163=0,0,        _xll.qDateNext($O162,R$17,"M",TRUE,Currency1))</f>
        <v>0</v>
      </c>
      <c r="S162" s="699">
        <f>IF($O163=0,0,        _xll.qDateNext($O162,S$17,"M",TRUE,Currency1))</f>
        <v>0</v>
      </c>
      <c r="T162" s="699">
        <f>IF($O163=0,0,        _xll.qDateNext($O162,T$17,"M",TRUE,Currency1))</f>
        <v>0</v>
      </c>
      <c r="U162" s="699">
        <f>IF($O163=0,0,        _xll.qDateNext($O162,U$17,"M",TRUE,Currency1))</f>
        <v>0</v>
      </c>
      <c r="V162" s="699">
        <f>IF($O163=0,0,        _xll.qDateNext($O162,V$17,"M",TRUE,Currency1))</f>
        <v>0</v>
      </c>
      <c r="W162" s="699">
        <f>IF($O163=0,0,        _xll.qDateNext($O162,W$17,"M",TRUE,Currency1))</f>
        <v>0</v>
      </c>
      <c r="X162" s="699">
        <f>IF($O163=0,0,        _xll.qDateNext($O162,X$17,"M",TRUE,Currency1))</f>
        <v>0</v>
      </c>
      <c r="Y162" s="699">
        <f>IF($O163=0,0,        _xll.qDateNext($O162,Y$17,"M",TRUE,Currency1))</f>
        <v>0</v>
      </c>
      <c r="Z162" s="703">
        <f>IF($O163=0,0,           IF(FRM,_xll.qGetFwdRate(Z$14,$O162,R162,"T",DCC_Leg1_Float),_xll.qGetFwdRate(Z$14,$O162,$O163,"T",DCC_Leg1_Float)))</f>
        <v>0</v>
      </c>
      <c r="AA162" s="703">
        <f>IF($O163=0,0,           IF(FRM,_xll.qGetFwdRate(AA$14,$O162,S162,"T",DCC_Leg1_Float),_xll.qGetFwdRate(AA$14,$O162,$O163,"T",DCC_Leg1_Float)))</f>
        <v>0</v>
      </c>
      <c r="AB162" s="703">
        <f t="shared" si="31"/>
        <v>0</v>
      </c>
      <c r="AC162" s="703">
        <f>IF($O163=0,0,           IF(FRM,_xll.qGetFwdRate(AC$14,$O162,U162,"T",DCC_Leg1_Float),_xll.qGetFwdRate(AC$14,$O162,$O163,"T",DCC_Leg1_Float)))</f>
        <v>0</v>
      </c>
      <c r="AD162" s="703">
        <f t="shared" si="36"/>
        <v>0</v>
      </c>
      <c r="AE162" s="703">
        <f t="shared" si="37"/>
        <v>0</v>
      </c>
      <c r="AF162" s="703">
        <f>IF($O163=0,0,           IF(FRM,_xll.qGetFwdRate(AF$14,$O162,X162,"T",DCC_Leg1_Float),_xll.qGetFwdRate(AF$14,$O162,$O163,"T",DCC_Leg1_Float)))</f>
        <v>0</v>
      </c>
      <c r="AG162" s="703">
        <f>IF($O163=0,0,           IF(FRM,_xll.qGetFwdRate(AG$14,$O162,Y162,"T",DCC_Leg1_Float),_xll.qGetFwdRate(AG$14,$O162,$O163,"T",DCC_Leg1_Float)))</f>
        <v>0</v>
      </c>
      <c r="AH162" s="685">
        <v>0</v>
      </c>
      <c r="AI162" s="667"/>
      <c r="AJ162" s="670">
        <f>IF(O163=0,0,             IF(ISNUMBER(AI162),AI162,             IF(ISTEXT(AI162),INDEX(Z162:AG162,MATCH(AI162,$Z$17:$AG$17,0)),           IF(AH162="INT",_xll.qInterp(O163,R162:Y162,Z162:AG162),       INDEX(Z162:AG162,MATCH(AH162,$Z$17:$AG$17,0))))))</f>
        <v>0</v>
      </c>
      <c r="AK162" s="732">
        <v>100</v>
      </c>
      <c r="AL162" s="721">
        <f t="shared" si="32"/>
        <v>0</v>
      </c>
      <c r="AM162" s="284">
        <f>IF($O163,_xll.qDateYears($O162,$O163,DCC_Leg1_Fixed),0)</f>
        <v>0</v>
      </c>
      <c r="AN162" s="284">
        <f>IF($O163,_xll.qDateYears($O162,$O163,DCC_Leg1_Float),0)</f>
        <v>0</v>
      </c>
      <c r="AP162" s="350">
        <f t="shared" si="38"/>
        <v>0</v>
      </c>
      <c r="AQ162" s="375">
        <f>IF(GenType_1a="Fixed",GenRate_1a%*$AL161*AM161,          IF(GenType_1a="Float",$AL161*(_xll.qGetFwdRate($D$18,$O161,$O162,"T",DCC_Leg1_Float)%+GenRate_1a%%)*$AN161,        IF(GenType_1a="bp (Fixed)",GenRate_1a%%*$AM161*$AL161,   IF(GenType_1a="bp (Float)",GenRate_1a%%*$AL161*$AN161,0))))</f>
        <v>0</v>
      </c>
      <c r="AR162" s="561"/>
      <c r="AT162" s="341">
        <f t="shared" si="28"/>
        <v>0</v>
      </c>
      <c r="AV162" s="356"/>
      <c r="AW162" s="122">
        <v>0</v>
      </c>
      <c r="AX162" s="128">
        <f t="shared" si="33"/>
        <v>0</v>
      </c>
      <c r="AY162" s="357">
        <v>0</v>
      </c>
      <c r="AZ162" s="699">
        <f>IF($AW163=0,0,        _xll.qDateNext($AW162,AZ$17,"M",TRUE,Currency2))</f>
        <v>0</v>
      </c>
      <c r="BA162" s="699">
        <f>IF($AW163=0,0,        _xll.qDateNext($AW162,BA$17,"M",TRUE,Currency2))</f>
        <v>0</v>
      </c>
      <c r="BB162" s="699">
        <f>IF($AW163=0,0,        _xll.qDateNext($AW162,BB$17,"M",TRUE,Currency2))</f>
        <v>0</v>
      </c>
      <c r="BC162" s="699">
        <f>IF($AW163=0,0,        _xll.qDateNext($AW162,BC$17,"M",TRUE,Currency2))</f>
        <v>0</v>
      </c>
      <c r="BD162" s="699">
        <f>IF($AW163=0,0,        _xll.qDateNext($AW162,BD$17,"M",TRUE,Currency2))</f>
        <v>0</v>
      </c>
      <c r="BE162" s="699">
        <f>IF($AW163=0,0,        _xll.qDateNext($AW162,BE$17,"M",TRUE,Currency2))</f>
        <v>0</v>
      </c>
      <c r="BF162" s="699">
        <f>IF($AW163=0,0,        _xll.qDateNext($AW162,BF$17,"M",TRUE,Currency2))</f>
        <v>0</v>
      </c>
      <c r="BG162" s="699">
        <f>IF($AW163=0,0,        _xll.qDateNext($AW162,BG$17,"M",TRUE,Currency2))</f>
        <v>0</v>
      </c>
      <c r="BH162" s="703">
        <v>0</v>
      </c>
      <c r="BI162" s="703">
        <v>0</v>
      </c>
      <c r="BJ162" s="703">
        <v>0</v>
      </c>
      <c r="BK162" s="703">
        <v>0</v>
      </c>
      <c r="BL162" s="703">
        <f t="shared" si="39"/>
        <v>0</v>
      </c>
      <c r="BM162" s="703">
        <f t="shared" si="40"/>
        <v>0</v>
      </c>
      <c r="BN162" s="703">
        <v>0</v>
      </c>
      <c r="BO162" s="703">
        <v>0</v>
      </c>
      <c r="BP162" s="685">
        <v>0</v>
      </c>
      <c r="BQ162" s="667"/>
      <c r="BR162" s="670">
        <f>IF(AW163=0,0,             IF(ISNUMBER(BQ162),BQ162,             IF(ISTEXT(BQ162),INDEX(BH162:BO162,MATCH(BQ162,$BH$17:$BO$17,0)),           IF(BP162="INT",_xll.qInterp(AW163,AZ162:BG162,BH162:BO162),       INDEX(BH162:BO162,MATCH(BP162,$BH$17:$BO$17,0))))))</f>
        <v>0</v>
      </c>
      <c r="BS162" s="731">
        <f t="shared" si="34"/>
        <v>0</v>
      </c>
      <c r="BT162" s="406">
        <f t="shared" si="35"/>
        <v>0</v>
      </c>
      <c r="BU162" s="284">
        <f>IF($AW163,_xll.qDateYears($AW162,$AW163,DCC_Leg2_Fixed),0)</f>
        <v>0</v>
      </c>
      <c r="BV162" s="284">
        <f>IF($AW163,_xll.qDateYears($AW162,$AW163,DCC_Leg2_Float),0)</f>
        <v>0</v>
      </c>
      <c r="BX162" s="350">
        <f t="shared" si="41"/>
        <v>0</v>
      </c>
      <c r="BY162" s="375">
        <f>IF(GenType_2a="Fixed",GenRate_2a%*$BT161*BU161,          IF(GenType_2a="Float",$BT161*(_xll.qGetFwdRate($J$18,$AW161,$AW162,"T",DCC_Leg2_Float)%+GenRate_2a%%)*$BV161,        IF(GenType_2a="bp (Fixed)",GenRate_2a%%*$BU161*$BT161,   IF(GenType_2a="bp (Float)",GenRate_2a%%*$BT161*$BV161,0))))</f>
        <v>0</v>
      </c>
      <c r="BZ162" s="561"/>
      <c r="CB162" s="341">
        <f t="shared" si="29"/>
        <v>0</v>
      </c>
      <c r="CC162" s="563"/>
      <c r="CD162" s="356"/>
      <c r="CE162" s="341">
        <v>0</v>
      </c>
      <c r="CF162" s="563"/>
      <c r="CG162" s="356"/>
    </row>
    <row r="163" spans="15:85">
      <c r="O163" s="122">
        <v>0</v>
      </c>
      <c r="P163" s="128">
        <f t="shared" si="30"/>
        <v>0</v>
      </c>
      <c r="Q163" s="126">
        <v>0</v>
      </c>
      <c r="R163" s="699">
        <f>IF($O164=0,0,        _xll.qDateNext($O163,R$17,"M",TRUE,Currency1))</f>
        <v>0</v>
      </c>
      <c r="S163" s="699">
        <f>IF($O164=0,0,        _xll.qDateNext($O163,S$17,"M",TRUE,Currency1))</f>
        <v>0</v>
      </c>
      <c r="T163" s="699">
        <f>IF($O164=0,0,        _xll.qDateNext($O163,T$17,"M",TRUE,Currency1))</f>
        <v>0</v>
      </c>
      <c r="U163" s="699">
        <f>IF($O164=0,0,        _xll.qDateNext($O163,U$17,"M",TRUE,Currency1))</f>
        <v>0</v>
      </c>
      <c r="V163" s="699">
        <f>IF($O164=0,0,        _xll.qDateNext($O163,V$17,"M",TRUE,Currency1))</f>
        <v>0</v>
      </c>
      <c r="W163" s="699">
        <f>IF($O164=0,0,        _xll.qDateNext($O163,W$17,"M",TRUE,Currency1))</f>
        <v>0</v>
      </c>
      <c r="X163" s="699">
        <f>IF($O164=0,0,        _xll.qDateNext($O163,X$17,"M",TRUE,Currency1))</f>
        <v>0</v>
      </c>
      <c r="Y163" s="699">
        <f>IF($O164=0,0,        _xll.qDateNext($O163,Y$17,"M",TRUE,Currency1))</f>
        <v>0</v>
      </c>
      <c r="Z163" s="703">
        <f>IF($O164=0,0,           IF(FRM,_xll.qGetFwdRate(Z$14,$O163,R163,"T",DCC_Leg1_Float),_xll.qGetFwdRate(Z$14,$O163,$O164,"T",DCC_Leg1_Float)))</f>
        <v>0</v>
      </c>
      <c r="AA163" s="703">
        <f>IF($O164=0,0,           IF(FRM,_xll.qGetFwdRate(AA$14,$O163,S163,"T",DCC_Leg1_Float),_xll.qGetFwdRate(AA$14,$O163,$O164,"T",DCC_Leg1_Float)))</f>
        <v>0</v>
      </c>
      <c r="AB163" s="703">
        <f t="shared" si="31"/>
        <v>0</v>
      </c>
      <c r="AC163" s="703">
        <f>IF($O164=0,0,           IF(FRM,_xll.qGetFwdRate(AC$14,$O163,U163,"T",DCC_Leg1_Float),_xll.qGetFwdRate(AC$14,$O163,$O164,"T",DCC_Leg1_Float)))</f>
        <v>0</v>
      </c>
      <c r="AD163" s="703">
        <f t="shared" si="36"/>
        <v>0</v>
      </c>
      <c r="AE163" s="703">
        <f t="shared" si="37"/>
        <v>0</v>
      </c>
      <c r="AF163" s="703">
        <f>IF($O164=0,0,           IF(FRM,_xll.qGetFwdRate(AF$14,$O163,X163,"T",DCC_Leg1_Float),_xll.qGetFwdRate(AF$14,$O163,$O164,"T",DCC_Leg1_Float)))</f>
        <v>0</v>
      </c>
      <c r="AG163" s="703">
        <f>IF($O164=0,0,           IF(FRM,_xll.qGetFwdRate(AG$14,$O163,Y163,"T",DCC_Leg1_Float),_xll.qGetFwdRate(AG$14,$O163,$O164,"T",DCC_Leg1_Float)))</f>
        <v>0</v>
      </c>
      <c r="AH163" s="685">
        <v>0</v>
      </c>
      <c r="AI163" s="667"/>
      <c r="AJ163" s="670">
        <f>IF(O164=0,0,             IF(ISNUMBER(AI163),AI163,             IF(ISTEXT(AI163),INDEX(Z163:AG163,MATCH(AI163,$Z$17:$AG$17,0)),           IF(AH163="INT",_xll.qInterp(O164,R163:Y163,Z163:AG163),       INDEX(Z163:AG163,MATCH(AH163,$Z$17:$AG$17,0))))))</f>
        <v>0</v>
      </c>
      <c r="AK163" s="732">
        <v>100</v>
      </c>
      <c r="AL163" s="721">
        <f t="shared" si="32"/>
        <v>0</v>
      </c>
      <c r="AM163" s="284">
        <f>IF($O164,_xll.qDateYears($O163,$O164,DCC_Leg1_Fixed),0)</f>
        <v>0</v>
      </c>
      <c r="AN163" s="284">
        <f>IF($O164,_xll.qDateYears($O163,$O164,DCC_Leg1_Float),0)</f>
        <v>0</v>
      </c>
      <c r="AP163" s="350">
        <f t="shared" si="38"/>
        <v>0</v>
      </c>
      <c r="AQ163" s="375">
        <f>IF(GenType_1a="Fixed",GenRate_1a%*$AL162*AM162,          IF(GenType_1a="Float",$AL162*(_xll.qGetFwdRate($D$18,$O162,$O163,"T",DCC_Leg1_Float)%+GenRate_1a%%)*$AN162,        IF(GenType_1a="bp (Fixed)",GenRate_1a%%*$AM162*$AL162,   IF(GenType_1a="bp (Float)",GenRate_1a%%*$AL162*$AN162,0))))</f>
        <v>0</v>
      </c>
      <c r="AR163" s="561"/>
      <c r="AT163" s="341">
        <f t="shared" si="28"/>
        <v>0</v>
      </c>
      <c r="AV163" s="356"/>
      <c r="AW163" s="122">
        <v>0</v>
      </c>
      <c r="AX163" s="128">
        <f t="shared" si="33"/>
        <v>0</v>
      </c>
      <c r="AY163" s="357">
        <v>0</v>
      </c>
      <c r="AZ163" s="699">
        <f>IF($AW164=0,0,        _xll.qDateNext($AW163,AZ$17,"M",TRUE,Currency2))</f>
        <v>0</v>
      </c>
      <c r="BA163" s="699">
        <f>IF($AW164=0,0,        _xll.qDateNext($AW163,BA$17,"M",TRUE,Currency2))</f>
        <v>0</v>
      </c>
      <c r="BB163" s="699">
        <f>IF($AW164=0,0,        _xll.qDateNext($AW163,BB$17,"M",TRUE,Currency2))</f>
        <v>0</v>
      </c>
      <c r="BC163" s="699">
        <f>IF($AW164=0,0,        _xll.qDateNext($AW163,BC$17,"M",TRUE,Currency2))</f>
        <v>0</v>
      </c>
      <c r="BD163" s="699">
        <f>IF($AW164=0,0,        _xll.qDateNext($AW163,BD$17,"M",TRUE,Currency2))</f>
        <v>0</v>
      </c>
      <c r="BE163" s="699">
        <f>IF($AW164=0,0,        _xll.qDateNext($AW163,BE$17,"M",TRUE,Currency2))</f>
        <v>0</v>
      </c>
      <c r="BF163" s="699">
        <f>IF($AW164=0,0,        _xll.qDateNext($AW163,BF$17,"M",TRUE,Currency2))</f>
        <v>0</v>
      </c>
      <c r="BG163" s="699">
        <f>IF($AW164=0,0,        _xll.qDateNext($AW163,BG$17,"M",TRUE,Currency2))</f>
        <v>0</v>
      </c>
      <c r="BH163" s="703">
        <v>0</v>
      </c>
      <c r="BI163" s="703">
        <v>0</v>
      </c>
      <c r="BJ163" s="703">
        <v>0</v>
      </c>
      <c r="BK163" s="703">
        <v>0</v>
      </c>
      <c r="BL163" s="703">
        <f t="shared" si="39"/>
        <v>0</v>
      </c>
      <c r="BM163" s="703">
        <f t="shared" si="40"/>
        <v>0</v>
      </c>
      <c r="BN163" s="703">
        <v>0</v>
      </c>
      <c r="BO163" s="703">
        <v>0</v>
      </c>
      <c r="BP163" s="685">
        <v>0</v>
      </c>
      <c r="BQ163" s="667"/>
      <c r="BR163" s="670">
        <f>IF(AW164=0,0,             IF(ISNUMBER(BQ163),BQ163,             IF(ISTEXT(BQ163),INDEX(BH163:BO163,MATCH(BQ163,$BH$17:$BO$17,0)),           IF(BP163="INT",_xll.qInterp(AW164,AZ163:BG163,BH163:BO163),       INDEX(BH163:BO163,MATCH(BP163,$BH$17:$BO$17,0))))))</f>
        <v>0</v>
      </c>
      <c r="BS163" s="731">
        <f t="shared" si="34"/>
        <v>0</v>
      </c>
      <c r="BT163" s="406">
        <f t="shared" si="35"/>
        <v>0</v>
      </c>
      <c r="BU163" s="284">
        <f>IF($AW164,_xll.qDateYears($AW163,$AW164,DCC_Leg2_Fixed),0)</f>
        <v>0</v>
      </c>
      <c r="BV163" s="284">
        <f>IF($AW164,_xll.qDateYears($AW163,$AW164,DCC_Leg2_Float),0)</f>
        <v>0</v>
      </c>
      <c r="BX163" s="350">
        <f t="shared" si="41"/>
        <v>0</v>
      </c>
      <c r="BY163" s="375">
        <f>IF(GenType_2a="Fixed",GenRate_2a%*$BT162*BU162,          IF(GenType_2a="Float",$BT162*(_xll.qGetFwdRate($J$18,$AW162,$AW163,"T",DCC_Leg2_Float)%+GenRate_2a%%)*$BV162,        IF(GenType_2a="bp (Fixed)",GenRate_2a%%*$BU162*$BT162,   IF(GenType_2a="bp (Float)",GenRate_2a%%*$BT162*$BV162,0))))</f>
        <v>0</v>
      </c>
      <c r="BZ163" s="561"/>
      <c r="CB163" s="341">
        <f t="shared" si="29"/>
        <v>0</v>
      </c>
      <c r="CC163" s="563"/>
      <c r="CD163" s="356"/>
      <c r="CE163" s="341">
        <v>0</v>
      </c>
      <c r="CF163" s="563"/>
      <c r="CG163" s="356"/>
    </row>
    <row r="164" spans="15:85">
      <c r="O164" s="122">
        <v>0</v>
      </c>
      <c r="P164" s="128">
        <f t="shared" si="30"/>
        <v>0</v>
      </c>
      <c r="Q164" s="126">
        <v>0</v>
      </c>
      <c r="R164" s="699">
        <f>IF($O165=0,0,        _xll.qDateNext($O164,R$17,"M",TRUE,Currency1))</f>
        <v>0</v>
      </c>
      <c r="S164" s="699">
        <f>IF($O165=0,0,        _xll.qDateNext($O164,S$17,"M",TRUE,Currency1))</f>
        <v>0</v>
      </c>
      <c r="T164" s="699">
        <f>IF($O165=0,0,        _xll.qDateNext($O164,T$17,"M",TRUE,Currency1))</f>
        <v>0</v>
      </c>
      <c r="U164" s="699">
        <f>IF($O165=0,0,        _xll.qDateNext($O164,U$17,"M",TRUE,Currency1))</f>
        <v>0</v>
      </c>
      <c r="V164" s="699">
        <f>IF($O165=0,0,        _xll.qDateNext($O164,V$17,"M",TRUE,Currency1))</f>
        <v>0</v>
      </c>
      <c r="W164" s="699">
        <f>IF($O165=0,0,        _xll.qDateNext($O164,W$17,"M",TRUE,Currency1))</f>
        <v>0</v>
      </c>
      <c r="X164" s="699">
        <f>IF($O165=0,0,        _xll.qDateNext($O164,X$17,"M",TRUE,Currency1))</f>
        <v>0</v>
      </c>
      <c r="Y164" s="699">
        <f>IF($O165=0,0,        _xll.qDateNext($O164,Y$17,"M",TRUE,Currency1))</f>
        <v>0</v>
      </c>
      <c r="Z164" s="703">
        <f>IF($O165=0,0,           IF(FRM,_xll.qGetFwdRate(Z$14,$O164,R164,"T",DCC_Leg1_Float),_xll.qGetFwdRate(Z$14,$O164,$O165,"T",DCC_Leg1_Float)))</f>
        <v>0</v>
      </c>
      <c r="AA164" s="703">
        <f>IF($O165=0,0,           IF(FRM,_xll.qGetFwdRate(AA$14,$O164,S164,"T",DCC_Leg1_Float),_xll.qGetFwdRate(AA$14,$O164,$O165,"T",DCC_Leg1_Float)))</f>
        <v>0</v>
      </c>
      <c r="AB164" s="703">
        <f t="shared" si="31"/>
        <v>0</v>
      </c>
      <c r="AC164" s="703">
        <f>IF($O165=0,0,           IF(FRM,_xll.qGetFwdRate(AC$14,$O164,U164,"T",DCC_Leg1_Float),_xll.qGetFwdRate(AC$14,$O164,$O165,"T",DCC_Leg1_Float)))</f>
        <v>0</v>
      </c>
      <c r="AD164" s="703">
        <f t="shared" si="36"/>
        <v>0</v>
      </c>
      <c r="AE164" s="703">
        <f t="shared" si="37"/>
        <v>0</v>
      </c>
      <c r="AF164" s="703">
        <f>IF($O165=0,0,           IF(FRM,_xll.qGetFwdRate(AF$14,$O164,X164,"T",DCC_Leg1_Float),_xll.qGetFwdRate(AF$14,$O164,$O165,"T",DCC_Leg1_Float)))</f>
        <v>0</v>
      </c>
      <c r="AG164" s="703">
        <f>IF($O165=0,0,           IF(FRM,_xll.qGetFwdRate(AG$14,$O164,Y164,"T",DCC_Leg1_Float),_xll.qGetFwdRate(AG$14,$O164,$O165,"T",DCC_Leg1_Float)))</f>
        <v>0</v>
      </c>
      <c r="AH164" s="685">
        <v>0</v>
      </c>
      <c r="AI164" s="667"/>
      <c r="AJ164" s="670">
        <f>IF(O165=0,0,             IF(ISNUMBER(AI164),AI164,             IF(ISTEXT(AI164),INDEX(Z164:AG164,MATCH(AI164,$Z$17:$AG$17,0)),           IF(AH164="INT",_xll.qInterp(O165,R164:Y164,Z164:AG164),       INDEX(Z164:AG164,MATCH(AH164,$Z$17:$AG$17,0))))))</f>
        <v>0</v>
      </c>
      <c r="AK164" s="732">
        <v>100</v>
      </c>
      <c r="AL164" s="721">
        <f t="shared" si="32"/>
        <v>0</v>
      </c>
      <c r="AM164" s="284">
        <f>IF($O165,_xll.qDateYears($O164,$O165,DCC_Leg1_Fixed),0)</f>
        <v>0</v>
      </c>
      <c r="AN164" s="284">
        <f>IF($O165,_xll.qDateYears($O164,$O165,DCC_Leg1_Float),0)</f>
        <v>0</v>
      </c>
      <c r="AP164" s="350">
        <f t="shared" si="38"/>
        <v>0</v>
      </c>
      <c r="AQ164" s="375">
        <f>IF(GenType_1a="Fixed",GenRate_1a%*$AL163*AM163,          IF(GenType_1a="Float",$AL163*(_xll.qGetFwdRate($D$18,$O163,$O164,"T",DCC_Leg1_Float)%+GenRate_1a%%)*$AN163,        IF(GenType_1a="bp (Fixed)",GenRate_1a%%*$AM163*$AL163,   IF(GenType_1a="bp (Float)",GenRate_1a%%*$AL163*$AN163,0))))</f>
        <v>0</v>
      </c>
      <c r="AR164" s="561"/>
      <c r="AT164" s="341">
        <f t="shared" si="28"/>
        <v>0</v>
      </c>
      <c r="AV164" s="356"/>
      <c r="AW164" s="122">
        <v>0</v>
      </c>
      <c r="AX164" s="128">
        <f t="shared" si="33"/>
        <v>0</v>
      </c>
      <c r="AY164" s="357">
        <v>0</v>
      </c>
      <c r="AZ164" s="699">
        <f>IF($AW165=0,0,        _xll.qDateNext($AW164,AZ$17,"M",TRUE,Currency2))</f>
        <v>0</v>
      </c>
      <c r="BA164" s="699">
        <f>IF($AW165=0,0,        _xll.qDateNext($AW164,BA$17,"M",TRUE,Currency2))</f>
        <v>0</v>
      </c>
      <c r="BB164" s="699">
        <f>IF($AW165=0,0,        _xll.qDateNext($AW164,BB$17,"M",TRUE,Currency2))</f>
        <v>0</v>
      </c>
      <c r="BC164" s="699">
        <f>IF($AW165=0,0,        _xll.qDateNext($AW164,BC$17,"M",TRUE,Currency2))</f>
        <v>0</v>
      </c>
      <c r="BD164" s="699">
        <f>IF($AW165=0,0,        _xll.qDateNext($AW164,BD$17,"M",TRUE,Currency2))</f>
        <v>0</v>
      </c>
      <c r="BE164" s="699">
        <f>IF($AW165=0,0,        _xll.qDateNext($AW164,BE$17,"M",TRUE,Currency2))</f>
        <v>0</v>
      </c>
      <c r="BF164" s="699">
        <f>IF($AW165=0,0,        _xll.qDateNext($AW164,BF$17,"M",TRUE,Currency2))</f>
        <v>0</v>
      </c>
      <c r="BG164" s="699">
        <f>IF($AW165=0,0,        _xll.qDateNext($AW164,BG$17,"M",TRUE,Currency2))</f>
        <v>0</v>
      </c>
      <c r="BH164" s="703">
        <v>0</v>
      </c>
      <c r="BI164" s="703">
        <v>0</v>
      </c>
      <c r="BJ164" s="703">
        <v>0</v>
      </c>
      <c r="BK164" s="703">
        <v>0</v>
      </c>
      <c r="BL164" s="703">
        <f t="shared" si="39"/>
        <v>0</v>
      </c>
      <c r="BM164" s="703">
        <f t="shared" si="40"/>
        <v>0</v>
      </c>
      <c r="BN164" s="703">
        <v>0</v>
      </c>
      <c r="BO164" s="703">
        <v>0</v>
      </c>
      <c r="BP164" s="685">
        <v>0</v>
      </c>
      <c r="BQ164" s="667"/>
      <c r="BR164" s="670">
        <f>IF(AW165=0,0,             IF(ISNUMBER(BQ164),BQ164,             IF(ISTEXT(BQ164),INDEX(BH164:BO164,MATCH(BQ164,$BH$17:$BO$17,0)),           IF(BP164="INT",_xll.qInterp(AW165,AZ164:BG164,BH164:BO164),       INDEX(BH164:BO164,MATCH(BP164,$BH$17:$BO$17,0))))))</f>
        <v>0</v>
      </c>
      <c r="BS164" s="731">
        <f t="shared" si="34"/>
        <v>0</v>
      </c>
      <c r="BT164" s="406">
        <f t="shared" si="35"/>
        <v>0</v>
      </c>
      <c r="BU164" s="284">
        <f>IF($AW165,_xll.qDateYears($AW164,$AW165,DCC_Leg2_Fixed),0)</f>
        <v>0</v>
      </c>
      <c r="BV164" s="284">
        <f>IF($AW165,_xll.qDateYears($AW164,$AW165,DCC_Leg2_Float),0)</f>
        <v>0</v>
      </c>
      <c r="BX164" s="350">
        <f t="shared" si="41"/>
        <v>0</v>
      </c>
      <c r="BY164" s="375">
        <f>IF(GenType_2a="Fixed",GenRate_2a%*$BT163*BU163,          IF(GenType_2a="Float",$BT163*(_xll.qGetFwdRate($J$18,$AW163,$AW164,"T",DCC_Leg2_Float)%+GenRate_2a%%)*$BV163,        IF(GenType_2a="bp (Fixed)",GenRate_2a%%*$BU163*$BT163,   IF(GenType_2a="bp (Float)",GenRate_2a%%*$BT163*$BV163,0))))</f>
        <v>0</v>
      </c>
      <c r="BZ164" s="561"/>
      <c r="CB164" s="341">
        <f t="shared" si="29"/>
        <v>0</v>
      </c>
      <c r="CC164" s="563"/>
      <c r="CD164" s="356"/>
      <c r="CE164" s="341">
        <v>0</v>
      </c>
      <c r="CF164" s="563"/>
      <c r="CG164" s="356"/>
    </row>
    <row r="165" spans="15:85">
      <c r="O165" s="122">
        <v>0</v>
      </c>
      <c r="P165" s="128">
        <f t="shared" si="30"/>
        <v>0</v>
      </c>
      <c r="Q165" s="126">
        <v>0</v>
      </c>
      <c r="R165" s="699">
        <f>IF($O166=0,0,        _xll.qDateNext($O165,R$17,"M",TRUE,Currency1))</f>
        <v>0</v>
      </c>
      <c r="S165" s="699">
        <f>IF($O166=0,0,        _xll.qDateNext($O165,S$17,"M",TRUE,Currency1))</f>
        <v>0</v>
      </c>
      <c r="T165" s="699">
        <f>IF($O166=0,0,        _xll.qDateNext($O165,T$17,"M",TRUE,Currency1))</f>
        <v>0</v>
      </c>
      <c r="U165" s="699">
        <f>IF($O166=0,0,        _xll.qDateNext($O165,U$17,"M",TRUE,Currency1))</f>
        <v>0</v>
      </c>
      <c r="V165" s="699">
        <f>IF($O166=0,0,        _xll.qDateNext($O165,V$17,"M",TRUE,Currency1))</f>
        <v>0</v>
      </c>
      <c r="W165" s="699">
        <f>IF($O166=0,0,        _xll.qDateNext($O165,W$17,"M",TRUE,Currency1))</f>
        <v>0</v>
      </c>
      <c r="X165" s="699">
        <f>IF($O166=0,0,        _xll.qDateNext($O165,X$17,"M",TRUE,Currency1))</f>
        <v>0</v>
      </c>
      <c r="Y165" s="699">
        <f>IF($O166=0,0,        _xll.qDateNext($O165,Y$17,"M",TRUE,Currency1))</f>
        <v>0</v>
      </c>
      <c r="Z165" s="703">
        <f>IF($O166=0,0,           IF(FRM,_xll.qGetFwdRate(Z$14,$O165,R165,"T",DCC_Leg1_Float),_xll.qGetFwdRate(Z$14,$O165,$O166,"T",DCC_Leg1_Float)))</f>
        <v>0</v>
      </c>
      <c r="AA165" s="703">
        <f>IF($O166=0,0,           IF(FRM,_xll.qGetFwdRate(AA$14,$O165,S165,"T",DCC_Leg1_Float),_xll.qGetFwdRate(AA$14,$O165,$O166,"T",DCC_Leg1_Float)))</f>
        <v>0</v>
      </c>
      <c r="AB165" s="703">
        <f t="shared" si="31"/>
        <v>0</v>
      </c>
      <c r="AC165" s="703">
        <f>IF($O166=0,0,           IF(FRM,_xll.qGetFwdRate(AC$14,$O165,U165,"T",DCC_Leg1_Float),_xll.qGetFwdRate(AC$14,$O165,$O166,"T",DCC_Leg1_Float)))</f>
        <v>0</v>
      </c>
      <c r="AD165" s="703">
        <f t="shared" si="36"/>
        <v>0</v>
      </c>
      <c r="AE165" s="703">
        <f t="shared" si="37"/>
        <v>0</v>
      </c>
      <c r="AF165" s="703">
        <f>IF($O166=0,0,           IF(FRM,_xll.qGetFwdRate(AF$14,$O165,X165,"T",DCC_Leg1_Float),_xll.qGetFwdRate(AF$14,$O165,$O166,"T",DCC_Leg1_Float)))</f>
        <v>0</v>
      </c>
      <c r="AG165" s="703">
        <f>IF($O166=0,0,           IF(FRM,_xll.qGetFwdRate(AG$14,$O165,Y165,"T",DCC_Leg1_Float),_xll.qGetFwdRate(AG$14,$O165,$O166,"T",DCC_Leg1_Float)))</f>
        <v>0</v>
      </c>
      <c r="AH165" s="685">
        <v>0</v>
      </c>
      <c r="AI165" s="667"/>
      <c r="AJ165" s="670">
        <f>IF(O166=0,0,             IF(ISNUMBER(AI165),AI165,             IF(ISTEXT(AI165),INDEX(Z165:AG165,MATCH(AI165,$Z$17:$AG$17,0)),           IF(AH165="INT",_xll.qInterp(O166,R165:Y165,Z165:AG165),       INDEX(Z165:AG165,MATCH(AH165,$Z$17:$AG$17,0))))))</f>
        <v>0</v>
      </c>
      <c r="AK165" s="732">
        <v>100</v>
      </c>
      <c r="AL165" s="721">
        <f t="shared" si="32"/>
        <v>0</v>
      </c>
      <c r="AM165" s="284">
        <f>IF($O166,_xll.qDateYears($O165,$O166,DCC_Leg1_Fixed),0)</f>
        <v>0</v>
      </c>
      <c r="AN165" s="284">
        <f>IF($O166,_xll.qDateYears($O165,$O166,DCC_Leg1_Float),0)</f>
        <v>0</v>
      </c>
      <c r="AP165" s="350">
        <f t="shared" si="38"/>
        <v>0</v>
      </c>
      <c r="AQ165" s="375">
        <f>IF(GenType_1a="Fixed",GenRate_1a%*$AL164*AM164,          IF(GenType_1a="Float",$AL164*(_xll.qGetFwdRate($D$18,$O164,$O165,"T",DCC_Leg1_Float)%+GenRate_1a%%)*$AN164,        IF(GenType_1a="bp (Fixed)",GenRate_1a%%*$AM164*$AL164,   IF(GenType_1a="bp (Float)",GenRate_1a%%*$AL164*$AN164,0))))</f>
        <v>0</v>
      </c>
      <c r="AR165" s="561"/>
      <c r="AT165" s="341">
        <f t="shared" si="28"/>
        <v>0</v>
      </c>
      <c r="AV165" s="356"/>
      <c r="AW165" s="122">
        <v>0</v>
      </c>
      <c r="AX165" s="128">
        <f t="shared" si="33"/>
        <v>0</v>
      </c>
      <c r="AY165" s="357">
        <v>0</v>
      </c>
      <c r="AZ165" s="699">
        <f>IF($AW166=0,0,        _xll.qDateNext($AW165,AZ$17,"M",TRUE,Currency2))</f>
        <v>0</v>
      </c>
      <c r="BA165" s="699">
        <f>IF($AW166=0,0,        _xll.qDateNext($AW165,BA$17,"M",TRUE,Currency2))</f>
        <v>0</v>
      </c>
      <c r="BB165" s="699">
        <f>IF($AW166=0,0,        _xll.qDateNext($AW165,BB$17,"M",TRUE,Currency2))</f>
        <v>0</v>
      </c>
      <c r="BC165" s="699">
        <f>IF($AW166=0,0,        _xll.qDateNext($AW165,BC$17,"M",TRUE,Currency2))</f>
        <v>0</v>
      </c>
      <c r="BD165" s="699">
        <f>IF($AW166=0,0,        _xll.qDateNext($AW165,BD$17,"M",TRUE,Currency2))</f>
        <v>0</v>
      </c>
      <c r="BE165" s="699">
        <f>IF($AW166=0,0,        _xll.qDateNext($AW165,BE$17,"M",TRUE,Currency2))</f>
        <v>0</v>
      </c>
      <c r="BF165" s="699">
        <f>IF($AW166=0,0,        _xll.qDateNext($AW165,BF$17,"M",TRUE,Currency2))</f>
        <v>0</v>
      </c>
      <c r="BG165" s="699">
        <f>IF($AW166=0,0,        _xll.qDateNext($AW165,BG$17,"M",TRUE,Currency2))</f>
        <v>0</v>
      </c>
      <c r="BH165" s="703">
        <v>0</v>
      </c>
      <c r="BI165" s="703">
        <v>0</v>
      </c>
      <c r="BJ165" s="703">
        <v>0</v>
      </c>
      <c r="BK165" s="703">
        <v>0</v>
      </c>
      <c r="BL165" s="703">
        <f t="shared" si="39"/>
        <v>0</v>
      </c>
      <c r="BM165" s="703">
        <f t="shared" si="40"/>
        <v>0</v>
      </c>
      <c r="BN165" s="703">
        <v>0</v>
      </c>
      <c r="BO165" s="703">
        <v>0</v>
      </c>
      <c r="BP165" s="685">
        <v>0</v>
      </c>
      <c r="BQ165" s="667"/>
      <c r="BR165" s="670">
        <f>IF(AW166=0,0,             IF(ISNUMBER(BQ165),BQ165,             IF(ISTEXT(BQ165),INDEX(BH165:BO165,MATCH(BQ165,$BH$17:$BO$17,0)),           IF(BP165="INT",_xll.qInterp(AW166,AZ165:BG165,BH165:BO165),       INDEX(BH165:BO165,MATCH(BP165,$BH$17:$BO$17,0))))))</f>
        <v>0</v>
      </c>
      <c r="BS165" s="731">
        <f t="shared" si="34"/>
        <v>0</v>
      </c>
      <c r="BT165" s="406">
        <f t="shared" si="35"/>
        <v>0</v>
      </c>
      <c r="BU165" s="284">
        <f>IF($AW166,_xll.qDateYears($AW165,$AW166,DCC_Leg2_Fixed),0)</f>
        <v>0</v>
      </c>
      <c r="BV165" s="284">
        <f>IF($AW166,_xll.qDateYears($AW165,$AW166,DCC_Leg2_Float),0)</f>
        <v>0</v>
      </c>
      <c r="BX165" s="350">
        <f t="shared" si="41"/>
        <v>0</v>
      </c>
      <c r="BY165" s="375">
        <f>IF(GenType_2a="Fixed",GenRate_2a%*$BT164*BU164,          IF(GenType_2a="Float",$BT164*(_xll.qGetFwdRate($J$18,$AW164,$AW165,"T",DCC_Leg2_Float)%+GenRate_2a%%)*$BV164,        IF(GenType_2a="bp (Fixed)",GenRate_2a%%*$BU164*$BT164,   IF(GenType_2a="bp (Float)",GenRate_2a%%*$BT164*$BV164,0))))</f>
        <v>0</v>
      </c>
      <c r="BZ165" s="561"/>
      <c r="CB165" s="341">
        <f t="shared" si="29"/>
        <v>0</v>
      </c>
      <c r="CC165" s="563"/>
      <c r="CD165" s="356"/>
      <c r="CE165" s="341">
        <v>0</v>
      </c>
      <c r="CF165" s="563"/>
      <c r="CG165" s="356"/>
    </row>
    <row r="166" spans="15:85">
      <c r="O166" s="122">
        <v>0</v>
      </c>
      <c r="P166" s="128">
        <f t="shared" si="30"/>
        <v>0</v>
      </c>
      <c r="Q166" s="126">
        <v>0</v>
      </c>
      <c r="R166" s="699">
        <f>IF($O167=0,0,        _xll.qDateNext($O166,R$17,"M",TRUE,Currency1))</f>
        <v>0</v>
      </c>
      <c r="S166" s="699">
        <f>IF($O167=0,0,        _xll.qDateNext($O166,S$17,"M",TRUE,Currency1))</f>
        <v>0</v>
      </c>
      <c r="T166" s="699">
        <f>IF($O167=0,0,        _xll.qDateNext($O166,T$17,"M",TRUE,Currency1))</f>
        <v>0</v>
      </c>
      <c r="U166" s="699">
        <f>IF($O167=0,0,        _xll.qDateNext($O166,U$17,"M",TRUE,Currency1))</f>
        <v>0</v>
      </c>
      <c r="V166" s="699">
        <f>IF($O167=0,0,        _xll.qDateNext($O166,V$17,"M",TRUE,Currency1))</f>
        <v>0</v>
      </c>
      <c r="W166" s="699">
        <f>IF($O167=0,0,        _xll.qDateNext($O166,W$17,"M",TRUE,Currency1))</f>
        <v>0</v>
      </c>
      <c r="X166" s="699">
        <f>IF($O167=0,0,        _xll.qDateNext($O166,X$17,"M",TRUE,Currency1))</f>
        <v>0</v>
      </c>
      <c r="Y166" s="699">
        <f>IF($O167=0,0,        _xll.qDateNext($O166,Y$17,"M",TRUE,Currency1))</f>
        <v>0</v>
      </c>
      <c r="Z166" s="703">
        <f>IF($O167=0,0,           IF(FRM,_xll.qGetFwdRate(Z$14,$O166,R166,"T",DCC_Leg1_Float),_xll.qGetFwdRate(Z$14,$O166,$O167,"T",DCC_Leg1_Float)))</f>
        <v>0</v>
      </c>
      <c r="AA166" s="703">
        <f>IF($O167=0,0,           IF(FRM,_xll.qGetFwdRate(AA$14,$O166,S166,"T",DCC_Leg1_Float),_xll.qGetFwdRate(AA$14,$O166,$O167,"T",DCC_Leg1_Float)))</f>
        <v>0</v>
      </c>
      <c r="AB166" s="703">
        <f t="shared" si="31"/>
        <v>0</v>
      </c>
      <c r="AC166" s="703">
        <f>IF($O167=0,0,           IF(FRM,_xll.qGetFwdRate(AC$14,$O166,U166,"T",DCC_Leg1_Float),_xll.qGetFwdRate(AC$14,$O166,$O167,"T",DCC_Leg1_Float)))</f>
        <v>0</v>
      </c>
      <c r="AD166" s="703">
        <f t="shared" si="36"/>
        <v>0</v>
      </c>
      <c r="AE166" s="703">
        <f t="shared" si="37"/>
        <v>0</v>
      </c>
      <c r="AF166" s="703">
        <f>IF($O167=0,0,           IF(FRM,_xll.qGetFwdRate(AF$14,$O166,X166,"T",DCC_Leg1_Float),_xll.qGetFwdRate(AF$14,$O166,$O167,"T",DCC_Leg1_Float)))</f>
        <v>0</v>
      </c>
      <c r="AG166" s="703">
        <f>IF($O167=0,0,           IF(FRM,_xll.qGetFwdRate(AG$14,$O166,Y166,"T",DCC_Leg1_Float),_xll.qGetFwdRate(AG$14,$O166,$O167,"T",DCC_Leg1_Float)))</f>
        <v>0</v>
      </c>
      <c r="AH166" s="685">
        <v>0</v>
      </c>
      <c r="AI166" s="667"/>
      <c r="AJ166" s="670">
        <f>IF(O167=0,0,             IF(ISNUMBER(AI166),AI166,             IF(ISTEXT(AI166),INDEX(Z166:AG166,MATCH(AI166,$Z$17:$AG$17,0)),           IF(AH166="INT",_xll.qInterp(O167,R166:Y166,Z166:AG166),       INDEX(Z166:AG166,MATCH(AH166,$Z$17:$AG$17,0))))))</f>
        <v>0</v>
      </c>
      <c r="AK166" s="732">
        <v>100</v>
      </c>
      <c r="AL166" s="721">
        <f t="shared" si="32"/>
        <v>0</v>
      </c>
      <c r="AM166" s="284">
        <f>IF($O167,_xll.qDateYears($O166,$O167,DCC_Leg1_Fixed),0)</f>
        <v>0</v>
      </c>
      <c r="AN166" s="284">
        <f>IF($O167,_xll.qDateYears($O166,$O167,DCC_Leg1_Float),0)</f>
        <v>0</v>
      </c>
      <c r="AP166" s="350">
        <f t="shared" si="38"/>
        <v>0</v>
      </c>
      <c r="AQ166" s="375">
        <f>IF(GenType_1a="Fixed",GenRate_1a%*$AL165*AM165,          IF(GenType_1a="Float",$AL165*(_xll.qGetFwdRate($D$18,$O165,$O166,"T",DCC_Leg1_Float)%+GenRate_1a%%)*$AN165,        IF(GenType_1a="bp (Fixed)",GenRate_1a%%*$AM165*$AL165,   IF(GenType_1a="bp (Float)",GenRate_1a%%*$AL165*$AN165,0))))</f>
        <v>0</v>
      </c>
      <c r="AR166" s="561"/>
      <c r="AT166" s="341">
        <f t="shared" si="28"/>
        <v>0</v>
      </c>
      <c r="AV166" s="356"/>
      <c r="AW166" s="122">
        <v>0</v>
      </c>
      <c r="AX166" s="128">
        <f t="shared" si="33"/>
        <v>0</v>
      </c>
      <c r="AY166" s="357">
        <v>0</v>
      </c>
      <c r="AZ166" s="699">
        <f>IF($AW167=0,0,        _xll.qDateNext($AW166,AZ$17,"M",TRUE,Currency2))</f>
        <v>0</v>
      </c>
      <c r="BA166" s="699">
        <f>IF($AW167=0,0,        _xll.qDateNext($AW166,BA$17,"M",TRUE,Currency2))</f>
        <v>0</v>
      </c>
      <c r="BB166" s="699">
        <f>IF($AW167=0,0,        _xll.qDateNext($AW166,BB$17,"M",TRUE,Currency2))</f>
        <v>0</v>
      </c>
      <c r="BC166" s="699">
        <f>IF($AW167=0,0,        _xll.qDateNext($AW166,BC$17,"M",TRUE,Currency2))</f>
        <v>0</v>
      </c>
      <c r="BD166" s="699">
        <f>IF($AW167=0,0,        _xll.qDateNext($AW166,BD$17,"M",TRUE,Currency2))</f>
        <v>0</v>
      </c>
      <c r="BE166" s="699">
        <f>IF($AW167=0,0,        _xll.qDateNext($AW166,BE$17,"M",TRUE,Currency2))</f>
        <v>0</v>
      </c>
      <c r="BF166" s="699">
        <f>IF($AW167=0,0,        _xll.qDateNext($AW166,BF$17,"M",TRUE,Currency2))</f>
        <v>0</v>
      </c>
      <c r="BG166" s="699">
        <f>IF($AW167=0,0,        _xll.qDateNext($AW166,BG$17,"M",TRUE,Currency2))</f>
        <v>0</v>
      </c>
      <c r="BH166" s="703">
        <v>0</v>
      </c>
      <c r="BI166" s="703">
        <v>0</v>
      </c>
      <c r="BJ166" s="703">
        <v>0</v>
      </c>
      <c r="BK166" s="703">
        <v>0</v>
      </c>
      <c r="BL166" s="703">
        <f t="shared" si="39"/>
        <v>0</v>
      </c>
      <c r="BM166" s="703">
        <f t="shared" si="40"/>
        <v>0</v>
      </c>
      <c r="BN166" s="703">
        <v>0</v>
      </c>
      <c r="BO166" s="703">
        <v>0</v>
      </c>
      <c r="BP166" s="685">
        <v>0</v>
      </c>
      <c r="BQ166" s="667"/>
      <c r="BR166" s="670">
        <f>IF(AW167=0,0,             IF(ISNUMBER(BQ166),BQ166,             IF(ISTEXT(BQ166),INDEX(BH166:BO166,MATCH(BQ166,$BH$17:$BO$17,0)),           IF(BP166="INT",_xll.qInterp(AW167,AZ166:BG166,BH166:BO166),       INDEX(BH166:BO166,MATCH(BP166,$BH$17:$BO$17,0))))))</f>
        <v>0</v>
      </c>
      <c r="BS166" s="731">
        <f t="shared" si="34"/>
        <v>0</v>
      </c>
      <c r="BT166" s="406">
        <f t="shared" si="35"/>
        <v>0</v>
      </c>
      <c r="BU166" s="284">
        <f>IF($AW167,_xll.qDateYears($AW166,$AW167,DCC_Leg2_Fixed),0)</f>
        <v>0</v>
      </c>
      <c r="BV166" s="284">
        <f>IF($AW167,_xll.qDateYears($AW166,$AW167,DCC_Leg2_Float),0)</f>
        <v>0</v>
      </c>
      <c r="BX166" s="350">
        <f t="shared" si="41"/>
        <v>0</v>
      </c>
      <c r="BY166" s="375">
        <f>IF(GenType_2a="Fixed",GenRate_2a%*$BT165*BU165,          IF(GenType_2a="Float",$BT165*(_xll.qGetFwdRate($J$18,$AW165,$AW166,"T",DCC_Leg2_Float)%+GenRate_2a%%)*$BV165,        IF(GenType_2a="bp (Fixed)",GenRate_2a%%*$BU165*$BT165,   IF(GenType_2a="bp (Float)",GenRate_2a%%*$BT165*$BV165,0))))</f>
        <v>0</v>
      </c>
      <c r="BZ166" s="561"/>
      <c r="CB166" s="341">
        <f t="shared" si="29"/>
        <v>0</v>
      </c>
      <c r="CC166" s="563"/>
      <c r="CD166" s="356"/>
      <c r="CE166" s="341">
        <v>0</v>
      </c>
      <c r="CF166" s="563"/>
      <c r="CG166" s="356"/>
    </row>
    <row r="167" spans="15:85">
      <c r="O167" s="122">
        <v>0</v>
      </c>
      <c r="P167" s="128">
        <f t="shared" si="30"/>
        <v>0</v>
      </c>
      <c r="Q167" s="126">
        <v>0</v>
      </c>
      <c r="R167" s="699">
        <f>IF($O168=0,0,        _xll.qDateNext($O167,R$17,"M",TRUE,Currency1))</f>
        <v>0</v>
      </c>
      <c r="S167" s="699">
        <f>IF($O168=0,0,        _xll.qDateNext($O167,S$17,"M",TRUE,Currency1))</f>
        <v>0</v>
      </c>
      <c r="T167" s="699">
        <f>IF($O168=0,0,        _xll.qDateNext($O167,T$17,"M",TRUE,Currency1))</f>
        <v>0</v>
      </c>
      <c r="U167" s="699">
        <f>IF($O168=0,0,        _xll.qDateNext($O167,U$17,"M",TRUE,Currency1))</f>
        <v>0</v>
      </c>
      <c r="V167" s="699">
        <f>IF($O168=0,0,        _xll.qDateNext($O167,V$17,"M",TRUE,Currency1))</f>
        <v>0</v>
      </c>
      <c r="W167" s="699">
        <f>IF($O168=0,0,        _xll.qDateNext($O167,W$17,"M",TRUE,Currency1))</f>
        <v>0</v>
      </c>
      <c r="X167" s="699">
        <f>IF($O168=0,0,        _xll.qDateNext($O167,X$17,"M",TRUE,Currency1))</f>
        <v>0</v>
      </c>
      <c r="Y167" s="699">
        <f>IF($O168=0,0,        _xll.qDateNext($O167,Y$17,"M",TRUE,Currency1))</f>
        <v>0</v>
      </c>
      <c r="Z167" s="703">
        <f>IF($O168=0,0,           IF(FRM,_xll.qGetFwdRate(Z$14,$O167,R167,"T",DCC_Leg1_Float),_xll.qGetFwdRate(Z$14,$O167,$O168,"T",DCC_Leg1_Float)))</f>
        <v>0</v>
      </c>
      <c r="AA167" s="703">
        <f>IF($O168=0,0,           IF(FRM,_xll.qGetFwdRate(AA$14,$O167,S167,"T",DCC_Leg1_Float),_xll.qGetFwdRate(AA$14,$O167,$O168,"T",DCC_Leg1_Float)))</f>
        <v>0</v>
      </c>
      <c r="AB167" s="703">
        <f t="shared" si="31"/>
        <v>0</v>
      </c>
      <c r="AC167" s="703">
        <f>IF($O168=0,0,           IF(FRM,_xll.qGetFwdRate(AC$14,$O167,U167,"T",DCC_Leg1_Float),_xll.qGetFwdRate(AC$14,$O167,$O168,"T",DCC_Leg1_Float)))</f>
        <v>0</v>
      </c>
      <c r="AD167" s="703">
        <f t="shared" si="36"/>
        <v>0</v>
      </c>
      <c r="AE167" s="703">
        <f t="shared" si="37"/>
        <v>0</v>
      </c>
      <c r="AF167" s="703">
        <f>IF($O168=0,0,           IF(FRM,_xll.qGetFwdRate(AF$14,$O167,X167,"T",DCC_Leg1_Float),_xll.qGetFwdRate(AF$14,$O167,$O168,"T",DCC_Leg1_Float)))</f>
        <v>0</v>
      </c>
      <c r="AG167" s="703">
        <f>IF($O168=0,0,           IF(FRM,_xll.qGetFwdRate(AG$14,$O167,Y167,"T",DCC_Leg1_Float),_xll.qGetFwdRate(AG$14,$O167,$O168,"T",DCC_Leg1_Float)))</f>
        <v>0</v>
      </c>
      <c r="AH167" s="685">
        <v>0</v>
      </c>
      <c r="AI167" s="667"/>
      <c r="AJ167" s="670">
        <f>IF(O168=0,0,             IF(ISNUMBER(AI167),AI167,             IF(ISTEXT(AI167),INDEX(Z167:AG167,MATCH(AI167,$Z$17:$AG$17,0)),           IF(AH167="INT",_xll.qInterp(O168,R167:Y167,Z167:AG167),       INDEX(Z167:AG167,MATCH(AH167,$Z$17:$AG$17,0))))))</f>
        <v>0</v>
      </c>
      <c r="AK167" s="732">
        <v>100</v>
      </c>
      <c r="AL167" s="721">
        <f t="shared" si="32"/>
        <v>0</v>
      </c>
      <c r="AM167" s="284">
        <f>IF($O168,_xll.qDateYears($O167,$O168,DCC_Leg1_Fixed),0)</f>
        <v>0</v>
      </c>
      <c r="AN167" s="284">
        <f>IF($O168,_xll.qDateYears($O167,$O168,DCC_Leg1_Float),0)</f>
        <v>0</v>
      </c>
      <c r="AP167" s="350">
        <f t="shared" si="38"/>
        <v>0</v>
      </c>
      <c r="AQ167" s="375">
        <f>IF(GenType_1a="Fixed",GenRate_1a%*$AL166*AM166,          IF(GenType_1a="Float",$AL166*(_xll.qGetFwdRate($D$18,$O166,$O167,"T",DCC_Leg1_Float)%+GenRate_1a%%)*$AN166,        IF(GenType_1a="bp (Fixed)",GenRate_1a%%*$AM166*$AL166,   IF(GenType_1a="bp (Float)",GenRate_1a%%*$AL166*$AN166,0))))</f>
        <v>0</v>
      </c>
      <c r="AR167" s="561"/>
      <c r="AT167" s="341">
        <f t="shared" si="28"/>
        <v>0</v>
      </c>
      <c r="AV167" s="356"/>
      <c r="AW167" s="122">
        <v>0</v>
      </c>
      <c r="AX167" s="128">
        <f t="shared" si="33"/>
        <v>0</v>
      </c>
      <c r="AY167" s="357">
        <v>0</v>
      </c>
      <c r="AZ167" s="699">
        <f>IF($AW168=0,0,        _xll.qDateNext($AW167,AZ$17,"M",TRUE,Currency2))</f>
        <v>0</v>
      </c>
      <c r="BA167" s="699">
        <f>IF($AW168=0,0,        _xll.qDateNext($AW167,BA$17,"M",TRUE,Currency2))</f>
        <v>0</v>
      </c>
      <c r="BB167" s="699">
        <f>IF($AW168=0,0,        _xll.qDateNext($AW167,BB$17,"M",TRUE,Currency2))</f>
        <v>0</v>
      </c>
      <c r="BC167" s="699">
        <f>IF($AW168=0,0,        _xll.qDateNext($AW167,BC$17,"M",TRUE,Currency2))</f>
        <v>0</v>
      </c>
      <c r="BD167" s="699">
        <f>IF($AW168=0,0,        _xll.qDateNext($AW167,BD$17,"M",TRUE,Currency2))</f>
        <v>0</v>
      </c>
      <c r="BE167" s="699">
        <f>IF($AW168=0,0,        _xll.qDateNext($AW167,BE$17,"M",TRUE,Currency2))</f>
        <v>0</v>
      </c>
      <c r="BF167" s="699">
        <f>IF($AW168=0,0,        _xll.qDateNext($AW167,BF$17,"M",TRUE,Currency2))</f>
        <v>0</v>
      </c>
      <c r="BG167" s="699">
        <f>IF($AW168=0,0,        _xll.qDateNext($AW167,BG$17,"M",TRUE,Currency2))</f>
        <v>0</v>
      </c>
      <c r="BH167" s="703">
        <v>0</v>
      </c>
      <c r="BI167" s="703">
        <v>0</v>
      </c>
      <c r="BJ167" s="703">
        <v>0</v>
      </c>
      <c r="BK167" s="703">
        <v>0</v>
      </c>
      <c r="BL167" s="703">
        <f t="shared" si="39"/>
        <v>0</v>
      </c>
      <c r="BM167" s="703">
        <f t="shared" si="40"/>
        <v>0</v>
      </c>
      <c r="BN167" s="703">
        <v>0</v>
      </c>
      <c r="BO167" s="703">
        <v>0</v>
      </c>
      <c r="BP167" s="685">
        <v>0</v>
      </c>
      <c r="BQ167" s="667"/>
      <c r="BR167" s="670">
        <f>IF(AW168=0,0,             IF(ISNUMBER(BQ167),BQ167,             IF(ISTEXT(BQ167),INDEX(BH167:BO167,MATCH(BQ167,$BH$17:$BO$17,0)),           IF(BP167="INT",_xll.qInterp(AW168,AZ167:BG167,BH167:BO167),       INDEX(BH167:BO167,MATCH(BP167,$BH$17:$BO$17,0))))))</f>
        <v>0</v>
      </c>
      <c r="BS167" s="731">
        <f t="shared" si="34"/>
        <v>0</v>
      </c>
      <c r="BT167" s="406">
        <f t="shared" si="35"/>
        <v>0</v>
      </c>
      <c r="BU167" s="284">
        <f>IF($AW168,_xll.qDateYears($AW167,$AW168,DCC_Leg2_Fixed),0)</f>
        <v>0</v>
      </c>
      <c r="BV167" s="284">
        <f>IF($AW168,_xll.qDateYears($AW167,$AW168,DCC_Leg2_Float),0)</f>
        <v>0</v>
      </c>
      <c r="BX167" s="350">
        <f t="shared" si="41"/>
        <v>0</v>
      </c>
      <c r="BY167" s="375">
        <f>IF(GenType_2a="Fixed",GenRate_2a%*$BT166*BU166,          IF(GenType_2a="Float",$BT166*(_xll.qGetFwdRate($J$18,$AW166,$AW167,"T",DCC_Leg2_Float)%+GenRate_2a%%)*$BV166,        IF(GenType_2a="bp (Fixed)",GenRate_2a%%*$BU166*$BT166,   IF(GenType_2a="bp (Float)",GenRate_2a%%*$BT166*$BV166,0))))</f>
        <v>0</v>
      </c>
      <c r="BZ167" s="561"/>
      <c r="CB167" s="341">
        <f t="shared" si="29"/>
        <v>0</v>
      </c>
      <c r="CC167" s="563"/>
      <c r="CD167" s="356"/>
      <c r="CE167" s="341">
        <v>0</v>
      </c>
      <c r="CF167" s="563"/>
      <c r="CG167" s="356"/>
    </row>
    <row r="168" spans="15:85">
      <c r="O168" s="122">
        <v>0</v>
      </c>
      <c r="P168" s="128">
        <f t="shared" si="30"/>
        <v>0</v>
      </c>
      <c r="Q168" s="126">
        <v>0</v>
      </c>
      <c r="R168" s="699">
        <f>IF($O169=0,0,        _xll.qDateNext($O168,R$17,"M",TRUE,Currency1))</f>
        <v>0</v>
      </c>
      <c r="S168" s="699">
        <f>IF($O169=0,0,        _xll.qDateNext($O168,S$17,"M",TRUE,Currency1))</f>
        <v>0</v>
      </c>
      <c r="T168" s="699">
        <f>IF($O169=0,0,        _xll.qDateNext($O168,T$17,"M",TRUE,Currency1))</f>
        <v>0</v>
      </c>
      <c r="U168" s="699">
        <f>IF($O169=0,0,        _xll.qDateNext($O168,U$17,"M",TRUE,Currency1))</f>
        <v>0</v>
      </c>
      <c r="V168" s="699">
        <f>IF($O169=0,0,        _xll.qDateNext($O168,V$17,"M",TRUE,Currency1))</f>
        <v>0</v>
      </c>
      <c r="W168" s="699">
        <f>IF($O169=0,0,        _xll.qDateNext($O168,W$17,"M",TRUE,Currency1))</f>
        <v>0</v>
      </c>
      <c r="X168" s="699">
        <f>IF($O169=0,0,        _xll.qDateNext($O168,X$17,"M",TRUE,Currency1))</f>
        <v>0</v>
      </c>
      <c r="Y168" s="699">
        <f>IF($O169=0,0,        _xll.qDateNext($O168,Y$17,"M",TRUE,Currency1))</f>
        <v>0</v>
      </c>
      <c r="Z168" s="703">
        <f>IF($O169=0,0,           IF(FRM,_xll.qGetFwdRate(Z$14,$O168,R168,"T",DCC_Leg1_Float),_xll.qGetFwdRate(Z$14,$O168,$O169,"T",DCC_Leg1_Float)))</f>
        <v>0</v>
      </c>
      <c r="AA168" s="703">
        <f>IF($O169=0,0,           IF(FRM,_xll.qGetFwdRate(AA$14,$O168,S168,"T",DCC_Leg1_Float),_xll.qGetFwdRate(AA$14,$O168,$O169,"T",DCC_Leg1_Float)))</f>
        <v>0</v>
      </c>
      <c r="AB168" s="703">
        <f t="shared" si="31"/>
        <v>0</v>
      </c>
      <c r="AC168" s="703">
        <f>IF($O169=0,0,           IF(FRM,_xll.qGetFwdRate(AC$14,$O168,U168,"T",DCC_Leg1_Float),_xll.qGetFwdRate(AC$14,$O168,$O169,"T",DCC_Leg1_Float)))</f>
        <v>0</v>
      </c>
      <c r="AD168" s="703">
        <f t="shared" si="36"/>
        <v>0</v>
      </c>
      <c r="AE168" s="703">
        <f t="shared" si="37"/>
        <v>0</v>
      </c>
      <c r="AF168" s="703">
        <f>IF($O169=0,0,           IF(FRM,_xll.qGetFwdRate(AF$14,$O168,X168,"T",DCC_Leg1_Float),_xll.qGetFwdRate(AF$14,$O168,$O169,"T",DCC_Leg1_Float)))</f>
        <v>0</v>
      </c>
      <c r="AG168" s="703">
        <f>IF($O169=0,0,           IF(FRM,_xll.qGetFwdRate(AG$14,$O168,Y168,"T",DCC_Leg1_Float),_xll.qGetFwdRate(AG$14,$O168,$O169,"T",DCC_Leg1_Float)))</f>
        <v>0</v>
      </c>
      <c r="AH168" s="685">
        <v>0</v>
      </c>
      <c r="AI168" s="667"/>
      <c r="AJ168" s="670">
        <f>IF(O169=0,0,             IF(ISNUMBER(AI168),AI168,             IF(ISTEXT(AI168),INDEX(Z168:AG168,MATCH(AI168,$Z$17:$AG$17,0)),           IF(AH168="INT",_xll.qInterp(O169,R168:Y168,Z168:AG168),       INDEX(Z168:AG168,MATCH(AH168,$Z$17:$AG$17,0))))))</f>
        <v>0</v>
      </c>
      <c r="AK168" s="732">
        <v>100</v>
      </c>
      <c r="AL168" s="721">
        <f t="shared" si="32"/>
        <v>0</v>
      </c>
      <c r="AM168" s="284">
        <f>IF($O169,_xll.qDateYears($O168,$O169,DCC_Leg1_Fixed),0)</f>
        <v>0</v>
      </c>
      <c r="AN168" s="284">
        <f>IF($O169,_xll.qDateYears($O168,$O169,DCC_Leg1_Float),0)</f>
        <v>0</v>
      </c>
      <c r="AP168" s="350">
        <f t="shared" si="38"/>
        <v>0</v>
      </c>
      <c r="AQ168" s="375">
        <f>IF(GenType_1a="Fixed",GenRate_1a%*$AL167*AM167,          IF(GenType_1a="Float",$AL167*(_xll.qGetFwdRate($D$18,$O167,$O168,"T",DCC_Leg1_Float)%+GenRate_1a%%)*$AN167,        IF(GenType_1a="bp (Fixed)",GenRate_1a%%*$AM167*$AL167,   IF(GenType_1a="bp (Float)",GenRate_1a%%*$AL167*$AN167,0))))</f>
        <v>0</v>
      </c>
      <c r="AR168" s="561"/>
      <c r="AT168" s="341">
        <f t="shared" ref="AT168:AT231" si="42">SUM(AP168:AR168)</f>
        <v>0</v>
      </c>
      <c r="AV168" s="356"/>
      <c r="AW168" s="122">
        <v>0</v>
      </c>
      <c r="AX168" s="128">
        <f t="shared" si="33"/>
        <v>0</v>
      </c>
      <c r="AY168" s="357">
        <v>0</v>
      </c>
      <c r="AZ168" s="699">
        <f>IF($AW169=0,0,        _xll.qDateNext($AW168,AZ$17,"M",TRUE,Currency2))</f>
        <v>0</v>
      </c>
      <c r="BA168" s="699">
        <f>IF($AW169=0,0,        _xll.qDateNext($AW168,BA$17,"M",TRUE,Currency2))</f>
        <v>0</v>
      </c>
      <c r="BB168" s="699">
        <f>IF($AW169=0,0,        _xll.qDateNext($AW168,BB$17,"M",TRUE,Currency2))</f>
        <v>0</v>
      </c>
      <c r="BC168" s="699">
        <f>IF($AW169=0,0,        _xll.qDateNext($AW168,BC$17,"M",TRUE,Currency2))</f>
        <v>0</v>
      </c>
      <c r="BD168" s="699">
        <f>IF($AW169=0,0,        _xll.qDateNext($AW168,BD$17,"M",TRUE,Currency2))</f>
        <v>0</v>
      </c>
      <c r="BE168" s="699">
        <f>IF($AW169=0,0,        _xll.qDateNext($AW168,BE$17,"M",TRUE,Currency2))</f>
        <v>0</v>
      </c>
      <c r="BF168" s="699">
        <f>IF($AW169=0,0,        _xll.qDateNext($AW168,BF$17,"M",TRUE,Currency2))</f>
        <v>0</v>
      </c>
      <c r="BG168" s="699">
        <f>IF($AW169=0,0,        _xll.qDateNext($AW168,BG$17,"M",TRUE,Currency2))</f>
        <v>0</v>
      </c>
      <c r="BH168" s="703">
        <v>0</v>
      </c>
      <c r="BI168" s="703">
        <v>0</v>
      </c>
      <c r="BJ168" s="703">
        <v>0</v>
      </c>
      <c r="BK168" s="703">
        <v>0</v>
      </c>
      <c r="BL168" s="703">
        <f t="shared" si="39"/>
        <v>0</v>
      </c>
      <c r="BM168" s="703">
        <f t="shared" si="40"/>
        <v>0</v>
      </c>
      <c r="BN168" s="703">
        <v>0</v>
      </c>
      <c r="BO168" s="703">
        <v>0</v>
      </c>
      <c r="BP168" s="685">
        <v>0</v>
      </c>
      <c r="BQ168" s="667"/>
      <c r="BR168" s="670">
        <f>IF(AW169=0,0,             IF(ISNUMBER(BQ168),BQ168,             IF(ISTEXT(BQ168),INDEX(BH168:BO168,MATCH(BQ168,$BH$17:$BO$17,0)),           IF(BP168="INT",_xll.qInterp(AW169,AZ168:BG168,BH168:BO168),       INDEX(BH168:BO168,MATCH(BP168,$BH$17:$BO$17,0))))))</f>
        <v>0</v>
      </c>
      <c r="BS168" s="731">
        <f t="shared" si="34"/>
        <v>0</v>
      </c>
      <c r="BT168" s="406">
        <f t="shared" si="35"/>
        <v>0</v>
      </c>
      <c r="BU168" s="284">
        <f>IF($AW169,_xll.qDateYears($AW168,$AW169,DCC_Leg2_Fixed),0)</f>
        <v>0</v>
      </c>
      <c r="BV168" s="284">
        <f>IF($AW169,_xll.qDateYears($AW168,$AW169,DCC_Leg2_Float),0)</f>
        <v>0</v>
      </c>
      <c r="BX168" s="350">
        <f t="shared" si="41"/>
        <v>0</v>
      </c>
      <c r="BY168" s="375">
        <f>IF(GenType_2a="Fixed",GenRate_2a%*$BT167*BU167,          IF(GenType_2a="Float",$BT167*(_xll.qGetFwdRate($J$18,$AW167,$AW168,"T",DCC_Leg2_Float)%+GenRate_2a%%)*$BV167,        IF(GenType_2a="bp (Fixed)",GenRate_2a%%*$BU167*$BT167,   IF(GenType_2a="bp (Float)",GenRate_2a%%*$BT167*$BV167,0))))</f>
        <v>0</v>
      </c>
      <c r="BZ168" s="561"/>
      <c r="CB168" s="341">
        <f t="shared" si="29"/>
        <v>0</v>
      </c>
      <c r="CC168" s="563"/>
      <c r="CD168" s="356"/>
      <c r="CE168" s="341">
        <v>0</v>
      </c>
      <c r="CF168" s="563"/>
      <c r="CG168" s="356"/>
    </row>
    <row r="169" spans="15:85">
      <c r="O169" s="122">
        <v>0</v>
      </c>
      <c r="P169" s="128">
        <f t="shared" si="30"/>
        <v>0</v>
      </c>
      <c r="Q169" s="126">
        <v>0</v>
      </c>
      <c r="R169" s="699">
        <f>IF($O170=0,0,        _xll.qDateNext($O169,R$17,"M",TRUE,Currency1))</f>
        <v>0</v>
      </c>
      <c r="S169" s="699">
        <f>IF($O170=0,0,        _xll.qDateNext($O169,S$17,"M",TRUE,Currency1))</f>
        <v>0</v>
      </c>
      <c r="T169" s="699">
        <f>IF($O170=0,0,        _xll.qDateNext($O169,T$17,"M",TRUE,Currency1))</f>
        <v>0</v>
      </c>
      <c r="U169" s="699">
        <f>IF($O170=0,0,        _xll.qDateNext($O169,U$17,"M",TRUE,Currency1))</f>
        <v>0</v>
      </c>
      <c r="V169" s="699">
        <f>IF($O170=0,0,        _xll.qDateNext($O169,V$17,"M",TRUE,Currency1))</f>
        <v>0</v>
      </c>
      <c r="W169" s="699">
        <f>IF($O170=0,0,        _xll.qDateNext($O169,W$17,"M",TRUE,Currency1))</f>
        <v>0</v>
      </c>
      <c r="X169" s="699">
        <f>IF($O170=0,0,        _xll.qDateNext($O169,X$17,"M",TRUE,Currency1))</f>
        <v>0</v>
      </c>
      <c r="Y169" s="699">
        <f>IF($O170=0,0,        _xll.qDateNext($O169,Y$17,"M",TRUE,Currency1))</f>
        <v>0</v>
      </c>
      <c r="Z169" s="703">
        <f>IF($O170=0,0,           IF(FRM,_xll.qGetFwdRate(Z$14,$O169,R169,"T",DCC_Leg1_Float),_xll.qGetFwdRate(Z$14,$O169,$O170,"T",DCC_Leg1_Float)))</f>
        <v>0</v>
      </c>
      <c r="AA169" s="703">
        <f>IF($O170=0,0,           IF(FRM,_xll.qGetFwdRate(AA$14,$O169,S169,"T",DCC_Leg1_Float),_xll.qGetFwdRate(AA$14,$O169,$O170,"T",DCC_Leg1_Float)))</f>
        <v>0</v>
      </c>
      <c r="AB169" s="703">
        <f t="shared" si="31"/>
        <v>0</v>
      </c>
      <c r="AC169" s="703">
        <f>IF($O170=0,0,           IF(FRM,_xll.qGetFwdRate(AC$14,$O169,U169,"T",DCC_Leg1_Float),_xll.qGetFwdRate(AC$14,$O169,$O170,"T",DCC_Leg1_Float)))</f>
        <v>0</v>
      </c>
      <c r="AD169" s="703">
        <f t="shared" si="36"/>
        <v>0</v>
      </c>
      <c r="AE169" s="703">
        <f t="shared" si="37"/>
        <v>0</v>
      </c>
      <c r="AF169" s="703">
        <f>IF($O170=0,0,           IF(FRM,_xll.qGetFwdRate(AF$14,$O169,X169,"T",DCC_Leg1_Float),_xll.qGetFwdRate(AF$14,$O169,$O170,"T",DCC_Leg1_Float)))</f>
        <v>0</v>
      </c>
      <c r="AG169" s="703">
        <f>IF($O170=0,0,           IF(FRM,_xll.qGetFwdRate(AG$14,$O169,Y169,"T",DCC_Leg1_Float),_xll.qGetFwdRate(AG$14,$O169,$O170,"T",DCC_Leg1_Float)))</f>
        <v>0</v>
      </c>
      <c r="AH169" s="685">
        <v>0</v>
      </c>
      <c r="AI169" s="667"/>
      <c r="AJ169" s="670">
        <f>IF(O170=0,0,             IF(ISNUMBER(AI169),AI169,             IF(ISTEXT(AI169),INDEX(Z169:AG169,MATCH(AI169,$Z$17:$AG$17,0)),           IF(AH169="INT",_xll.qInterp(O170,R169:Y169,Z169:AG169),       INDEX(Z169:AG169,MATCH(AH169,$Z$17:$AG$17,0))))))</f>
        <v>0</v>
      </c>
      <c r="AK169" s="732">
        <v>100</v>
      </c>
      <c r="AL169" s="721">
        <f t="shared" si="32"/>
        <v>0</v>
      </c>
      <c r="AM169" s="284">
        <f>IF($O170,_xll.qDateYears($O169,$O170,DCC_Leg1_Fixed),0)</f>
        <v>0</v>
      </c>
      <c r="AN169" s="284">
        <f>IF($O170,_xll.qDateYears($O169,$O170,DCC_Leg1_Float),0)</f>
        <v>0</v>
      </c>
      <c r="AP169" s="350">
        <f t="shared" si="38"/>
        <v>0</v>
      </c>
      <c r="AQ169" s="375">
        <f>IF(GenType_1a="Fixed",GenRate_1a%*$AL168*AM168,          IF(GenType_1a="Float",$AL168*(_xll.qGetFwdRate($D$18,$O168,$O169,"T",DCC_Leg1_Float)%+GenRate_1a%%)*$AN168,        IF(GenType_1a="bp (Fixed)",GenRate_1a%%*$AM168*$AL168,   IF(GenType_1a="bp (Float)",GenRate_1a%%*$AL168*$AN168,0))))</f>
        <v>0</v>
      </c>
      <c r="AR169" s="561"/>
      <c r="AT169" s="341">
        <f t="shared" si="42"/>
        <v>0</v>
      </c>
      <c r="AV169" s="356"/>
      <c r="AW169" s="122">
        <v>0</v>
      </c>
      <c r="AX169" s="128">
        <f t="shared" si="33"/>
        <v>0</v>
      </c>
      <c r="AY169" s="357">
        <v>0</v>
      </c>
      <c r="AZ169" s="699">
        <f>IF($AW170=0,0,        _xll.qDateNext($AW169,AZ$17,"M",TRUE,Currency2))</f>
        <v>0</v>
      </c>
      <c r="BA169" s="699">
        <f>IF($AW170=0,0,        _xll.qDateNext($AW169,BA$17,"M",TRUE,Currency2))</f>
        <v>0</v>
      </c>
      <c r="BB169" s="699">
        <f>IF($AW170=0,0,        _xll.qDateNext($AW169,BB$17,"M",TRUE,Currency2))</f>
        <v>0</v>
      </c>
      <c r="BC169" s="699">
        <f>IF($AW170=0,0,        _xll.qDateNext($AW169,BC$17,"M",TRUE,Currency2))</f>
        <v>0</v>
      </c>
      <c r="BD169" s="699">
        <f>IF($AW170=0,0,        _xll.qDateNext($AW169,BD$17,"M",TRUE,Currency2))</f>
        <v>0</v>
      </c>
      <c r="BE169" s="699">
        <f>IF($AW170=0,0,        _xll.qDateNext($AW169,BE$17,"M",TRUE,Currency2))</f>
        <v>0</v>
      </c>
      <c r="BF169" s="699">
        <f>IF($AW170=0,0,        _xll.qDateNext($AW169,BF$17,"M",TRUE,Currency2))</f>
        <v>0</v>
      </c>
      <c r="BG169" s="699">
        <f>IF($AW170=0,0,        _xll.qDateNext($AW169,BG$17,"M",TRUE,Currency2))</f>
        <v>0</v>
      </c>
      <c r="BH169" s="703">
        <v>0</v>
      </c>
      <c r="BI169" s="703">
        <v>0</v>
      </c>
      <c r="BJ169" s="703">
        <v>0</v>
      </c>
      <c r="BK169" s="703">
        <v>0</v>
      </c>
      <c r="BL169" s="703">
        <f t="shared" si="39"/>
        <v>0</v>
      </c>
      <c r="BM169" s="703">
        <f t="shared" si="40"/>
        <v>0</v>
      </c>
      <c r="BN169" s="703">
        <v>0</v>
      </c>
      <c r="BO169" s="703">
        <v>0</v>
      </c>
      <c r="BP169" s="685">
        <v>0</v>
      </c>
      <c r="BQ169" s="667"/>
      <c r="BR169" s="670">
        <f>IF(AW170=0,0,             IF(ISNUMBER(BQ169),BQ169,             IF(ISTEXT(BQ169),INDEX(BH169:BO169,MATCH(BQ169,$BH$17:$BO$17,0)),           IF(BP169="INT",_xll.qInterp(AW170,AZ169:BG169,BH169:BO169),       INDEX(BH169:BO169,MATCH(BP169,$BH$17:$BO$17,0))))))</f>
        <v>0</v>
      </c>
      <c r="BS169" s="731">
        <f t="shared" si="34"/>
        <v>0</v>
      </c>
      <c r="BT169" s="406">
        <f t="shared" si="35"/>
        <v>0</v>
      </c>
      <c r="BU169" s="284">
        <f>IF($AW170,_xll.qDateYears($AW169,$AW170,DCC_Leg2_Fixed),0)</f>
        <v>0</v>
      </c>
      <c r="BV169" s="284">
        <f>IF($AW170,_xll.qDateYears($AW169,$AW170,DCC_Leg2_Float),0)</f>
        <v>0</v>
      </c>
      <c r="BX169" s="350">
        <f t="shared" si="41"/>
        <v>0</v>
      </c>
      <c r="BY169" s="375">
        <f>IF(GenType_2a="Fixed",GenRate_2a%*$BT168*BU168,          IF(GenType_2a="Float",$BT168*(_xll.qGetFwdRate($J$18,$AW168,$AW169,"T",DCC_Leg2_Float)%+GenRate_2a%%)*$BV168,        IF(GenType_2a="bp (Fixed)",GenRate_2a%%*$BU168*$BT168,   IF(GenType_2a="bp (Float)",GenRate_2a%%*$BT168*$BV168,0))))</f>
        <v>0</v>
      </c>
      <c r="BZ169" s="561"/>
      <c r="CB169" s="341">
        <f t="shared" ref="CB169:CB232" si="43">SUM(BX169:BZ169)</f>
        <v>0</v>
      </c>
      <c r="CC169" s="563"/>
      <c r="CD169" s="356"/>
      <c r="CE169" s="341">
        <v>0</v>
      </c>
      <c r="CF169" s="563"/>
      <c r="CG169" s="356"/>
    </row>
    <row r="170" spans="15:85">
      <c r="O170" s="122">
        <v>0</v>
      </c>
      <c r="P170" s="128">
        <f t="shared" si="30"/>
        <v>0</v>
      </c>
      <c r="Q170" s="126">
        <v>0</v>
      </c>
      <c r="R170" s="699">
        <f>IF($O171=0,0,        _xll.qDateNext($O170,R$17,"M",TRUE,Currency1))</f>
        <v>0</v>
      </c>
      <c r="S170" s="699">
        <f>IF($O171=0,0,        _xll.qDateNext($O170,S$17,"M",TRUE,Currency1))</f>
        <v>0</v>
      </c>
      <c r="T170" s="699">
        <f>IF($O171=0,0,        _xll.qDateNext($O170,T$17,"M",TRUE,Currency1))</f>
        <v>0</v>
      </c>
      <c r="U170" s="699">
        <f>IF($O171=0,0,        _xll.qDateNext($O170,U$17,"M",TRUE,Currency1))</f>
        <v>0</v>
      </c>
      <c r="V170" s="699">
        <f>IF($O171=0,0,        _xll.qDateNext($O170,V$17,"M",TRUE,Currency1))</f>
        <v>0</v>
      </c>
      <c r="W170" s="699">
        <f>IF($O171=0,0,        _xll.qDateNext($O170,W$17,"M",TRUE,Currency1))</f>
        <v>0</v>
      </c>
      <c r="X170" s="699">
        <f>IF($O171=0,0,        _xll.qDateNext($O170,X$17,"M",TRUE,Currency1))</f>
        <v>0</v>
      </c>
      <c r="Y170" s="699">
        <f>IF($O171=0,0,        _xll.qDateNext($O170,Y$17,"M",TRUE,Currency1))</f>
        <v>0</v>
      </c>
      <c r="Z170" s="703">
        <f>IF($O171=0,0,           IF(FRM,_xll.qGetFwdRate(Z$14,$O170,R170,"T",DCC_Leg1_Float),_xll.qGetFwdRate(Z$14,$O170,$O171,"T",DCC_Leg1_Float)))</f>
        <v>0</v>
      </c>
      <c r="AA170" s="703">
        <f>IF($O171=0,0,           IF(FRM,_xll.qGetFwdRate(AA$14,$O170,S170,"T",DCC_Leg1_Float),_xll.qGetFwdRate(AA$14,$O170,$O171,"T",DCC_Leg1_Float)))</f>
        <v>0</v>
      </c>
      <c r="AB170" s="703">
        <f t="shared" si="31"/>
        <v>0</v>
      </c>
      <c r="AC170" s="703">
        <f>IF($O171=0,0,           IF(FRM,_xll.qGetFwdRate(AC$14,$O170,U170,"T",DCC_Leg1_Float),_xll.qGetFwdRate(AC$14,$O170,$O171,"T",DCC_Leg1_Float)))</f>
        <v>0</v>
      </c>
      <c r="AD170" s="703">
        <f t="shared" si="36"/>
        <v>0</v>
      </c>
      <c r="AE170" s="703">
        <f t="shared" si="37"/>
        <v>0</v>
      </c>
      <c r="AF170" s="703">
        <f>IF($O171=0,0,           IF(FRM,_xll.qGetFwdRate(AF$14,$O170,X170,"T",DCC_Leg1_Float),_xll.qGetFwdRate(AF$14,$O170,$O171,"T",DCC_Leg1_Float)))</f>
        <v>0</v>
      </c>
      <c r="AG170" s="703">
        <f>IF($O171=0,0,           IF(FRM,_xll.qGetFwdRate(AG$14,$O170,Y170,"T",DCC_Leg1_Float),_xll.qGetFwdRate(AG$14,$O170,$O171,"T",DCC_Leg1_Float)))</f>
        <v>0</v>
      </c>
      <c r="AH170" s="685">
        <v>0</v>
      </c>
      <c r="AI170" s="667"/>
      <c r="AJ170" s="670">
        <f>IF(O171=0,0,             IF(ISNUMBER(AI170),AI170,             IF(ISTEXT(AI170),INDEX(Z170:AG170,MATCH(AI170,$Z$17:$AG$17,0)),           IF(AH170="INT",_xll.qInterp(O171,R170:Y170,Z170:AG170),       INDEX(Z170:AG170,MATCH(AH170,$Z$17:$AG$17,0))))))</f>
        <v>0</v>
      </c>
      <c r="AK170" s="732">
        <v>100</v>
      </c>
      <c r="AL170" s="721">
        <f t="shared" si="32"/>
        <v>0</v>
      </c>
      <c r="AM170" s="284">
        <f>IF($O171,_xll.qDateYears($O170,$O171,DCC_Leg1_Fixed),0)</f>
        <v>0</v>
      </c>
      <c r="AN170" s="284">
        <f>IF($O171,_xll.qDateYears($O170,$O171,DCC_Leg1_Float),0)</f>
        <v>0</v>
      </c>
      <c r="AP170" s="350">
        <f t="shared" si="38"/>
        <v>0</v>
      </c>
      <c r="AQ170" s="375">
        <f>IF(GenType_1a="Fixed",GenRate_1a%*$AL169*AM169,          IF(GenType_1a="Float",$AL169*(_xll.qGetFwdRate($D$18,$O169,$O170,"T",DCC_Leg1_Float)%+GenRate_1a%%)*$AN169,        IF(GenType_1a="bp (Fixed)",GenRate_1a%%*$AM169*$AL169,   IF(GenType_1a="bp (Float)",GenRate_1a%%*$AL169*$AN169,0))))</f>
        <v>0</v>
      </c>
      <c r="AR170" s="561"/>
      <c r="AT170" s="341">
        <f t="shared" si="42"/>
        <v>0</v>
      </c>
      <c r="AV170" s="356"/>
      <c r="AW170" s="122">
        <v>0</v>
      </c>
      <c r="AX170" s="128">
        <f t="shared" si="33"/>
        <v>0</v>
      </c>
      <c r="AY170" s="357">
        <v>0</v>
      </c>
      <c r="AZ170" s="699">
        <f>IF($AW171=0,0,        _xll.qDateNext($AW170,AZ$17,"M",TRUE,Currency2))</f>
        <v>0</v>
      </c>
      <c r="BA170" s="699">
        <f>IF($AW171=0,0,        _xll.qDateNext($AW170,BA$17,"M",TRUE,Currency2))</f>
        <v>0</v>
      </c>
      <c r="BB170" s="699">
        <f>IF($AW171=0,0,        _xll.qDateNext($AW170,BB$17,"M",TRUE,Currency2))</f>
        <v>0</v>
      </c>
      <c r="BC170" s="699">
        <f>IF($AW171=0,0,        _xll.qDateNext($AW170,BC$17,"M",TRUE,Currency2))</f>
        <v>0</v>
      </c>
      <c r="BD170" s="699">
        <f>IF($AW171=0,0,        _xll.qDateNext($AW170,BD$17,"M",TRUE,Currency2))</f>
        <v>0</v>
      </c>
      <c r="BE170" s="699">
        <f>IF($AW171=0,0,        _xll.qDateNext($AW170,BE$17,"M",TRUE,Currency2))</f>
        <v>0</v>
      </c>
      <c r="BF170" s="699">
        <f>IF($AW171=0,0,        _xll.qDateNext($AW170,BF$17,"M",TRUE,Currency2))</f>
        <v>0</v>
      </c>
      <c r="BG170" s="699">
        <f>IF($AW171=0,0,        _xll.qDateNext($AW170,BG$17,"M",TRUE,Currency2))</f>
        <v>0</v>
      </c>
      <c r="BH170" s="703">
        <v>0</v>
      </c>
      <c r="BI170" s="703">
        <v>0</v>
      </c>
      <c r="BJ170" s="703">
        <v>0</v>
      </c>
      <c r="BK170" s="703">
        <v>0</v>
      </c>
      <c r="BL170" s="703">
        <f t="shared" si="39"/>
        <v>0</v>
      </c>
      <c r="BM170" s="703">
        <f t="shared" si="40"/>
        <v>0</v>
      </c>
      <c r="BN170" s="703">
        <v>0</v>
      </c>
      <c r="BO170" s="703">
        <v>0</v>
      </c>
      <c r="BP170" s="685">
        <v>0</v>
      </c>
      <c r="BQ170" s="667"/>
      <c r="BR170" s="670">
        <f>IF(AW171=0,0,             IF(ISNUMBER(BQ170),BQ170,             IF(ISTEXT(BQ170),INDEX(BH170:BO170,MATCH(BQ170,$BH$17:$BO$17,0)),           IF(BP170="INT",_xll.qInterp(AW171,AZ170:BG170,BH170:BO170),       INDEX(BH170:BO170,MATCH(BP170,$BH$17:$BO$17,0))))))</f>
        <v>0</v>
      </c>
      <c r="BS170" s="731">
        <f t="shared" si="34"/>
        <v>0</v>
      </c>
      <c r="BT170" s="406">
        <f t="shared" si="35"/>
        <v>0</v>
      </c>
      <c r="BU170" s="284">
        <f>IF($AW171,_xll.qDateYears($AW170,$AW171,DCC_Leg2_Fixed),0)</f>
        <v>0</v>
      </c>
      <c r="BV170" s="284">
        <f>IF($AW171,_xll.qDateYears($AW170,$AW171,DCC_Leg2_Float),0)</f>
        <v>0</v>
      </c>
      <c r="BX170" s="350">
        <f t="shared" si="41"/>
        <v>0</v>
      </c>
      <c r="BY170" s="375">
        <f>IF(GenType_2a="Fixed",GenRate_2a%*$BT169*BU169,          IF(GenType_2a="Float",$BT169*(_xll.qGetFwdRate($J$18,$AW169,$AW170,"T",DCC_Leg2_Float)%+GenRate_2a%%)*$BV169,        IF(GenType_2a="bp (Fixed)",GenRate_2a%%*$BU169*$BT169,   IF(GenType_2a="bp (Float)",GenRate_2a%%*$BT169*$BV169,0))))</f>
        <v>0</v>
      </c>
      <c r="BZ170" s="561"/>
      <c r="CB170" s="341">
        <f t="shared" si="43"/>
        <v>0</v>
      </c>
      <c r="CC170" s="563"/>
      <c r="CD170" s="356"/>
      <c r="CE170" s="341">
        <v>0</v>
      </c>
      <c r="CF170" s="563"/>
      <c r="CG170" s="356"/>
    </row>
    <row r="171" spans="15:85">
      <c r="O171" s="122">
        <v>0</v>
      </c>
      <c r="P171" s="128">
        <f t="shared" si="30"/>
        <v>0</v>
      </c>
      <c r="Q171" s="126">
        <v>0</v>
      </c>
      <c r="R171" s="699">
        <f>IF($O172=0,0,        _xll.qDateNext($O171,R$17,"M",TRUE,Currency1))</f>
        <v>0</v>
      </c>
      <c r="S171" s="699">
        <f>IF($O172=0,0,        _xll.qDateNext($O171,S$17,"M",TRUE,Currency1))</f>
        <v>0</v>
      </c>
      <c r="T171" s="699">
        <f>IF($O172=0,0,        _xll.qDateNext($O171,T$17,"M",TRUE,Currency1))</f>
        <v>0</v>
      </c>
      <c r="U171" s="699">
        <f>IF($O172=0,0,        _xll.qDateNext($O171,U$17,"M",TRUE,Currency1))</f>
        <v>0</v>
      </c>
      <c r="V171" s="699">
        <f>IF($O172=0,0,        _xll.qDateNext($O171,V$17,"M",TRUE,Currency1))</f>
        <v>0</v>
      </c>
      <c r="W171" s="699">
        <f>IF($O172=0,0,        _xll.qDateNext($O171,W$17,"M",TRUE,Currency1))</f>
        <v>0</v>
      </c>
      <c r="X171" s="699">
        <f>IF($O172=0,0,        _xll.qDateNext($O171,X$17,"M",TRUE,Currency1))</f>
        <v>0</v>
      </c>
      <c r="Y171" s="699">
        <f>IF($O172=0,0,        _xll.qDateNext($O171,Y$17,"M",TRUE,Currency1))</f>
        <v>0</v>
      </c>
      <c r="Z171" s="703">
        <f>IF($O172=0,0,           IF(FRM,_xll.qGetFwdRate(Z$14,$O171,R171,"T",DCC_Leg1_Float),_xll.qGetFwdRate(Z$14,$O171,$O172,"T",DCC_Leg1_Float)))</f>
        <v>0</v>
      </c>
      <c r="AA171" s="703">
        <f>IF($O172=0,0,           IF(FRM,_xll.qGetFwdRate(AA$14,$O171,S171,"T",DCC_Leg1_Float),_xll.qGetFwdRate(AA$14,$O171,$O172,"T",DCC_Leg1_Float)))</f>
        <v>0</v>
      </c>
      <c r="AB171" s="703">
        <f t="shared" si="31"/>
        <v>0</v>
      </c>
      <c r="AC171" s="703">
        <f>IF($O172=0,0,           IF(FRM,_xll.qGetFwdRate(AC$14,$O171,U171,"T",DCC_Leg1_Float),_xll.qGetFwdRate(AC$14,$O171,$O172,"T",DCC_Leg1_Float)))</f>
        <v>0</v>
      </c>
      <c r="AD171" s="703">
        <f t="shared" si="36"/>
        <v>0</v>
      </c>
      <c r="AE171" s="703">
        <f t="shared" si="37"/>
        <v>0</v>
      </c>
      <c r="AF171" s="703">
        <f>IF($O172=0,0,           IF(FRM,_xll.qGetFwdRate(AF$14,$O171,X171,"T",DCC_Leg1_Float),_xll.qGetFwdRate(AF$14,$O171,$O172,"T",DCC_Leg1_Float)))</f>
        <v>0</v>
      </c>
      <c r="AG171" s="703">
        <f>IF($O172=0,0,           IF(FRM,_xll.qGetFwdRate(AG$14,$O171,Y171,"T",DCC_Leg1_Float),_xll.qGetFwdRate(AG$14,$O171,$O172,"T",DCC_Leg1_Float)))</f>
        <v>0</v>
      </c>
      <c r="AH171" s="685">
        <v>0</v>
      </c>
      <c r="AI171" s="667"/>
      <c r="AJ171" s="670">
        <f>IF(O172=0,0,             IF(ISNUMBER(AI171),AI171,             IF(ISTEXT(AI171),INDEX(Z171:AG171,MATCH(AI171,$Z$17:$AG$17,0)),           IF(AH171="INT",_xll.qInterp(O172,R171:Y171,Z171:AG171),       INDEX(Z171:AG171,MATCH(AH171,$Z$17:$AG$17,0))))))</f>
        <v>0</v>
      </c>
      <c r="AK171" s="732">
        <v>100</v>
      </c>
      <c r="AL171" s="721">
        <f t="shared" si="32"/>
        <v>0</v>
      </c>
      <c r="AM171" s="284">
        <f>IF($O172,_xll.qDateYears($O171,$O172,DCC_Leg1_Fixed),0)</f>
        <v>0</v>
      </c>
      <c r="AN171" s="284">
        <f>IF($O172,_xll.qDateYears($O171,$O172,DCC_Leg1_Float),0)</f>
        <v>0</v>
      </c>
      <c r="AP171" s="350">
        <f t="shared" si="38"/>
        <v>0</v>
      </c>
      <c r="AQ171" s="375">
        <f>IF(GenType_1a="Fixed",GenRate_1a%*$AL170*AM170,          IF(GenType_1a="Float",$AL170*(_xll.qGetFwdRate($D$18,$O170,$O171,"T",DCC_Leg1_Float)%+GenRate_1a%%)*$AN170,        IF(GenType_1a="bp (Fixed)",GenRate_1a%%*$AM170*$AL170,   IF(GenType_1a="bp (Float)",GenRate_1a%%*$AL170*$AN170,0))))</f>
        <v>0</v>
      </c>
      <c r="AR171" s="561"/>
      <c r="AT171" s="341">
        <f t="shared" si="42"/>
        <v>0</v>
      </c>
      <c r="AV171" s="356"/>
      <c r="AW171" s="122">
        <v>0</v>
      </c>
      <c r="AX171" s="128">
        <f t="shared" si="33"/>
        <v>0</v>
      </c>
      <c r="AY171" s="357">
        <v>0</v>
      </c>
      <c r="AZ171" s="699">
        <f>IF($AW172=0,0,        _xll.qDateNext($AW171,AZ$17,"M",TRUE,Currency2))</f>
        <v>0</v>
      </c>
      <c r="BA171" s="699">
        <f>IF($AW172=0,0,        _xll.qDateNext($AW171,BA$17,"M",TRUE,Currency2))</f>
        <v>0</v>
      </c>
      <c r="BB171" s="699">
        <f>IF($AW172=0,0,        _xll.qDateNext($AW171,BB$17,"M",TRUE,Currency2))</f>
        <v>0</v>
      </c>
      <c r="BC171" s="699">
        <f>IF($AW172=0,0,        _xll.qDateNext($AW171,BC$17,"M",TRUE,Currency2))</f>
        <v>0</v>
      </c>
      <c r="BD171" s="699">
        <f>IF($AW172=0,0,        _xll.qDateNext($AW171,BD$17,"M",TRUE,Currency2))</f>
        <v>0</v>
      </c>
      <c r="BE171" s="699">
        <f>IF($AW172=0,0,        _xll.qDateNext($AW171,BE$17,"M",TRUE,Currency2))</f>
        <v>0</v>
      </c>
      <c r="BF171" s="699">
        <f>IF($AW172=0,0,        _xll.qDateNext($AW171,BF$17,"M",TRUE,Currency2))</f>
        <v>0</v>
      </c>
      <c r="BG171" s="699">
        <f>IF($AW172=0,0,        _xll.qDateNext($AW171,BG$17,"M",TRUE,Currency2))</f>
        <v>0</v>
      </c>
      <c r="BH171" s="703">
        <v>0</v>
      </c>
      <c r="BI171" s="703">
        <v>0</v>
      </c>
      <c r="BJ171" s="703">
        <v>0</v>
      </c>
      <c r="BK171" s="703">
        <v>0</v>
      </c>
      <c r="BL171" s="703">
        <f t="shared" si="39"/>
        <v>0</v>
      </c>
      <c r="BM171" s="703">
        <f t="shared" si="40"/>
        <v>0</v>
      </c>
      <c r="BN171" s="703">
        <v>0</v>
      </c>
      <c r="BO171" s="703">
        <v>0</v>
      </c>
      <c r="BP171" s="685">
        <v>0</v>
      </c>
      <c r="BQ171" s="667"/>
      <c r="BR171" s="670">
        <f>IF(AW172=0,0,             IF(ISNUMBER(BQ171),BQ171,             IF(ISTEXT(BQ171),INDEX(BH171:BO171,MATCH(BQ171,$BH$17:$BO$17,0)),           IF(BP171="INT",_xll.qInterp(AW172,AZ171:BG171,BH171:BO171),       INDEX(BH171:BO171,MATCH(BP171,$BH$17:$BO$17,0))))))</f>
        <v>0</v>
      </c>
      <c r="BS171" s="731">
        <f t="shared" si="34"/>
        <v>0</v>
      </c>
      <c r="BT171" s="406">
        <f t="shared" si="35"/>
        <v>0</v>
      </c>
      <c r="BU171" s="284">
        <f>IF($AW172,_xll.qDateYears($AW171,$AW172,DCC_Leg2_Fixed),0)</f>
        <v>0</v>
      </c>
      <c r="BV171" s="284">
        <f>IF($AW172,_xll.qDateYears($AW171,$AW172,DCC_Leg2_Float),0)</f>
        <v>0</v>
      </c>
      <c r="BX171" s="350">
        <f t="shared" si="41"/>
        <v>0</v>
      </c>
      <c r="BY171" s="375">
        <f>IF(GenType_2a="Fixed",GenRate_2a%*$BT170*BU170,          IF(GenType_2a="Float",$BT170*(_xll.qGetFwdRate($J$18,$AW170,$AW171,"T",DCC_Leg2_Float)%+GenRate_2a%%)*$BV170,        IF(GenType_2a="bp (Fixed)",GenRate_2a%%*$BU170*$BT170,   IF(GenType_2a="bp (Float)",GenRate_2a%%*$BT170*$BV170,0))))</f>
        <v>0</v>
      </c>
      <c r="BZ171" s="561"/>
      <c r="CB171" s="341">
        <f t="shared" si="43"/>
        <v>0</v>
      </c>
      <c r="CC171" s="563"/>
      <c r="CD171" s="356"/>
      <c r="CE171" s="341">
        <v>0</v>
      </c>
      <c r="CF171" s="563"/>
      <c r="CG171" s="356"/>
    </row>
    <row r="172" spans="15:85">
      <c r="O172" s="122">
        <v>0</v>
      </c>
      <c r="P172" s="128">
        <f t="shared" si="30"/>
        <v>0</v>
      </c>
      <c r="Q172" s="126">
        <v>0</v>
      </c>
      <c r="R172" s="699">
        <f>IF($O173=0,0,        _xll.qDateNext($O172,R$17,"M",TRUE,Currency1))</f>
        <v>0</v>
      </c>
      <c r="S172" s="699">
        <f>IF($O173=0,0,        _xll.qDateNext($O172,S$17,"M",TRUE,Currency1))</f>
        <v>0</v>
      </c>
      <c r="T172" s="699">
        <f>IF($O173=0,0,        _xll.qDateNext($O172,T$17,"M",TRUE,Currency1))</f>
        <v>0</v>
      </c>
      <c r="U172" s="699">
        <f>IF($O173=0,0,        _xll.qDateNext($O172,U$17,"M",TRUE,Currency1))</f>
        <v>0</v>
      </c>
      <c r="V172" s="699">
        <f>IF($O173=0,0,        _xll.qDateNext($O172,V$17,"M",TRUE,Currency1))</f>
        <v>0</v>
      </c>
      <c r="W172" s="699">
        <f>IF($O173=0,0,        _xll.qDateNext($O172,W$17,"M",TRUE,Currency1))</f>
        <v>0</v>
      </c>
      <c r="X172" s="699">
        <f>IF($O173=0,0,        _xll.qDateNext($O172,X$17,"M",TRUE,Currency1))</f>
        <v>0</v>
      </c>
      <c r="Y172" s="699">
        <f>IF($O173=0,0,        _xll.qDateNext($O172,Y$17,"M",TRUE,Currency1))</f>
        <v>0</v>
      </c>
      <c r="Z172" s="703">
        <f>IF($O173=0,0,           IF(FRM,_xll.qGetFwdRate(Z$14,$O172,R172,"T",DCC_Leg1_Float),_xll.qGetFwdRate(Z$14,$O172,$O173,"T",DCC_Leg1_Float)))</f>
        <v>0</v>
      </c>
      <c r="AA172" s="703">
        <f>IF($O173=0,0,           IF(FRM,_xll.qGetFwdRate(AA$14,$O172,S172,"T",DCC_Leg1_Float),_xll.qGetFwdRate(AA$14,$O172,$O173,"T",DCC_Leg1_Float)))</f>
        <v>0</v>
      </c>
      <c r="AB172" s="703">
        <f t="shared" si="31"/>
        <v>0</v>
      </c>
      <c r="AC172" s="703">
        <f>IF($O173=0,0,           IF(FRM,_xll.qGetFwdRate(AC$14,$O172,U172,"T",DCC_Leg1_Float),_xll.qGetFwdRate(AC$14,$O172,$O173,"T",DCC_Leg1_Float)))</f>
        <v>0</v>
      </c>
      <c r="AD172" s="703">
        <f t="shared" si="36"/>
        <v>0</v>
      </c>
      <c r="AE172" s="703">
        <f t="shared" si="37"/>
        <v>0</v>
      </c>
      <c r="AF172" s="703">
        <f>IF($O173=0,0,           IF(FRM,_xll.qGetFwdRate(AF$14,$O172,X172,"T",DCC_Leg1_Float),_xll.qGetFwdRate(AF$14,$O172,$O173,"T",DCC_Leg1_Float)))</f>
        <v>0</v>
      </c>
      <c r="AG172" s="703">
        <f>IF($O173=0,0,           IF(FRM,_xll.qGetFwdRate(AG$14,$O172,Y172,"T",DCC_Leg1_Float),_xll.qGetFwdRate(AG$14,$O172,$O173,"T",DCC_Leg1_Float)))</f>
        <v>0</v>
      </c>
      <c r="AH172" s="685">
        <v>0</v>
      </c>
      <c r="AI172" s="667"/>
      <c r="AJ172" s="670">
        <f>IF(O173=0,0,             IF(ISNUMBER(AI172),AI172,             IF(ISTEXT(AI172),INDEX(Z172:AG172,MATCH(AI172,$Z$17:$AG$17,0)),           IF(AH172="INT",_xll.qInterp(O173,R172:Y172,Z172:AG172),       INDEX(Z172:AG172,MATCH(AH172,$Z$17:$AG$17,0))))))</f>
        <v>0</v>
      </c>
      <c r="AK172" s="732">
        <v>100</v>
      </c>
      <c r="AL172" s="721">
        <f t="shared" si="32"/>
        <v>0</v>
      </c>
      <c r="AM172" s="284">
        <f>IF($O173,_xll.qDateYears($O172,$O173,DCC_Leg1_Fixed),0)</f>
        <v>0</v>
      </c>
      <c r="AN172" s="284">
        <f>IF($O173,_xll.qDateYears($O172,$O173,DCC_Leg1_Float),0)</f>
        <v>0</v>
      </c>
      <c r="AP172" s="350">
        <f t="shared" si="38"/>
        <v>0</v>
      </c>
      <c r="AQ172" s="375">
        <f>IF(GenType_1a="Fixed",GenRate_1a%*$AL171*AM171,          IF(GenType_1a="Float",$AL171*(_xll.qGetFwdRate($D$18,$O171,$O172,"T",DCC_Leg1_Float)%+GenRate_1a%%)*$AN171,        IF(GenType_1a="bp (Fixed)",GenRate_1a%%*$AM171*$AL171,   IF(GenType_1a="bp (Float)",GenRate_1a%%*$AL171*$AN171,0))))</f>
        <v>0</v>
      </c>
      <c r="AR172" s="561"/>
      <c r="AT172" s="341">
        <f t="shared" si="42"/>
        <v>0</v>
      </c>
      <c r="AV172" s="356"/>
      <c r="AW172" s="122">
        <v>0</v>
      </c>
      <c r="AX172" s="128">
        <f t="shared" si="33"/>
        <v>0</v>
      </c>
      <c r="AY172" s="357">
        <v>0</v>
      </c>
      <c r="AZ172" s="699">
        <f>IF($AW173=0,0,        _xll.qDateNext($AW172,AZ$17,"M",TRUE,Currency2))</f>
        <v>0</v>
      </c>
      <c r="BA172" s="699">
        <f>IF($AW173=0,0,        _xll.qDateNext($AW172,BA$17,"M",TRUE,Currency2))</f>
        <v>0</v>
      </c>
      <c r="BB172" s="699">
        <f>IF($AW173=0,0,        _xll.qDateNext($AW172,BB$17,"M",TRUE,Currency2))</f>
        <v>0</v>
      </c>
      <c r="BC172" s="699">
        <f>IF($AW173=0,0,        _xll.qDateNext($AW172,BC$17,"M",TRUE,Currency2))</f>
        <v>0</v>
      </c>
      <c r="BD172" s="699">
        <f>IF($AW173=0,0,        _xll.qDateNext($AW172,BD$17,"M",TRUE,Currency2))</f>
        <v>0</v>
      </c>
      <c r="BE172" s="699">
        <f>IF($AW173=0,0,        _xll.qDateNext($AW172,BE$17,"M",TRUE,Currency2))</f>
        <v>0</v>
      </c>
      <c r="BF172" s="699">
        <f>IF($AW173=0,0,        _xll.qDateNext($AW172,BF$17,"M",TRUE,Currency2))</f>
        <v>0</v>
      </c>
      <c r="BG172" s="699">
        <f>IF($AW173=0,0,        _xll.qDateNext($AW172,BG$17,"M",TRUE,Currency2))</f>
        <v>0</v>
      </c>
      <c r="BH172" s="703">
        <v>0</v>
      </c>
      <c r="BI172" s="703">
        <v>0</v>
      </c>
      <c r="BJ172" s="703">
        <v>0</v>
      </c>
      <c r="BK172" s="703">
        <v>0</v>
      </c>
      <c r="BL172" s="703">
        <f t="shared" si="39"/>
        <v>0</v>
      </c>
      <c r="BM172" s="703">
        <f t="shared" si="40"/>
        <v>0</v>
      </c>
      <c r="BN172" s="703">
        <v>0</v>
      </c>
      <c r="BO172" s="703">
        <v>0</v>
      </c>
      <c r="BP172" s="685">
        <v>0</v>
      </c>
      <c r="BQ172" s="667"/>
      <c r="BR172" s="670">
        <f>IF(AW173=0,0,             IF(ISNUMBER(BQ172),BQ172,             IF(ISTEXT(BQ172),INDEX(BH172:BO172,MATCH(BQ172,$BH$17:$BO$17,0)),           IF(BP172="INT",_xll.qInterp(AW173,AZ172:BG172,BH172:BO172),       INDEX(BH172:BO172,MATCH(BP172,$BH$17:$BO$17,0))))))</f>
        <v>0</v>
      </c>
      <c r="BS172" s="731">
        <f t="shared" si="34"/>
        <v>0</v>
      </c>
      <c r="BT172" s="406">
        <f t="shared" si="35"/>
        <v>0</v>
      </c>
      <c r="BU172" s="284">
        <f>IF($AW173,_xll.qDateYears($AW172,$AW173,DCC_Leg2_Fixed),0)</f>
        <v>0</v>
      </c>
      <c r="BV172" s="284">
        <f>IF($AW173,_xll.qDateYears($AW172,$AW173,DCC_Leg2_Float),0)</f>
        <v>0</v>
      </c>
      <c r="BX172" s="350">
        <f t="shared" si="41"/>
        <v>0</v>
      </c>
      <c r="BY172" s="375">
        <f>IF(GenType_2a="Fixed",GenRate_2a%*$BT171*BU171,          IF(GenType_2a="Float",$BT171*(_xll.qGetFwdRate($J$18,$AW171,$AW172,"T",DCC_Leg2_Float)%+GenRate_2a%%)*$BV171,        IF(GenType_2a="bp (Fixed)",GenRate_2a%%*$BU171*$BT171,   IF(GenType_2a="bp (Float)",GenRate_2a%%*$BT171*$BV171,0))))</f>
        <v>0</v>
      </c>
      <c r="BZ172" s="561"/>
      <c r="CB172" s="341">
        <f t="shared" si="43"/>
        <v>0</v>
      </c>
      <c r="CC172" s="563"/>
      <c r="CD172" s="356"/>
      <c r="CE172" s="341">
        <v>0</v>
      </c>
      <c r="CF172" s="563"/>
      <c r="CG172" s="356"/>
    </row>
    <row r="173" spans="15:85">
      <c r="O173" s="122">
        <v>0</v>
      </c>
      <c r="P173" s="128">
        <f t="shared" si="30"/>
        <v>0</v>
      </c>
      <c r="Q173" s="126">
        <v>0</v>
      </c>
      <c r="R173" s="699">
        <f>IF($O174=0,0,        _xll.qDateNext($O173,R$17,"M",TRUE,Currency1))</f>
        <v>0</v>
      </c>
      <c r="S173" s="699">
        <f>IF($O174=0,0,        _xll.qDateNext($O173,S$17,"M",TRUE,Currency1))</f>
        <v>0</v>
      </c>
      <c r="T173" s="699">
        <f>IF($O174=0,0,        _xll.qDateNext($O173,T$17,"M",TRUE,Currency1))</f>
        <v>0</v>
      </c>
      <c r="U173" s="699">
        <f>IF($O174=0,0,        _xll.qDateNext($O173,U$17,"M",TRUE,Currency1))</f>
        <v>0</v>
      </c>
      <c r="V173" s="699">
        <f>IF($O174=0,0,        _xll.qDateNext($O173,V$17,"M",TRUE,Currency1))</f>
        <v>0</v>
      </c>
      <c r="W173" s="699">
        <f>IF($O174=0,0,        _xll.qDateNext($O173,W$17,"M",TRUE,Currency1))</f>
        <v>0</v>
      </c>
      <c r="X173" s="699">
        <f>IF($O174=0,0,        _xll.qDateNext($O173,X$17,"M",TRUE,Currency1))</f>
        <v>0</v>
      </c>
      <c r="Y173" s="699">
        <f>IF($O174=0,0,        _xll.qDateNext($O173,Y$17,"M",TRUE,Currency1))</f>
        <v>0</v>
      </c>
      <c r="Z173" s="703">
        <f>IF($O174=0,0,           IF(FRM,_xll.qGetFwdRate(Z$14,$O173,R173,"T",DCC_Leg1_Float),_xll.qGetFwdRate(Z$14,$O173,$O174,"T",DCC_Leg1_Float)))</f>
        <v>0</v>
      </c>
      <c r="AA173" s="703">
        <f>IF($O174=0,0,           IF(FRM,_xll.qGetFwdRate(AA$14,$O173,S173,"T",DCC_Leg1_Float),_xll.qGetFwdRate(AA$14,$O173,$O174,"T",DCC_Leg1_Float)))</f>
        <v>0</v>
      </c>
      <c r="AB173" s="703">
        <f t="shared" si="31"/>
        <v>0</v>
      </c>
      <c r="AC173" s="703">
        <f>IF($O174=0,0,           IF(FRM,_xll.qGetFwdRate(AC$14,$O173,U173,"T",DCC_Leg1_Float),_xll.qGetFwdRate(AC$14,$O173,$O174,"T",DCC_Leg1_Float)))</f>
        <v>0</v>
      </c>
      <c r="AD173" s="703">
        <f t="shared" si="36"/>
        <v>0</v>
      </c>
      <c r="AE173" s="703">
        <f t="shared" si="37"/>
        <v>0</v>
      </c>
      <c r="AF173" s="703">
        <f>IF($O174=0,0,           IF(FRM,_xll.qGetFwdRate(AF$14,$O173,X173,"T",DCC_Leg1_Float),_xll.qGetFwdRate(AF$14,$O173,$O174,"T",DCC_Leg1_Float)))</f>
        <v>0</v>
      </c>
      <c r="AG173" s="703">
        <f>IF($O174=0,0,           IF(FRM,_xll.qGetFwdRate(AG$14,$O173,Y173,"T",DCC_Leg1_Float),_xll.qGetFwdRate(AG$14,$O173,$O174,"T",DCC_Leg1_Float)))</f>
        <v>0</v>
      </c>
      <c r="AH173" s="685">
        <v>0</v>
      </c>
      <c r="AI173" s="667"/>
      <c r="AJ173" s="670">
        <f>IF(O174=0,0,             IF(ISNUMBER(AI173),AI173,             IF(ISTEXT(AI173),INDEX(Z173:AG173,MATCH(AI173,$Z$17:$AG$17,0)),           IF(AH173="INT",_xll.qInterp(O174,R173:Y173,Z173:AG173),       INDEX(Z173:AG173,MATCH(AH173,$Z$17:$AG$17,0))))))</f>
        <v>0</v>
      </c>
      <c r="AK173" s="732">
        <v>100</v>
      </c>
      <c r="AL173" s="721">
        <f t="shared" si="32"/>
        <v>0</v>
      </c>
      <c r="AM173" s="284">
        <f>IF($O174,_xll.qDateYears($O173,$O174,DCC_Leg1_Fixed),0)</f>
        <v>0</v>
      </c>
      <c r="AN173" s="284">
        <f>IF($O174,_xll.qDateYears($O173,$O174,DCC_Leg1_Float),0)</f>
        <v>0</v>
      </c>
      <c r="AP173" s="350">
        <f t="shared" si="38"/>
        <v>0</v>
      </c>
      <c r="AQ173" s="375">
        <f>IF(GenType_1a="Fixed",GenRate_1a%*$AL172*AM172,          IF(GenType_1a="Float",$AL172*(_xll.qGetFwdRate($D$18,$O172,$O173,"T",DCC_Leg1_Float)%+GenRate_1a%%)*$AN172,        IF(GenType_1a="bp (Fixed)",GenRate_1a%%*$AM172*$AL172,   IF(GenType_1a="bp (Float)",GenRate_1a%%*$AL172*$AN172,0))))</f>
        <v>0</v>
      </c>
      <c r="AR173" s="561"/>
      <c r="AT173" s="341">
        <f t="shared" si="42"/>
        <v>0</v>
      </c>
      <c r="AV173" s="356"/>
      <c r="AW173" s="122">
        <v>0</v>
      </c>
      <c r="AX173" s="128">
        <f t="shared" si="33"/>
        <v>0</v>
      </c>
      <c r="AY173" s="357">
        <v>0</v>
      </c>
      <c r="AZ173" s="699">
        <f>IF($AW174=0,0,        _xll.qDateNext($AW173,AZ$17,"M",TRUE,Currency2))</f>
        <v>0</v>
      </c>
      <c r="BA173" s="699">
        <f>IF($AW174=0,0,        _xll.qDateNext($AW173,BA$17,"M",TRUE,Currency2))</f>
        <v>0</v>
      </c>
      <c r="BB173" s="699">
        <f>IF($AW174=0,0,        _xll.qDateNext($AW173,BB$17,"M",TRUE,Currency2))</f>
        <v>0</v>
      </c>
      <c r="BC173" s="699">
        <f>IF($AW174=0,0,        _xll.qDateNext($AW173,BC$17,"M",TRUE,Currency2))</f>
        <v>0</v>
      </c>
      <c r="BD173" s="699">
        <f>IF($AW174=0,0,        _xll.qDateNext($AW173,BD$17,"M",TRUE,Currency2))</f>
        <v>0</v>
      </c>
      <c r="BE173" s="699">
        <f>IF($AW174=0,0,        _xll.qDateNext($AW173,BE$17,"M",TRUE,Currency2))</f>
        <v>0</v>
      </c>
      <c r="BF173" s="699">
        <f>IF($AW174=0,0,        _xll.qDateNext($AW173,BF$17,"M",TRUE,Currency2))</f>
        <v>0</v>
      </c>
      <c r="BG173" s="699">
        <f>IF($AW174=0,0,        _xll.qDateNext($AW173,BG$17,"M",TRUE,Currency2))</f>
        <v>0</v>
      </c>
      <c r="BH173" s="703">
        <v>0</v>
      </c>
      <c r="BI173" s="703">
        <v>0</v>
      </c>
      <c r="BJ173" s="703">
        <v>0</v>
      </c>
      <c r="BK173" s="703">
        <v>0</v>
      </c>
      <c r="BL173" s="703">
        <f t="shared" si="39"/>
        <v>0</v>
      </c>
      <c r="BM173" s="703">
        <f t="shared" si="40"/>
        <v>0</v>
      </c>
      <c r="BN173" s="703">
        <v>0</v>
      </c>
      <c r="BO173" s="703">
        <v>0</v>
      </c>
      <c r="BP173" s="685">
        <v>0</v>
      </c>
      <c r="BQ173" s="667"/>
      <c r="BR173" s="670">
        <f>IF(AW174=0,0,             IF(ISNUMBER(BQ173),BQ173,             IF(ISTEXT(BQ173),INDEX(BH173:BO173,MATCH(BQ173,$BH$17:$BO$17,0)),           IF(BP173="INT",_xll.qInterp(AW174,AZ173:BG173,BH173:BO173),       INDEX(BH173:BO173,MATCH(BP173,$BH$17:$BO$17,0))))))</f>
        <v>0</v>
      </c>
      <c r="BS173" s="731">
        <f t="shared" si="34"/>
        <v>0</v>
      </c>
      <c r="BT173" s="406">
        <f t="shared" si="35"/>
        <v>0</v>
      </c>
      <c r="BU173" s="284">
        <f>IF($AW174,_xll.qDateYears($AW173,$AW174,DCC_Leg2_Fixed),0)</f>
        <v>0</v>
      </c>
      <c r="BV173" s="284">
        <f>IF($AW174,_xll.qDateYears($AW173,$AW174,DCC_Leg2_Float),0)</f>
        <v>0</v>
      </c>
      <c r="BX173" s="350">
        <f t="shared" si="41"/>
        <v>0</v>
      </c>
      <c r="BY173" s="375">
        <f>IF(GenType_2a="Fixed",GenRate_2a%*$BT172*BU172,          IF(GenType_2a="Float",$BT172*(_xll.qGetFwdRate($J$18,$AW172,$AW173,"T",DCC_Leg2_Float)%+GenRate_2a%%)*$BV172,        IF(GenType_2a="bp (Fixed)",GenRate_2a%%*$BU172*$BT172,   IF(GenType_2a="bp (Float)",GenRate_2a%%*$BT172*$BV172,0))))</f>
        <v>0</v>
      </c>
      <c r="BZ173" s="561"/>
      <c r="CB173" s="341">
        <f t="shared" si="43"/>
        <v>0</v>
      </c>
      <c r="CC173" s="563"/>
      <c r="CD173" s="356"/>
      <c r="CE173" s="341">
        <v>0</v>
      </c>
      <c r="CF173" s="563"/>
      <c r="CG173" s="356"/>
    </row>
    <row r="174" spans="15:85">
      <c r="O174" s="122">
        <v>0</v>
      </c>
      <c r="P174" s="128">
        <f t="shared" si="30"/>
        <v>0</v>
      </c>
      <c r="Q174" s="126">
        <v>0</v>
      </c>
      <c r="R174" s="699">
        <f>IF($O175=0,0,        _xll.qDateNext($O174,R$17,"M",TRUE,Currency1))</f>
        <v>0</v>
      </c>
      <c r="S174" s="699">
        <f>IF($O175=0,0,        _xll.qDateNext($O174,S$17,"M",TRUE,Currency1))</f>
        <v>0</v>
      </c>
      <c r="T174" s="699">
        <f>IF($O175=0,0,        _xll.qDateNext($O174,T$17,"M",TRUE,Currency1))</f>
        <v>0</v>
      </c>
      <c r="U174" s="699">
        <f>IF($O175=0,0,        _xll.qDateNext($O174,U$17,"M",TRUE,Currency1))</f>
        <v>0</v>
      </c>
      <c r="V174" s="699">
        <f>IF($O175=0,0,        _xll.qDateNext($O174,V$17,"M",TRUE,Currency1))</f>
        <v>0</v>
      </c>
      <c r="W174" s="699">
        <f>IF($O175=0,0,        _xll.qDateNext($O174,W$17,"M",TRUE,Currency1))</f>
        <v>0</v>
      </c>
      <c r="X174" s="699">
        <f>IF($O175=0,0,        _xll.qDateNext($O174,X$17,"M",TRUE,Currency1))</f>
        <v>0</v>
      </c>
      <c r="Y174" s="699">
        <f>IF($O175=0,0,        _xll.qDateNext($O174,Y$17,"M",TRUE,Currency1))</f>
        <v>0</v>
      </c>
      <c r="Z174" s="703">
        <f>IF($O175=0,0,           IF(FRM,_xll.qGetFwdRate(Z$14,$O174,R174,"T",DCC_Leg1_Float),_xll.qGetFwdRate(Z$14,$O174,$O175,"T",DCC_Leg1_Float)))</f>
        <v>0</v>
      </c>
      <c r="AA174" s="703">
        <f>IF($O175=0,0,           IF(FRM,_xll.qGetFwdRate(AA$14,$O174,S174,"T",DCC_Leg1_Float),_xll.qGetFwdRate(AA$14,$O174,$O175,"T",DCC_Leg1_Float)))</f>
        <v>0</v>
      </c>
      <c r="AB174" s="703">
        <f t="shared" si="31"/>
        <v>0</v>
      </c>
      <c r="AC174" s="703">
        <f>IF($O175=0,0,           IF(FRM,_xll.qGetFwdRate(AC$14,$O174,U174,"T",DCC_Leg1_Float),_xll.qGetFwdRate(AC$14,$O174,$O175,"T",DCC_Leg1_Float)))</f>
        <v>0</v>
      </c>
      <c r="AD174" s="703">
        <f t="shared" si="36"/>
        <v>0</v>
      </c>
      <c r="AE174" s="703">
        <f t="shared" si="37"/>
        <v>0</v>
      </c>
      <c r="AF174" s="703">
        <f>IF($O175=0,0,           IF(FRM,_xll.qGetFwdRate(AF$14,$O174,X174,"T",DCC_Leg1_Float),_xll.qGetFwdRate(AF$14,$O174,$O175,"T",DCC_Leg1_Float)))</f>
        <v>0</v>
      </c>
      <c r="AG174" s="703">
        <f>IF($O175=0,0,           IF(FRM,_xll.qGetFwdRate(AG$14,$O174,Y174,"T",DCC_Leg1_Float),_xll.qGetFwdRate(AG$14,$O174,$O175,"T",DCC_Leg1_Float)))</f>
        <v>0</v>
      </c>
      <c r="AH174" s="685">
        <v>0</v>
      </c>
      <c r="AI174" s="667"/>
      <c r="AJ174" s="670">
        <f>IF(O175=0,0,             IF(ISNUMBER(AI174),AI174,             IF(ISTEXT(AI174),INDEX(Z174:AG174,MATCH(AI174,$Z$17:$AG$17,0)),           IF(AH174="INT",_xll.qInterp(O175,R174:Y174,Z174:AG174),       INDEX(Z174:AG174,MATCH(AH174,$Z$17:$AG$17,0))))))</f>
        <v>0</v>
      </c>
      <c r="AK174" s="732">
        <v>100</v>
      </c>
      <c r="AL174" s="721">
        <f t="shared" si="32"/>
        <v>0</v>
      </c>
      <c r="AM174" s="284">
        <f>IF($O175,_xll.qDateYears($O174,$O175,DCC_Leg1_Fixed),0)</f>
        <v>0</v>
      </c>
      <c r="AN174" s="284">
        <f>IF($O175,_xll.qDateYears($O174,$O175,DCC_Leg1_Float),0)</f>
        <v>0</v>
      </c>
      <c r="AP174" s="350">
        <f t="shared" si="38"/>
        <v>0</v>
      </c>
      <c r="AQ174" s="375">
        <f>IF(GenType_1a="Fixed",GenRate_1a%*$AL173*AM173,          IF(GenType_1a="Float",$AL173*(_xll.qGetFwdRate($D$18,$O173,$O174,"T",DCC_Leg1_Float)%+GenRate_1a%%)*$AN173,        IF(GenType_1a="bp (Fixed)",GenRate_1a%%*$AM173*$AL173,   IF(GenType_1a="bp (Float)",GenRate_1a%%*$AL173*$AN173,0))))</f>
        <v>0</v>
      </c>
      <c r="AR174" s="561"/>
      <c r="AT174" s="341">
        <f t="shared" si="42"/>
        <v>0</v>
      </c>
      <c r="AV174" s="356"/>
      <c r="AW174" s="122">
        <v>0</v>
      </c>
      <c r="AX174" s="128">
        <f t="shared" si="33"/>
        <v>0</v>
      </c>
      <c r="AY174" s="357">
        <v>0</v>
      </c>
      <c r="AZ174" s="699">
        <f>IF($AW175=0,0,        _xll.qDateNext($AW174,AZ$17,"M",TRUE,Currency2))</f>
        <v>0</v>
      </c>
      <c r="BA174" s="699">
        <f>IF($AW175=0,0,        _xll.qDateNext($AW174,BA$17,"M",TRUE,Currency2))</f>
        <v>0</v>
      </c>
      <c r="BB174" s="699">
        <f>IF($AW175=0,0,        _xll.qDateNext($AW174,BB$17,"M",TRUE,Currency2))</f>
        <v>0</v>
      </c>
      <c r="BC174" s="699">
        <f>IF($AW175=0,0,        _xll.qDateNext($AW174,BC$17,"M",TRUE,Currency2))</f>
        <v>0</v>
      </c>
      <c r="BD174" s="699">
        <f>IF($AW175=0,0,        _xll.qDateNext($AW174,BD$17,"M",TRUE,Currency2))</f>
        <v>0</v>
      </c>
      <c r="BE174" s="699">
        <f>IF($AW175=0,0,        _xll.qDateNext($AW174,BE$17,"M",TRUE,Currency2))</f>
        <v>0</v>
      </c>
      <c r="BF174" s="699">
        <f>IF($AW175=0,0,        _xll.qDateNext($AW174,BF$17,"M",TRUE,Currency2))</f>
        <v>0</v>
      </c>
      <c r="BG174" s="699">
        <f>IF($AW175=0,0,        _xll.qDateNext($AW174,BG$17,"M",TRUE,Currency2))</f>
        <v>0</v>
      </c>
      <c r="BH174" s="703">
        <v>0</v>
      </c>
      <c r="BI174" s="703">
        <v>0</v>
      </c>
      <c r="BJ174" s="703">
        <v>0</v>
      </c>
      <c r="BK174" s="703">
        <v>0</v>
      </c>
      <c r="BL174" s="703">
        <f t="shared" si="39"/>
        <v>0</v>
      </c>
      <c r="BM174" s="703">
        <f t="shared" si="40"/>
        <v>0</v>
      </c>
      <c r="BN174" s="703">
        <v>0</v>
      </c>
      <c r="BO174" s="703">
        <v>0</v>
      </c>
      <c r="BP174" s="685">
        <v>0</v>
      </c>
      <c r="BQ174" s="667"/>
      <c r="BR174" s="670">
        <f>IF(AW175=0,0,             IF(ISNUMBER(BQ174),BQ174,             IF(ISTEXT(BQ174),INDEX(BH174:BO174,MATCH(BQ174,$BH$17:$BO$17,0)),           IF(BP174="INT",_xll.qInterp(AW175,AZ174:BG174,BH174:BO174),       INDEX(BH174:BO174,MATCH(BP174,$BH$17:$BO$17,0))))))</f>
        <v>0</v>
      </c>
      <c r="BS174" s="731">
        <f t="shared" si="34"/>
        <v>0</v>
      </c>
      <c r="BT174" s="406">
        <f t="shared" si="35"/>
        <v>0</v>
      </c>
      <c r="BU174" s="284">
        <f>IF($AW175,_xll.qDateYears($AW174,$AW175,DCC_Leg2_Fixed),0)</f>
        <v>0</v>
      </c>
      <c r="BV174" s="284">
        <f>IF($AW175,_xll.qDateYears($AW174,$AW175,DCC_Leg2_Float),0)</f>
        <v>0</v>
      </c>
      <c r="BX174" s="350">
        <f t="shared" si="41"/>
        <v>0</v>
      </c>
      <c r="BY174" s="375">
        <f>IF(GenType_2a="Fixed",GenRate_2a%*$BT173*BU173,          IF(GenType_2a="Float",$BT173*(_xll.qGetFwdRate($J$18,$AW173,$AW174,"T",DCC_Leg2_Float)%+GenRate_2a%%)*$BV173,        IF(GenType_2a="bp (Fixed)",GenRate_2a%%*$BU173*$BT173,   IF(GenType_2a="bp (Float)",GenRate_2a%%*$BT173*$BV173,0))))</f>
        <v>0</v>
      </c>
      <c r="BZ174" s="561"/>
      <c r="CB174" s="341">
        <f t="shared" si="43"/>
        <v>0</v>
      </c>
      <c r="CC174" s="563"/>
      <c r="CD174" s="356"/>
      <c r="CE174" s="341">
        <v>0</v>
      </c>
      <c r="CF174" s="563"/>
      <c r="CG174" s="356"/>
    </row>
    <row r="175" spans="15:85">
      <c r="O175" s="122">
        <v>0</v>
      </c>
      <c r="P175" s="128">
        <f t="shared" si="30"/>
        <v>0</v>
      </c>
      <c r="Q175" s="126">
        <v>0</v>
      </c>
      <c r="R175" s="699">
        <f>IF($O176=0,0,        _xll.qDateNext($O175,R$17,"M",TRUE,Currency1))</f>
        <v>0</v>
      </c>
      <c r="S175" s="699">
        <f>IF($O176=0,0,        _xll.qDateNext($O175,S$17,"M",TRUE,Currency1))</f>
        <v>0</v>
      </c>
      <c r="T175" s="699">
        <f>IF($O176=0,0,        _xll.qDateNext($O175,T$17,"M",TRUE,Currency1))</f>
        <v>0</v>
      </c>
      <c r="U175" s="699">
        <f>IF($O176=0,0,        _xll.qDateNext($O175,U$17,"M",TRUE,Currency1))</f>
        <v>0</v>
      </c>
      <c r="V175" s="699">
        <f>IF($O176=0,0,        _xll.qDateNext($O175,V$17,"M",TRUE,Currency1))</f>
        <v>0</v>
      </c>
      <c r="W175" s="699">
        <f>IF($O176=0,0,        _xll.qDateNext($O175,W$17,"M",TRUE,Currency1))</f>
        <v>0</v>
      </c>
      <c r="X175" s="699">
        <f>IF($O176=0,0,        _xll.qDateNext($O175,X$17,"M",TRUE,Currency1))</f>
        <v>0</v>
      </c>
      <c r="Y175" s="699">
        <f>IF($O176=0,0,        _xll.qDateNext($O175,Y$17,"M",TRUE,Currency1))</f>
        <v>0</v>
      </c>
      <c r="Z175" s="703">
        <f>IF($O176=0,0,           IF(FRM,_xll.qGetFwdRate(Z$14,$O175,R175,"T",DCC_Leg1_Float),_xll.qGetFwdRate(Z$14,$O175,$O176,"T",DCC_Leg1_Float)))</f>
        <v>0</v>
      </c>
      <c r="AA175" s="703">
        <f>IF($O176=0,0,           IF(FRM,_xll.qGetFwdRate(AA$14,$O175,S175,"T",DCC_Leg1_Float),_xll.qGetFwdRate(AA$14,$O175,$O176,"T",DCC_Leg1_Float)))</f>
        <v>0</v>
      </c>
      <c r="AB175" s="703">
        <f t="shared" si="31"/>
        <v>0</v>
      </c>
      <c r="AC175" s="703">
        <f>IF($O176=0,0,           IF(FRM,_xll.qGetFwdRate(AC$14,$O175,U175,"T",DCC_Leg1_Float),_xll.qGetFwdRate(AC$14,$O175,$O176,"T",DCC_Leg1_Float)))</f>
        <v>0</v>
      </c>
      <c r="AD175" s="703">
        <f t="shared" si="36"/>
        <v>0</v>
      </c>
      <c r="AE175" s="703">
        <f t="shared" si="37"/>
        <v>0</v>
      </c>
      <c r="AF175" s="703">
        <f>IF($O176=0,0,           IF(FRM,_xll.qGetFwdRate(AF$14,$O175,X175,"T",DCC_Leg1_Float),_xll.qGetFwdRate(AF$14,$O175,$O176,"T",DCC_Leg1_Float)))</f>
        <v>0</v>
      </c>
      <c r="AG175" s="703">
        <f>IF($O176=0,0,           IF(FRM,_xll.qGetFwdRate(AG$14,$O175,Y175,"T",DCC_Leg1_Float),_xll.qGetFwdRate(AG$14,$O175,$O176,"T",DCC_Leg1_Float)))</f>
        <v>0</v>
      </c>
      <c r="AH175" s="685">
        <v>0</v>
      </c>
      <c r="AI175" s="667"/>
      <c r="AJ175" s="670">
        <f>IF(O176=0,0,             IF(ISNUMBER(AI175),AI175,             IF(ISTEXT(AI175),INDEX(Z175:AG175,MATCH(AI175,$Z$17:$AG$17,0)),           IF(AH175="INT",_xll.qInterp(O176,R175:Y175,Z175:AG175),       INDEX(Z175:AG175,MATCH(AH175,$Z$17:$AG$17,0))))))</f>
        <v>0</v>
      </c>
      <c r="AK175" s="732">
        <v>100</v>
      </c>
      <c r="AL175" s="721">
        <f t="shared" si="32"/>
        <v>0</v>
      </c>
      <c r="AM175" s="284">
        <f>IF($O176,_xll.qDateYears($O175,$O176,DCC_Leg1_Fixed),0)</f>
        <v>0</v>
      </c>
      <c r="AN175" s="284">
        <f>IF($O176,_xll.qDateYears($O175,$O176,DCC_Leg1_Float),0)</f>
        <v>0</v>
      </c>
      <c r="AP175" s="350">
        <f t="shared" si="38"/>
        <v>0</v>
      </c>
      <c r="AQ175" s="375">
        <f>IF(GenType_1a="Fixed",GenRate_1a%*$AL174*AM174,          IF(GenType_1a="Float",$AL174*(_xll.qGetFwdRate($D$18,$O174,$O175,"T",DCC_Leg1_Float)%+GenRate_1a%%)*$AN174,        IF(GenType_1a="bp (Fixed)",GenRate_1a%%*$AM174*$AL174,   IF(GenType_1a="bp (Float)",GenRate_1a%%*$AL174*$AN174,0))))</f>
        <v>0</v>
      </c>
      <c r="AR175" s="561"/>
      <c r="AT175" s="341">
        <f t="shared" si="42"/>
        <v>0</v>
      </c>
      <c r="AV175" s="356"/>
      <c r="AW175" s="122">
        <v>0</v>
      </c>
      <c r="AX175" s="128">
        <f t="shared" si="33"/>
        <v>0</v>
      </c>
      <c r="AY175" s="357">
        <v>0</v>
      </c>
      <c r="AZ175" s="699">
        <f>IF($AW176=0,0,        _xll.qDateNext($AW175,AZ$17,"M",TRUE,Currency2))</f>
        <v>0</v>
      </c>
      <c r="BA175" s="699">
        <f>IF($AW176=0,0,        _xll.qDateNext($AW175,BA$17,"M",TRUE,Currency2))</f>
        <v>0</v>
      </c>
      <c r="BB175" s="699">
        <f>IF($AW176=0,0,        _xll.qDateNext($AW175,BB$17,"M",TRUE,Currency2))</f>
        <v>0</v>
      </c>
      <c r="BC175" s="699">
        <f>IF($AW176=0,0,        _xll.qDateNext($AW175,BC$17,"M",TRUE,Currency2))</f>
        <v>0</v>
      </c>
      <c r="BD175" s="699">
        <f>IF($AW176=0,0,        _xll.qDateNext($AW175,BD$17,"M",TRUE,Currency2))</f>
        <v>0</v>
      </c>
      <c r="BE175" s="699">
        <f>IF($AW176=0,0,        _xll.qDateNext($AW175,BE$17,"M",TRUE,Currency2))</f>
        <v>0</v>
      </c>
      <c r="BF175" s="699">
        <f>IF($AW176=0,0,        _xll.qDateNext($AW175,BF$17,"M",TRUE,Currency2))</f>
        <v>0</v>
      </c>
      <c r="BG175" s="699">
        <f>IF($AW176=0,0,        _xll.qDateNext($AW175,BG$17,"M",TRUE,Currency2))</f>
        <v>0</v>
      </c>
      <c r="BH175" s="703">
        <v>0</v>
      </c>
      <c r="BI175" s="703">
        <v>0</v>
      </c>
      <c r="BJ175" s="703">
        <v>0</v>
      </c>
      <c r="BK175" s="703">
        <v>0</v>
      </c>
      <c r="BL175" s="703">
        <f t="shared" si="39"/>
        <v>0</v>
      </c>
      <c r="BM175" s="703">
        <f t="shared" si="40"/>
        <v>0</v>
      </c>
      <c r="BN175" s="703">
        <v>0</v>
      </c>
      <c r="BO175" s="703">
        <v>0</v>
      </c>
      <c r="BP175" s="685">
        <v>0</v>
      </c>
      <c r="BQ175" s="667"/>
      <c r="BR175" s="670">
        <f>IF(AW176=0,0,             IF(ISNUMBER(BQ175),BQ175,             IF(ISTEXT(BQ175),INDEX(BH175:BO175,MATCH(BQ175,$BH$17:$BO$17,0)),           IF(BP175="INT",_xll.qInterp(AW176,AZ175:BG175,BH175:BO175),       INDEX(BH175:BO175,MATCH(BP175,$BH$17:$BO$17,0))))))</f>
        <v>0</v>
      </c>
      <c r="BS175" s="731">
        <f t="shared" si="34"/>
        <v>0</v>
      </c>
      <c r="BT175" s="406">
        <f t="shared" si="35"/>
        <v>0</v>
      </c>
      <c r="BU175" s="284">
        <f>IF($AW176,_xll.qDateYears($AW175,$AW176,DCC_Leg2_Fixed),0)</f>
        <v>0</v>
      </c>
      <c r="BV175" s="284">
        <f>IF($AW176,_xll.qDateYears($AW175,$AW176,DCC_Leg2_Float),0)</f>
        <v>0</v>
      </c>
      <c r="BX175" s="350">
        <f t="shared" si="41"/>
        <v>0</v>
      </c>
      <c r="BY175" s="375">
        <f>IF(GenType_2a="Fixed",GenRate_2a%*$BT174*BU174,          IF(GenType_2a="Float",$BT174*(_xll.qGetFwdRate($J$18,$AW174,$AW175,"T",DCC_Leg2_Float)%+GenRate_2a%%)*$BV174,        IF(GenType_2a="bp (Fixed)",GenRate_2a%%*$BU174*$BT174,   IF(GenType_2a="bp (Float)",GenRate_2a%%*$BT174*$BV174,0))))</f>
        <v>0</v>
      </c>
      <c r="BZ175" s="561"/>
      <c r="CB175" s="341">
        <f t="shared" si="43"/>
        <v>0</v>
      </c>
      <c r="CC175" s="563"/>
      <c r="CD175" s="356"/>
      <c r="CE175" s="341">
        <v>0</v>
      </c>
      <c r="CF175" s="563"/>
      <c r="CG175" s="356"/>
    </row>
    <row r="176" spans="15:85">
      <c r="O176" s="122">
        <v>0</v>
      </c>
      <c r="P176" s="128">
        <f t="shared" si="30"/>
        <v>0</v>
      </c>
      <c r="Q176" s="126">
        <v>0</v>
      </c>
      <c r="R176" s="699">
        <f>IF($O177=0,0,        _xll.qDateNext($O176,R$17,"M",TRUE,Currency1))</f>
        <v>0</v>
      </c>
      <c r="S176" s="699">
        <f>IF($O177=0,0,        _xll.qDateNext($O176,S$17,"M",TRUE,Currency1))</f>
        <v>0</v>
      </c>
      <c r="T176" s="699">
        <f>IF($O177=0,0,        _xll.qDateNext($O176,T$17,"M",TRUE,Currency1))</f>
        <v>0</v>
      </c>
      <c r="U176" s="699">
        <f>IF($O177=0,0,        _xll.qDateNext($O176,U$17,"M",TRUE,Currency1))</f>
        <v>0</v>
      </c>
      <c r="V176" s="699">
        <f>IF($O177=0,0,        _xll.qDateNext($O176,V$17,"M",TRUE,Currency1))</f>
        <v>0</v>
      </c>
      <c r="W176" s="699">
        <f>IF($O177=0,0,        _xll.qDateNext($O176,W$17,"M",TRUE,Currency1))</f>
        <v>0</v>
      </c>
      <c r="X176" s="699">
        <f>IF($O177=0,0,        _xll.qDateNext($O176,X$17,"M",TRUE,Currency1))</f>
        <v>0</v>
      </c>
      <c r="Y176" s="699">
        <f>IF($O177=0,0,        _xll.qDateNext($O176,Y$17,"M",TRUE,Currency1))</f>
        <v>0</v>
      </c>
      <c r="Z176" s="703">
        <f>IF($O177=0,0,           IF(FRM,_xll.qGetFwdRate(Z$14,$O176,R176,"T",DCC_Leg1_Float),_xll.qGetFwdRate(Z$14,$O176,$O177,"T",DCC_Leg1_Float)))</f>
        <v>0</v>
      </c>
      <c r="AA176" s="703">
        <f>IF($O177=0,0,           IF(FRM,_xll.qGetFwdRate(AA$14,$O176,S176,"T",DCC_Leg1_Float),_xll.qGetFwdRate(AA$14,$O176,$O177,"T",DCC_Leg1_Float)))</f>
        <v>0</v>
      </c>
      <c r="AB176" s="703">
        <f t="shared" si="31"/>
        <v>0</v>
      </c>
      <c r="AC176" s="703">
        <f>IF($O177=0,0,           IF(FRM,_xll.qGetFwdRate(AC$14,$O176,U176,"T",DCC_Leg1_Float),_xll.qGetFwdRate(AC$14,$O176,$O177,"T",DCC_Leg1_Float)))</f>
        <v>0</v>
      </c>
      <c r="AD176" s="703">
        <f t="shared" si="36"/>
        <v>0</v>
      </c>
      <c r="AE176" s="703">
        <f t="shared" si="37"/>
        <v>0</v>
      </c>
      <c r="AF176" s="703">
        <f>IF($O177=0,0,           IF(FRM,_xll.qGetFwdRate(AF$14,$O176,X176,"T",DCC_Leg1_Float),_xll.qGetFwdRate(AF$14,$O176,$O177,"T",DCC_Leg1_Float)))</f>
        <v>0</v>
      </c>
      <c r="AG176" s="703">
        <f>IF($O177=0,0,           IF(FRM,_xll.qGetFwdRate(AG$14,$O176,Y176,"T",DCC_Leg1_Float),_xll.qGetFwdRate(AG$14,$O176,$O177,"T",DCC_Leg1_Float)))</f>
        <v>0</v>
      </c>
      <c r="AH176" s="685">
        <v>0</v>
      </c>
      <c r="AI176" s="667"/>
      <c r="AJ176" s="670">
        <f>IF(O177=0,0,             IF(ISNUMBER(AI176),AI176,             IF(ISTEXT(AI176),INDEX(Z176:AG176,MATCH(AI176,$Z$17:$AG$17,0)),           IF(AH176="INT",_xll.qInterp(O177,R176:Y176,Z176:AG176),       INDEX(Z176:AG176,MATCH(AH176,$Z$17:$AG$17,0))))))</f>
        <v>0</v>
      </c>
      <c r="AK176" s="732">
        <v>100</v>
      </c>
      <c r="AL176" s="721">
        <f t="shared" si="32"/>
        <v>0</v>
      </c>
      <c r="AM176" s="284">
        <f>IF($O177,_xll.qDateYears($O176,$O177,DCC_Leg1_Fixed),0)</f>
        <v>0</v>
      </c>
      <c r="AN176" s="284">
        <f>IF($O177,_xll.qDateYears($O176,$O177,DCC_Leg1_Float),0)</f>
        <v>0</v>
      </c>
      <c r="AP176" s="350">
        <f t="shared" si="38"/>
        <v>0</v>
      </c>
      <c r="AQ176" s="375">
        <f>IF(GenType_1a="Fixed",GenRate_1a%*$AL175*AM175,          IF(GenType_1a="Float",$AL175*(_xll.qGetFwdRate($D$18,$O175,$O176,"T",DCC_Leg1_Float)%+GenRate_1a%%)*$AN175,        IF(GenType_1a="bp (Fixed)",GenRate_1a%%*$AM175*$AL175,   IF(GenType_1a="bp (Float)",GenRate_1a%%*$AL175*$AN175,0))))</f>
        <v>0</v>
      </c>
      <c r="AR176" s="561"/>
      <c r="AT176" s="341">
        <f t="shared" si="42"/>
        <v>0</v>
      </c>
      <c r="AV176" s="356"/>
      <c r="AW176" s="122">
        <v>0</v>
      </c>
      <c r="AX176" s="128">
        <f t="shared" si="33"/>
        <v>0</v>
      </c>
      <c r="AY176" s="357">
        <v>0</v>
      </c>
      <c r="AZ176" s="699">
        <f>IF($AW177=0,0,        _xll.qDateNext($AW176,AZ$17,"M",TRUE,Currency2))</f>
        <v>0</v>
      </c>
      <c r="BA176" s="699">
        <f>IF($AW177=0,0,        _xll.qDateNext($AW176,BA$17,"M",TRUE,Currency2))</f>
        <v>0</v>
      </c>
      <c r="BB176" s="699">
        <f>IF($AW177=0,0,        _xll.qDateNext($AW176,BB$17,"M",TRUE,Currency2))</f>
        <v>0</v>
      </c>
      <c r="BC176" s="699">
        <f>IF($AW177=0,0,        _xll.qDateNext($AW176,BC$17,"M",TRUE,Currency2))</f>
        <v>0</v>
      </c>
      <c r="BD176" s="699">
        <f>IF($AW177=0,0,        _xll.qDateNext($AW176,BD$17,"M",TRUE,Currency2))</f>
        <v>0</v>
      </c>
      <c r="BE176" s="699">
        <f>IF($AW177=0,0,        _xll.qDateNext($AW176,BE$17,"M",TRUE,Currency2))</f>
        <v>0</v>
      </c>
      <c r="BF176" s="699">
        <f>IF($AW177=0,0,        _xll.qDateNext($AW176,BF$17,"M",TRUE,Currency2))</f>
        <v>0</v>
      </c>
      <c r="BG176" s="699">
        <f>IF($AW177=0,0,        _xll.qDateNext($AW176,BG$17,"M",TRUE,Currency2))</f>
        <v>0</v>
      </c>
      <c r="BH176" s="703">
        <v>0</v>
      </c>
      <c r="BI176" s="703">
        <v>0</v>
      </c>
      <c r="BJ176" s="703">
        <v>0</v>
      </c>
      <c r="BK176" s="703">
        <v>0</v>
      </c>
      <c r="BL176" s="703">
        <f t="shared" si="39"/>
        <v>0</v>
      </c>
      <c r="BM176" s="703">
        <f t="shared" si="40"/>
        <v>0</v>
      </c>
      <c r="BN176" s="703">
        <v>0</v>
      </c>
      <c r="BO176" s="703">
        <v>0</v>
      </c>
      <c r="BP176" s="685">
        <v>0</v>
      </c>
      <c r="BQ176" s="667"/>
      <c r="BR176" s="670">
        <f>IF(AW177=0,0,             IF(ISNUMBER(BQ176),BQ176,             IF(ISTEXT(BQ176),INDEX(BH176:BO176,MATCH(BQ176,$BH$17:$BO$17,0)),           IF(BP176="INT",_xll.qInterp(AW177,AZ176:BG176,BH176:BO176),       INDEX(BH176:BO176,MATCH(BP176,$BH$17:$BO$17,0))))))</f>
        <v>0</v>
      </c>
      <c r="BS176" s="731">
        <f t="shared" si="34"/>
        <v>0</v>
      </c>
      <c r="BT176" s="406">
        <f t="shared" si="35"/>
        <v>0</v>
      </c>
      <c r="BU176" s="284">
        <f>IF($AW177,_xll.qDateYears($AW176,$AW177,DCC_Leg2_Fixed),0)</f>
        <v>0</v>
      </c>
      <c r="BV176" s="284">
        <f>IF($AW177,_xll.qDateYears($AW176,$AW177,DCC_Leg2_Float),0)</f>
        <v>0</v>
      </c>
      <c r="BX176" s="350">
        <f t="shared" si="41"/>
        <v>0</v>
      </c>
      <c r="BY176" s="375">
        <f>IF(GenType_2a="Fixed",GenRate_2a%*$BT175*BU175,          IF(GenType_2a="Float",$BT175*(_xll.qGetFwdRate($J$18,$AW175,$AW176,"T",DCC_Leg2_Float)%+GenRate_2a%%)*$BV175,        IF(GenType_2a="bp (Fixed)",GenRate_2a%%*$BU175*$BT175,   IF(GenType_2a="bp (Float)",GenRate_2a%%*$BT175*$BV175,0))))</f>
        <v>0</v>
      </c>
      <c r="BZ176" s="561"/>
      <c r="CB176" s="341">
        <f t="shared" si="43"/>
        <v>0</v>
      </c>
      <c r="CC176" s="563"/>
      <c r="CD176" s="356"/>
      <c r="CE176" s="341">
        <v>0</v>
      </c>
      <c r="CF176" s="563"/>
      <c r="CG176" s="356"/>
    </row>
    <row r="177" spans="15:85">
      <c r="O177" s="122">
        <v>0</v>
      </c>
      <c r="P177" s="128">
        <f t="shared" si="30"/>
        <v>0</v>
      </c>
      <c r="Q177" s="126">
        <v>0</v>
      </c>
      <c r="R177" s="699">
        <f>IF($O178=0,0,        _xll.qDateNext($O177,R$17,"M",TRUE,Currency1))</f>
        <v>0</v>
      </c>
      <c r="S177" s="699">
        <f>IF($O178=0,0,        _xll.qDateNext($O177,S$17,"M",TRUE,Currency1))</f>
        <v>0</v>
      </c>
      <c r="T177" s="699">
        <f>IF($O178=0,0,        _xll.qDateNext($O177,T$17,"M",TRUE,Currency1))</f>
        <v>0</v>
      </c>
      <c r="U177" s="699">
        <f>IF($O178=0,0,        _xll.qDateNext($O177,U$17,"M",TRUE,Currency1))</f>
        <v>0</v>
      </c>
      <c r="V177" s="699">
        <f>IF($O178=0,0,        _xll.qDateNext($O177,V$17,"M",TRUE,Currency1))</f>
        <v>0</v>
      </c>
      <c r="W177" s="699">
        <f>IF($O178=0,0,        _xll.qDateNext($O177,W$17,"M",TRUE,Currency1))</f>
        <v>0</v>
      </c>
      <c r="X177" s="699">
        <f>IF($O178=0,0,        _xll.qDateNext($O177,X$17,"M",TRUE,Currency1))</f>
        <v>0</v>
      </c>
      <c r="Y177" s="699">
        <f>IF($O178=0,0,        _xll.qDateNext($O177,Y$17,"M",TRUE,Currency1))</f>
        <v>0</v>
      </c>
      <c r="Z177" s="703">
        <f>IF($O178=0,0,           IF(FRM,_xll.qGetFwdRate(Z$14,$O177,R177,"T",DCC_Leg1_Float),_xll.qGetFwdRate(Z$14,$O177,$O178,"T",DCC_Leg1_Float)))</f>
        <v>0</v>
      </c>
      <c r="AA177" s="703">
        <f>IF($O178=0,0,           IF(FRM,_xll.qGetFwdRate(AA$14,$O177,S177,"T",DCC_Leg1_Float),_xll.qGetFwdRate(AA$14,$O177,$O178,"T",DCC_Leg1_Float)))</f>
        <v>0</v>
      </c>
      <c r="AB177" s="703">
        <f t="shared" si="31"/>
        <v>0</v>
      </c>
      <c r="AC177" s="703">
        <f>IF($O178=0,0,           IF(FRM,_xll.qGetFwdRate(AC$14,$O177,U177,"T",DCC_Leg1_Float),_xll.qGetFwdRate(AC$14,$O177,$O178,"T",DCC_Leg1_Float)))</f>
        <v>0</v>
      </c>
      <c r="AD177" s="703">
        <f t="shared" si="36"/>
        <v>0</v>
      </c>
      <c r="AE177" s="703">
        <f t="shared" si="37"/>
        <v>0</v>
      </c>
      <c r="AF177" s="703">
        <f>IF($O178=0,0,           IF(FRM,_xll.qGetFwdRate(AF$14,$O177,X177,"T",DCC_Leg1_Float),_xll.qGetFwdRate(AF$14,$O177,$O178,"T",DCC_Leg1_Float)))</f>
        <v>0</v>
      </c>
      <c r="AG177" s="703">
        <f>IF($O178=0,0,           IF(FRM,_xll.qGetFwdRate(AG$14,$O177,Y177,"T",DCC_Leg1_Float),_xll.qGetFwdRate(AG$14,$O177,$O178,"T",DCC_Leg1_Float)))</f>
        <v>0</v>
      </c>
      <c r="AH177" s="685">
        <v>0</v>
      </c>
      <c r="AI177" s="667"/>
      <c r="AJ177" s="670">
        <f>IF(O178=0,0,             IF(ISNUMBER(AI177),AI177,             IF(ISTEXT(AI177),INDEX(Z177:AG177,MATCH(AI177,$Z$17:$AG$17,0)),           IF(AH177="INT",_xll.qInterp(O178,R177:Y177,Z177:AG177),       INDEX(Z177:AG177,MATCH(AH177,$Z$17:$AG$17,0))))))</f>
        <v>0</v>
      </c>
      <c r="AK177" s="732">
        <v>100</v>
      </c>
      <c r="AL177" s="721">
        <f t="shared" si="32"/>
        <v>0</v>
      </c>
      <c r="AM177" s="284">
        <f>IF($O178,_xll.qDateYears($O177,$O178,DCC_Leg1_Fixed),0)</f>
        <v>0</v>
      </c>
      <c r="AN177" s="284">
        <f>IF($O178,_xll.qDateYears($O177,$O178,DCC_Leg1_Float),0)</f>
        <v>0</v>
      </c>
      <c r="AP177" s="350">
        <f t="shared" si="38"/>
        <v>0</v>
      </c>
      <c r="AQ177" s="375">
        <f>IF(GenType_1a="Fixed",GenRate_1a%*$AL176*AM176,          IF(GenType_1a="Float",$AL176*(_xll.qGetFwdRate($D$18,$O176,$O177,"T",DCC_Leg1_Float)%+GenRate_1a%%)*$AN176,        IF(GenType_1a="bp (Fixed)",GenRate_1a%%*$AM176*$AL176,   IF(GenType_1a="bp (Float)",GenRate_1a%%*$AL176*$AN176,0))))</f>
        <v>0</v>
      </c>
      <c r="AR177" s="561"/>
      <c r="AT177" s="341">
        <f t="shared" si="42"/>
        <v>0</v>
      </c>
      <c r="AV177" s="356"/>
      <c r="AW177" s="122">
        <v>0</v>
      </c>
      <c r="AX177" s="128">
        <f t="shared" si="33"/>
        <v>0</v>
      </c>
      <c r="AY177" s="357">
        <v>0</v>
      </c>
      <c r="AZ177" s="699">
        <f>IF($AW178=0,0,        _xll.qDateNext($AW177,AZ$17,"M",TRUE,Currency2))</f>
        <v>0</v>
      </c>
      <c r="BA177" s="699">
        <f>IF($AW178=0,0,        _xll.qDateNext($AW177,BA$17,"M",TRUE,Currency2))</f>
        <v>0</v>
      </c>
      <c r="BB177" s="699">
        <f>IF($AW178=0,0,        _xll.qDateNext($AW177,BB$17,"M",TRUE,Currency2))</f>
        <v>0</v>
      </c>
      <c r="BC177" s="699">
        <f>IF($AW178=0,0,        _xll.qDateNext($AW177,BC$17,"M",TRUE,Currency2))</f>
        <v>0</v>
      </c>
      <c r="BD177" s="699">
        <f>IF($AW178=0,0,        _xll.qDateNext($AW177,BD$17,"M",TRUE,Currency2))</f>
        <v>0</v>
      </c>
      <c r="BE177" s="699">
        <f>IF($AW178=0,0,        _xll.qDateNext($AW177,BE$17,"M",TRUE,Currency2))</f>
        <v>0</v>
      </c>
      <c r="BF177" s="699">
        <f>IF($AW178=0,0,        _xll.qDateNext($AW177,BF$17,"M",TRUE,Currency2))</f>
        <v>0</v>
      </c>
      <c r="BG177" s="699">
        <f>IF($AW178=0,0,        _xll.qDateNext($AW177,BG$17,"M",TRUE,Currency2))</f>
        <v>0</v>
      </c>
      <c r="BH177" s="703">
        <v>0</v>
      </c>
      <c r="BI177" s="703">
        <v>0</v>
      </c>
      <c r="BJ177" s="703">
        <v>0</v>
      </c>
      <c r="BK177" s="703">
        <v>0</v>
      </c>
      <c r="BL177" s="703">
        <f t="shared" si="39"/>
        <v>0</v>
      </c>
      <c r="BM177" s="703">
        <f t="shared" si="40"/>
        <v>0</v>
      </c>
      <c r="BN177" s="703">
        <v>0</v>
      </c>
      <c r="BO177" s="703">
        <v>0</v>
      </c>
      <c r="BP177" s="685">
        <v>0</v>
      </c>
      <c r="BQ177" s="667"/>
      <c r="BR177" s="670">
        <f>IF(AW178=0,0,             IF(ISNUMBER(BQ177),BQ177,             IF(ISTEXT(BQ177),INDEX(BH177:BO177,MATCH(BQ177,$BH$17:$BO$17,0)),           IF(BP177="INT",_xll.qInterp(AW178,AZ177:BG177,BH177:BO177),       INDEX(BH177:BO177,MATCH(BP177,$BH$17:$BO$17,0))))))</f>
        <v>0</v>
      </c>
      <c r="BS177" s="731">
        <f t="shared" si="34"/>
        <v>0</v>
      </c>
      <c r="BT177" s="406">
        <f t="shared" si="35"/>
        <v>0</v>
      </c>
      <c r="BU177" s="284">
        <f>IF($AW178,_xll.qDateYears($AW177,$AW178,DCC_Leg2_Fixed),0)</f>
        <v>0</v>
      </c>
      <c r="BV177" s="284">
        <f>IF($AW178,_xll.qDateYears($AW177,$AW178,DCC_Leg2_Float),0)</f>
        <v>0</v>
      </c>
      <c r="BX177" s="350">
        <f t="shared" si="41"/>
        <v>0</v>
      </c>
      <c r="BY177" s="375">
        <f>IF(GenType_2a="Fixed",GenRate_2a%*$BT176*BU176,          IF(GenType_2a="Float",$BT176*(_xll.qGetFwdRate($J$18,$AW176,$AW177,"T",DCC_Leg2_Float)%+GenRate_2a%%)*$BV176,        IF(GenType_2a="bp (Fixed)",GenRate_2a%%*$BU176*$BT176,   IF(GenType_2a="bp (Float)",GenRate_2a%%*$BT176*$BV176,0))))</f>
        <v>0</v>
      </c>
      <c r="BZ177" s="561"/>
      <c r="CB177" s="341">
        <f t="shared" si="43"/>
        <v>0</v>
      </c>
      <c r="CC177" s="563"/>
      <c r="CD177" s="356"/>
      <c r="CE177" s="341">
        <v>0</v>
      </c>
      <c r="CF177" s="563"/>
      <c r="CG177" s="356"/>
    </row>
    <row r="178" spans="15:85">
      <c r="O178" s="122">
        <v>0</v>
      </c>
      <c r="P178" s="128">
        <f t="shared" si="30"/>
        <v>0</v>
      </c>
      <c r="Q178" s="126">
        <v>0</v>
      </c>
      <c r="R178" s="699">
        <f>IF($O179=0,0,        _xll.qDateNext($O178,R$17,"M",TRUE,Currency1))</f>
        <v>0</v>
      </c>
      <c r="S178" s="699">
        <f>IF($O179=0,0,        _xll.qDateNext($O178,S$17,"M",TRUE,Currency1))</f>
        <v>0</v>
      </c>
      <c r="T178" s="699">
        <f>IF($O179=0,0,        _xll.qDateNext($O178,T$17,"M",TRUE,Currency1))</f>
        <v>0</v>
      </c>
      <c r="U178" s="699">
        <f>IF($O179=0,0,        _xll.qDateNext($O178,U$17,"M",TRUE,Currency1))</f>
        <v>0</v>
      </c>
      <c r="V178" s="699">
        <f>IF($O179=0,0,        _xll.qDateNext($O178,V$17,"M",TRUE,Currency1))</f>
        <v>0</v>
      </c>
      <c r="W178" s="699">
        <f>IF($O179=0,0,        _xll.qDateNext($O178,W$17,"M",TRUE,Currency1))</f>
        <v>0</v>
      </c>
      <c r="X178" s="699">
        <f>IF($O179=0,0,        _xll.qDateNext($O178,X$17,"M",TRUE,Currency1))</f>
        <v>0</v>
      </c>
      <c r="Y178" s="699">
        <f>IF($O179=0,0,        _xll.qDateNext($O178,Y$17,"M",TRUE,Currency1))</f>
        <v>0</v>
      </c>
      <c r="Z178" s="703">
        <f>IF($O179=0,0,           IF(FRM,_xll.qGetFwdRate(Z$14,$O178,R178,"T",DCC_Leg1_Float),_xll.qGetFwdRate(Z$14,$O178,$O179,"T",DCC_Leg1_Float)))</f>
        <v>0</v>
      </c>
      <c r="AA178" s="703">
        <f>IF($O179=0,0,           IF(FRM,_xll.qGetFwdRate(AA$14,$O178,S178,"T",DCC_Leg1_Float),_xll.qGetFwdRate(AA$14,$O178,$O179,"T",DCC_Leg1_Float)))</f>
        <v>0</v>
      </c>
      <c r="AB178" s="703">
        <f t="shared" si="31"/>
        <v>0</v>
      </c>
      <c r="AC178" s="703">
        <f>IF($O179=0,0,           IF(FRM,_xll.qGetFwdRate(AC$14,$O178,U178,"T",DCC_Leg1_Float),_xll.qGetFwdRate(AC$14,$O178,$O179,"T",DCC_Leg1_Float)))</f>
        <v>0</v>
      </c>
      <c r="AD178" s="703">
        <f t="shared" si="36"/>
        <v>0</v>
      </c>
      <c r="AE178" s="703">
        <f t="shared" si="37"/>
        <v>0</v>
      </c>
      <c r="AF178" s="703">
        <f>IF($O179=0,0,           IF(FRM,_xll.qGetFwdRate(AF$14,$O178,X178,"T",DCC_Leg1_Float),_xll.qGetFwdRate(AF$14,$O178,$O179,"T",DCC_Leg1_Float)))</f>
        <v>0</v>
      </c>
      <c r="AG178" s="703">
        <f>IF($O179=0,0,           IF(FRM,_xll.qGetFwdRate(AG$14,$O178,Y178,"T",DCC_Leg1_Float),_xll.qGetFwdRate(AG$14,$O178,$O179,"T",DCC_Leg1_Float)))</f>
        <v>0</v>
      </c>
      <c r="AH178" s="685">
        <v>0</v>
      </c>
      <c r="AI178" s="667"/>
      <c r="AJ178" s="670">
        <f>IF(O179=0,0,             IF(ISNUMBER(AI178),AI178,             IF(ISTEXT(AI178),INDEX(Z178:AG178,MATCH(AI178,$Z$17:$AG$17,0)),           IF(AH178="INT",_xll.qInterp(O179,R178:Y178,Z178:AG178),       INDEX(Z178:AG178,MATCH(AH178,$Z$17:$AG$17,0))))))</f>
        <v>0</v>
      </c>
      <c r="AK178" s="732">
        <v>100</v>
      </c>
      <c r="AL178" s="721">
        <f t="shared" si="32"/>
        <v>0</v>
      </c>
      <c r="AM178" s="284">
        <f>IF($O179,_xll.qDateYears($O178,$O179,DCC_Leg1_Fixed),0)</f>
        <v>0</v>
      </c>
      <c r="AN178" s="284">
        <f>IF($O179,_xll.qDateYears($O178,$O179,DCC_Leg1_Float),0)</f>
        <v>0</v>
      </c>
      <c r="AP178" s="350">
        <f t="shared" si="38"/>
        <v>0</v>
      </c>
      <c r="AQ178" s="375">
        <f>IF(GenType_1a="Fixed",GenRate_1a%*$AL177*AM177,          IF(GenType_1a="Float",$AL177*(_xll.qGetFwdRate($D$18,$O177,$O178,"T",DCC_Leg1_Float)%+GenRate_1a%%)*$AN177,        IF(GenType_1a="bp (Fixed)",GenRate_1a%%*$AM177*$AL177,   IF(GenType_1a="bp (Float)",GenRate_1a%%*$AL177*$AN177,0))))</f>
        <v>0</v>
      </c>
      <c r="AR178" s="561"/>
      <c r="AT178" s="341">
        <f t="shared" si="42"/>
        <v>0</v>
      </c>
      <c r="AV178" s="356"/>
      <c r="AW178" s="122">
        <v>0</v>
      </c>
      <c r="AX178" s="128">
        <f t="shared" si="33"/>
        <v>0</v>
      </c>
      <c r="AY178" s="357">
        <v>0</v>
      </c>
      <c r="AZ178" s="699">
        <f>IF($AW179=0,0,        _xll.qDateNext($AW178,AZ$17,"M",TRUE,Currency2))</f>
        <v>0</v>
      </c>
      <c r="BA178" s="699">
        <f>IF($AW179=0,0,        _xll.qDateNext($AW178,BA$17,"M",TRUE,Currency2))</f>
        <v>0</v>
      </c>
      <c r="BB178" s="699">
        <f>IF($AW179=0,0,        _xll.qDateNext($AW178,BB$17,"M",TRUE,Currency2))</f>
        <v>0</v>
      </c>
      <c r="BC178" s="699">
        <f>IF($AW179=0,0,        _xll.qDateNext($AW178,BC$17,"M",TRUE,Currency2))</f>
        <v>0</v>
      </c>
      <c r="BD178" s="699">
        <f>IF($AW179=0,0,        _xll.qDateNext($AW178,BD$17,"M",TRUE,Currency2))</f>
        <v>0</v>
      </c>
      <c r="BE178" s="699">
        <f>IF($AW179=0,0,        _xll.qDateNext($AW178,BE$17,"M",TRUE,Currency2))</f>
        <v>0</v>
      </c>
      <c r="BF178" s="699">
        <f>IF($AW179=0,0,        _xll.qDateNext($AW178,BF$17,"M",TRUE,Currency2))</f>
        <v>0</v>
      </c>
      <c r="BG178" s="699">
        <f>IF($AW179=0,0,        _xll.qDateNext($AW178,BG$17,"M",TRUE,Currency2))</f>
        <v>0</v>
      </c>
      <c r="BH178" s="703">
        <v>0</v>
      </c>
      <c r="BI178" s="703">
        <v>0</v>
      </c>
      <c r="BJ178" s="703">
        <v>0</v>
      </c>
      <c r="BK178" s="703">
        <v>0</v>
      </c>
      <c r="BL178" s="703">
        <f t="shared" si="39"/>
        <v>0</v>
      </c>
      <c r="BM178" s="703">
        <f t="shared" si="40"/>
        <v>0</v>
      </c>
      <c r="BN178" s="703">
        <v>0</v>
      </c>
      <c r="BO178" s="703">
        <v>0</v>
      </c>
      <c r="BP178" s="685">
        <v>0</v>
      </c>
      <c r="BQ178" s="667"/>
      <c r="BR178" s="670">
        <f>IF(AW179=0,0,             IF(ISNUMBER(BQ178),BQ178,             IF(ISTEXT(BQ178),INDEX(BH178:BO178,MATCH(BQ178,$BH$17:$BO$17,0)),           IF(BP178="INT",_xll.qInterp(AW179,AZ178:BG178,BH178:BO178),       INDEX(BH178:BO178,MATCH(BP178,$BH$17:$BO$17,0))))))</f>
        <v>0</v>
      </c>
      <c r="BS178" s="731">
        <f t="shared" si="34"/>
        <v>0</v>
      </c>
      <c r="BT178" s="406">
        <f t="shared" si="35"/>
        <v>0</v>
      </c>
      <c r="BU178" s="284">
        <f>IF($AW179,_xll.qDateYears($AW178,$AW179,DCC_Leg2_Fixed),0)</f>
        <v>0</v>
      </c>
      <c r="BV178" s="284">
        <f>IF($AW179,_xll.qDateYears($AW178,$AW179,DCC_Leg2_Float),0)</f>
        <v>0</v>
      </c>
      <c r="BX178" s="350">
        <f t="shared" si="41"/>
        <v>0</v>
      </c>
      <c r="BY178" s="375">
        <f>IF(GenType_2a="Fixed",GenRate_2a%*$BT177*BU177,          IF(GenType_2a="Float",$BT177*(_xll.qGetFwdRate($J$18,$AW177,$AW178,"T",DCC_Leg2_Float)%+GenRate_2a%%)*$BV177,        IF(GenType_2a="bp (Fixed)",GenRate_2a%%*$BU177*$BT177,   IF(GenType_2a="bp (Float)",GenRate_2a%%*$BT177*$BV177,0))))</f>
        <v>0</v>
      </c>
      <c r="BZ178" s="561"/>
      <c r="CB178" s="341">
        <f t="shared" si="43"/>
        <v>0</v>
      </c>
      <c r="CC178" s="563"/>
      <c r="CD178" s="356"/>
      <c r="CE178" s="341">
        <v>0</v>
      </c>
      <c r="CF178" s="563"/>
      <c r="CG178" s="356"/>
    </row>
    <row r="179" spans="15:85">
      <c r="O179" s="122">
        <v>0</v>
      </c>
      <c r="P179" s="128">
        <f t="shared" si="30"/>
        <v>0</v>
      </c>
      <c r="Q179" s="126">
        <v>0</v>
      </c>
      <c r="R179" s="699">
        <f>IF($O180=0,0,        _xll.qDateNext($O179,R$17,"M",TRUE,Currency1))</f>
        <v>0</v>
      </c>
      <c r="S179" s="699">
        <f>IF($O180=0,0,        _xll.qDateNext($O179,S$17,"M",TRUE,Currency1))</f>
        <v>0</v>
      </c>
      <c r="T179" s="699">
        <f>IF($O180=0,0,        _xll.qDateNext($O179,T$17,"M",TRUE,Currency1))</f>
        <v>0</v>
      </c>
      <c r="U179" s="699">
        <f>IF($O180=0,0,        _xll.qDateNext($O179,U$17,"M",TRUE,Currency1))</f>
        <v>0</v>
      </c>
      <c r="V179" s="699">
        <f>IF($O180=0,0,        _xll.qDateNext($O179,V$17,"M",TRUE,Currency1))</f>
        <v>0</v>
      </c>
      <c r="W179" s="699">
        <f>IF($O180=0,0,        _xll.qDateNext($O179,W$17,"M",TRUE,Currency1))</f>
        <v>0</v>
      </c>
      <c r="X179" s="699">
        <f>IF($O180=0,0,        _xll.qDateNext($O179,X$17,"M",TRUE,Currency1))</f>
        <v>0</v>
      </c>
      <c r="Y179" s="699">
        <f>IF($O180=0,0,        _xll.qDateNext($O179,Y$17,"M",TRUE,Currency1))</f>
        <v>0</v>
      </c>
      <c r="Z179" s="703">
        <f>IF($O180=0,0,           IF(FRM,_xll.qGetFwdRate(Z$14,$O179,R179,"T",DCC_Leg1_Float),_xll.qGetFwdRate(Z$14,$O179,$O180,"T",DCC_Leg1_Float)))</f>
        <v>0</v>
      </c>
      <c r="AA179" s="703">
        <f>IF($O180=0,0,           IF(FRM,_xll.qGetFwdRate(AA$14,$O179,S179,"T",DCC_Leg1_Float),_xll.qGetFwdRate(AA$14,$O179,$O180,"T",DCC_Leg1_Float)))</f>
        <v>0</v>
      </c>
      <c r="AB179" s="703">
        <f t="shared" si="31"/>
        <v>0</v>
      </c>
      <c r="AC179" s="703">
        <f>IF($O180=0,0,           IF(FRM,_xll.qGetFwdRate(AC$14,$O179,U179,"T",DCC_Leg1_Float),_xll.qGetFwdRate(AC$14,$O179,$O180,"T",DCC_Leg1_Float)))</f>
        <v>0</v>
      </c>
      <c r="AD179" s="703">
        <f t="shared" si="36"/>
        <v>0</v>
      </c>
      <c r="AE179" s="703">
        <f t="shared" si="37"/>
        <v>0</v>
      </c>
      <c r="AF179" s="703">
        <f>IF($O180=0,0,           IF(FRM,_xll.qGetFwdRate(AF$14,$O179,X179,"T",DCC_Leg1_Float),_xll.qGetFwdRate(AF$14,$O179,$O180,"T",DCC_Leg1_Float)))</f>
        <v>0</v>
      </c>
      <c r="AG179" s="703">
        <f>IF($O180=0,0,           IF(FRM,_xll.qGetFwdRate(AG$14,$O179,Y179,"T",DCC_Leg1_Float),_xll.qGetFwdRate(AG$14,$O179,$O180,"T",DCC_Leg1_Float)))</f>
        <v>0</v>
      </c>
      <c r="AH179" s="685">
        <v>0</v>
      </c>
      <c r="AI179" s="667"/>
      <c r="AJ179" s="670">
        <f>IF(O180=0,0,             IF(ISNUMBER(AI179),AI179,             IF(ISTEXT(AI179),INDEX(Z179:AG179,MATCH(AI179,$Z$17:$AG$17,0)),           IF(AH179="INT",_xll.qInterp(O180,R179:Y179,Z179:AG179),       INDEX(Z179:AG179,MATCH(AH179,$Z$17:$AG$17,0))))))</f>
        <v>0</v>
      </c>
      <c r="AK179" s="732">
        <v>100</v>
      </c>
      <c r="AL179" s="721">
        <f t="shared" si="32"/>
        <v>0</v>
      </c>
      <c r="AM179" s="284">
        <f>IF($O180,_xll.qDateYears($O179,$O180,DCC_Leg1_Fixed),0)</f>
        <v>0</v>
      </c>
      <c r="AN179" s="284">
        <f>IF($O180,_xll.qDateYears($O179,$O180,DCC_Leg1_Float),0)</f>
        <v>0</v>
      </c>
      <c r="AP179" s="350">
        <f t="shared" si="38"/>
        <v>0</v>
      </c>
      <c r="AQ179" s="375">
        <f>IF(GenType_1a="Fixed",GenRate_1a%*$AL178*AM178,          IF(GenType_1a="Float",$AL178*(_xll.qGetFwdRate($D$18,$O178,$O179,"T",DCC_Leg1_Float)%+GenRate_1a%%)*$AN178,        IF(GenType_1a="bp (Fixed)",GenRate_1a%%*$AM178*$AL178,   IF(GenType_1a="bp (Float)",GenRate_1a%%*$AL178*$AN178,0))))</f>
        <v>0</v>
      </c>
      <c r="AR179" s="561"/>
      <c r="AT179" s="341">
        <f t="shared" si="42"/>
        <v>0</v>
      </c>
      <c r="AV179" s="356"/>
      <c r="AW179" s="122">
        <v>0</v>
      </c>
      <c r="AX179" s="128">
        <f t="shared" si="33"/>
        <v>0</v>
      </c>
      <c r="AY179" s="357">
        <v>0</v>
      </c>
      <c r="AZ179" s="699">
        <f>IF($AW180=0,0,        _xll.qDateNext($AW179,AZ$17,"M",TRUE,Currency2))</f>
        <v>0</v>
      </c>
      <c r="BA179" s="699">
        <f>IF($AW180=0,0,        _xll.qDateNext($AW179,BA$17,"M",TRUE,Currency2))</f>
        <v>0</v>
      </c>
      <c r="BB179" s="699">
        <f>IF($AW180=0,0,        _xll.qDateNext($AW179,BB$17,"M",TRUE,Currency2))</f>
        <v>0</v>
      </c>
      <c r="BC179" s="699">
        <f>IF($AW180=0,0,        _xll.qDateNext($AW179,BC$17,"M",TRUE,Currency2))</f>
        <v>0</v>
      </c>
      <c r="BD179" s="699">
        <f>IF($AW180=0,0,        _xll.qDateNext($AW179,BD$17,"M",TRUE,Currency2))</f>
        <v>0</v>
      </c>
      <c r="BE179" s="699">
        <f>IF($AW180=0,0,        _xll.qDateNext($AW179,BE$17,"M",TRUE,Currency2))</f>
        <v>0</v>
      </c>
      <c r="BF179" s="699">
        <f>IF($AW180=0,0,        _xll.qDateNext($AW179,BF$17,"M",TRUE,Currency2))</f>
        <v>0</v>
      </c>
      <c r="BG179" s="699">
        <f>IF($AW180=0,0,        _xll.qDateNext($AW179,BG$17,"M",TRUE,Currency2))</f>
        <v>0</v>
      </c>
      <c r="BH179" s="703">
        <v>0</v>
      </c>
      <c r="BI179" s="703">
        <v>0</v>
      </c>
      <c r="BJ179" s="703">
        <v>0</v>
      </c>
      <c r="BK179" s="703">
        <v>0</v>
      </c>
      <c r="BL179" s="703">
        <f t="shared" si="39"/>
        <v>0</v>
      </c>
      <c r="BM179" s="703">
        <f t="shared" si="40"/>
        <v>0</v>
      </c>
      <c r="BN179" s="703">
        <v>0</v>
      </c>
      <c r="BO179" s="703">
        <v>0</v>
      </c>
      <c r="BP179" s="685">
        <v>0</v>
      </c>
      <c r="BQ179" s="667"/>
      <c r="BR179" s="670">
        <f>IF(AW180=0,0,             IF(ISNUMBER(BQ179),BQ179,             IF(ISTEXT(BQ179),INDEX(BH179:BO179,MATCH(BQ179,$BH$17:$BO$17,0)),           IF(BP179="INT",_xll.qInterp(AW180,AZ179:BG179,BH179:BO179),       INDEX(BH179:BO179,MATCH(BP179,$BH$17:$BO$17,0))))))</f>
        <v>0</v>
      </c>
      <c r="BS179" s="731">
        <f t="shared" si="34"/>
        <v>0</v>
      </c>
      <c r="BT179" s="406">
        <f t="shared" si="35"/>
        <v>0</v>
      </c>
      <c r="BU179" s="284">
        <f>IF($AW180,_xll.qDateYears($AW179,$AW180,DCC_Leg2_Fixed),0)</f>
        <v>0</v>
      </c>
      <c r="BV179" s="284">
        <f>IF($AW180,_xll.qDateYears($AW179,$AW180,DCC_Leg2_Float),0)</f>
        <v>0</v>
      </c>
      <c r="BX179" s="350">
        <f t="shared" si="41"/>
        <v>0</v>
      </c>
      <c r="BY179" s="375">
        <f>IF(GenType_2a="Fixed",GenRate_2a%*$BT178*BU178,          IF(GenType_2a="Float",$BT178*(_xll.qGetFwdRate($J$18,$AW178,$AW179,"T",DCC_Leg2_Float)%+GenRate_2a%%)*$BV178,        IF(GenType_2a="bp (Fixed)",GenRate_2a%%*$BU178*$BT178,   IF(GenType_2a="bp (Float)",GenRate_2a%%*$BT178*$BV178,0))))</f>
        <v>0</v>
      </c>
      <c r="BZ179" s="561"/>
      <c r="CB179" s="341">
        <f t="shared" si="43"/>
        <v>0</v>
      </c>
      <c r="CC179" s="563"/>
      <c r="CD179" s="356"/>
      <c r="CE179" s="341">
        <v>0</v>
      </c>
      <c r="CF179" s="563"/>
      <c r="CG179" s="356"/>
    </row>
    <row r="180" spans="15:85">
      <c r="O180" s="122">
        <v>0</v>
      </c>
      <c r="P180" s="128">
        <f t="shared" si="30"/>
        <v>0</v>
      </c>
      <c r="Q180" s="126">
        <v>0</v>
      </c>
      <c r="R180" s="699">
        <f>IF($O181=0,0,        _xll.qDateNext($O180,R$17,"M",TRUE,Currency1))</f>
        <v>0</v>
      </c>
      <c r="S180" s="699">
        <f>IF($O181=0,0,        _xll.qDateNext($O180,S$17,"M",TRUE,Currency1))</f>
        <v>0</v>
      </c>
      <c r="T180" s="699">
        <f>IF($O181=0,0,        _xll.qDateNext($O180,T$17,"M",TRUE,Currency1))</f>
        <v>0</v>
      </c>
      <c r="U180" s="699">
        <f>IF($O181=0,0,        _xll.qDateNext($O180,U$17,"M",TRUE,Currency1))</f>
        <v>0</v>
      </c>
      <c r="V180" s="699">
        <f>IF($O181=0,0,        _xll.qDateNext($O180,V$17,"M",TRUE,Currency1))</f>
        <v>0</v>
      </c>
      <c r="W180" s="699">
        <f>IF($O181=0,0,        _xll.qDateNext($O180,W$17,"M",TRUE,Currency1))</f>
        <v>0</v>
      </c>
      <c r="X180" s="699">
        <f>IF($O181=0,0,        _xll.qDateNext($O180,X$17,"M",TRUE,Currency1))</f>
        <v>0</v>
      </c>
      <c r="Y180" s="699">
        <f>IF($O181=0,0,        _xll.qDateNext($O180,Y$17,"M",TRUE,Currency1))</f>
        <v>0</v>
      </c>
      <c r="Z180" s="703">
        <f>IF($O181=0,0,           IF(FRM,_xll.qGetFwdRate(Z$14,$O180,R180,"T",DCC_Leg1_Float),_xll.qGetFwdRate(Z$14,$O180,$O181,"T",DCC_Leg1_Float)))</f>
        <v>0</v>
      </c>
      <c r="AA180" s="703">
        <f>IF($O181=0,0,           IF(FRM,_xll.qGetFwdRate(AA$14,$O180,S180,"T",DCC_Leg1_Float),_xll.qGetFwdRate(AA$14,$O180,$O181,"T",DCC_Leg1_Float)))</f>
        <v>0</v>
      </c>
      <c r="AB180" s="703">
        <f t="shared" si="31"/>
        <v>0</v>
      </c>
      <c r="AC180" s="703">
        <f>IF($O181=0,0,           IF(FRM,_xll.qGetFwdRate(AC$14,$O180,U180,"T",DCC_Leg1_Float),_xll.qGetFwdRate(AC$14,$O180,$O181,"T",DCC_Leg1_Float)))</f>
        <v>0</v>
      </c>
      <c r="AD180" s="703">
        <f t="shared" si="36"/>
        <v>0</v>
      </c>
      <c r="AE180" s="703">
        <f t="shared" si="37"/>
        <v>0</v>
      </c>
      <c r="AF180" s="703">
        <f>IF($O181=0,0,           IF(FRM,_xll.qGetFwdRate(AF$14,$O180,X180,"T",DCC_Leg1_Float),_xll.qGetFwdRate(AF$14,$O180,$O181,"T",DCC_Leg1_Float)))</f>
        <v>0</v>
      </c>
      <c r="AG180" s="703">
        <f>IF($O181=0,0,           IF(FRM,_xll.qGetFwdRate(AG$14,$O180,Y180,"T",DCC_Leg1_Float),_xll.qGetFwdRate(AG$14,$O180,$O181,"T",DCC_Leg1_Float)))</f>
        <v>0</v>
      </c>
      <c r="AH180" s="685">
        <v>0</v>
      </c>
      <c r="AI180" s="667"/>
      <c r="AJ180" s="670">
        <f>IF(O181=0,0,             IF(ISNUMBER(AI180),AI180,             IF(ISTEXT(AI180),INDEX(Z180:AG180,MATCH(AI180,$Z$17:$AG$17,0)),           IF(AH180="INT",_xll.qInterp(O181,R180:Y180,Z180:AG180),       INDEX(Z180:AG180,MATCH(AH180,$Z$17:$AG$17,0))))))</f>
        <v>0</v>
      </c>
      <c r="AK180" s="732">
        <v>100</v>
      </c>
      <c r="AL180" s="721">
        <f t="shared" si="32"/>
        <v>0</v>
      </c>
      <c r="AM180" s="284">
        <f>IF($O181,_xll.qDateYears($O180,$O181,DCC_Leg1_Fixed),0)</f>
        <v>0</v>
      </c>
      <c r="AN180" s="284">
        <f>IF($O181,_xll.qDateYears($O180,$O181,DCC_Leg1_Float),0)</f>
        <v>0</v>
      </c>
      <c r="AP180" s="350">
        <f t="shared" si="38"/>
        <v>0</v>
      </c>
      <c r="AQ180" s="375">
        <f>IF(GenType_1a="Fixed",GenRate_1a%*$AL179*AM179,          IF(GenType_1a="Float",$AL179*(_xll.qGetFwdRate($D$18,$O179,$O180,"T",DCC_Leg1_Float)%+GenRate_1a%%)*$AN179,        IF(GenType_1a="bp (Fixed)",GenRate_1a%%*$AM179*$AL179,   IF(GenType_1a="bp (Float)",GenRate_1a%%*$AL179*$AN179,0))))</f>
        <v>0</v>
      </c>
      <c r="AR180" s="561"/>
      <c r="AT180" s="341">
        <f t="shared" si="42"/>
        <v>0</v>
      </c>
      <c r="AV180" s="356"/>
      <c r="AW180" s="122">
        <v>0</v>
      </c>
      <c r="AX180" s="128">
        <f t="shared" si="33"/>
        <v>0</v>
      </c>
      <c r="AY180" s="357">
        <v>0</v>
      </c>
      <c r="AZ180" s="699">
        <f>IF($AW181=0,0,        _xll.qDateNext($AW180,AZ$17,"M",TRUE,Currency2))</f>
        <v>0</v>
      </c>
      <c r="BA180" s="699">
        <f>IF($AW181=0,0,        _xll.qDateNext($AW180,BA$17,"M",TRUE,Currency2))</f>
        <v>0</v>
      </c>
      <c r="BB180" s="699">
        <f>IF($AW181=0,0,        _xll.qDateNext($AW180,BB$17,"M",TRUE,Currency2))</f>
        <v>0</v>
      </c>
      <c r="BC180" s="699">
        <f>IF($AW181=0,0,        _xll.qDateNext($AW180,BC$17,"M",TRUE,Currency2))</f>
        <v>0</v>
      </c>
      <c r="BD180" s="699">
        <f>IF($AW181=0,0,        _xll.qDateNext($AW180,BD$17,"M",TRUE,Currency2))</f>
        <v>0</v>
      </c>
      <c r="BE180" s="699">
        <f>IF($AW181=0,0,        _xll.qDateNext($AW180,BE$17,"M",TRUE,Currency2))</f>
        <v>0</v>
      </c>
      <c r="BF180" s="699">
        <f>IF($AW181=0,0,        _xll.qDateNext($AW180,BF$17,"M",TRUE,Currency2))</f>
        <v>0</v>
      </c>
      <c r="BG180" s="699">
        <f>IF($AW181=0,0,        _xll.qDateNext($AW180,BG$17,"M",TRUE,Currency2))</f>
        <v>0</v>
      </c>
      <c r="BH180" s="703">
        <v>0</v>
      </c>
      <c r="BI180" s="703">
        <v>0</v>
      </c>
      <c r="BJ180" s="703">
        <v>0</v>
      </c>
      <c r="BK180" s="703">
        <v>0</v>
      </c>
      <c r="BL180" s="703">
        <f t="shared" si="39"/>
        <v>0</v>
      </c>
      <c r="BM180" s="703">
        <f t="shared" si="40"/>
        <v>0</v>
      </c>
      <c r="BN180" s="703">
        <v>0</v>
      </c>
      <c r="BO180" s="703">
        <v>0</v>
      </c>
      <c r="BP180" s="685">
        <v>0</v>
      </c>
      <c r="BQ180" s="667"/>
      <c r="BR180" s="670">
        <f>IF(AW181=0,0,             IF(ISNUMBER(BQ180),BQ180,             IF(ISTEXT(BQ180),INDEX(BH180:BO180,MATCH(BQ180,$BH$17:$BO$17,0)),           IF(BP180="INT",_xll.qInterp(AW181,AZ180:BG180,BH180:BO180),       INDEX(BH180:BO180,MATCH(BP180,$BH$17:$BO$17,0))))))</f>
        <v>0</v>
      </c>
      <c r="BS180" s="731">
        <f t="shared" si="34"/>
        <v>0</v>
      </c>
      <c r="BT180" s="406">
        <f t="shared" si="35"/>
        <v>0</v>
      </c>
      <c r="BU180" s="284">
        <f>IF($AW181,_xll.qDateYears($AW180,$AW181,DCC_Leg2_Fixed),0)</f>
        <v>0</v>
      </c>
      <c r="BV180" s="284">
        <f>IF($AW181,_xll.qDateYears($AW180,$AW181,DCC_Leg2_Float),0)</f>
        <v>0</v>
      </c>
      <c r="BX180" s="350">
        <f t="shared" si="41"/>
        <v>0</v>
      </c>
      <c r="BY180" s="375">
        <f>IF(GenType_2a="Fixed",GenRate_2a%*$BT179*BU179,          IF(GenType_2a="Float",$BT179*(_xll.qGetFwdRate($J$18,$AW179,$AW180,"T",DCC_Leg2_Float)%+GenRate_2a%%)*$BV179,        IF(GenType_2a="bp (Fixed)",GenRate_2a%%*$BU179*$BT179,   IF(GenType_2a="bp (Float)",GenRate_2a%%*$BT179*$BV179,0))))</f>
        <v>0</v>
      </c>
      <c r="BZ180" s="561"/>
      <c r="CB180" s="341">
        <f t="shared" si="43"/>
        <v>0</v>
      </c>
      <c r="CC180" s="563"/>
      <c r="CD180" s="356"/>
      <c r="CE180" s="341">
        <v>0</v>
      </c>
      <c r="CF180" s="563"/>
      <c r="CG180" s="356"/>
    </row>
    <row r="181" spans="15:85">
      <c r="O181" s="122">
        <v>0</v>
      </c>
      <c r="P181" s="128">
        <f t="shared" si="30"/>
        <v>0</v>
      </c>
      <c r="Q181" s="126">
        <v>0</v>
      </c>
      <c r="R181" s="699">
        <f>IF($O182=0,0,        _xll.qDateNext($O181,R$17,"M",TRUE,Currency1))</f>
        <v>0</v>
      </c>
      <c r="S181" s="699">
        <f>IF($O182=0,0,        _xll.qDateNext($O181,S$17,"M",TRUE,Currency1))</f>
        <v>0</v>
      </c>
      <c r="T181" s="699">
        <f>IF($O182=0,0,        _xll.qDateNext($O181,T$17,"M",TRUE,Currency1))</f>
        <v>0</v>
      </c>
      <c r="U181" s="699">
        <f>IF($O182=0,0,        _xll.qDateNext($O181,U$17,"M",TRUE,Currency1))</f>
        <v>0</v>
      </c>
      <c r="V181" s="699">
        <f>IF($O182=0,0,        _xll.qDateNext($O181,V$17,"M",TRUE,Currency1))</f>
        <v>0</v>
      </c>
      <c r="W181" s="699">
        <f>IF($O182=0,0,        _xll.qDateNext($O181,W$17,"M",TRUE,Currency1))</f>
        <v>0</v>
      </c>
      <c r="X181" s="699">
        <f>IF($O182=0,0,        _xll.qDateNext($O181,X$17,"M",TRUE,Currency1))</f>
        <v>0</v>
      </c>
      <c r="Y181" s="699">
        <f>IF($O182=0,0,        _xll.qDateNext($O181,Y$17,"M",TRUE,Currency1))</f>
        <v>0</v>
      </c>
      <c r="Z181" s="703">
        <f>IF($O182=0,0,           IF(FRM,_xll.qGetFwdRate(Z$14,$O181,R181,"T",DCC_Leg1_Float),_xll.qGetFwdRate(Z$14,$O181,$O182,"T",DCC_Leg1_Float)))</f>
        <v>0</v>
      </c>
      <c r="AA181" s="703">
        <f>IF($O182=0,0,           IF(FRM,_xll.qGetFwdRate(AA$14,$O181,S181,"T",DCC_Leg1_Float),_xll.qGetFwdRate(AA$14,$O181,$O182,"T",DCC_Leg1_Float)))</f>
        <v>0</v>
      </c>
      <c r="AB181" s="703">
        <f t="shared" si="31"/>
        <v>0</v>
      </c>
      <c r="AC181" s="703">
        <f>IF($O182=0,0,           IF(FRM,_xll.qGetFwdRate(AC$14,$O181,U181,"T",DCC_Leg1_Float),_xll.qGetFwdRate(AC$14,$O181,$O182,"T",DCC_Leg1_Float)))</f>
        <v>0</v>
      </c>
      <c r="AD181" s="703">
        <f t="shared" si="36"/>
        <v>0</v>
      </c>
      <c r="AE181" s="703">
        <f t="shared" si="37"/>
        <v>0</v>
      </c>
      <c r="AF181" s="703">
        <f>IF($O182=0,0,           IF(FRM,_xll.qGetFwdRate(AF$14,$O181,X181,"T",DCC_Leg1_Float),_xll.qGetFwdRate(AF$14,$O181,$O182,"T",DCC_Leg1_Float)))</f>
        <v>0</v>
      </c>
      <c r="AG181" s="703">
        <f>IF($O182=0,0,           IF(FRM,_xll.qGetFwdRate(AG$14,$O181,Y181,"T",DCC_Leg1_Float),_xll.qGetFwdRate(AG$14,$O181,$O182,"T",DCC_Leg1_Float)))</f>
        <v>0</v>
      </c>
      <c r="AH181" s="685">
        <v>0</v>
      </c>
      <c r="AI181" s="667"/>
      <c r="AJ181" s="670">
        <f>IF(O182=0,0,             IF(ISNUMBER(AI181),AI181,             IF(ISTEXT(AI181),INDEX(Z181:AG181,MATCH(AI181,$Z$17:$AG$17,0)),           IF(AH181="INT",_xll.qInterp(O182,R181:Y181,Z181:AG181),       INDEX(Z181:AG181,MATCH(AH181,$Z$17:$AG$17,0))))))</f>
        <v>0</v>
      </c>
      <c r="AK181" s="732">
        <v>100</v>
      </c>
      <c r="AL181" s="721">
        <f t="shared" si="32"/>
        <v>0</v>
      </c>
      <c r="AM181" s="284">
        <f>IF($O182,_xll.qDateYears($O181,$O182,DCC_Leg1_Fixed),0)</f>
        <v>0</v>
      </c>
      <c r="AN181" s="284">
        <f>IF($O182,_xll.qDateYears($O181,$O182,DCC_Leg1_Float),0)</f>
        <v>0</v>
      </c>
      <c r="AP181" s="350">
        <f t="shared" si="38"/>
        <v>0</v>
      </c>
      <c r="AQ181" s="375">
        <f>IF(GenType_1a="Fixed",GenRate_1a%*$AL180*AM180,          IF(GenType_1a="Float",$AL180*(_xll.qGetFwdRate($D$18,$O180,$O181,"T",DCC_Leg1_Float)%+GenRate_1a%%)*$AN180,        IF(GenType_1a="bp (Fixed)",GenRate_1a%%*$AM180*$AL180,   IF(GenType_1a="bp (Float)",GenRate_1a%%*$AL180*$AN180,0))))</f>
        <v>0</v>
      </c>
      <c r="AR181" s="561"/>
      <c r="AT181" s="341">
        <f t="shared" si="42"/>
        <v>0</v>
      </c>
      <c r="AV181" s="356"/>
      <c r="AW181" s="122">
        <v>0</v>
      </c>
      <c r="AX181" s="128">
        <f t="shared" si="33"/>
        <v>0</v>
      </c>
      <c r="AY181" s="357">
        <v>0</v>
      </c>
      <c r="AZ181" s="699">
        <f>IF($AW182=0,0,        _xll.qDateNext($AW181,AZ$17,"M",TRUE,Currency2))</f>
        <v>0</v>
      </c>
      <c r="BA181" s="699">
        <f>IF($AW182=0,0,        _xll.qDateNext($AW181,BA$17,"M",TRUE,Currency2))</f>
        <v>0</v>
      </c>
      <c r="BB181" s="699">
        <f>IF($AW182=0,0,        _xll.qDateNext($AW181,BB$17,"M",TRUE,Currency2))</f>
        <v>0</v>
      </c>
      <c r="BC181" s="699">
        <f>IF($AW182=0,0,        _xll.qDateNext($AW181,BC$17,"M",TRUE,Currency2))</f>
        <v>0</v>
      </c>
      <c r="BD181" s="699">
        <f>IF($AW182=0,0,        _xll.qDateNext($AW181,BD$17,"M",TRUE,Currency2))</f>
        <v>0</v>
      </c>
      <c r="BE181" s="699">
        <f>IF($AW182=0,0,        _xll.qDateNext($AW181,BE$17,"M",TRUE,Currency2))</f>
        <v>0</v>
      </c>
      <c r="BF181" s="699">
        <f>IF($AW182=0,0,        _xll.qDateNext($AW181,BF$17,"M",TRUE,Currency2))</f>
        <v>0</v>
      </c>
      <c r="BG181" s="699">
        <f>IF($AW182=0,0,        _xll.qDateNext($AW181,BG$17,"M",TRUE,Currency2))</f>
        <v>0</v>
      </c>
      <c r="BH181" s="703">
        <v>0</v>
      </c>
      <c r="BI181" s="703">
        <v>0</v>
      </c>
      <c r="BJ181" s="703">
        <v>0</v>
      </c>
      <c r="BK181" s="703">
        <v>0</v>
      </c>
      <c r="BL181" s="703">
        <f t="shared" si="39"/>
        <v>0</v>
      </c>
      <c r="BM181" s="703">
        <f t="shared" si="40"/>
        <v>0</v>
      </c>
      <c r="BN181" s="703">
        <v>0</v>
      </c>
      <c r="BO181" s="703">
        <v>0</v>
      </c>
      <c r="BP181" s="685">
        <v>0</v>
      </c>
      <c r="BQ181" s="667"/>
      <c r="BR181" s="670">
        <f>IF(AW182=0,0,             IF(ISNUMBER(BQ181),BQ181,             IF(ISTEXT(BQ181),INDEX(BH181:BO181,MATCH(BQ181,$BH$17:$BO$17,0)),           IF(BP181="INT",_xll.qInterp(AW182,AZ181:BG181,BH181:BO181),       INDEX(BH181:BO181,MATCH(BP181,$BH$17:$BO$17,0))))))</f>
        <v>0</v>
      </c>
      <c r="BS181" s="731">
        <f t="shared" si="34"/>
        <v>0</v>
      </c>
      <c r="BT181" s="406">
        <f t="shared" si="35"/>
        <v>0</v>
      </c>
      <c r="BU181" s="284">
        <f>IF($AW182,_xll.qDateYears($AW181,$AW182,DCC_Leg2_Fixed),0)</f>
        <v>0</v>
      </c>
      <c r="BV181" s="284">
        <f>IF($AW182,_xll.qDateYears($AW181,$AW182,DCC_Leg2_Float),0)</f>
        <v>0</v>
      </c>
      <c r="BX181" s="350">
        <f t="shared" si="41"/>
        <v>0</v>
      </c>
      <c r="BY181" s="375">
        <f>IF(GenType_2a="Fixed",GenRate_2a%*$BT180*BU180,          IF(GenType_2a="Float",$BT180*(_xll.qGetFwdRate($J$18,$AW180,$AW181,"T",DCC_Leg2_Float)%+GenRate_2a%%)*$BV180,        IF(GenType_2a="bp (Fixed)",GenRate_2a%%*$BU180*$BT180,   IF(GenType_2a="bp (Float)",GenRate_2a%%*$BT180*$BV180,0))))</f>
        <v>0</v>
      </c>
      <c r="BZ181" s="561"/>
      <c r="CB181" s="341">
        <f t="shared" si="43"/>
        <v>0</v>
      </c>
      <c r="CC181" s="563"/>
      <c r="CD181" s="356"/>
      <c r="CE181" s="341">
        <v>0</v>
      </c>
      <c r="CF181" s="563"/>
      <c r="CG181" s="356"/>
    </row>
    <row r="182" spans="15:85">
      <c r="O182" s="122">
        <v>0</v>
      </c>
      <c r="P182" s="128">
        <f t="shared" si="30"/>
        <v>0</v>
      </c>
      <c r="Q182" s="126">
        <v>0</v>
      </c>
      <c r="R182" s="699">
        <f>IF($O183=0,0,        _xll.qDateNext($O182,R$17,"M",TRUE,Currency1))</f>
        <v>0</v>
      </c>
      <c r="S182" s="699">
        <f>IF($O183=0,0,        _xll.qDateNext($O182,S$17,"M",TRUE,Currency1))</f>
        <v>0</v>
      </c>
      <c r="T182" s="699">
        <f>IF($O183=0,0,        _xll.qDateNext($O182,T$17,"M",TRUE,Currency1))</f>
        <v>0</v>
      </c>
      <c r="U182" s="699">
        <f>IF($O183=0,0,        _xll.qDateNext($O182,U$17,"M",TRUE,Currency1))</f>
        <v>0</v>
      </c>
      <c r="V182" s="699">
        <f>IF($O183=0,0,        _xll.qDateNext($O182,V$17,"M",TRUE,Currency1))</f>
        <v>0</v>
      </c>
      <c r="W182" s="699">
        <f>IF($O183=0,0,        _xll.qDateNext($O182,W$17,"M",TRUE,Currency1))</f>
        <v>0</v>
      </c>
      <c r="X182" s="699">
        <f>IF($O183=0,0,        _xll.qDateNext($O182,X$17,"M",TRUE,Currency1))</f>
        <v>0</v>
      </c>
      <c r="Y182" s="699">
        <f>IF($O183=0,0,        _xll.qDateNext($O182,Y$17,"M",TRUE,Currency1))</f>
        <v>0</v>
      </c>
      <c r="Z182" s="703">
        <f>IF($O183=0,0,           IF(FRM,_xll.qGetFwdRate(Z$14,$O182,R182,"T",DCC_Leg1_Float),_xll.qGetFwdRate(Z$14,$O182,$O183,"T",DCC_Leg1_Float)))</f>
        <v>0</v>
      </c>
      <c r="AA182" s="703">
        <f>IF($O183=0,0,           IF(FRM,_xll.qGetFwdRate(AA$14,$O182,S182,"T",DCC_Leg1_Float),_xll.qGetFwdRate(AA$14,$O182,$O183,"T",DCC_Leg1_Float)))</f>
        <v>0</v>
      </c>
      <c r="AB182" s="703">
        <f t="shared" si="31"/>
        <v>0</v>
      </c>
      <c r="AC182" s="703">
        <f>IF($O183=0,0,           IF(FRM,_xll.qGetFwdRate(AC$14,$O182,U182,"T",DCC_Leg1_Float),_xll.qGetFwdRate(AC$14,$O182,$O183,"T",DCC_Leg1_Float)))</f>
        <v>0</v>
      </c>
      <c r="AD182" s="703">
        <f t="shared" si="36"/>
        <v>0</v>
      </c>
      <c r="AE182" s="703">
        <f t="shared" si="37"/>
        <v>0</v>
      </c>
      <c r="AF182" s="703">
        <f>IF($O183=0,0,           IF(FRM,_xll.qGetFwdRate(AF$14,$O182,X182,"T",DCC_Leg1_Float),_xll.qGetFwdRate(AF$14,$O182,$O183,"T",DCC_Leg1_Float)))</f>
        <v>0</v>
      </c>
      <c r="AG182" s="703">
        <f>IF($O183=0,0,           IF(FRM,_xll.qGetFwdRate(AG$14,$O182,Y182,"T",DCC_Leg1_Float),_xll.qGetFwdRate(AG$14,$O182,$O183,"T",DCC_Leg1_Float)))</f>
        <v>0</v>
      </c>
      <c r="AH182" s="685">
        <v>0</v>
      </c>
      <c r="AI182" s="667"/>
      <c r="AJ182" s="670">
        <f>IF(O183=0,0,             IF(ISNUMBER(AI182),AI182,             IF(ISTEXT(AI182),INDEX(Z182:AG182,MATCH(AI182,$Z$17:$AG$17,0)),           IF(AH182="INT",_xll.qInterp(O183,R182:Y182,Z182:AG182),       INDEX(Z182:AG182,MATCH(AH182,$Z$17:$AG$17,0))))))</f>
        <v>0</v>
      </c>
      <c r="AK182" s="732">
        <v>100</v>
      </c>
      <c r="AL182" s="721">
        <f t="shared" si="32"/>
        <v>0</v>
      </c>
      <c r="AM182" s="284">
        <f>IF($O183,_xll.qDateYears($O182,$O183,DCC_Leg1_Fixed),0)</f>
        <v>0</v>
      </c>
      <c r="AN182" s="284">
        <f>IF($O183,_xll.qDateYears($O182,$O183,DCC_Leg1_Float),0)</f>
        <v>0</v>
      </c>
      <c r="AP182" s="350">
        <f t="shared" si="38"/>
        <v>0</v>
      </c>
      <c r="AQ182" s="375">
        <f>IF(GenType_1a="Fixed",GenRate_1a%*$AL181*AM181,          IF(GenType_1a="Float",$AL181*(_xll.qGetFwdRate($D$18,$O181,$O182,"T",DCC_Leg1_Float)%+GenRate_1a%%)*$AN181,        IF(GenType_1a="bp (Fixed)",GenRate_1a%%*$AM181*$AL181,   IF(GenType_1a="bp (Float)",GenRate_1a%%*$AL181*$AN181,0))))</f>
        <v>0</v>
      </c>
      <c r="AR182" s="561"/>
      <c r="AT182" s="341">
        <f t="shared" si="42"/>
        <v>0</v>
      </c>
      <c r="AV182" s="356"/>
      <c r="AW182" s="122">
        <v>0</v>
      </c>
      <c r="AX182" s="128">
        <f t="shared" si="33"/>
        <v>0</v>
      </c>
      <c r="AY182" s="357">
        <v>0</v>
      </c>
      <c r="AZ182" s="699">
        <f>IF($AW183=0,0,        _xll.qDateNext($AW182,AZ$17,"M",TRUE,Currency2))</f>
        <v>0</v>
      </c>
      <c r="BA182" s="699">
        <f>IF($AW183=0,0,        _xll.qDateNext($AW182,BA$17,"M",TRUE,Currency2))</f>
        <v>0</v>
      </c>
      <c r="BB182" s="699">
        <f>IF($AW183=0,0,        _xll.qDateNext($AW182,BB$17,"M",TRUE,Currency2))</f>
        <v>0</v>
      </c>
      <c r="BC182" s="699">
        <f>IF($AW183=0,0,        _xll.qDateNext($AW182,BC$17,"M",TRUE,Currency2))</f>
        <v>0</v>
      </c>
      <c r="BD182" s="699">
        <f>IF($AW183=0,0,        _xll.qDateNext($AW182,BD$17,"M",TRUE,Currency2))</f>
        <v>0</v>
      </c>
      <c r="BE182" s="699">
        <f>IF($AW183=0,0,        _xll.qDateNext($AW182,BE$17,"M",TRUE,Currency2))</f>
        <v>0</v>
      </c>
      <c r="BF182" s="699">
        <f>IF($AW183=0,0,        _xll.qDateNext($AW182,BF$17,"M",TRUE,Currency2))</f>
        <v>0</v>
      </c>
      <c r="BG182" s="699">
        <f>IF($AW183=0,0,        _xll.qDateNext($AW182,BG$17,"M",TRUE,Currency2))</f>
        <v>0</v>
      </c>
      <c r="BH182" s="703">
        <v>0</v>
      </c>
      <c r="BI182" s="703">
        <v>0</v>
      </c>
      <c r="BJ182" s="703">
        <v>0</v>
      </c>
      <c r="BK182" s="703">
        <v>0</v>
      </c>
      <c r="BL182" s="703">
        <f t="shared" si="39"/>
        <v>0</v>
      </c>
      <c r="BM182" s="703">
        <f t="shared" si="40"/>
        <v>0</v>
      </c>
      <c r="BN182" s="703">
        <v>0</v>
      </c>
      <c r="BO182" s="703">
        <v>0</v>
      </c>
      <c r="BP182" s="685">
        <v>0</v>
      </c>
      <c r="BQ182" s="667"/>
      <c r="BR182" s="670">
        <f>IF(AW183=0,0,             IF(ISNUMBER(BQ182),BQ182,             IF(ISTEXT(BQ182),INDEX(BH182:BO182,MATCH(BQ182,$BH$17:$BO$17,0)),           IF(BP182="INT",_xll.qInterp(AW183,AZ182:BG182,BH182:BO182),       INDEX(BH182:BO182,MATCH(BP182,$BH$17:$BO$17,0))))))</f>
        <v>0</v>
      </c>
      <c r="BS182" s="731">
        <f t="shared" si="34"/>
        <v>0</v>
      </c>
      <c r="BT182" s="406">
        <f t="shared" si="35"/>
        <v>0</v>
      </c>
      <c r="BU182" s="284">
        <f>IF($AW183,_xll.qDateYears($AW182,$AW183,DCC_Leg2_Fixed),0)</f>
        <v>0</v>
      </c>
      <c r="BV182" s="284">
        <f>IF($AW183,_xll.qDateYears($AW182,$AW183,DCC_Leg2_Float),0)</f>
        <v>0</v>
      </c>
      <c r="BX182" s="350">
        <f t="shared" si="41"/>
        <v>0</v>
      </c>
      <c r="BY182" s="375">
        <f>IF(GenType_2a="Fixed",GenRate_2a%*$BT181*BU181,          IF(GenType_2a="Float",$BT181*(_xll.qGetFwdRate($J$18,$AW181,$AW182,"T",DCC_Leg2_Float)%+GenRate_2a%%)*$BV181,        IF(GenType_2a="bp (Fixed)",GenRate_2a%%*$BU181*$BT181,   IF(GenType_2a="bp (Float)",GenRate_2a%%*$BT181*$BV181,0))))</f>
        <v>0</v>
      </c>
      <c r="BZ182" s="561"/>
      <c r="CB182" s="341">
        <f t="shared" si="43"/>
        <v>0</v>
      </c>
      <c r="CC182" s="563"/>
      <c r="CD182" s="356"/>
      <c r="CE182" s="341">
        <v>0</v>
      </c>
      <c r="CF182" s="563"/>
      <c r="CG182" s="356"/>
    </row>
    <row r="183" spans="15:85">
      <c r="O183" s="122">
        <v>0</v>
      </c>
      <c r="P183" s="128">
        <f t="shared" si="30"/>
        <v>0</v>
      </c>
      <c r="Q183" s="126">
        <v>0</v>
      </c>
      <c r="R183" s="699">
        <f>IF($O184=0,0,        _xll.qDateNext($O183,R$17,"M",TRUE,Currency1))</f>
        <v>0</v>
      </c>
      <c r="S183" s="699">
        <f>IF($O184=0,0,        _xll.qDateNext($O183,S$17,"M",TRUE,Currency1))</f>
        <v>0</v>
      </c>
      <c r="T183" s="699">
        <f>IF($O184=0,0,        _xll.qDateNext($O183,T$17,"M",TRUE,Currency1))</f>
        <v>0</v>
      </c>
      <c r="U183" s="699">
        <f>IF($O184=0,0,        _xll.qDateNext($O183,U$17,"M",TRUE,Currency1))</f>
        <v>0</v>
      </c>
      <c r="V183" s="699">
        <f>IF($O184=0,0,        _xll.qDateNext($O183,V$17,"M",TRUE,Currency1))</f>
        <v>0</v>
      </c>
      <c r="W183" s="699">
        <f>IF($O184=0,0,        _xll.qDateNext($O183,W$17,"M",TRUE,Currency1))</f>
        <v>0</v>
      </c>
      <c r="X183" s="699">
        <f>IF($O184=0,0,        _xll.qDateNext($O183,X$17,"M",TRUE,Currency1))</f>
        <v>0</v>
      </c>
      <c r="Y183" s="699">
        <f>IF($O184=0,0,        _xll.qDateNext($O183,Y$17,"M",TRUE,Currency1))</f>
        <v>0</v>
      </c>
      <c r="Z183" s="703">
        <f>IF($O184=0,0,           IF(FRM,_xll.qGetFwdRate(Z$14,$O183,R183,"T",DCC_Leg1_Float),_xll.qGetFwdRate(Z$14,$O183,$O184,"T",DCC_Leg1_Float)))</f>
        <v>0</v>
      </c>
      <c r="AA183" s="703">
        <f>IF($O184=0,0,           IF(FRM,_xll.qGetFwdRate(AA$14,$O183,S183,"T",DCC_Leg1_Float),_xll.qGetFwdRate(AA$14,$O183,$O184,"T",DCC_Leg1_Float)))</f>
        <v>0</v>
      </c>
      <c r="AB183" s="703">
        <f t="shared" si="31"/>
        <v>0</v>
      </c>
      <c r="AC183" s="703">
        <f>IF($O184=0,0,           IF(FRM,_xll.qGetFwdRate(AC$14,$O183,U183,"T",DCC_Leg1_Float),_xll.qGetFwdRate(AC$14,$O183,$O184,"T",DCC_Leg1_Float)))</f>
        <v>0</v>
      </c>
      <c r="AD183" s="703">
        <f t="shared" si="36"/>
        <v>0</v>
      </c>
      <c r="AE183" s="703">
        <f t="shared" si="37"/>
        <v>0</v>
      </c>
      <c r="AF183" s="703">
        <f>IF($O184=0,0,           IF(FRM,_xll.qGetFwdRate(AF$14,$O183,X183,"T",DCC_Leg1_Float),_xll.qGetFwdRate(AF$14,$O183,$O184,"T",DCC_Leg1_Float)))</f>
        <v>0</v>
      </c>
      <c r="AG183" s="703">
        <f>IF($O184=0,0,           IF(FRM,_xll.qGetFwdRate(AG$14,$O183,Y183,"T",DCC_Leg1_Float),_xll.qGetFwdRate(AG$14,$O183,$O184,"T",DCC_Leg1_Float)))</f>
        <v>0</v>
      </c>
      <c r="AH183" s="685">
        <v>0</v>
      </c>
      <c r="AI183" s="667"/>
      <c r="AJ183" s="670">
        <f>IF(O184=0,0,             IF(ISNUMBER(AI183),AI183,             IF(ISTEXT(AI183),INDEX(Z183:AG183,MATCH(AI183,$Z$17:$AG$17,0)),           IF(AH183="INT",_xll.qInterp(O184,R183:Y183,Z183:AG183),       INDEX(Z183:AG183,MATCH(AH183,$Z$17:$AG$17,0))))))</f>
        <v>0</v>
      </c>
      <c r="AK183" s="732">
        <v>100</v>
      </c>
      <c r="AL183" s="721">
        <f t="shared" si="32"/>
        <v>0</v>
      </c>
      <c r="AM183" s="284">
        <f>IF($O184,_xll.qDateYears($O183,$O184,DCC_Leg1_Fixed),0)</f>
        <v>0</v>
      </c>
      <c r="AN183" s="284">
        <f>IF($O184,_xll.qDateYears($O183,$O184,DCC_Leg1_Float),0)</f>
        <v>0</v>
      </c>
      <c r="AP183" s="350">
        <f t="shared" si="38"/>
        <v>0</v>
      </c>
      <c r="AQ183" s="375">
        <f>IF(GenType_1a="Fixed",GenRate_1a%*$AL182*AM182,          IF(GenType_1a="Float",$AL182*(_xll.qGetFwdRate($D$18,$O182,$O183,"T",DCC_Leg1_Float)%+GenRate_1a%%)*$AN182,        IF(GenType_1a="bp (Fixed)",GenRate_1a%%*$AM182*$AL182,   IF(GenType_1a="bp (Float)",GenRate_1a%%*$AL182*$AN182,0))))</f>
        <v>0</v>
      </c>
      <c r="AR183" s="561"/>
      <c r="AT183" s="341">
        <f t="shared" si="42"/>
        <v>0</v>
      </c>
      <c r="AV183" s="356"/>
      <c r="AW183" s="122">
        <v>0</v>
      </c>
      <c r="AX183" s="128">
        <f t="shared" si="33"/>
        <v>0</v>
      </c>
      <c r="AY183" s="357">
        <v>0</v>
      </c>
      <c r="AZ183" s="699">
        <f>IF($AW184=0,0,        _xll.qDateNext($AW183,AZ$17,"M",TRUE,Currency2))</f>
        <v>0</v>
      </c>
      <c r="BA183" s="699">
        <f>IF($AW184=0,0,        _xll.qDateNext($AW183,BA$17,"M",TRUE,Currency2))</f>
        <v>0</v>
      </c>
      <c r="BB183" s="699">
        <f>IF($AW184=0,0,        _xll.qDateNext($AW183,BB$17,"M",TRUE,Currency2))</f>
        <v>0</v>
      </c>
      <c r="BC183" s="699">
        <f>IF($AW184=0,0,        _xll.qDateNext($AW183,BC$17,"M",TRUE,Currency2))</f>
        <v>0</v>
      </c>
      <c r="BD183" s="699">
        <f>IF($AW184=0,0,        _xll.qDateNext($AW183,BD$17,"M",TRUE,Currency2))</f>
        <v>0</v>
      </c>
      <c r="BE183" s="699">
        <f>IF($AW184=0,0,        _xll.qDateNext($AW183,BE$17,"M",TRUE,Currency2))</f>
        <v>0</v>
      </c>
      <c r="BF183" s="699">
        <f>IF($AW184=0,0,        _xll.qDateNext($AW183,BF$17,"M",TRUE,Currency2))</f>
        <v>0</v>
      </c>
      <c r="BG183" s="699">
        <f>IF($AW184=0,0,        _xll.qDateNext($AW183,BG$17,"M",TRUE,Currency2))</f>
        <v>0</v>
      </c>
      <c r="BH183" s="703">
        <v>0</v>
      </c>
      <c r="BI183" s="703">
        <v>0</v>
      </c>
      <c r="BJ183" s="703">
        <v>0</v>
      </c>
      <c r="BK183" s="703">
        <v>0</v>
      </c>
      <c r="BL183" s="703">
        <f t="shared" si="39"/>
        <v>0</v>
      </c>
      <c r="BM183" s="703">
        <f t="shared" si="40"/>
        <v>0</v>
      </c>
      <c r="BN183" s="703">
        <v>0</v>
      </c>
      <c r="BO183" s="703">
        <v>0</v>
      </c>
      <c r="BP183" s="685">
        <v>0</v>
      </c>
      <c r="BQ183" s="667"/>
      <c r="BR183" s="670">
        <f>IF(AW184=0,0,             IF(ISNUMBER(BQ183),BQ183,             IF(ISTEXT(BQ183),INDEX(BH183:BO183,MATCH(BQ183,$BH$17:$BO$17,0)),           IF(BP183="INT",_xll.qInterp(AW184,AZ183:BG183,BH183:BO183),       INDEX(BH183:BO183,MATCH(BP183,$BH$17:$BO$17,0))))))</f>
        <v>0</v>
      </c>
      <c r="BS183" s="731">
        <f t="shared" si="34"/>
        <v>0</v>
      </c>
      <c r="BT183" s="406">
        <f t="shared" si="35"/>
        <v>0</v>
      </c>
      <c r="BU183" s="284">
        <f>IF($AW184,_xll.qDateYears($AW183,$AW184,DCC_Leg2_Fixed),0)</f>
        <v>0</v>
      </c>
      <c r="BV183" s="284">
        <f>IF($AW184,_xll.qDateYears($AW183,$AW184,DCC_Leg2_Float),0)</f>
        <v>0</v>
      </c>
      <c r="BX183" s="350">
        <f t="shared" si="41"/>
        <v>0</v>
      </c>
      <c r="BY183" s="375">
        <f>IF(GenType_2a="Fixed",GenRate_2a%*$BT182*BU182,          IF(GenType_2a="Float",$BT182*(_xll.qGetFwdRate($J$18,$AW182,$AW183,"T",DCC_Leg2_Float)%+GenRate_2a%%)*$BV182,        IF(GenType_2a="bp (Fixed)",GenRate_2a%%*$BU182*$BT182,   IF(GenType_2a="bp (Float)",GenRate_2a%%*$BT182*$BV182,0))))</f>
        <v>0</v>
      </c>
      <c r="BZ183" s="561"/>
      <c r="CB183" s="341">
        <f t="shared" si="43"/>
        <v>0</v>
      </c>
      <c r="CC183" s="563"/>
      <c r="CD183" s="356"/>
      <c r="CE183" s="341">
        <v>0</v>
      </c>
      <c r="CF183" s="563"/>
      <c r="CG183" s="356"/>
    </row>
    <row r="184" spans="15:85">
      <c r="O184" s="122">
        <v>0</v>
      </c>
      <c r="P184" s="128">
        <f t="shared" si="30"/>
        <v>0</v>
      </c>
      <c r="Q184" s="126">
        <v>0</v>
      </c>
      <c r="R184" s="699">
        <f>IF($O185=0,0,        _xll.qDateNext($O184,R$17,"M",TRUE,Currency1))</f>
        <v>0</v>
      </c>
      <c r="S184" s="699">
        <f>IF($O185=0,0,        _xll.qDateNext($O184,S$17,"M",TRUE,Currency1))</f>
        <v>0</v>
      </c>
      <c r="T184" s="699">
        <f>IF($O185=0,0,        _xll.qDateNext($O184,T$17,"M",TRUE,Currency1))</f>
        <v>0</v>
      </c>
      <c r="U184" s="699">
        <f>IF($O185=0,0,        _xll.qDateNext($O184,U$17,"M",TRUE,Currency1))</f>
        <v>0</v>
      </c>
      <c r="V184" s="699">
        <f>IF($O185=0,0,        _xll.qDateNext($O184,V$17,"M",TRUE,Currency1))</f>
        <v>0</v>
      </c>
      <c r="W184" s="699">
        <f>IF($O185=0,0,        _xll.qDateNext($O184,W$17,"M",TRUE,Currency1))</f>
        <v>0</v>
      </c>
      <c r="X184" s="699">
        <f>IF($O185=0,0,        _xll.qDateNext($O184,X$17,"M",TRUE,Currency1))</f>
        <v>0</v>
      </c>
      <c r="Y184" s="699">
        <f>IF($O185=0,0,        _xll.qDateNext($O184,Y$17,"M",TRUE,Currency1))</f>
        <v>0</v>
      </c>
      <c r="Z184" s="703">
        <f>IF($O185=0,0,           IF(FRM,_xll.qGetFwdRate(Z$14,$O184,R184,"T",DCC_Leg1_Float),_xll.qGetFwdRate(Z$14,$O184,$O185,"T",DCC_Leg1_Float)))</f>
        <v>0</v>
      </c>
      <c r="AA184" s="703">
        <f>IF($O185=0,0,           IF(FRM,_xll.qGetFwdRate(AA$14,$O184,S184,"T",DCC_Leg1_Float),_xll.qGetFwdRate(AA$14,$O184,$O185,"T",DCC_Leg1_Float)))</f>
        <v>0</v>
      </c>
      <c r="AB184" s="703">
        <f t="shared" si="31"/>
        <v>0</v>
      </c>
      <c r="AC184" s="703">
        <f>IF($O185=0,0,           IF(FRM,_xll.qGetFwdRate(AC$14,$O184,U184,"T",DCC_Leg1_Float),_xll.qGetFwdRate(AC$14,$O184,$O185,"T",DCC_Leg1_Float)))</f>
        <v>0</v>
      </c>
      <c r="AD184" s="703">
        <f t="shared" si="36"/>
        <v>0</v>
      </c>
      <c r="AE184" s="703">
        <f t="shared" si="37"/>
        <v>0</v>
      </c>
      <c r="AF184" s="703">
        <f>IF($O185=0,0,           IF(FRM,_xll.qGetFwdRate(AF$14,$O184,X184,"T",DCC_Leg1_Float),_xll.qGetFwdRate(AF$14,$O184,$O185,"T",DCC_Leg1_Float)))</f>
        <v>0</v>
      </c>
      <c r="AG184" s="703">
        <f>IF($O185=0,0,           IF(FRM,_xll.qGetFwdRate(AG$14,$O184,Y184,"T",DCC_Leg1_Float),_xll.qGetFwdRate(AG$14,$O184,$O185,"T",DCC_Leg1_Float)))</f>
        <v>0</v>
      </c>
      <c r="AH184" s="685">
        <v>0</v>
      </c>
      <c r="AI184" s="667"/>
      <c r="AJ184" s="670">
        <f>IF(O185=0,0,             IF(ISNUMBER(AI184),AI184,             IF(ISTEXT(AI184),INDEX(Z184:AG184,MATCH(AI184,$Z$17:$AG$17,0)),           IF(AH184="INT",_xll.qInterp(O185,R184:Y184,Z184:AG184),       INDEX(Z184:AG184,MATCH(AH184,$Z$17:$AG$17,0))))))</f>
        <v>0</v>
      </c>
      <c r="AK184" s="732">
        <v>100</v>
      </c>
      <c r="AL184" s="721">
        <f t="shared" si="32"/>
        <v>0</v>
      </c>
      <c r="AM184" s="284">
        <f>IF($O185,_xll.qDateYears($O184,$O185,DCC_Leg1_Fixed),0)</f>
        <v>0</v>
      </c>
      <c r="AN184" s="284">
        <f>IF($O185,_xll.qDateYears($O184,$O185,DCC_Leg1_Float),0)</f>
        <v>0</v>
      </c>
      <c r="AP184" s="350">
        <f t="shared" si="38"/>
        <v>0</v>
      </c>
      <c r="AQ184" s="375">
        <f>IF(GenType_1a="Fixed",GenRate_1a%*$AL183*AM183,          IF(GenType_1a="Float",$AL183*(_xll.qGetFwdRate($D$18,$O183,$O184,"T",DCC_Leg1_Float)%+GenRate_1a%%)*$AN183,        IF(GenType_1a="bp (Fixed)",GenRate_1a%%*$AM183*$AL183,   IF(GenType_1a="bp (Float)",GenRate_1a%%*$AL183*$AN183,0))))</f>
        <v>0</v>
      </c>
      <c r="AR184" s="561"/>
      <c r="AT184" s="341">
        <f t="shared" si="42"/>
        <v>0</v>
      </c>
      <c r="AV184" s="356"/>
      <c r="AW184" s="122">
        <v>0</v>
      </c>
      <c r="AX184" s="128">
        <f t="shared" si="33"/>
        <v>0</v>
      </c>
      <c r="AY184" s="357">
        <v>0</v>
      </c>
      <c r="AZ184" s="699">
        <f>IF($AW185=0,0,        _xll.qDateNext($AW184,AZ$17,"M",TRUE,Currency2))</f>
        <v>0</v>
      </c>
      <c r="BA184" s="699">
        <f>IF($AW185=0,0,        _xll.qDateNext($AW184,BA$17,"M",TRUE,Currency2))</f>
        <v>0</v>
      </c>
      <c r="BB184" s="699">
        <f>IF($AW185=0,0,        _xll.qDateNext($AW184,BB$17,"M",TRUE,Currency2))</f>
        <v>0</v>
      </c>
      <c r="BC184" s="699">
        <f>IF($AW185=0,0,        _xll.qDateNext($AW184,BC$17,"M",TRUE,Currency2))</f>
        <v>0</v>
      </c>
      <c r="BD184" s="699">
        <f>IF($AW185=0,0,        _xll.qDateNext($AW184,BD$17,"M",TRUE,Currency2))</f>
        <v>0</v>
      </c>
      <c r="BE184" s="699">
        <f>IF($AW185=0,0,        _xll.qDateNext($AW184,BE$17,"M",TRUE,Currency2))</f>
        <v>0</v>
      </c>
      <c r="BF184" s="699">
        <f>IF($AW185=0,0,        _xll.qDateNext($AW184,BF$17,"M",TRUE,Currency2))</f>
        <v>0</v>
      </c>
      <c r="BG184" s="699">
        <f>IF($AW185=0,0,        _xll.qDateNext($AW184,BG$17,"M",TRUE,Currency2))</f>
        <v>0</v>
      </c>
      <c r="BH184" s="703">
        <v>0</v>
      </c>
      <c r="BI184" s="703">
        <v>0</v>
      </c>
      <c r="BJ184" s="703">
        <v>0</v>
      </c>
      <c r="BK184" s="703">
        <v>0</v>
      </c>
      <c r="BL184" s="703">
        <f t="shared" si="39"/>
        <v>0</v>
      </c>
      <c r="BM184" s="703">
        <f t="shared" si="40"/>
        <v>0</v>
      </c>
      <c r="BN184" s="703">
        <v>0</v>
      </c>
      <c r="BO184" s="703">
        <v>0</v>
      </c>
      <c r="BP184" s="685">
        <v>0</v>
      </c>
      <c r="BQ184" s="667"/>
      <c r="BR184" s="670">
        <f>IF(AW185=0,0,             IF(ISNUMBER(BQ184),BQ184,             IF(ISTEXT(BQ184),INDEX(BH184:BO184,MATCH(BQ184,$BH$17:$BO$17,0)),           IF(BP184="INT",_xll.qInterp(AW185,AZ184:BG184,BH184:BO184),       INDEX(BH184:BO184,MATCH(BP184,$BH$17:$BO$17,0))))))</f>
        <v>0</v>
      </c>
      <c r="BS184" s="731">
        <f t="shared" si="34"/>
        <v>0</v>
      </c>
      <c r="BT184" s="406">
        <f t="shared" si="35"/>
        <v>0</v>
      </c>
      <c r="BU184" s="284">
        <f>IF($AW185,_xll.qDateYears($AW184,$AW185,DCC_Leg2_Fixed),0)</f>
        <v>0</v>
      </c>
      <c r="BV184" s="284">
        <f>IF($AW185,_xll.qDateYears($AW184,$AW185,DCC_Leg2_Float),0)</f>
        <v>0</v>
      </c>
      <c r="BX184" s="350">
        <f t="shared" si="41"/>
        <v>0</v>
      </c>
      <c r="BY184" s="375">
        <f>IF(GenType_2a="Fixed",GenRate_2a%*$BT183*BU183,          IF(GenType_2a="Float",$BT183*(_xll.qGetFwdRate($J$18,$AW183,$AW184,"T",DCC_Leg2_Float)%+GenRate_2a%%)*$BV183,        IF(GenType_2a="bp (Fixed)",GenRate_2a%%*$BU183*$BT183,   IF(GenType_2a="bp (Float)",GenRate_2a%%*$BT183*$BV183,0))))</f>
        <v>0</v>
      </c>
      <c r="BZ184" s="561"/>
      <c r="CB184" s="341">
        <f t="shared" si="43"/>
        <v>0</v>
      </c>
      <c r="CC184" s="563"/>
      <c r="CD184" s="356"/>
      <c r="CE184" s="341">
        <v>0</v>
      </c>
      <c r="CF184" s="563"/>
      <c r="CG184" s="356"/>
    </row>
    <row r="185" spans="15:85">
      <c r="O185" s="122">
        <v>0</v>
      </c>
      <c r="P185" s="128">
        <f t="shared" si="30"/>
        <v>0</v>
      </c>
      <c r="Q185" s="126">
        <v>0</v>
      </c>
      <c r="R185" s="699">
        <f>IF($O186=0,0,        _xll.qDateNext($O185,R$17,"M",TRUE,Currency1))</f>
        <v>0</v>
      </c>
      <c r="S185" s="699">
        <f>IF($O186=0,0,        _xll.qDateNext($O185,S$17,"M",TRUE,Currency1))</f>
        <v>0</v>
      </c>
      <c r="T185" s="699">
        <f>IF($O186=0,0,        _xll.qDateNext($O185,T$17,"M",TRUE,Currency1))</f>
        <v>0</v>
      </c>
      <c r="U185" s="699">
        <f>IF($O186=0,0,        _xll.qDateNext($O185,U$17,"M",TRUE,Currency1))</f>
        <v>0</v>
      </c>
      <c r="V185" s="699">
        <f>IF($O186=0,0,        _xll.qDateNext($O185,V$17,"M",TRUE,Currency1))</f>
        <v>0</v>
      </c>
      <c r="W185" s="699">
        <f>IF($O186=0,0,        _xll.qDateNext($O185,W$17,"M",TRUE,Currency1))</f>
        <v>0</v>
      </c>
      <c r="X185" s="699">
        <f>IF($O186=0,0,        _xll.qDateNext($O185,X$17,"M",TRUE,Currency1))</f>
        <v>0</v>
      </c>
      <c r="Y185" s="699">
        <f>IF($O186=0,0,        _xll.qDateNext($O185,Y$17,"M",TRUE,Currency1))</f>
        <v>0</v>
      </c>
      <c r="Z185" s="703">
        <f>IF($O186=0,0,           IF(FRM,_xll.qGetFwdRate(Z$14,$O185,R185,"T",DCC_Leg1_Float),_xll.qGetFwdRate(Z$14,$O185,$O186,"T",DCC_Leg1_Float)))</f>
        <v>0</v>
      </c>
      <c r="AA185" s="703">
        <f>IF($O186=0,0,           IF(FRM,_xll.qGetFwdRate(AA$14,$O185,S185,"T",DCC_Leg1_Float),_xll.qGetFwdRate(AA$14,$O185,$O186,"T",DCC_Leg1_Float)))</f>
        <v>0</v>
      </c>
      <c r="AB185" s="703">
        <f t="shared" si="31"/>
        <v>0</v>
      </c>
      <c r="AC185" s="703">
        <f>IF($O186=0,0,           IF(FRM,_xll.qGetFwdRate(AC$14,$O185,U185,"T",DCC_Leg1_Float),_xll.qGetFwdRate(AC$14,$O185,$O186,"T",DCC_Leg1_Float)))</f>
        <v>0</v>
      </c>
      <c r="AD185" s="703">
        <f t="shared" si="36"/>
        <v>0</v>
      </c>
      <c r="AE185" s="703">
        <f t="shared" si="37"/>
        <v>0</v>
      </c>
      <c r="AF185" s="703">
        <f>IF($O186=0,0,           IF(FRM,_xll.qGetFwdRate(AF$14,$O185,X185,"T",DCC_Leg1_Float),_xll.qGetFwdRate(AF$14,$O185,$O186,"T",DCC_Leg1_Float)))</f>
        <v>0</v>
      </c>
      <c r="AG185" s="703">
        <f>IF($O186=0,0,           IF(FRM,_xll.qGetFwdRate(AG$14,$O185,Y185,"T",DCC_Leg1_Float),_xll.qGetFwdRate(AG$14,$O185,$O186,"T",DCC_Leg1_Float)))</f>
        <v>0</v>
      </c>
      <c r="AH185" s="685">
        <v>0</v>
      </c>
      <c r="AI185" s="667"/>
      <c r="AJ185" s="670">
        <f>IF(O186=0,0,             IF(ISNUMBER(AI185),AI185,             IF(ISTEXT(AI185),INDEX(Z185:AG185,MATCH(AI185,$Z$17:$AG$17,0)),           IF(AH185="INT",_xll.qInterp(O186,R185:Y185,Z185:AG185),       INDEX(Z185:AG185,MATCH(AH185,$Z$17:$AG$17,0))))))</f>
        <v>0</v>
      </c>
      <c r="AK185" s="732">
        <v>100</v>
      </c>
      <c r="AL185" s="721">
        <f t="shared" si="32"/>
        <v>0</v>
      </c>
      <c r="AM185" s="284">
        <f>IF($O186,_xll.qDateYears($O185,$O186,DCC_Leg1_Fixed),0)</f>
        <v>0</v>
      </c>
      <c r="AN185" s="284">
        <f>IF($O186,_xll.qDateYears($O185,$O186,DCC_Leg1_Float),0)</f>
        <v>0</v>
      </c>
      <c r="AP185" s="350">
        <f t="shared" si="38"/>
        <v>0</v>
      </c>
      <c r="AQ185" s="375">
        <f>IF(GenType_1a="Fixed",GenRate_1a%*$AL184*AM184,          IF(GenType_1a="Float",$AL184*(_xll.qGetFwdRate($D$18,$O184,$O185,"T",DCC_Leg1_Float)%+GenRate_1a%%)*$AN184,        IF(GenType_1a="bp (Fixed)",GenRate_1a%%*$AM184*$AL184,   IF(GenType_1a="bp (Float)",GenRate_1a%%*$AL184*$AN184,0))))</f>
        <v>0</v>
      </c>
      <c r="AR185" s="561"/>
      <c r="AT185" s="341">
        <f t="shared" si="42"/>
        <v>0</v>
      </c>
      <c r="AV185" s="356"/>
      <c r="AW185" s="122">
        <v>0</v>
      </c>
      <c r="AX185" s="128">
        <f t="shared" si="33"/>
        <v>0</v>
      </c>
      <c r="AY185" s="357">
        <v>0</v>
      </c>
      <c r="AZ185" s="699">
        <f>IF($AW186=0,0,        _xll.qDateNext($AW185,AZ$17,"M",TRUE,Currency2))</f>
        <v>0</v>
      </c>
      <c r="BA185" s="699">
        <f>IF($AW186=0,0,        _xll.qDateNext($AW185,BA$17,"M",TRUE,Currency2))</f>
        <v>0</v>
      </c>
      <c r="BB185" s="699">
        <f>IF($AW186=0,0,        _xll.qDateNext($AW185,BB$17,"M",TRUE,Currency2))</f>
        <v>0</v>
      </c>
      <c r="BC185" s="699">
        <f>IF($AW186=0,0,        _xll.qDateNext($AW185,BC$17,"M",TRUE,Currency2))</f>
        <v>0</v>
      </c>
      <c r="BD185" s="699">
        <f>IF($AW186=0,0,        _xll.qDateNext($AW185,BD$17,"M",TRUE,Currency2))</f>
        <v>0</v>
      </c>
      <c r="BE185" s="699">
        <f>IF($AW186=0,0,        _xll.qDateNext($AW185,BE$17,"M",TRUE,Currency2))</f>
        <v>0</v>
      </c>
      <c r="BF185" s="699">
        <f>IF($AW186=0,0,        _xll.qDateNext($AW185,BF$17,"M",TRUE,Currency2))</f>
        <v>0</v>
      </c>
      <c r="BG185" s="699">
        <f>IF($AW186=0,0,        _xll.qDateNext($AW185,BG$17,"M",TRUE,Currency2))</f>
        <v>0</v>
      </c>
      <c r="BH185" s="703">
        <v>0</v>
      </c>
      <c r="BI185" s="703">
        <v>0</v>
      </c>
      <c r="BJ185" s="703">
        <v>0</v>
      </c>
      <c r="BK185" s="703">
        <v>0</v>
      </c>
      <c r="BL185" s="703">
        <f t="shared" si="39"/>
        <v>0</v>
      </c>
      <c r="BM185" s="703">
        <f t="shared" si="40"/>
        <v>0</v>
      </c>
      <c r="BN185" s="703">
        <v>0</v>
      </c>
      <c r="BO185" s="703">
        <v>0</v>
      </c>
      <c r="BP185" s="685">
        <v>0</v>
      </c>
      <c r="BQ185" s="667"/>
      <c r="BR185" s="670">
        <f>IF(AW186=0,0,             IF(ISNUMBER(BQ185),BQ185,             IF(ISTEXT(BQ185),INDEX(BH185:BO185,MATCH(BQ185,$BH$17:$BO$17,0)),           IF(BP185="INT",_xll.qInterp(AW186,AZ185:BG185,BH185:BO185),       INDEX(BH185:BO185,MATCH(BP185,$BH$17:$BO$17,0))))))</f>
        <v>0</v>
      </c>
      <c r="BS185" s="731">
        <f t="shared" si="34"/>
        <v>0</v>
      </c>
      <c r="BT185" s="406">
        <f t="shared" si="35"/>
        <v>0</v>
      </c>
      <c r="BU185" s="284">
        <f>IF($AW186,_xll.qDateYears($AW185,$AW186,DCC_Leg2_Fixed),0)</f>
        <v>0</v>
      </c>
      <c r="BV185" s="284">
        <f>IF($AW186,_xll.qDateYears($AW185,$AW186,DCC_Leg2_Float),0)</f>
        <v>0</v>
      </c>
      <c r="BX185" s="350">
        <f t="shared" si="41"/>
        <v>0</v>
      </c>
      <c r="BY185" s="375">
        <f>IF(GenType_2a="Fixed",GenRate_2a%*$BT184*BU184,          IF(GenType_2a="Float",$BT184*(_xll.qGetFwdRate($J$18,$AW184,$AW185,"T",DCC_Leg2_Float)%+GenRate_2a%%)*$BV184,        IF(GenType_2a="bp (Fixed)",GenRate_2a%%*$BU184*$BT184,   IF(GenType_2a="bp (Float)",GenRate_2a%%*$BT184*$BV184,0))))</f>
        <v>0</v>
      </c>
      <c r="BZ185" s="561"/>
      <c r="CB185" s="341">
        <f t="shared" si="43"/>
        <v>0</v>
      </c>
      <c r="CC185" s="563"/>
      <c r="CD185" s="356"/>
      <c r="CE185" s="341">
        <v>0</v>
      </c>
      <c r="CF185" s="563"/>
      <c r="CG185" s="356"/>
    </row>
    <row r="186" spans="15:85">
      <c r="O186" s="122">
        <v>0</v>
      </c>
      <c r="P186" s="128">
        <f t="shared" si="30"/>
        <v>0</v>
      </c>
      <c r="Q186" s="126">
        <v>0</v>
      </c>
      <c r="R186" s="699">
        <f>IF($O187=0,0,        _xll.qDateNext($O186,R$17,"M",TRUE,Currency1))</f>
        <v>0</v>
      </c>
      <c r="S186" s="699">
        <f>IF($O187=0,0,        _xll.qDateNext($O186,S$17,"M",TRUE,Currency1))</f>
        <v>0</v>
      </c>
      <c r="T186" s="699">
        <f>IF($O187=0,0,        _xll.qDateNext($O186,T$17,"M",TRUE,Currency1))</f>
        <v>0</v>
      </c>
      <c r="U186" s="699">
        <f>IF($O187=0,0,        _xll.qDateNext($O186,U$17,"M",TRUE,Currency1))</f>
        <v>0</v>
      </c>
      <c r="V186" s="699">
        <f>IF($O187=0,0,        _xll.qDateNext($O186,V$17,"M",TRUE,Currency1))</f>
        <v>0</v>
      </c>
      <c r="W186" s="699">
        <f>IF($O187=0,0,        _xll.qDateNext($O186,W$17,"M",TRUE,Currency1))</f>
        <v>0</v>
      </c>
      <c r="X186" s="699">
        <f>IF($O187=0,0,        _xll.qDateNext($O186,X$17,"M",TRUE,Currency1))</f>
        <v>0</v>
      </c>
      <c r="Y186" s="699">
        <f>IF($O187=0,0,        _xll.qDateNext($O186,Y$17,"M",TRUE,Currency1))</f>
        <v>0</v>
      </c>
      <c r="Z186" s="703">
        <f>IF($O187=0,0,           IF(FRM,_xll.qGetFwdRate(Z$14,$O186,R186,"T",DCC_Leg1_Float),_xll.qGetFwdRate(Z$14,$O186,$O187,"T",DCC_Leg1_Float)))</f>
        <v>0</v>
      </c>
      <c r="AA186" s="703">
        <f>IF($O187=0,0,           IF(FRM,_xll.qGetFwdRate(AA$14,$O186,S186,"T",DCC_Leg1_Float),_xll.qGetFwdRate(AA$14,$O186,$O187,"T",DCC_Leg1_Float)))</f>
        <v>0</v>
      </c>
      <c r="AB186" s="703">
        <f t="shared" si="31"/>
        <v>0</v>
      </c>
      <c r="AC186" s="703">
        <f>IF($O187=0,0,           IF(FRM,_xll.qGetFwdRate(AC$14,$O186,U186,"T",DCC_Leg1_Float),_xll.qGetFwdRate(AC$14,$O186,$O187,"T",DCC_Leg1_Float)))</f>
        <v>0</v>
      </c>
      <c r="AD186" s="703">
        <f t="shared" si="36"/>
        <v>0</v>
      </c>
      <c r="AE186" s="703">
        <f t="shared" si="37"/>
        <v>0</v>
      </c>
      <c r="AF186" s="703">
        <f>IF($O187=0,0,           IF(FRM,_xll.qGetFwdRate(AF$14,$O186,X186,"T",DCC_Leg1_Float),_xll.qGetFwdRate(AF$14,$O186,$O187,"T",DCC_Leg1_Float)))</f>
        <v>0</v>
      </c>
      <c r="AG186" s="703">
        <f>IF($O187=0,0,           IF(FRM,_xll.qGetFwdRate(AG$14,$O186,Y186,"T",DCC_Leg1_Float),_xll.qGetFwdRate(AG$14,$O186,$O187,"T",DCC_Leg1_Float)))</f>
        <v>0</v>
      </c>
      <c r="AH186" s="685">
        <v>0</v>
      </c>
      <c r="AI186" s="667"/>
      <c r="AJ186" s="670">
        <f>IF(O187=0,0,             IF(ISNUMBER(AI186),AI186,             IF(ISTEXT(AI186),INDEX(Z186:AG186,MATCH(AI186,$Z$17:$AG$17,0)),           IF(AH186="INT",_xll.qInterp(O187,R186:Y186,Z186:AG186),       INDEX(Z186:AG186,MATCH(AH186,$Z$17:$AG$17,0))))))</f>
        <v>0</v>
      </c>
      <c r="AK186" s="732">
        <v>100</v>
      </c>
      <c r="AL186" s="721">
        <f t="shared" si="32"/>
        <v>0</v>
      </c>
      <c r="AM186" s="284">
        <f>IF($O187,_xll.qDateYears($O186,$O187,DCC_Leg1_Fixed),0)</f>
        <v>0</v>
      </c>
      <c r="AN186" s="284">
        <f>IF($O187,_xll.qDateYears($O186,$O187,DCC_Leg1_Float),0)</f>
        <v>0</v>
      </c>
      <c r="AP186" s="350">
        <f t="shared" si="38"/>
        <v>0</v>
      </c>
      <c r="AQ186" s="375">
        <f>IF(GenType_1a="Fixed",GenRate_1a%*$AL185*AM185,          IF(GenType_1a="Float",$AL185*(_xll.qGetFwdRate($D$18,$O185,$O186,"T",DCC_Leg1_Float)%+GenRate_1a%%)*$AN185,        IF(GenType_1a="bp (Fixed)",GenRate_1a%%*$AM185*$AL185,   IF(GenType_1a="bp (Float)",GenRate_1a%%*$AL185*$AN185,0))))</f>
        <v>0</v>
      </c>
      <c r="AR186" s="561"/>
      <c r="AT186" s="341">
        <f t="shared" si="42"/>
        <v>0</v>
      </c>
      <c r="AV186" s="356"/>
      <c r="AW186" s="122">
        <v>0</v>
      </c>
      <c r="AX186" s="128">
        <f t="shared" si="33"/>
        <v>0</v>
      </c>
      <c r="AY186" s="357">
        <v>0</v>
      </c>
      <c r="AZ186" s="699">
        <f>IF($AW187=0,0,        _xll.qDateNext($AW186,AZ$17,"M",TRUE,Currency2))</f>
        <v>0</v>
      </c>
      <c r="BA186" s="699">
        <f>IF($AW187=0,0,        _xll.qDateNext($AW186,BA$17,"M",TRUE,Currency2))</f>
        <v>0</v>
      </c>
      <c r="BB186" s="699">
        <f>IF($AW187=0,0,        _xll.qDateNext($AW186,BB$17,"M",TRUE,Currency2))</f>
        <v>0</v>
      </c>
      <c r="BC186" s="699">
        <f>IF($AW187=0,0,        _xll.qDateNext($AW186,BC$17,"M",TRUE,Currency2))</f>
        <v>0</v>
      </c>
      <c r="BD186" s="699">
        <f>IF($AW187=0,0,        _xll.qDateNext($AW186,BD$17,"M",TRUE,Currency2))</f>
        <v>0</v>
      </c>
      <c r="BE186" s="699">
        <f>IF($AW187=0,0,        _xll.qDateNext($AW186,BE$17,"M",TRUE,Currency2))</f>
        <v>0</v>
      </c>
      <c r="BF186" s="699">
        <f>IF($AW187=0,0,        _xll.qDateNext($AW186,BF$17,"M",TRUE,Currency2))</f>
        <v>0</v>
      </c>
      <c r="BG186" s="699">
        <f>IF($AW187=0,0,        _xll.qDateNext($AW186,BG$17,"M",TRUE,Currency2))</f>
        <v>0</v>
      </c>
      <c r="BH186" s="703">
        <v>0</v>
      </c>
      <c r="BI186" s="703">
        <v>0</v>
      </c>
      <c r="BJ186" s="703">
        <v>0</v>
      </c>
      <c r="BK186" s="703">
        <v>0</v>
      </c>
      <c r="BL186" s="703">
        <f t="shared" si="39"/>
        <v>0</v>
      </c>
      <c r="BM186" s="703">
        <f t="shared" si="40"/>
        <v>0</v>
      </c>
      <c r="BN186" s="703">
        <v>0</v>
      </c>
      <c r="BO186" s="703">
        <v>0</v>
      </c>
      <c r="BP186" s="685">
        <v>0</v>
      </c>
      <c r="BQ186" s="667"/>
      <c r="BR186" s="670">
        <f>IF(AW187=0,0,             IF(ISNUMBER(BQ186),BQ186,             IF(ISTEXT(BQ186),INDEX(BH186:BO186,MATCH(BQ186,$BH$17:$BO$17,0)),           IF(BP186="INT",_xll.qInterp(AW187,AZ186:BG186,BH186:BO186),       INDEX(BH186:BO186,MATCH(BP186,$BH$17:$BO$17,0))))))</f>
        <v>0</v>
      </c>
      <c r="BS186" s="731">
        <f t="shared" si="34"/>
        <v>0</v>
      </c>
      <c r="BT186" s="406">
        <f t="shared" si="35"/>
        <v>0</v>
      </c>
      <c r="BU186" s="284">
        <f>IF($AW187,_xll.qDateYears($AW186,$AW187,DCC_Leg2_Fixed),0)</f>
        <v>0</v>
      </c>
      <c r="BV186" s="284">
        <f>IF($AW187,_xll.qDateYears($AW186,$AW187,DCC_Leg2_Float),0)</f>
        <v>0</v>
      </c>
      <c r="BX186" s="350">
        <f t="shared" si="41"/>
        <v>0</v>
      </c>
      <c r="BY186" s="375">
        <f>IF(GenType_2a="Fixed",GenRate_2a%*$BT185*BU185,          IF(GenType_2a="Float",$BT185*(_xll.qGetFwdRate($J$18,$AW185,$AW186,"T",DCC_Leg2_Float)%+GenRate_2a%%)*$BV185,        IF(GenType_2a="bp (Fixed)",GenRate_2a%%*$BU185*$BT185,   IF(GenType_2a="bp (Float)",GenRate_2a%%*$BT185*$BV185,0))))</f>
        <v>0</v>
      </c>
      <c r="BZ186" s="561"/>
      <c r="CB186" s="341">
        <f t="shared" si="43"/>
        <v>0</v>
      </c>
      <c r="CC186" s="563"/>
      <c r="CD186" s="356"/>
      <c r="CE186" s="341">
        <v>0</v>
      </c>
      <c r="CF186" s="563"/>
      <c r="CG186" s="356"/>
    </row>
    <row r="187" spans="15:85">
      <c r="O187" s="122">
        <v>0</v>
      </c>
      <c r="P187" s="128">
        <f t="shared" si="30"/>
        <v>0</v>
      </c>
      <c r="Q187" s="126">
        <v>0</v>
      </c>
      <c r="R187" s="699">
        <f>IF($O188=0,0,        _xll.qDateNext($O187,R$17,"M",TRUE,Currency1))</f>
        <v>0</v>
      </c>
      <c r="S187" s="699">
        <f>IF($O188=0,0,        _xll.qDateNext($O187,S$17,"M",TRUE,Currency1))</f>
        <v>0</v>
      </c>
      <c r="T187" s="699">
        <f>IF($O188=0,0,        _xll.qDateNext($O187,T$17,"M",TRUE,Currency1))</f>
        <v>0</v>
      </c>
      <c r="U187" s="699">
        <f>IF($O188=0,0,        _xll.qDateNext($O187,U$17,"M",TRUE,Currency1))</f>
        <v>0</v>
      </c>
      <c r="V187" s="699">
        <f>IF($O188=0,0,        _xll.qDateNext($O187,V$17,"M",TRUE,Currency1))</f>
        <v>0</v>
      </c>
      <c r="W187" s="699">
        <f>IF($O188=0,0,        _xll.qDateNext($O187,W$17,"M",TRUE,Currency1))</f>
        <v>0</v>
      </c>
      <c r="X187" s="699">
        <f>IF($O188=0,0,        _xll.qDateNext($O187,X$17,"M",TRUE,Currency1))</f>
        <v>0</v>
      </c>
      <c r="Y187" s="699">
        <f>IF($O188=0,0,        _xll.qDateNext($O187,Y$17,"M",TRUE,Currency1))</f>
        <v>0</v>
      </c>
      <c r="Z187" s="703">
        <f>IF($O188=0,0,           IF(FRM,_xll.qGetFwdRate(Z$14,$O187,R187,"T",DCC_Leg1_Float),_xll.qGetFwdRate(Z$14,$O187,$O188,"T",DCC_Leg1_Float)))</f>
        <v>0</v>
      </c>
      <c r="AA187" s="703">
        <f>IF($O188=0,0,           IF(FRM,_xll.qGetFwdRate(AA$14,$O187,S187,"T",DCC_Leg1_Float),_xll.qGetFwdRate(AA$14,$O187,$O188,"T",DCC_Leg1_Float)))</f>
        <v>0</v>
      </c>
      <c r="AB187" s="703">
        <f t="shared" si="31"/>
        <v>0</v>
      </c>
      <c r="AC187" s="703">
        <f>IF($O188=0,0,           IF(FRM,_xll.qGetFwdRate(AC$14,$O187,U187,"T",DCC_Leg1_Float),_xll.qGetFwdRate(AC$14,$O187,$O188,"T",DCC_Leg1_Float)))</f>
        <v>0</v>
      </c>
      <c r="AD187" s="703">
        <f t="shared" si="36"/>
        <v>0</v>
      </c>
      <c r="AE187" s="703">
        <f t="shared" si="37"/>
        <v>0</v>
      </c>
      <c r="AF187" s="703">
        <f>IF($O188=0,0,           IF(FRM,_xll.qGetFwdRate(AF$14,$O187,X187,"T",DCC_Leg1_Float),_xll.qGetFwdRate(AF$14,$O187,$O188,"T",DCC_Leg1_Float)))</f>
        <v>0</v>
      </c>
      <c r="AG187" s="703">
        <f>IF($O188=0,0,           IF(FRM,_xll.qGetFwdRate(AG$14,$O187,Y187,"T",DCC_Leg1_Float),_xll.qGetFwdRate(AG$14,$O187,$O188,"T",DCC_Leg1_Float)))</f>
        <v>0</v>
      </c>
      <c r="AH187" s="685">
        <v>0</v>
      </c>
      <c r="AI187" s="667"/>
      <c r="AJ187" s="670">
        <f>IF(O188=0,0,             IF(ISNUMBER(AI187),AI187,             IF(ISTEXT(AI187),INDEX(Z187:AG187,MATCH(AI187,$Z$17:$AG$17,0)),           IF(AH187="INT",_xll.qInterp(O188,R187:Y187,Z187:AG187),       INDEX(Z187:AG187,MATCH(AH187,$Z$17:$AG$17,0))))))</f>
        <v>0</v>
      </c>
      <c r="AK187" s="732"/>
      <c r="AL187" s="721">
        <f t="shared" si="32"/>
        <v>0</v>
      </c>
      <c r="AM187" s="284">
        <f>IF($O188,_xll.qDateYears($O187,$O188,DCC_Leg1_Fixed),0)</f>
        <v>0</v>
      </c>
      <c r="AN187" s="284">
        <f>IF($O188,_xll.qDateYears($O187,$O188,DCC_Leg1_Float),0)</f>
        <v>0</v>
      </c>
      <c r="AP187" s="350">
        <f t="shared" si="38"/>
        <v>0</v>
      </c>
      <c r="AQ187" s="375">
        <f>IF(GenType_1a="Fixed",GenRate_1a%*$AL186*AM186,          IF(GenType_1a="Float",$AL186*(_xll.qGetFwdRate($D$18,$O186,$O187,"T",DCC_Leg1_Float)%+GenRate_1a%%)*$AN186,        IF(GenType_1a="bp (Fixed)",GenRate_1a%%*$AM186*$AL186,   IF(GenType_1a="bp (Float)",GenRate_1a%%*$AL186*$AN186,0))))</f>
        <v>0</v>
      </c>
      <c r="AR187" s="561"/>
      <c r="AT187" s="341">
        <f t="shared" si="42"/>
        <v>0</v>
      </c>
      <c r="AV187" s="356"/>
      <c r="AW187" s="122">
        <v>0</v>
      </c>
      <c r="AX187" s="128">
        <f t="shared" si="33"/>
        <v>0</v>
      </c>
      <c r="AY187" s="357">
        <v>0</v>
      </c>
      <c r="AZ187" s="699">
        <f>IF($AW188=0,0,        _xll.qDateNext($AW187,AZ$17,"M",TRUE,Currency2))</f>
        <v>0</v>
      </c>
      <c r="BA187" s="699">
        <f>IF($AW188=0,0,        _xll.qDateNext($AW187,BA$17,"M",TRUE,Currency2))</f>
        <v>0</v>
      </c>
      <c r="BB187" s="699">
        <f>IF($AW188=0,0,        _xll.qDateNext($AW187,BB$17,"M",TRUE,Currency2))</f>
        <v>0</v>
      </c>
      <c r="BC187" s="699">
        <f>IF($AW188=0,0,        _xll.qDateNext($AW187,BC$17,"M",TRUE,Currency2))</f>
        <v>0</v>
      </c>
      <c r="BD187" s="699">
        <f>IF($AW188=0,0,        _xll.qDateNext($AW187,BD$17,"M",TRUE,Currency2))</f>
        <v>0</v>
      </c>
      <c r="BE187" s="699">
        <f>IF($AW188=0,0,        _xll.qDateNext($AW187,BE$17,"M",TRUE,Currency2))</f>
        <v>0</v>
      </c>
      <c r="BF187" s="699">
        <f>IF($AW188=0,0,        _xll.qDateNext($AW187,BF$17,"M",TRUE,Currency2))</f>
        <v>0</v>
      </c>
      <c r="BG187" s="699">
        <f>IF($AW188=0,0,        _xll.qDateNext($AW187,BG$17,"M",TRUE,Currency2))</f>
        <v>0</v>
      </c>
      <c r="BH187" s="703">
        <v>0</v>
      </c>
      <c r="BI187" s="703">
        <v>0</v>
      </c>
      <c r="BJ187" s="703">
        <v>0</v>
      </c>
      <c r="BK187" s="703">
        <v>0</v>
      </c>
      <c r="BL187" s="703">
        <f t="shared" si="39"/>
        <v>0</v>
      </c>
      <c r="BM187" s="703">
        <f t="shared" si="40"/>
        <v>0</v>
      </c>
      <c r="BN187" s="703">
        <v>0</v>
      </c>
      <c r="BO187" s="703">
        <v>0</v>
      </c>
      <c r="BP187" s="685">
        <v>0</v>
      </c>
      <c r="BQ187" s="667"/>
      <c r="BR187" s="670">
        <f>IF(AW188=0,0,             IF(ISNUMBER(BQ187),BQ187,             IF(ISTEXT(BQ187),INDEX(BH187:BO187,MATCH(BQ187,$BH$17:$BO$17,0)),           IF(BP187="INT",_xll.qInterp(AW188,AZ187:BG187,BH187:BO187),       INDEX(BH187:BO187,MATCH(BP187,$BH$17:$BO$17,0))))))</f>
        <v>0</v>
      </c>
      <c r="BS187" s="731">
        <f t="shared" si="34"/>
        <v>0</v>
      </c>
      <c r="BT187" s="406">
        <f t="shared" si="35"/>
        <v>0</v>
      </c>
      <c r="BU187" s="284">
        <f>IF($AW188,_xll.qDateYears($AW187,$AW188,DCC_Leg2_Fixed),0)</f>
        <v>0</v>
      </c>
      <c r="BV187" s="284">
        <f>IF($AW188,_xll.qDateYears($AW187,$AW188,DCC_Leg2_Float),0)</f>
        <v>0</v>
      </c>
      <c r="BX187" s="350">
        <f t="shared" si="41"/>
        <v>0</v>
      </c>
      <c r="BY187" s="375">
        <f>IF(GenType_2a="Fixed",GenRate_2a%*$BT186*BU186,          IF(GenType_2a="Float",$BT186*(_xll.qGetFwdRate($J$18,$AW186,$AW187,"T",DCC_Leg2_Float)%+GenRate_2a%%)*$BV186,        IF(GenType_2a="bp (Fixed)",GenRate_2a%%*$BU186*$BT186,   IF(GenType_2a="bp (Float)",GenRate_2a%%*$BT186*$BV186,0))))</f>
        <v>0</v>
      </c>
      <c r="BZ187" s="561"/>
      <c r="CB187" s="341">
        <f t="shared" si="43"/>
        <v>0</v>
      </c>
      <c r="CC187" s="563"/>
      <c r="CD187" s="356"/>
      <c r="CE187" s="341">
        <v>0</v>
      </c>
      <c r="CF187" s="563"/>
      <c r="CG187" s="356"/>
    </row>
    <row r="188" spans="15:85">
      <c r="O188" s="122">
        <v>0</v>
      </c>
      <c r="P188" s="128">
        <f t="shared" si="30"/>
        <v>0</v>
      </c>
      <c r="Q188" s="126">
        <v>0</v>
      </c>
      <c r="R188" s="699">
        <f>IF($O189=0,0,        _xll.qDateNext($O188,R$17,"M",TRUE,Currency1))</f>
        <v>0</v>
      </c>
      <c r="S188" s="699">
        <f>IF($O189=0,0,        _xll.qDateNext($O188,S$17,"M",TRUE,Currency1))</f>
        <v>0</v>
      </c>
      <c r="T188" s="699">
        <f>IF($O189=0,0,        _xll.qDateNext($O188,T$17,"M",TRUE,Currency1))</f>
        <v>0</v>
      </c>
      <c r="U188" s="699">
        <f>IF($O189=0,0,        _xll.qDateNext($O188,U$17,"M",TRUE,Currency1))</f>
        <v>0</v>
      </c>
      <c r="V188" s="699">
        <f>IF($O189=0,0,        _xll.qDateNext($O188,V$17,"M",TRUE,Currency1))</f>
        <v>0</v>
      </c>
      <c r="W188" s="699">
        <f>IF($O189=0,0,        _xll.qDateNext($O188,W$17,"M",TRUE,Currency1))</f>
        <v>0</v>
      </c>
      <c r="X188" s="699">
        <f>IF($O189=0,0,        _xll.qDateNext($O188,X$17,"M",TRUE,Currency1))</f>
        <v>0</v>
      </c>
      <c r="Y188" s="699">
        <f>IF($O189=0,0,        _xll.qDateNext($O188,Y$17,"M",TRUE,Currency1))</f>
        <v>0</v>
      </c>
      <c r="Z188" s="703">
        <f>IF($O189=0,0,           IF(FRM,_xll.qGetFwdRate(Z$14,$O188,R188,"T",DCC_Leg1_Float),_xll.qGetFwdRate(Z$14,$O188,$O189,"T",DCC_Leg1_Float)))</f>
        <v>0</v>
      </c>
      <c r="AA188" s="703">
        <f>IF($O189=0,0,           IF(FRM,_xll.qGetFwdRate(AA$14,$O188,S188,"T",DCC_Leg1_Float),_xll.qGetFwdRate(AA$14,$O188,$O189,"T",DCC_Leg1_Float)))</f>
        <v>0</v>
      </c>
      <c r="AB188" s="703">
        <f t="shared" si="31"/>
        <v>0</v>
      </c>
      <c r="AC188" s="703">
        <f>IF($O189=0,0,           IF(FRM,_xll.qGetFwdRate(AC$14,$O188,U188,"T",DCC_Leg1_Float),_xll.qGetFwdRate(AC$14,$O188,$O189,"T",DCC_Leg1_Float)))</f>
        <v>0</v>
      </c>
      <c r="AD188" s="703">
        <f t="shared" si="36"/>
        <v>0</v>
      </c>
      <c r="AE188" s="703">
        <f t="shared" si="37"/>
        <v>0</v>
      </c>
      <c r="AF188" s="703">
        <f>IF($O189=0,0,           IF(FRM,_xll.qGetFwdRate(AF$14,$O188,X188,"T",DCC_Leg1_Float),_xll.qGetFwdRate(AF$14,$O188,$O189,"T",DCC_Leg1_Float)))</f>
        <v>0</v>
      </c>
      <c r="AG188" s="703">
        <f>IF($O189=0,0,           IF(FRM,_xll.qGetFwdRate(AG$14,$O188,Y188,"T",DCC_Leg1_Float),_xll.qGetFwdRate(AG$14,$O188,$O189,"T",DCC_Leg1_Float)))</f>
        <v>0</v>
      </c>
      <c r="AH188" s="685">
        <v>0</v>
      </c>
      <c r="AI188" s="667"/>
      <c r="AJ188" s="670">
        <f>IF(O189=0,0,             IF(ISNUMBER(AI188),AI188,             IF(ISTEXT(AI188),INDEX(Z188:AG188,MATCH(AI188,$Z$17:$AG$17,0)),           IF(AH188="INT",_xll.qInterp(O189,R188:Y188,Z188:AG188),       INDEX(Z188:AG188,MATCH(AH188,$Z$17:$AG$17,0))))))</f>
        <v>0</v>
      </c>
      <c r="AK188" s="732">
        <v>20</v>
      </c>
      <c r="AL188" s="721">
        <f t="shared" si="32"/>
        <v>0</v>
      </c>
      <c r="AM188" s="284">
        <f>IF($O189,_xll.qDateYears($O188,$O189,DCC_Leg1_Fixed),0)</f>
        <v>0</v>
      </c>
      <c r="AN188" s="284">
        <f>IF($O189,_xll.qDateYears($O188,$O189,DCC_Leg1_Float),0)</f>
        <v>0</v>
      </c>
      <c r="AP188" s="350">
        <f t="shared" si="38"/>
        <v>0</v>
      </c>
      <c r="AQ188" s="375">
        <f>IF(GenType_1a="Fixed",GenRate_1a%*$AL187*AM187,          IF(GenType_1a="Float",$AL187*(_xll.qGetFwdRate($D$18,$O187,$O188,"T",DCC_Leg1_Float)%+GenRate_1a%%)*$AN187,        IF(GenType_1a="bp (Fixed)",GenRate_1a%%*$AM187*$AL187,   IF(GenType_1a="bp (Float)",GenRate_1a%%*$AL187*$AN187,0))))</f>
        <v>0</v>
      </c>
      <c r="AR188" s="561"/>
      <c r="AT188" s="341">
        <f t="shared" si="42"/>
        <v>0</v>
      </c>
      <c r="AV188" s="356"/>
      <c r="AW188" s="122">
        <v>0</v>
      </c>
      <c r="AX188" s="128">
        <f t="shared" si="33"/>
        <v>0</v>
      </c>
      <c r="AY188" s="357">
        <v>0</v>
      </c>
      <c r="AZ188" s="699">
        <f>IF($AW189=0,0,        _xll.qDateNext($AW188,AZ$17,"M",TRUE,Currency2))</f>
        <v>0</v>
      </c>
      <c r="BA188" s="699">
        <f>IF($AW189=0,0,        _xll.qDateNext($AW188,BA$17,"M",TRUE,Currency2))</f>
        <v>0</v>
      </c>
      <c r="BB188" s="699">
        <f>IF($AW189=0,0,        _xll.qDateNext($AW188,BB$17,"M",TRUE,Currency2))</f>
        <v>0</v>
      </c>
      <c r="BC188" s="699">
        <f>IF($AW189=0,0,        _xll.qDateNext($AW188,BC$17,"M",TRUE,Currency2))</f>
        <v>0</v>
      </c>
      <c r="BD188" s="699">
        <f>IF($AW189=0,0,        _xll.qDateNext($AW188,BD$17,"M",TRUE,Currency2))</f>
        <v>0</v>
      </c>
      <c r="BE188" s="699">
        <f>IF($AW189=0,0,        _xll.qDateNext($AW188,BE$17,"M",TRUE,Currency2))</f>
        <v>0</v>
      </c>
      <c r="BF188" s="699">
        <f>IF($AW189=0,0,        _xll.qDateNext($AW188,BF$17,"M",TRUE,Currency2))</f>
        <v>0</v>
      </c>
      <c r="BG188" s="699">
        <f>IF($AW189=0,0,        _xll.qDateNext($AW188,BG$17,"M",TRUE,Currency2))</f>
        <v>0</v>
      </c>
      <c r="BH188" s="703">
        <v>0</v>
      </c>
      <c r="BI188" s="703">
        <v>0</v>
      </c>
      <c r="BJ188" s="703">
        <v>0</v>
      </c>
      <c r="BK188" s="703">
        <v>0</v>
      </c>
      <c r="BL188" s="703">
        <f t="shared" si="39"/>
        <v>0</v>
      </c>
      <c r="BM188" s="703">
        <f t="shared" si="40"/>
        <v>0</v>
      </c>
      <c r="BN188" s="703">
        <v>0</v>
      </c>
      <c r="BO188" s="703">
        <v>0</v>
      </c>
      <c r="BP188" s="685">
        <v>0</v>
      </c>
      <c r="BQ188" s="667"/>
      <c r="BR188" s="670">
        <f>IF(AW189=0,0,             IF(ISNUMBER(BQ188),BQ188,             IF(ISTEXT(BQ188),INDEX(BH188:BO188,MATCH(BQ188,$BH$17:$BO$17,0)),           IF(BP188="INT",_xll.qInterp(AW189,AZ188:BG188,BH188:BO188),       INDEX(BH188:BO188,MATCH(BP188,$BH$17:$BO$17,0))))))</f>
        <v>0</v>
      </c>
      <c r="BS188" s="731">
        <f t="shared" si="34"/>
        <v>0</v>
      </c>
      <c r="BT188" s="406">
        <f t="shared" si="35"/>
        <v>0</v>
      </c>
      <c r="BU188" s="284">
        <f>IF($AW189,_xll.qDateYears($AW188,$AW189,DCC_Leg2_Fixed),0)</f>
        <v>0</v>
      </c>
      <c r="BV188" s="284">
        <f>IF($AW189,_xll.qDateYears($AW188,$AW189,DCC_Leg2_Float),0)</f>
        <v>0</v>
      </c>
      <c r="BX188" s="350">
        <f t="shared" si="41"/>
        <v>0</v>
      </c>
      <c r="BY188" s="375">
        <f>IF(GenType_2a="Fixed",GenRate_2a%*$BT187*BU187,          IF(GenType_2a="Float",$BT187*(_xll.qGetFwdRate($J$18,$AW187,$AW188,"T",DCC_Leg2_Float)%+GenRate_2a%%)*$BV187,        IF(GenType_2a="bp (Fixed)",GenRate_2a%%*$BU187*$BT187,   IF(GenType_2a="bp (Float)",GenRate_2a%%*$BT187*$BV187,0))))</f>
        <v>0</v>
      </c>
      <c r="BZ188" s="561"/>
      <c r="CB188" s="341">
        <f t="shared" si="43"/>
        <v>0</v>
      </c>
      <c r="CC188" s="563"/>
      <c r="CD188" s="356"/>
      <c r="CE188" s="341">
        <v>0</v>
      </c>
      <c r="CF188" s="563"/>
      <c r="CG188" s="356"/>
    </row>
    <row r="189" spans="15:85">
      <c r="O189" s="122">
        <v>0</v>
      </c>
      <c r="P189" s="128">
        <f t="shared" si="30"/>
        <v>0</v>
      </c>
      <c r="Q189" s="126">
        <v>0</v>
      </c>
      <c r="R189" s="699">
        <f>IF($O190=0,0,        _xll.qDateNext($O189,R$17,"M",TRUE,Currency1))</f>
        <v>0</v>
      </c>
      <c r="S189" s="699">
        <f>IF($O190=0,0,        _xll.qDateNext($O189,S$17,"M",TRUE,Currency1))</f>
        <v>0</v>
      </c>
      <c r="T189" s="699">
        <f>IF($O190=0,0,        _xll.qDateNext($O189,T$17,"M",TRUE,Currency1))</f>
        <v>0</v>
      </c>
      <c r="U189" s="699">
        <f>IF($O190=0,0,        _xll.qDateNext($O189,U$17,"M",TRUE,Currency1))</f>
        <v>0</v>
      </c>
      <c r="V189" s="699">
        <f>IF($O190=0,0,        _xll.qDateNext($O189,V$17,"M",TRUE,Currency1))</f>
        <v>0</v>
      </c>
      <c r="W189" s="699">
        <f>IF($O190=0,0,        _xll.qDateNext($O189,W$17,"M",TRUE,Currency1))</f>
        <v>0</v>
      </c>
      <c r="X189" s="699">
        <f>IF($O190=0,0,        _xll.qDateNext($O189,X$17,"M",TRUE,Currency1))</f>
        <v>0</v>
      </c>
      <c r="Y189" s="699">
        <f>IF($O190=0,0,        _xll.qDateNext($O189,Y$17,"M",TRUE,Currency1))</f>
        <v>0</v>
      </c>
      <c r="Z189" s="703">
        <f>IF($O190=0,0,           IF(FRM,_xll.qGetFwdRate(Z$14,$O189,R189,"T",DCC_Leg1_Float),_xll.qGetFwdRate(Z$14,$O189,$O190,"T",DCC_Leg1_Float)))</f>
        <v>0</v>
      </c>
      <c r="AA189" s="703">
        <f>IF($O190=0,0,           IF(FRM,_xll.qGetFwdRate(AA$14,$O189,S189,"T",DCC_Leg1_Float),_xll.qGetFwdRate(AA$14,$O189,$O190,"T",DCC_Leg1_Float)))</f>
        <v>0</v>
      </c>
      <c r="AB189" s="703">
        <f t="shared" si="31"/>
        <v>0</v>
      </c>
      <c r="AC189" s="703">
        <f>IF($O190=0,0,           IF(FRM,_xll.qGetFwdRate(AC$14,$O189,U189,"T",DCC_Leg1_Float),_xll.qGetFwdRate(AC$14,$O189,$O190,"T",DCC_Leg1_Float)))</f>
        <v>0</v>
      </c>
      <c r="AD189" s="703">
        <f t="shared" si="36"/>
        <v>0</v>
      </c>
      <c r="AE189" s="703">
        <f t="shared" si="37"/>
        <v>0</v>
      </c>
      <c r="AF189" s="703">
        <f>IF($O190=0,0,           IF(FRM,_xll.qGetFwdRate(AF$14,$O189,X189,"T",DCC_Leg1_Float),_xll.qGetFwdRate(AF$14,$O189,$O190,"T",DCC_Leg1_Float)))</f>
        <v>0</v>
      </c>
      <c r="AG189" s="703">
        <f>IF($O190=0,0,           IF(FRM,_xll.qGetFwdRate(AG$14,$O189,Y189,"T",DCC_Leg1_Float),_xll.qGetFwdRate(AG$14,$O189,$O190,"T",DCC_Leg1_Float)))</f>
        <v>0</v>
      </c>
      <c r="AH189" s="685">
        <v>0</v>
      </c>
      <c r="AI189" s="667"/>
      <c r="AJ189" s="670">
        <f>IF(O190=0,0,             IF(ISNUMBER(AI189),AI189,             IF(ISTEXT(AI189),INDEX(Z189:AG189,MATCH(AI189,$Z$17:$AG$17,0)),           IF(AH189="INT",_xll.qInterp(O190,R189:Y189,Z189:AG189),       INDEX(Z189:AG189,MATCH(AH189,$Z$17:$AG$17,0))))))</f>
        <v>0</v>
      </c>
      <c r="AK189" s="732">
        <v>20</v>
      </c>
      <c r="AL189" s="721">
        <f t="shared" si="32"/>
        <v>0</v>
      </c>
      <c r="AM189" s="284">
        <f>IF($O190,_xll.qDateYears($O189,$O190,DCC_Leg1_Fixed),0)</f>
        <v>0</v>
      </c>
      <c r="AN189" s="284">
        <f>IF($O190,_xll.qDateYears($O189,$O190,DCC_Leg1_Float),0)</f>
        <v>0</v>
      </c>
      <c r="AP189" s="350">
        <f t="shared" si="38"/>
        <v>0</v>
      </c>
      <c r="AQ189" s="375">
        <f>IF(GenType_1a="Fixed",GenRate_1a%*$AL188*AM188,          IF(GenType_1a="Float",$AL188*(_xll.qGetFwdRate($D$18,$O188,$O189,"T",DCC_Leg1_Float)%+GenRate_1a%%)*$AN188,        IF(GenType_1a="bp (Fixed)",GenRate_1a%%*$AM188*$AL188,   IF(GenType_1a="bp (Float)",GenRate_1a%%*$AL188*$AN188,0))))</f>
        <v>0</v>
      </c>
      <c r="AR189" s="561"/>
      <c r="AT189" s="341">
        <f t="shared" si="42"/>
        <v>0</v>
      </c>
      <c r="AV189" s="356"/>
      <c r="AW189" s="122">
        <v>0</v>
      </c>
      <c r="AX189" s="128">
        <f t="shared" si="33"/>
        <v>0</v>
      </c>
      <c r="AY189" s="357">
        <v>0</v>
      </c>
      <c r="AZ189" s="699">
        <f>IF($AW190=0,0,        _xll.qDateNext($AW189,AZ$17,"M",TRUE,Currency2))</f>
        <v>0</v>
      </c>
      <c r="BA189" s="699">
        <f>IF($AW190=0,0,        _xll.qDateNext($AW189,BA$17,"M",TRUE,Currency2))</f>
        <v>0</v>
      </c>
      <c r="BB189" s="699">
        <f>IF($AW190=0,0,        _xll.qDateNext($AW189,BB$17,"M",TRUE,Currency2))</f>
        <v>0</v>
      </c>
      <c r="BC189" s="699">
        <f>IF($AW190=0,0,        _xll.qDateNext($AW189,BC$17,"M",TRUE,Currency2))</f>
        <v>0</v>
      </c>
      <c r="BD189" s="699">
        <f>IF($AW190=0,0,        _xll.qDateNext($AW189,BD$17,"M",TRUE,Currency2))</f>
        <v>0</v>
      </c>
      <c r="BE189" s="699">
        <f>IF($AW190=0,0,        _xll.qDateNext($AW189,BE$17,"M",TRUE,Currency2))</f>
        <v>0</v>
      </c>
      <c r="BF189" s="699">
        <f>IF($AW190=0,0,        _xll.qDateNext($AW189,BF$17,"M",TRUE,Currency2))</f>
        <v>0</v>
      </c>
      <c r="BG189" s="699">
        <f>IF($AW190=0,0,        _xll.qDateNext($AW189,BG$17,"M",TRUE,Currency2))</f>
        <v>0</v>
      </c>
      <c r="BH189" s="703">
        <v>0</v>
      </c>
      <c r="BI189" s="703">
        <v>0</v>
      </c>
      <c r="BJ189" s="703">
        <v>0</v>
      </c>
      <c r="BK189" s="703">
        <v>0</v>
      </c>
      <c r="BL189" s="703">
        <f t="shared" si="39"/>
        <v>0</v>
      </c>
      <c r="BM189" s="703">
        <f t="shared" si="40"/>
        <v>0</v>
      </c>
      <c r="BN189" s="703">
        <v>0</v>
      </c>
      <c r="BO189" s="703">
        <v>0</v>
      </c>
      <c r="BP189" s="685">
        <v>0</v>
      </c>
      <c r="BQ189" s="667"/>
      <c r="BR189" s="670">
        <f>IF(AW190=0,0,             IF(ISNUMBER(BQ189),BQ189,             IF(ISTEXT(BQ189),INDEX(BH189:BO189,MATCH(BQ189,$BH$17:$BO$17,0)),           IF(BP189="INT",_xll.qInterp(AW190,AZ189:BG189,BH189:BO189),       INDEX(BH189:BO189,MATCH(BP189,$BH$17:$BO$17,0))))))</f>
        <v>0</v>
      </c>
      <c r="BS189" s="731">
        <f t="shared" si="34"/>
        <v>0</v>
      </c>
      <c r="BT189" s="406">
        <f t="shared" si="35"/>
        <v>0</v>
      </c>
      <c r="BU189" s="284">
        <f>IF($AW190,_xll.qDateYears($AW189,$AW190,DCC_Leg2_Fixed),0)</f>
        <v>0</v>
      </c>
      <c r="BV189" s="284">
        <f>IF($AW190,_xll.qDateYears($AW189,$AW190,DCC_Leg2_Float),0)</f>
        <v>0</v>
      </c>
      <c r="BX189" s="350">
        <f t="shared" si="41"/>
        <v>0</v>
      </c>
      <c r="BY189" s="375">
        <f>IF(GenType_2a="Fixed",GenRate_2a%*$BT188*BU188,          IF(GenType_2a="Float",$BT188*(_xll.qGetFwdRate($J$18,$AW188,$AW189,"T",DCC_Leg2_Float)%+GenRate_2a%%)*$BV188,        IF(GenType_2a="bp (Fixed)",GenRate_2a%%*$BU188*$BT188,   IF(GenType_2a="bp (Float)",GenRate_2a%%*$BT188*$BV188,0))))</f>
        <v>0</v>
      </c>
      <c r="BZ189" s="561"/>
      <c r="CB189" s="341">
        <f t="shared" si="43"/>
        <v>0</v>
      </c>
      <c r="CC189" s="563"/>
      <c r="CD189" s="356"/>
      <c r="CE189" s="341">
        <v>0</v>
      </c>
      <c r="CF189" s="563"/>
      <c r="CG189" s="356"/>
    </row>
    <row r="190" spans="15:85">
      <c r="O190" s="122">
        <v>0</v>
      </c>
      <c r="P190" s="128">
        <f t="shared" si="30"/>
        <v>0</v>
      </c>
      <c r="Q190" s="126">
        <v>0</v>
      </c>
      <c r="R190" s="699">
        <f>IF($O191=0,0,        _xll.qDateNext($O190,R$17,"M",TRUE,Currency1))</f>
        <v>0</v>
      </c>
      <c r="S190" s="699">
        <f>IF($O191=0,0,        _xll.qDateNext($O190,S$17,"M",TRUE,Currency1))</f>
        <v>0</v>
      </c>
      <c r="T190" s="699">
        <f>IF($O191=0,0,        _xll.qDateNext($O190,T$17,"M",TRUE,Currency1))</f>
        <v>0</v>
      </c>
      <c r="U190" s="699">
        <f>IF($O191=0,0,        _xll.qDateNext($O190,U$17,"M",TRUE,Currency1))</f>
        <v>0</v>
      </c>
      <c r="V190" s="699">
        <f>IF($O191=0,0,        _xll.qDateNext($O190,V$17,"M",TRUE,Currency1))</f>
        <v>0</v>
      </c>
      <c r="W190" s="699">
        <f>IF($O191=0,0,        _xll.qDateNext($O190,W$17,"M",TRUE,Currency1))</f>
        <v>0</v>
      </c>
      <c r="X190" s="699">
        <f>IF($O191=0,0,        _xll.qDateNext($O190,X$17,"M",TRUE,Currency1))</f>
        <v>0</v>
      </c>
      <c r="Y190" s="699">
        <f>IF($O191=0,0,        _xll.qDateNext($O190,Y$17,"M",TRUE,Currency1))</f>
        <v>0</v>
      </c>
      <c r="Z190" s="703">
        <f>IF($O191=0,0,           IF(FRM,_xll.qGetFwdRate(Z$14,$O190,R190,"T",DCC_Leg1_Float),_xll.qGetFwdRate(Z$14,$O190,$O191,"T",DCC_Leg1_Float)))</f>
        <v>0</v>
      </c>
      <c r="AA190" s="703">
        <f>IF($O191=0,0,           IF(FRM,_xll.qGetFwdRate(AA$14,$O190,S190,"T",DCC_Leg1_Float),_xll.qGetFwdRate(AA$14,$O190,$O191,"T",DCC_Leg1_Float)))</f>
        <v>0</v>
      </c>
      <c r="AB190" s="703">
        <f t="shared" si="31"/>
        <v>0</v>
      </c>
      <c r="AC190" s="703">
        <f>IF($O191=0,0,           IF(FRM,_xll.qGetFwdRate(AC$14,$O190,U190,"T",DCC_Leg1_Float),_xll.qGetFwdRate(AC$14,$O190,$O191,"T",DCC_Leg1_Float)))</f>
        <v>0</v>
      </c>
      <c r="AD190" s="703">
        <f t="shared" si="36"/>
        <v>0</v>
      </c>
      <c r="AE190" s="703">
        <f t="shared" si="37"/>
        <v>0</v>
      </c>
      <c r="AF190" s="703">
        <f>IF($O191=0,0,           IF(FRM,_xll.qGetFwdRate(AF$14,$O190,X190,"T",DCC_Leg1_Float),_xll.qGetFwdRate(AF$14,$O190,$O191,"T",DCC_Leg1_Float)))</f>
        <v>0</v>
      </c>
      <c r="AG190" s="703">
        <f>IF($O191=0,0,           IF(FRM,_xll.qGetFwdRate(AG$14,$O190,Y190,"T",DCC_Leg1_Float),_xll.qGetFwdRate(AG$14,$O190,$O191,"T",DCC_Leg1_Float)))</f>
        <v>0</v>
      </c>
      <c r="AH190" s="685">
        <v>0</v>
      </c>
      <c r="AI190" s="667"/>
      <c r="AJ190" s="670">
        <f>IF(O191=0,0,             IF(ISNUMBER(AI190),AI190,             IF(ISTEXT(AI190),INDEX(Z190:AG190,MATCH(AI190,$Z$17:$AG$17,0)),           IF(AH190="INT",_xll.qInterp(O191,R190:Y190,Z190:AG190),       INDEX(Z190:AG190,MATCH(AH190,$Z$17:$AG$17,0))))))</f>
        <v>0</v>
      </c>
      <c r="AK190" s="732">
        <v>20</v>
      </c>
      <c r="AL190" s="721">
        <f t="shared" si="32"/>
        <v>0</v>
      </c>
      <c r="AM190" s="284">
        <f>IF($O191,_xll.qDateYears($O190,$O191,DCC_Leg1_Fixed),0)</f>
        <v>0</v>
      </c>
      <c r="AN190" s="284">
        <f>IF($O191,_xll.qDateYears($O190,$O191,DCC_Leg1_Float),0)</f>
        <v>0</v>
      </c>
      <c r="AP190" s="350">
        <f t="shared" si="38"/>
        <v>0</v>
      </c>
      <c r="AQ190" s="375">
        <f>IF(GenType_1a="Fixed",GenRate_1a%*$AL189*AM189,          IF(GenType_1a="Float",$AL189*(_xll.qGetFwdRate($D$18,$O189,$O190,"T",DCC_Leg1_Float)%+GenRate_1a%%)*$AN189,        IF(GenType_1a="bp (Fixed)",GenRate_1a%%*$AM189*$AL189,   IF(GenType_1a="bp (Float)",GenRate_1a%%*$AL189*$AN189,0))))</f>
        <v>0</v>
      </c>
      <c r="AR190" s="561"/>
      <c r="AT190" s="341">
        <f t="shared" si="42"/>
        <v>0</v>
      </c>
      <c r="AV190" s="356"/>
      <c r="AW190" s="122">
        <v>0</v>
      </c>
      <c r="AX190" s="128">
        <f t="shared" si="33"/>
        <v>0</v>
      </c>
      <c r="AY190" s="357">
        <v>0</v>
      </c>
      <c r="AZ190" s="699">
        <f>IF($AW191=0,0,        _xll.qDateNext($AW190,AZ$17,"M",TRUE,Currency2))</f>
        <v>0</v>
      </c>
      <c r="BA190" s="699">
        <f>IF($AW191=0,0,        _xll.qDateNext($AW190,BA$17,"M",TRUE,Currency2))</f>
        <v>0</v>
      </c>
      <c r="BB190" s="699">
        <f>IF($AW191=0,0,        _xll.qDateNext($AW190,BB$17,"M",TRUE,Currency2))</f>
        <v>0</v>
      </c>
      <c r="BC190" s="699">
        <f>IF($AW191=0,0,        _xll.qDateNext($AW190,BC$17,"M",TRUE,Currency2))</f>
        <v>0</v>
      </c>
      <c r="BD190" s="699">
        <f>IF($AW191=0,0,        _xll.qDateNext($AW190,BD$17,"M",TRUE,Currency2))</f>
        <v>0</v>
      </c>
      <c r="BE190" s="699">
        <f>IF($AW191=0,0,        _xll.qDateNext($AW190,BE$17,"M",TRUE,Currency2))</f>
        <v>0</v>
      </c>
      <c r="BF190" s="699">
        <f>IF($AW191=0,0,        _xll.qDateNext($AW190,BF$17,"M",TRUE,Currency2))</f>
        <v>0</v>
      </c>
      <c r="BG190" s="699">
        <f>IF($AW191=0,0,        _xll.qDateNext($AW190,BG$17,"M",TRUE,Currency2))</f>
        <v>0</v>
      </c>
      <c r="BH190" s="703">
        <v>0</v>
      </c>
      <c r="BI190" s="703">
        <v>0</v>
      </c>
      <c r="BJ190" s="703">
        <v>0</v>
      </c>
      <c r="BK190" s="703">
        <v>0</v>
      </c>
      <c r="BL190" s="703">
        <f t="shared" si="39"/>
        <v>0</v>
      </c>
      <c r="BM190" s="703">
        <f t="shared" si="40"/>
        <v>0</v>
      </c>
      <c r="BN190" s="703">
        <v>0</v>
      </c>
      <c r="BO190" s="703">
        <v>0</v>
      </c>
      <c r="BP190" s="685">
        <v>0</v>
      </c>
      <c r="BQ190" s="667"/>
      <c r="BR190" s="670">
        <f>IF(AW191=0,0,             IF(ISNUMBER(BQ190),BQ190,             IF(ISTEXT(BQ190),INDEX(BH190:BO190,MATCH(BQ190,$BH$17:$BO$17,0)),           IF(BP190="INT",_xll.qInterp(AW191,AZ190:BG190,BH190:BO190),       INDEX(BH190:BO190,MATCH(BP190,$BH$17:$BO$17,0))))))</f>
        <v>0</v>
      </c>
      <c r="BS190" s="731">
        <f t="shared" si="34"/>
        <v>0</v>
      </c>
      <c r="BT190" s="406">
        <f t="shared" si="35"/>
        <v>0</v>
      </c>
      <c r="BU190" s="284">
        <f>IF($AW191,_xll.qDateYears($AW190,$AW191,DCC_Leg2_Fixed),0)</f>
        <v>0</v>
      </c>
      <c r="BV190" s="284">
        <f>IF($AW191,_xll.qDateYears($AW190,$AW191,DCC_Leg2_Float),0)</f>
        <v>0</v>
      </c>
      <c r="BX190" s="350">
        <f t="shared" si="41"/>
        <v>0</v>
      </c>
      <c r="BY190" s="375">
        <f>IF(GenType_2a="Fixed",GenRate_2a%*$BT189*BU189,          IF(GenType_2a="Float",$BT189*(_xll.qGetFwdRate($J$18,$AW189,$AW190,"T",DCC_Leg2_Float)%+GenRate_2a%%)*$BV189,        IF(GenType_2a="bp (Fixed)",GenRate_2a%%*$BU189*$BT189,   IF(GenType_2a="bp (Float)",GenRate_2a%%*$BT189*$BV189,0))))</f>
        <v>0</v>
      </c>
      <c r="BZ190" s="561"/>
      <c r="CB190" s="341">
        <f t="shared" si="43"/>
        <v>0</v>
      </c>
      <c r="CC190" s="563"/>
      <c r="CD190" s="356"/>
      <c r="CE190" s="341">
        <v>0</v>
      </c>
      <c r="CF190" s="563"/>
      <c r="CG190" s="356"/>
    </row>
    <row r="191" spans="15:85">
      <c r="O191" s="122">
        <v>0</v>
      </c>
      <c r="P191" s="128">
        <f t="shared" si="30"/>
        <v>0</v>
      </c>
      <c r="Q191" s="126">
        <v>0</v>
      </c>
      <c r="R191" s="699">
        <f>IF($O192=0,0,        _xll.qDateNext($O191,R$17,"M",TRUE,Currency1))</f>
        <v>0</v>
      </c>
      <c r="S191" s="699">
        <f>IF($O192=0,0,        _xll.qDateNext($O191,S$17,"M",TRUE,Currency1))</f>
        <v>0</v>
      </c>
      <c r="T191" s="699">
        <f>IF($O192=0,0,        _xll.qDateNext($O191,T$17,"M",TRUE,Currency1))</f>
        <v>0</v>
      </c>
      <c r="U191" s="699">
        <f>IF($O192=0,0,        _xll.qDateNext($O191,U$17,"M",TRUE,Currency1))</f>
        <v>0</v>
      </c>
      <c r="V191" s="699">
        <f>IF($O192=0,0,        _xll.qDateNext($O191,V$17,"M",TRUE,Currency1))</f>
        <v>0</v>
      </c>
      <c r="W191" s="699">
        <f>IF($O192=0,0,        _xll.qDateNext($O191,W$17,"M",TRUE,Currency1))</f>
        <v>0</v>
      </c>
      <c r="X191" s="699">
        <f>IF($O192=0,0,        _xll.qDateNext($O191,X$17,"M",TRUE,Currency1))</f>
        <v>0</v>
      </c>
      <c r="Y191" s="699">
        <f>IF($O192=0,0,        _xll.qDateNext($O191,Y$17,"M",TRUE,Currency1))</f>
        <v>0</v>
      </c>
      <c r="Z191" s="703">
        <f>IF($O192=0,0,           IF(FRM,_xll.qGetFwdRate(Z$14,$O191,R191,"T",DCC_Leg1_Float),_xll.qGetFwdRate(Z$14,$O191,$O192,"T",DCC_Leg1_Float)))</f>
        <v>0</v>
      </c>
      <c r="AA191" s="703">
        <f>IF($O192=0,0,           IF(FRM,_xll.qGetFwdRate(AA$14,$O191,S191,"T",DCC_Leg1_Float),_xll.qGetFwdRate(AA$14,$O191,$O192,"T",DCC_Leg1_Float)))</f>
        <v>0</v>
      </c>
      <c r="AB191" s="703">
        <f t="shared" si="31"/>
        <v>0</v>
      </c>
      <c r="AC191" s="703">
        <f>IF($O192=0,0,           IF(FRM,_xll.qGetFwdRate(AC$14,$O191,U191,"T",DCC_Leg1_Float),_xll.qGetFwdRate(AC$14,$O191,$O192,"T",DCC_Leg1_Float)))</f>
        <v>0</v>
      </c>
      <c r="AD191" s="703">
        <f t="shared" si="36"/>
        <v>0</v>
      </c>
      <c r="AE191" s="703">
        <f t="shared" si="37"/>
        <v>0</v>
      </c>
      <c r="AF191" s="703">
        <f>IF($O192=0,0,           IF(FRM,_xll.qGetFwdRate(AF$14,$O191,X191,"T",DCC_Leg1_Float),_xll.qGetFwdRate(AF$14,$O191,$O192,"T",DCC_Leg1_Float)))</f>
        <v>0</v>
      </c>
      <c r="AG191" s="703">
        <f>IF($O192=0,0,           IF(FRM,_xll.qGetFwdRate(AG$14,$O191,Y191,"T",DCC_Leg1_Float),_xll.qGetFwdRate(AG$14,$O191,$O192,"T",DCC_Leg1_Float)))</f>
        <v>0</v>
      </c>
      <c r="AH191" s="685">
        <v>0</v>
      </c>
      <c r="AI191" s="667"/>
      <c r="AJ191" s="670">
        <f>IF(O192=0,0,             IF(ISNUMBER(AI191),AI191,             IF(ISTEXT(AI191),INDEX(Z191:AG191,MATCH(AI191,$Z$17:$AG$17,0)),           IF(AH191="INT",_xll.qInterp(O192,R191:Y191,Z191:AG191),       INDEX(Z191:AG191,MATCH(AH191,$Z$17:$AG$17,0))))))</f>
        <v>0</v>
      </c>
      <c r="AK191" s="732">
        <v>20</v>
      </c>
      <c r="AL191" s="721">
        <f t="shared" si="32"/>
        <v>0</v>
      </c>
      <c r="AM191" s="284">
        <f>IF($O192,_xll.qDateYears($O191,$O192,DCC_Leg1_Fixed),0)</f>
        <v>0</v>
      </c>
      <c r="AN191" s="284">
        <f>IF($O192,_xll.qDateYears($O191,$O192,DCC_Leg1_Float),0)</f>
        <v>0</v>
      </c>
      <c r="AP191" s="350">
        <f t="shared" si="38"/>
        <v>0</v>
      </c>
      <c r="AQ191" s="375">
        <f>IF(GenType_1a="Fixed",GenRate_1a%*$AL190*AM190,          IF(GenType_1a="Float",$AL190*(_xll.qGetFwdRate($D$18,$O190,$O191,"T",DCC_Leg1_Float)%+GenRate_1a%%)*$AN190,        IF(GenType_1a="bp (Fixed)",GenRate_1a%%*$AM190*$AL190,   IF(GenType_1a="bp (Float)",GenRate_1a%%*$AL190*$AN190,0))))</f>
        <v>0</v>
      </c>
      <c r="AR191" s="561"/>
      <c r="AT191" s="341">
        <f t="shared" si="42"/>
        <v>0</v>
      </c>
      <c r="AV191" s="356"/>
      <c r="AW191" s="122">
        <v>0</v>
      </c>
      <c r="AX191" s="128">
        <f t="shared" si="33"/>
        <v>0</v>
      </c>
      <c r="AY191" s="357">
        <v>0</v>
      </c>
      <c r="AZ191" s="699">
        <f>IF($AW192=0,0,        _xll.qDateNext($AW191,AZ$17,"M",TRUE,Currency2))</f>
        <v>0</v>
      </c>
      <c r="BA191" s="699">
        <f>IF($AW192=0,0,        _xll.qDateNext($AW191,BA$17,"M",TRUE,Currency2))</f>
        <v>0</v>
      </c>
      <c r="BB191" s="699">
        <f>IF($AW192=0,0,        _xll.qDateNext($AW191,BB$17,"M",TRUE,Currency2))</f>
        <v>0</v>
      </c>
      <c r="BC191" s="699">
        <f>IF($AW192=0,0,        _xll.qDateNext($AW191,BC$17,"M",TRUE,Currency2))</f>
        <v>0</v>
      </c>
      <c r="BD191" s="699">
        <f>IF($AW192=0,0,        _xll.qDateNext($AW191,BD$17,"M",TRUE,Currency2))</f>
        <v>0</v>
      </c>
      <c r="BE191" s="699">
        <f>IF($AW192=0,0,        _xll.qDateNext($AW191,BE$17,"M",TRUE,Currency2))</f>
        <v>0</v>
      </c>
      <c r="BF191" s="699">
        <f>IF($AW192=0,0,        _xll.qDateNext($AW191,BF$17,"M",TRUE,Currency2))</f>
        <v>0</v>
      </c>
      <c r="BG191" s="699">
        <f>IF($AW192=0,0,        _xll.qDateNext($AW191,BG$17,"M",TRUE,Currency2))</f>
        <v>0</v>
      </c>
      <c r="BH191" s="703">
        <v>0</v>
      </c>
      <c r="BI191" s="703">
        <v>0</v>
      </c>
      <c r="BJ191" s="703">
        <v>0</v>
      </c>
      <c r="BK191" s="703">
        <v>0</v>
      </c>
      <c r="BL191" s="703">
        <f t="shared" si="39"/>
        <v>0</v>
      </c>
      <c r="BM191" s="703">
        <f t="shared" si="40"/>
        <v>0</v>
      </c>
      <c r="BN191" s="703">
        <v>0</v>
      </c>
      <c r="BO191" s="703">
        <v>0</v>
      </c>
      <c r="BP191" s="685">
        <v>0</v>
      </c>
      <c r="BQ191" s="667"/>
      <c r="BR191" s="670">
        <f>IF(AW192=0,0,             IF(ISNUMBER(BQ191),BQ191,             IF(ISTEXT(BQ191),INDEX(BH191:BO191,MATCH(BQ191,$BH$17:$BO$17,0)),           IF(BP191="INT",_xll.qInterp(AW192,AZ191:BG191,BH191:BO191),       INDEX(BH191:BO191,MATCH(BP191,$BH$17:$BO$17,0))))))</f>
        <v>0</v>
      </c>
      <c r="BS191" s="731">
        <f t="shared" si="34"/>
        <v>0</v>
      </c>
      <c r="BT191" s="406">
        <f t="shared" si="35"/>
        <v>0</v>
      </c>
      <c r="BU191" s="284">
        <f>IF($AW192,_xll.qDateYears($AW191,$AW192,DCC_Leg2_Fixed),0)</f>
        <v>0</v>
      </c>
      <c r="BV191" s="284">
        <f>IF($AW192,_xll.qDateYears($AW191,$AW192,DCC_Leg2_Float),0)</f>
        <v>0</v>
      </c>
      <c r="BX191" s="350">
        <f t="shared" si="41"/>
        <v>0</v>
      </c>
      <c r="BY191" s="375">
        <f>IF(GenType_2a="Fixed",GenRate_2a%*$BT190*BU190,          IF(GenType_2a="Float",$BT190*(_xll.qGetFwdRate($J$18,$AW190,$AW191,"T",DCC_Leg2_Float)%+GenRate_2a%%)*$BV190,        IF(GenType_2a="bp (Fixed)",GenRate_2a%%*$BU190*$BT190,   IF(GenType_2a="bp (Float)",GenRate_2a%%*$BT190*$BV190,0))))</f>
        <v>0</v>
      </c>
      <c r="BZ191" s="561"/>
      <c r="CB191" s="341">
        <f t="shared" si="43"/>
        <v>0</v>
      </c>
      <c r="CC191" s="563"/>
      <c r="CD191" s="356"/>
      <c r="CE191" s="341">
        <v>0</v>
      </c>
      <c r="CF191" s="563"/>
      <c r="CG191" s="356"/>
    </row>
    <row r="192" spans="15:85">
      <c r="O192" s="122">
        <v>0</v>
      </c>
      <c r="P192" s="128">
        <f t="shared" si="30"/>
        <v>0</v>
      </c>
      <c r="Q192" s="126">
        <v>0</v>
      </c>
      <c r="R192" s="699">
        <f>IF($O193=0,0,        _xll.qDateNext($O192,R$17,"M",TRUE,Currency1))</f>
        <v>0</v>
      </c>
      <c r="S192" s="699">
        <f>IF($O193=0,0,        _xll.qDateNext($O192,S$17,"M",TRUE,Currency1))</f>
        <v>0</v>
      </c>
      <c r="T192" s="699">
        <f>IF($O193=0,0,        _xll.qDateNext($O192,T$17,"M",TRUE,Currency1))</f>
        <v>0</v>
      </c>
      <c r="U192" s="699">
        <f>IF($O193=0,0,        _xll.qDateNext($O192,U$17,"M",TRUE,Currency1))</f>
        <v>0</v>
      </c>
      <c r="V192" s="699">
        <f>IF($O193=0,0,        _xll.qDateNext($O192,V$17,"M",TRUE,Currency1))</f>
        <v>0</v>
      </c>
      <c r="W192" s="699">
        <f>IF($O193=0,0,        _xll.qDateNext($O192,W$17,"M",TRUE,Currency1))</f>
        <v>0</v>
      </c>
      <c r="X192" s="699">
        <f>IF($O193=0,0,        _xll.qDateNext($O192,X$17,"M",TRUE,Currency1))</f>
        <v>0</v>
      </c>
      <c r="Y192" s="699">
        <f>IF($O193=0,0,        _xll.qDateNext($O192,Y$17,"M",TRUE,Currency1))</f>
        <v>0</v>
      </c>
      <c r="Z192" s="703">
        <f>IF($O193=0,0,           IF(FRM,_xll.qGetFwdRate(Z$14,$O192,R192,"T",DCC_Leg1_Float),_xll.qGetFwdRate(Z$14,$O192,$O193,"T",DCC_Leg1_Float)))</f>
        <v>0</v>
      </c>
      <c r="AA192" s="703">
        <f>IF($O193=0,0,           IF(FRM,_xll.qGetFwdRate(AA$14,$O192,S192,"T",DCC_Leg1_Float),_xll.qGetFwdRate(AA$14,$O192,$O193,"T",DCC_Leg1_Float)))</f>
        <v>0</v>
      </c>
      <c r="AB192" s="703">
        <f t="shared" si="31"/>
        <v>0</v>
      </c>
      <c r="AC192" s="703">
        <f>IF($O193=0,0,           IF(FRM,_xll.qGetFwdRate(AC$14,$O192,U192,"T",DCC_Leg1_Float),_xll.qGetFwdRate(AC$14,$O192,$O193,"T",DCC_Leg1_Float)))</f>
        <v>0</v>
      </c>
      <c r="AD192" s="703">
        <f t="shared" si="36"/>
        <v>0</v>
      </c>
      <c r="AE192" s="703">
        <f t="shared" si="37"/>
        <v>0</v>
      </c>
      <c r="AF192" s="703">
        <f>IF($O193=0,0,           IF(FRM,_xll.qGetFwdRate(AF$14,$O192,X192,"T",DCC_Leg1_Float),_xll.qGetFwdRate(AF$14,$O192,$O193,"T",DCC_Leg1_Float)))</f>
        <v>0</v>
      </c>
      <c r="AG192" s="703">
        <f>IF($O193=0,0,           IF(FRM,_xll.qGetFwdRate(AG$14,$O192,Y192,"T",DCC_Leg1_Float),_xll.qGetFwdRate(AG$14,$O192,$O193,"T",DCC_Leg1_Float)))</f>
        <v>0</v>
      </c>
      <c r="AH192" s="685">
        <v>0</v>
      </c>
      <c r="AI192" s="667"/>
      <c r="AJ192" s="670">
        <f>IF(O193=0,0,             IF(ISNUMBER(AI192),AI192,             IF(ISTEXT(AI192),INDEX(Z192:AG192,MATCH(AI192,$Z$17:$AG$17,0)),           IF(AH192="INT",_xll.qInterp(O193,R192:Y192,Z192:AG192),       INDEX(Z192:AG192,MATCH(AH192,$Z$17:$AG$17,0))))))</f>
        <v>0</v>
      </c>
      <c r="AK192" s="732">
        <v>20</v>
      </c>
      <c r="AL192" s="721">
        <f t="shared" si="32"/>
        <v>0</v>
      </c>
      <c r="AM192" s="284">
        <f>IF($O193,_xll.qDateYears($O192,$O193,DCC_Leg1_Fixed),0)</f>
        <v>0</v>
      </c>
      <c r="AN192" s="284">
        <f>IF($O193,_xll.qDateYears($O192,$O193,DCC_Leg1_Float),0)</f>
        <v>0</v>
      </c>
      <c r="AP192" s="350">
        <f t="shared" si="38"/>
        <v>0</v>
      </c>
      <c r="AQ192" s="375">
        <f>IF(GenType_1a="Fixed",GenRate_1a%*$AL191*AM191,          IF(GenType_1a="Float",$AL191*(_xll.qGetFwdRate($D$18,$O191,$O192,"T",DCC_Leg1_Float)%+GenRate_1a%%)*$AN191,        IF(GenType_1a="bp (Fixed)",GenRate_1a%%*$AM191*$AL191,   IF(GenType_1a="bp (Float)",GenRate_1a%%*$AL191*$AN191,0))))</f>
        <v>0</v>
      </c>
      <c r="AR192" s="561"/>
      <c r="AT192" s="341">
        <f t="shared" si="42"/>
        <v>0</v>
      </c>
      <c r="AV192" s="356"/>
      <c r="AW192" s="122">
        <v>0</v>
      </c>
      <c r="AX192" s="128">
        <f t="shared" si="33"/>
        <v>0</v>
      </c>
      <c r="AY192" s="357">
        <v>0</v>
      </c>
      <c r="AZ192" s="699">
        <f>IF($AW193=0,0,        _xll.qDateNext($AW192,AZ$17,"M",TRUE,Currency2))</f>
        <v>0</v>
      </c>
      <c r="BA192" s="699">
        <f>IF($AW193=0,0,        _xll.qDateNext($AW192,BA$17,"M",TRUE,Currency2))</f>
        <v>0</v>
      </c>
      <c r="BB192" s="699">
        <f>IF($AW193=0,0,        _xll.qDateNext($AW192,BB$17,"M",TRUE,Currency2))</f>
        <v>0</v>
      </c>
      <c r="BC192" s="699">
        <f>IF($AW193=0,0,        _xll.qDateNext($AW192,BC$17,"M",TRUE,Currency2))</f>
        <v>0</v>
      </c>
      <c r="BD192" s="699">
        <f>IF($AW193=0,0,        _xll.qDateNext($AW192,BD$17,"M",TRUE,Currency2))</f>
        <v>0</v>
      </c>
      <c r="BE192" s="699">
        <f>IF($AW193=0,0,        _xll.qDateNext($AW192,BE$17,"M",TRUE,Currency2))</f>
        <v>0</v>
      </c>
      <c r="BF192" s="699">
        <f>IF($AW193=0,0,        _xll.qDateNext($AW192,BF$17,"M",TRUE,Currency2))</f>
        <v>0</v>
      </c>
      <c r="BG192" s="699">
        <f>IF($AW193=0,0,        _xll.qDateNext($AW192,BG$17,"M",TRUE,Currency2))</f>
        <v>0</v>
      </c>
      <c r="BH192" s="703">
        <v>0</v>
      </c>
      <c r="BI192" s="703">
        <v>0</v>
      </c>
      <c r="BJ192" s="703">
        <v>0</v>
      </c>
      <c r="BK192" s="703">
        <v>0</v>
      </c>
      <c r="BL192" s="703">
        <f t="shared" si="39"/>
        <v>0</v>
      </c>
      <c r="BM192" s="703">
        <f t="shared" si="40"/>
        <v>0</v>
      </c>
      <c r="BN192" s="703">
        <v>0</v>
      </c>
      <c r="BO192" s="703">
        <v>0</v>
      </c>
      <c r="BP192" s="685">
        <v>0</v>
      </c>
      <c r="BQ192" s="667"/>
      <c r="BR192" s="670">
        <f>IF(AW193=0,0,             IF(ISNUMBER(BQ192),BQ192,             IF(ISTEXT(BQ192),INDEX(BH192:BO192,MATCH(BQ192,$BH$17:$BO$17,0)),           IF(BP192="INT",_xll.qInterp(AW193,AZ192:BG192,BH192:BO192),       INDEX(BH192:BO192,MATCH(BP192,$BH$17:$BO$17,0))))))</f>
        <v>0</v>
      </c>
      <c r="BS192" s="731">
        <f t="shared" si="34"/>
        <v>0</v>
      </c>
      <c r="BT192" s="406">
        <f t="shared" si="35"/>
        <v>0</v>
      </c>
      <c r="BU192" s="284">
        <f>IF($AW193,_xll.qDateYears($AW192,$AW193,DCC_Leg2_Fixed),0)</f>
        <v>0</v>
      </c>
      <c r="BV192" s="284">
        <f>IF($AW193,_xll.qDateYears($AW192,$AW193,DCC_Leg2_Float),0)</f>
        <v>0</v>
      </c>
      <c r="BX192" s="350">
        <f t="shared" si="41"/>
        <v>0</v>
      </c>
      <c r="BY192" s="375">
        <f>IF(GenType_2a="Fixed",GenRate_2a%*$BT191*BU191,          IF(GenType_2a="Float",$BT191*(_xll.qGetFwdRate($J$18,$AW191,$AW192,"T",DCC_Leg2_Float)%+GenRate_2a%%)*$BV191,        IF(GenType_2a="bp (Fixed)",GenRate_2a%%*$BU191*$BT191,   IF(GenType_2a="bp (Float)",GenRate_2a%%*$BT191*$BV191,0))))</f>
        <v>0</v>
      </c>
      <c r="BZ192" s="561"/>
      <c r="CB192" s="341">
        <f t="shared" si="43"/>
        <v>0</v>
      </c>
      <c r="CC192" s="563"/>
      <c r="CD192" s="356"/>
      <c r="CE192" s="341">
        <v>0</v>
      </c>
      <c r="CF192" s="563"/>
      <c r="CG192" s="356"/>
    </row>
    <row r="193" spans="15:85">
      <c r="O193" s="122">
        <v>0</v>
      </c>
      <c r="P193" s="128">
        <f t="shared" si="30"/>
        <v>0</v>
      </c>
      <c r="Q193" s="126">
        <v>0</v>
      </c>
      <c r="R193" s="699">
        <f>IF($O194=0,0,        _xll.qDateNext($O193,R$17,"M",TRUE,Currency1))</f>
        <v>0</v>
      </c>
      <c r="S193" s="699">
        <f>IF($O194=0,0,        _xll.qDateNext($O193,S$17,"M",TRUE,Currency1))</f>
        <v>0</v>
      </c>
      <c r="T193" s="699">
        <f>IF($O194=0,0,        _xll.qDateNext($O193,T$17,"M",TRUE,Currency1))</f>
        <v>0</v>
      </c>
      <c r="U193" s="699">
        <f>IF($O194=0,0,        _xll.qDateNext($O193,U$17,"M",TRUE,Currency1))</f>
        <v>0</v>
      </c>
      <c r="V193" s="699">
        <f>IF($O194=0,0,        _xll.qDateNext($O193,V$17,"M",TRUE,Currency1))</f>
        <v>0</v>
      </c>
      <c r="W193" s="699">
        <f>IF($O194=0,0,        _xll.qDateNext($O193,W$17,"M",TRUE,Currency1))</f>
        <v>0</v>
      </c>
      <c r="X193" s="699">
        <f>IF($O194=0,0,        _xll.qDateNext($O193,X$17,"M",TRUE,Currency1))</f>
        <v>0</v>
      </c>
      <c r="Y193" s="699">
        <f>IF($O194=0,0,        _xll.qDateNext($O193,Y$17,"M",TRUE,Currency1))</f>
        <v>0</v>
      </c>
      <c r="Z193" s="703">
        <f>IF($O194=0,0,           IF(FRM,_xll.qGetFwdRate(Z$14,$O193,R193,"T",DCC_Leg1_Float),_xll.qGetFwdRate(Z$14,$O193,$O194,"T",DCC_Leg1_Float)))</f>
        <v>0</v>
      </c>
      <c r="AA193" s="703">
        <f>IF($O194=0,0,           IF(FRM,_xll.qGetFwdRate(AA$14,$O193,S193,"T",DCC_Leg1_Float),_xll.qGetFwdRate(AA$14,$O193,$O194,"T",DCC_Leg1_Float)))</f>
        <v>0</v>
      </c>
      <c r="AB193" s="703">
        <f t="shared" si="31"/>
        <v>0</v>
      </c>
      <c r="AC193" s="703">
        <f>IF($O194=0,0,           IF(FRM,_xll.qGetFwdRate(AC$14,$O193,U193,"T",DCC_Leg1_Float),_xll.qGetFwdRate(AC$14,$O193,$O194,"T",DCC_Leg1_Float)))</f>
        <v>0</v>
      </c>
      <c r="AD193" s="703">
        <f t="shared" si="36"/>
        <v>0</v>
      </c>
      <c r="AE193" s="703">
        <f t="shared" si="37"/>
        <v>0</v>
      </c>
      <c r="AF193" s="703">
        <f>IF($O194=0,0,           IF(FRM,_xll.qGetFwdRate(AF$14,$O193,X193,"T",DCC_Leg1_Float),_xll.qGetFwdRate(AF$14,$O193,$O194,"T",DCC_Leg1_Float)))</f>
        <v>0</v>
      </c>
      <c r="AG193" s="703">
        <f>IF($O194=0,0,           IF(FRM,_xll.qGetFwdRate(AG$14,$O193,Y193,"T",DCC_Leg1_Float),_xll.qGetFwdRate(AG$14,$O193,$O194,"T",DCC_Leg1_Float)))</f>
        <v>0</v>
      </c>
      <c r="AH193" s="685">
        <v>0</v>
      </c>
      <c r="AI193" s="667"/>
      <c r="AJ193" s="670">
        <f>IF(O194=0,0,             IF(ISNUMBER(AI193),AI193,             IF(ISTEXT(AI193),INDEX(Z193:AG193,MATCH(AI193,$Z$17:$AG$17,0)),           IF(AH193="INT",_xll.qInterp(O194,R193:Y193,Z193:AG193),       INDEX(Z193:AG193,MATCH(AH193,$Z$17:$AG$17,0))))))</f>
        <v>0</v>
      </c>
      <c r="AK193" s="732">
        <v>20</v>
      </c>
      <c r="AL193" s="721">
        <f t="shared" si="32"/>
        <v>0</v>
      </c>
      <c r="AM193" s="284">
        <f>IF($O194,_xll.qDateYears($O193,$O194,DCC_Leg1_Fixed),0)</f>
        <v>0</v>
      </c>
      <c r="AN193" s="284">
        <f>IF($O194,_xll.qDateYears($O193,$O194,DCC_Leg1_Float),0)</f>
        <v>0</v>
      </c>
      <c r="AP193" s="350">
        <f t="shared" si="38"/>
        <v>0</v>
      </c>
      <c r="AQ193" s="375">
        <f>IF(GenType_1a="Fixed",GenRate_1a%*$AL192*AM192,          IF(GenType_1a="Float",$AL192*(_xll.qGetFwdRate($D$18,$O192,$O193,"T",DCC_Leg1_Float)%+GenRate_1a%%)*$AN192,        IF(GenType_1a="bp (Fixed)",GenRate_1a%%*$AM192*$AL192,   IF(GenType_1a="bp (Float)",GenRate_1a%%*$AL192*$AN192,0))))</f>
        <v>0</v>
      </c>
      <c r="AR193" s="561"/>
      <c r="AT193" s="341">
        <f t="shared" si="42"/>
        <v>0</v>
      </c>
      <c r="AV193" s="356"/>
      <c r="AW193" s="122">
        <v>0</v>
      </c>
      <c r="AX193" s="128">
        <f t="shared" si="33"/>
        <v>0</v>
      </c>
      <c r="AY193" s="357">
        <v>0</v>
      </c>
      <c r="AZ193" s="699">
        <f>IF($AW194=0,0,        _xll.qDateNext($AW193,AZ$17,"M",TRUE,Currency2))</f>
        <v>0</v>
      </c>
      <c r="BA193" s="699">
        <f>IF($AW194=0,0,        _xll.qDateNext($AW193,BA$17,"M",TRUE,Currency2))</f>
        <v>0</v>
      </c>
      <c r="BB193" s="699">
        <f>IF($AW194=0,0,        _xll.qDateNext($AW193,BB$17,"M",TRUE,Currency2))</f>
        <v>0</v>
      </c>
      <c r="BC193" s="699">
        <f>IF($AW194=0,0,        _xll.qDateNext($AW193,BC$17,"M",TRUE,Currency2))</f>
        <v>0</v>
      </c>
      <c r="BD193" s="699">
        <f>IF($AW194=0,0,        _xll.qDateNext($AW193,BD$17,"M",TRUE,Currency2))</f>
        <v>0</v>
      </c>
      <c r="BE193" s="699">
        <f>IF($AW194=0,0,        _xll.qDateNext($AW193,BE$17,"M",TRUE,Currency2))</f>
        <v>0</v>
      </c>
      <c r="BF193" s="699">
        <f>IF($AW194=0,0,        _xll.qDateNext($AW193,BF$17,"M",TRUE,Currency2))</f>
        <v>0</v>
      </c>
      <c r="BG193" s="699">
        <f>IF($AW194=0,0,        _xll.qDateNext($AW193,BG$17,"M",TRUE,Currency2))</f>
        <v>0</v>
      </c>
      <c r="BH193" s="703">
        <v>0</v>
      </c>
      <c r="BI193" s="703">
        <v>0</v>
      </c>
      <c r="BJ193" s="703">
        <v>0</v>
      </c>
      <c r="BK193" s="703">
        <v>0</v>
      </c>
      <c r="BL193" s="703">
        <f t="shared" si="39"/>
        <v>0</v>
      </c>
      <c r="BM193" s="703">
        <f t="shared" si="40"/>
        <v>0</v>
      </c>
      <c r="BN193" s="703">
        <v>0</v>
      </c>
      <c r="BO193" s="703">
        <v>0</v>
      </c>
      <c r="BP193" s="685">
        <v>0</v>
      </c>
      <c r="BQ193" s="667"/>
      <c r="BR193" s="670">
        <f>IF(AW194=0,0,             IF(ISNUMBER(BQ193),BQ193,             IF(ISTEXT(BQ193),INDEX(BH193:BO193,MATCH(BQ193,$BH$17:$BO$17,0)),           IF(BP193="INT",_xll.qInterp(AW194,AZ193:BG193,BH193:BO193),       INDEX(BH193:BO193,MATCH(BP193,$BH$17:$BO$17,0))))))</f>
        <v>0</v>
      </c>
      <c r="BS193" s="731">
        <f t="shared" si="34"/>
        <v>0</v>
      </c>
      <c r="BT193" s="406">
        <f t="shared" si="35"/>
        <v>0</v>
      </c>
      <c r="BU193" s="284">
        <f>IF($AW194,_xll.qDateYears($AW193,$AW194,DCC_Leg2_Fixed),0)</f>
        <v>0</v>
      </c>
      <c r="BV193" s="284">
        <f>IF($AW194,_xll.qDateYears($AW193,$AW194,DCC_Leg2_Float),0)</f>
        <v>0</v>
      </c>
      <c r="BX193" s="350">
        <f t="shared" si="41"/>
        <v>0</v>
      </c>
      <c r="BY193" s="375">
        <f>IF(GenType_2a="Fixed",GenRate_2a%*$BT192*BU192,          IF(GenType_2a="Float",$BT192*(_xll.qGetFwdRate($J$18,$AW192,$AW193,"T",DCC_Leg2_Float)%+GenRate_2a%%)*$BV192,        IF(GenType_2a="bp (Fixed)",GenRate_2a%%*$BU192*$BT192,   IF(GenType_2a="bp (Float)",GenRate_2a%%*$BT192*$BV192,0))))</f>
        <v>0</v>
      </c>
      <c r="BZ193" s="561"/>
      <c r="CB193" s="341">
        <f t="shared" si="43"/>
        <v>0</v>
      </c>
      <c r="CC193" s="563"/>
      <c r="CD193" s="356"/>
      <c r="CE193" s="341">
        <v>0</v>
      </c>
      <c r="CF193" s="563"/>
      <c r="CG193" s="356"/>
    </row>
    <row r="194" spans="15:85">
      <c r="O194" s="122">
        <v>0</v>
      </c>
      <c r="P194" s="128">
        <f t="shared" si="30"/>
        <v>0</v>
      </c>
      <c r="Q194" s="126">
        <v>0</v>
      </c>
      <c r="R194" s="699">
        <f>IF($O195=0,0,        _xll.qDateNext($O194,R$17,"M",TRUE,Currency1))</f>
        <v>0</v>
      </c>
      <c r="S194" s="699">
        <f>IF($O195=0,0,        _xll.qDateNext($O194,S$17,"M",TRUE,Currency1))</f>
        <v>0</v>
      </c>
      <c r="T194" s="699">
        <f>IF($O195=0,0,        _xll.qDateNext($O194,T$17,"M",TRUE,Currency1))</f>
        <v>0</v>
      </c>
      <c r="U194" s="699">
        <f>IF($O195=0,0,        _xll.qDateNext($O194,U$17,"M",TRUE,Currency1))</f>
        <v>0</v>
      </c>
      <c r="V194" s="699">
        <f>IF($O195=0,0,        _xll.qDateNext($O194,V$17,"M",TRUE,Currency1))</f>
        <v>0</v>
      </c>
      <c r="W194" s="699">
        <f>IF($O195=0,0,        _xll.qDateNext($O194,W$17,"M",TRUE,Currency1))</f>
        <v>0</v>
      </c>
      <c r="X194" s="699">
        <f>IF($O195=0,0,        _xll.qDateNext($O194,X$17,"M",TRUE,Currency1))</f>
        <v>0</v>
      </c>
      <c r="Y194" s="699">
        <f>IF($O195=0,0,        _xll.qDateNext($O194,Y$17,"M",TRUE,Currency1))</f>
        <v>0</v>
      </c>
      <c r="Z194" s="703">
        <f>IF($O195=0,0,           IF(FRM,_xll.qGetFwdRate(Z$14,$O194,R194,"T",DCC_Leg1_Float),_xll.qGetFwdRate(Z$14,$O194,$O195,"T",DCC_Leg1_Float)))</f>
        <v>0</v>
      </c>
      <c r="AA194" s="703">
        <f>IF($O195=0,0,           IF(FRM,_xll.qGetFwdRate(AA$14,$O194,S194,"T",DCC_Leg1_Float),_xll.qGetFwdRate(AA$14,$O194,$O195,"T",DCC_Leg1_Float)))</f>
        <v>0</v>
      </c>
      <c r="AB194" s="703">
        <f t="shared" si="31"/>
        <v>0</v>
      </c>
      <c r="AC194" s="703">
        <f>IF($O195=0,0,           IF(FRM,_xll.qGetFwdRate(AC$14,$O194,U194,"T",DCC_Leg1_Float),_xll.qGetFwdRate(AC$14,$O194,$O195,"T",DCC_Leg1_Float)))</f>
        <v>0</v>
      </c>
      <c r="AD194" s="703">
        <f t="shared" si="36"/>
        <v>0</v>
      </c>
      <c r="AE194" s="703">
        <f t="shared" si="37"/>
        <v>0</v>
      </c>
      <c r="AF194" s="703">
        <f>IF($O195=0,0,           IF(FRM,_xll.qGetFwdRate(AF$14,$O194,X194,"T",DCC_Leg1_Float),_xll.qGetFwdRate(AF$14,$O194,$O195,"T",DCC_Leg1_Float)))</f>
        <v>0</v>
      </c>
      <c r="AG194" s="703">
        <f>IF($O195=0,0,           IF(FRM,_xll.qGetFwdRate(AG$14,$O194,Y194,"T",DCC_Leg1_Float),_xll.qGetFwdRate(AG$14,$O194,$O195,"T",DCC_Leg1_Float)))</f>
        <v>0</v>
      </c>
      <c r="AH194" s="685">
        <v>0</v>
      </c>
      <c r="AI194" s="667"/>
      <c r="AJ194" s="670">
        <f>IF(O195=0,0,             IF(ISNUMBER(AI194),AI194,             IF(ISTEXT(AI194),INDEX(Z194:AG194,MATCH(AI194,$Z$17:$AG$17,0)),           IF(AH194="INT",_xll.qInterp(O195,R194:Y194,Z194:AG194),       INDEX(Z194:AG194,MATCH(AH194,$Z$17:$AG$17,0))))))</f>
        <v>0</v>
      </c>
      <c r="AK194" s="732">
        <v>20</v>
      </c>
      <c r="AL194" s="721">
        <f t="shared" si="32"/>
        <v>0</v>
      </c>
      <c r="AM194" s="284">
        <f>IF($O195,_xll.qDateYears($O194,$O195,DCC_Leg1_Fixed),0)</f>
        <v>0</v>
      </c>
      <c r="AN194" s="284">
        <f>IF($O195,_xll.qDateYears($O194,$O195,DCC_Leg1_Float),0)</f>
        <v>0</v>
      </c>
      <c r="AP194" s="350">
        <f t="shared" si="38"/>
        <v>0</v>
      </c>
      <c r="AQ194" s="375">
        <f>IF(GenType_1a="Fixed",GenRate_1a%*$AL193*AM193,          IF(GenType_1a="Float",$AL193*(_xll.qGetFwdRate($D$18,$O193,$O194,"T",DCC_Leg1_Float)%+GenRate_1a%%)*$AN193,        IF(GenType_1a="bp (Fixed)",GenRate_1a%%*$AM193*$AL193,   IF(GenType_1a="bp (Float)",GenRate_1a%%*$AL193*$AN193,0))))</f>
        <v>0</v>
      </c>
      <c r="AR194" s="561"/>
      <c r="AT194" s="341">
        <f t="shared" si="42"/>
        <v>0</v>
      </c>
      <c r="AV194" s="356"/>
      <c r="AW194" s="122">
        <v>0</v>
      </c>
      <c r="AX194" s="128">
        <f t="shared" si="33"/>
        <v>0</v>
      </c>
      <c r="AY194" s="357">
        <v>0</v>
      </c>
      <c r="AZ194" s="699">
        <f>IF($AW195=0,0,        _xll.qDateNext($AW194,AZ$17,"M",TRUE,Currency2))</f>
        <v>0</v>
      </c>
      <c r="BA194" s="699">
        <f>IF($AW195=0,0,        _xll.qDateNext($AW194,BA$17,"M",TRUE,Currency2))</f>
        <v>0</v>
      </c>
      <c r="BB194" s="699">
        <f>IF($AW195=0,0,        _xll.qDateNext($AW194,BB$17,"M",TRUE,Currency2))</f>
        <v>0</v>
      </c>
      <c r="BC194" s="699">
        <f>IF($AW195=0,0,        _xll.qDateNext($AW194,BC$17,"M",TRUE,Currency2))</f>
        <v>0</v>
      </c>
      <c r="BD194" s="699">
        <f>IF($AW195=0,0,        _xll.qDateNext($AW194,BD$17,"M",TRUE,Currency2))</f>
        <v>0</v>
      </c>
      <c r="BE194" s="699">
        <f>IF($AW195=0,0,        _xll.qDateNext($AW194,BE$17,"M",TRUE,Currency2))</f>
        <v>0</v>
      </c>
      <c r="BF194" s="699">
        <f>IF($AW195=0,0,        _xll.qDateNext($AW194,BF$17,"M",TRUE,Currency2))</f>
        <v>0</v>
      </c>
      <c r="BG194" s="699">
        <f>IF($AW195=0,0,        _xll.qDateNext($AW194,BG$17,"M",TRUE,Currency2))</f>
        <v>0</v>
      </c>
      <c r="BH194" s="703">
        <v>0</v>
      </c>
      <c r="BI194" s="703">
        <v>0</v>
      </c>
      <c r="BJ194" s="703">
        <v>0</v>
      </c>
      <c r="BK194" s="703">
        <v>0</v>
      </c>
      <c r="BL194" s="703">
        <f t="shared" si="39"/>
        <v>0</v>
      </c>
      <c r="BM194" s="703">
        <f t="shared" si="40"/>
        <v>0</v>
      </c>
      <c r="BN194" s="703">
        <v>0</v>
      </c>
      <c r="BO194" s="703">
        <v>0</v>
      </c>
      <c r="BP194" s="685">
        <v>0</v>
      </c>
      <c r="BQ194" s="667"/>
      <c r="BR194" s="670">
        <f>IF(AW195=0,0,             IF(ISNUMBER(BQ194),BQ194,             IF(ISTEXT(BQ194),INDEX(BH194:BO194,MATCH(BQ194,$BH$17:$BO$17,0)),           IF(BP194="INT",_xll.qInterp(AW195,AZ194:BG194,BH194:BO194),       INDEX(BH194:BO194,MATCH(BP194,$BH$17:$BO$17,0))))))</f>
        <v>0</v>
      </c>
      <c r="BS194" s="731">
        <f t="shared" si="34"/>
        <v>0</v>
      </c>
      <c r="BT194" s="406">
        <f t="shared" si="35"/>
        <v>0</v>
      </c>
      <c r="BU194" s="284">
        <f>IF($AW195,_xll.qDateYears($AW194,$AW195,DCC_Leg2_Fixed),0)</f>
        <v>0</v>
      </c>
      <c r="BV194" s="284">
        <f>IF($AW195,_xll.qDateYears($AW194,$AW195,DCC_Leg2_Float),0)</f>
        <v>0</v>
      </c>
      <c r="BX194" s="350">
        <f t="shared" si="41"/>
        <v>0</v>
      </c>
      <c r="BY194" s="375">
        <f>IF(GenType_2a="Fixed",GenRate_2a%*$BT193*BU193,          IF(GenType_2a="Float",$BT193*(_xll.qGetFwdRate($J$18,$AW193,$AW194,"T",DCC_Leg2_Float)%+GenRate_2a%%)*$BV193,        IF(GenType_2a="bp (Fixed)",GenRate_2a%%*$BU193*$BT193,   IF(GenType_2a="bp (Float)",GenRate_2a%%*$BT193*$BV193,0))))</f>
        <v>0</v>
      </c>
      <c r="BZ194" s="561"/>
      <c r="CB194" s="341">
        <f t="shared" si="43"/>
        <v>0</v>
      </c>
      <c r="CC194" s="563"/>
      <c r="CD194" s="356"/>
      <c r="CE194" s="341">
        <v>0</v>
      </c>
      <c r="CF194" s="563"/>
      <c r="CG194" s="356"/>
    </row>
    <row r="195" spans="15:85">
      <c r="O195" s="122">
        <v>0</v>
      </c>
      <c r="P195" s="128">
        <f t="shared" si="30"/>
        <v>0</v>
      </c>
      <c r="Q195" s="126">
        <v>0</v>
      </c>
      <c r="R195" s="699">
        <f>IF($O196=0,0,        _xll.qDateNext($O195,R$17,"M",TRUE,Currency1))</f>
        <v>0</v>
      </c>
      <c r="S195" s="699">
        <f>IF($O196=0,0,        _xll.qDateNext($O195,S$17,"M",TRUE,Currency1))</f>
        <v>0</v>
      </c>
      <c r="T195" s="699">
        <f>IF($O196=0,0,        _xll.qDateNext($O195,T$17,"M",TRUE,Currency1))</f>
        <v>0</v>
      </c>
      <c r="U195" s="699">
        <f>IF($O196=0,0,        _xll.qDateNext($O195,U$17,"M",TRUE,Currency1))</f>
        <v>0</v>
      </c>
      <c r="V195" s="699">
        <f>IF($O196=0,0,        _xll.qDateNext($O195,V$17,"M",TRUE,Currency1))</f>
        <v>0</v>
      </c>
      <c r="W195" s="699">
        <f>IF($O196=0,0,        _xll.qDateNext($O195,W$17,"M",TRUE,Currency1))</f>
        <v>0</v>
      </c>
      <c r="X195" s="699">
        <f>IF($O196=0,0,        _xll.qDateNext($O195,X$17,"M",TRUE,Currency1))</f>
        <v>0</v>
      </c>
      <c r="Y195" s="699">
        <f>IF($O196=0,0,        _xll.qDateNext($O195,Y$17,"M",TRUE,Currency1))</f>
        <v>0</v>
      </c>
      <c r="Z195" s="703">
        <f>IF($O196=0,0,           IF(FRM,_xll.qGetFwdRate(Z$14,$O195,R195,"T",DCC_Leg1_Float),_xll.qGetFwdRate(Z$14,$O195,$O196,"T",DCC_Leg1_Float)))</f>
        <v>0</v>
      </c>
      <c r="AA195" s="703">
        <f>IF($O196=0,0,           IF(FRM,_xll.qGetFwdRate(AA$14,$O195,S195,"T",DCC_Leg1_Float),_xll.qGetFwdRate(AA$14,$O195,$O196,"T",DCC_Leg1_Float)))</f>
        <v>0</v>
      </c>
      <c r="AB195" s="703">
        <f t="shared" si="31"/>
        <v>0</v>
      </c>
      <c r="AC195" s="703">
        <f>IF($O196=0,0,           IF(FRM,_xll.qGetFwdRate(AC$14,$O195,U195,"T",DCC_Leg1_Float),_xll.qGetFwdRate(AC$14,$O195,$O196,"T",DCC_Leg1_Float)))</f>
        <v>0</v>
      </c>
      <c r="AD195" s="703">
        <f t="shared" si="36"/>
        <v>0</v>
      </c>
      <c r="AE195" s="703">
        <f t="shared" si="37"/>
        <v>0</v>
      </c>
      <c r="AF195" s="703">
        <f>IF($O196=0,0,           IF(FRM,_xll.qGetFwdRate(AF$14,$O195,X195,"T",DCC_Leg1_Float),_xll.qGetFwdRate(AF$14,$O195,$O196,"T",DCC_Leg1_Float)))</f>
        <v>0</v>
      </c>
      <c r="AG195" s="703">
        <f>IF($O196=0,0,           IF(FRM,_xll.qGetFwdRate(AG$14,$O195,Y195,"T",DCC_Leg1_Float),_xll.qGetFwdRate(AG$14,$O195,$O196,"T",DCC_Leg1_Float)))</f>
        <v>0</v>
      </c>
      <c r="AH195" s="685">
        <v>0</v>
      </c>
      <c r="AI195" s="667"/>
      <c r="AJ195" s="670">
        <f>IF(O196=0,0,             IF(ISNUMBER(AI195),AI195,             IF(ISTEXT(AI195),INDEX(Z195:AG195,MATCH(AI195,$Z$17:$AG$17,0)),           IF(AH195="INT",_xll.qInterp(O196,R195:Y195,Z195:AG195),       INDEX(Z195:AG195,MATCH(AH195,$Z$17:$AG$17,0))))))</f>
        <v>0</v>
      </c>
      <c r="AK195" s="732">
        <v>20</v>
      </c>
      <c r="AL195" s="721">
        <f t="shared" si="32"/>
        <v>0</v>
      </c>
      <c r="AM195" s="284">
        <f>IF($O196,_xll.qDateYears($O195,$O196,DCC_Leg1_Fixed),0)</f>
        <v>0</v>
      </c>
      <c r="AN195" s="284">
        <f>IF($O196,_xll.qDateYears($O195,$O196,DCC_Leg1_Float),0)</f>
        <v>0</v>
      </c>
      <c r="AP195" s="350">
        <f t="shared" si="38"/>
        <v>0</v>
      </c>
      <c r="AQ195" s="375">
        <f>IF(GenType_1a="Fixed",GenRate_1a%*$AL194*AM194,          IF(GenType_1a="Float",$AL194*(_xll.qGetFwdRate($D$18,$O194,$O195,"T",DCC_Leg1_Float)%+GenRate_1a%%)*$AN194,        IF(GenType_1a="bp (Fixed)",GenRate_1a%%*$AM194*$AL194,   IF(GenType_1a="bp (Float)",GenRate_1a%%*$AL194*$AN194,0))))</f>
        <v>0</v>
      </c>
      <c r="AR195" s="561"/>
      <c r="AT195" s="341">
        <f t="shared" si="42"/>
        <v>0</v>
      </c>
      <c r="AV195" s="356"/>
      <c r="AW195" s="122">
        <v>0</v>
      </c>
      <c r="AX195" s="128">
        <f t="shared" si="33"/>
        <v>0</v>
      </c>
      <c r="AY195" s="357">
        <v>0</v>
      </c>
      <c r="AZ195" s="699">
        <f>IF($AW196=0,0,        _xll.qDateNext($AW195,AZ$17,"M",TRUE,Currency2))</f>
        <v>0</v>
      </c>
      <c r="BA195" s="699">
        <f>IF($AW196=0,0,        _xll.qDateNext($AW195,BA$17,"M",TRUE,Currency2))</f>
        <v>0</v>
      </c>
      <c r="BB195" s="699">
        <f>IF($AW196=0,0,        _xll.qDateNext($AW195,BB$17,"M",TRUE,Currency2))</f>
        <v>0</v>
      </c>
      <c r="BC195" s="699">
        <f>IF($AW196=0,0,        _xll.qDateNext($AW195,BC$17,"M",TRUE,Currency2))</f>
        <v>0</v>
      </c>
      <c r="BD195" s="699">
        <f>IF($AW196=0,0,        _xll.qDateNext($AW195,BD$17,"M",TRUE,Currency2))</f>
        <v>0</v>
      </c>
      <c r="BE195" s="699">
        <f>IF($AW196=0,0,        _xll.qDateNext($AW195,BE$17,"M",TRUE,Currency2))</f>
        <v>0</v>
      </c>
      <c r="BF195" s="699">
        <f>IF($AW196=0,0,        _xll.qDateNext($AW195,BF$17,"M",TRUE,Currency2))</f>
        <v>0</v>
      </c>
      <c r="BG195" s="699">
        <f>IF($AW196=0,0,        _xll.qDateNext($AW195,BG$17,"M",TRUE,Currency2))</f>
        <v>0</v>
      </c>
      <c r="BH195" s="703">
        <v>0</v>
      </c>
      <c r="BI195" s="703">
        <v>0</v>
      </c>
      <c r="BJ195" s="703">
        <v>0</v>
      </c>
      <c r="BK195" s="703">
        <v>0</v>
      </c>
      <c r="BL195" s="703">
        <f t="shared" si="39"/>
        <v>0</v>
      </c>
      <c r="BM195" s="703">
        <f t="shared" si="40"/>
        <v>0</v>
      </c>
      <c r="BN195" s="703">
        <v>0</v>
      </c>
      <c r="BO195" s="703">
        <v>0</v>
      </c>
      <c r="BP195" s="685">
        <v>0</v>
      </c>
      <c r="BQ195" s="667"/>
      <c r="BR195" s="670">
        <f>IF(AW196=0,0,             IF(ISNUMBER(BQ195),BQ195,             IF(ISTEXT(BQ195),INDEX(BH195:BO195,MATCH(BQ195,$BH$17:$BO$17,0)),           IF(BP195="INT",_xll.qInterp(AW196,AZ195:BG195,BH195:BO195),       INDEX(BH195:BO195,MATCH(BP195,$BH$17:$BO$17,0))))))</f>
        <v>0</v>
      </c>
      <c r="BS195" s="731">
        <f t="shared" si="34"/>
        <v>0</v>
      </c>
      <c r="BT195" s="406">
        <f t="shared" si="35"/>
        <v>0</v>
      </c>
      <c r="BU195" s="284">
        <f>IF($AW196,_xll.qDateYears($AW195,$AW196,DCC_Leg2_Fixed),0)</f>
        <v>0</v>
      </c>
      <c r="BV195" s="284">
        <f>IF($AW196,_xll.qDateYears($AW195,$AW196,DCC_Leg2_Float),0)</f>
        <v>0</v>
      </c>
      <c r="BX195" s="350">
        <f t="shared" si="41"/>
        <v>0</v>
      </c>
      <c r="BY195" s="375">
        <f>IF(GenType_2a="Fixed",GenRate_2a%*$BT194*BU194,          IF(GenType_2a="Float",$BT194*(_xll.qGetFwdRate($J$18,$AW194,$AW195,"T",DCC_Leg2_Float)%+GenRate_2a%%)*$BV194,        IF(GenType_2a="bp (Fixed)",GenRate_2a%%*$BU194*$BT194,   IF(GenType_2a="bp (Float)",GenRate_2a%%*$BT194*$BV194,0))))</f>
        <v>0</v>
      </c>
      <c r="BZ195" s="561"/>
      <c r="CB195" s="341">
        <f t="shared" si="43"/>
        <v>0</v>
      </c>
      <c r="CC195" s="563"/>
      <c r="CD195" s="356"/>
      <c r="CE195" s="341">
        <v>0</v>
      </c>
      <c r="CF195" s="563"/>
      <c r="CG195" s="356"/>
    </row>
    <row r="196" spans="15:85">
      <c r="O196" s="122">
        <v>0</v>
      </c>
      <c r="P196" s="128">
        <f t="shared" si="30"/>
        <v>0</v>
      </c>
      <c r="Q196" s="126">
        <v>0</v>
      </c>
      <c r="R196" s="699">
        <f>IF($O197=0,0,        _xll.qDateNext($O196,R$17,"M",TRUE,Currency1))</f>
        <v>0</v>
      </c>
      <c r="S196" s="699">
        <f>IF($O197=0,0,        _xll.qDateNext($O196,S$17,"M",TRUE,Currency1))</f>
        <v>0</v>
      </c>
      <c r="T196" s="699">
        <f>IF($O197=0,0,        _xll.qDateNext($O196,T$17,"M",TRUE,Currency1))</f>
        <v>0</v>
      </c>
      <c r="U196" s="699">
        <f>IF($O197=0,0,        _xll.qDateNext($O196,U$17,"M",TRUE,Currency1))</f>
        <v>0</v>
      </c>
      <c r="V196" s="699">
        <f>IF($O197=0,0,        _xll.qDateNext($O196,V$17,"M",TRUE,Currency1))</f>
        <v>0</v>
      </c>
      <c r="W196" s="699">
        <f>IF($O197=0,0,        _xll.qDateNext($O196,W$17,"M",TRUE,Currency1))</f>
        <v>0</v>
      </c>
      <c r="X196" s="699">
        <f>IF($O197=0,0,        _xll.qDateNext($O196,X$17,"M",TRUE,Currency1))</f>
        <v>0</v>
      </c>
      <c r="Y196" s="699">
        <f>IF($O197=0,0,        _xll.qDateNext($O196,Y$17,"M",TRUE,Currency1))</f>
        <v>0</v>
      </c>
      <c r="Z196" s="703">
        <f>IF($O197=0,0,           IF(FRM,_xll.qGetFwdRate(Z$14,$O196,R196,"T",DCC_Leg1_Float),_xll.qGetFwdRate(Z$14,$O196,$O197,"T",DCC_Leg1_Float)))</f>
        <v>0</v>
      </c>
      <c r="AA196" s="703">
        <f>IF($O197=0,0,           IF(FRM,_xll.qGetFwdRate(AA$14,$O196,S196,"T",DCC_Leg1_Float),_xll.qGetFwdRate(AA$14,$O196,$O197,"T",DCC_Leg1_Float)))</f>
        <v>0</v>
      </c>
      <c r="AB196" s="703">
        <f t="shared" si="31"/>
        <v>0</v>
      </c>
      <c r="AC196" s="703">
        <f>IF($O197=0,0,           IF(FRM,_xll.qGetFwdRate(AC$14,$O196,U196,"T",DCC_Leg1_Float),_xll.qGetFwdRate(AC$14,$O196,$O197,"T",DCC_Leg1_Float)))</f>
        <v>0</v>
      </c>
      <c r="AD196" s="703">
        <f t="shared" si="36"/>
        <v>0</v>
      </c>
      <c r="AE196" s="703">
        <f t="shared" si="37"/>
        <v>0</v>
      </c>
      <c r="AF196" s="703">
        <f>IF($O197=0,0,           IF(FRM,_xll.qGetFwdRate(AF$14,$O196,X196,"T",DCC_Leg1_Float),_xll.qGetFwdRate(AF$14,$O196,$O197,"T",DCC_Leg1_Float)))</f>
        <v>0</v>
      </c>
      <c r="AG196" s="703">
        <f>IF($O197=0,0,           IF(FRM,_xll.qGetFwdRate(AG$14,$O196,Y196,"T",DCC_Leg1_Float),_xll.qGetFwdRate(AG$14,$O196,$O197,"T",DCC_Leg1_Float)))</f>
        <v>0</v>
      </c>
      <c r="AH196" s="685">
        <v>0</v>
      </c>
      <c r="AI196" s="667"/>
      <c r="AJ196" s="670">
        <f>IF(O197=0,0,             IF(ISNUMBER(AI196),AI196,             IF(ISTEXT(AI196),INDEX(Z196:AG196,MATCH(AI196,$Z$17:$AG$17,0)),           IF(AH196="INT",_xll.qInterp(O197,R196:Y196,Z196:AG196),       INDEX(Z196:AG196,MATCH(AH196,$Z$17:$AG$17,0))))))</f>
        <v>0</v>
      </c>
      <c r="AK196" s="732">
        <v>20</v>
      </c>
      <c r="AL196" s="721">
        <f t="shared" si="32"/>
        <v>0</v>
      </c>
      <c r="AM196" s="284">
        <f>IF($O197,_xll.qDateYears($O196,$O197,DCC_Leg1_Fixed),0)</f>
        <v>0</v>
      </c>
      <c r="AN196" s="284">
        <f>IF($O197,_xll.qDateYears($O196,$O197,DCC_Leg1_Float),0)</f>
        <v>0</v>
      </c>
      <c r="AP196" s="350">
        <f t="shared" si="38"/>
        <v>0</v>
      </c>
      <c r="AQ196" s="375">
        <f>IF(GenType_1a="Fixed",GenRate_1a%*$AL195*AM195,          IF(GenType_1a="Float",$AL195*(_xll.qGetFwdRate($D$18,$O195,$O196,"T",DCC_Leg1_Float)%+GenRate_1a%%)*$AN195,        IF(GenType_1a="bp (Fixed)",GenRate_1a%%*$AM195*$AL195,   IF(GenType_1a="bp (Float)",GenRate_1a%%*$AL195*$AN195,0))))</f>
        <v>0</v>
      </c>
      <c r="AR196" s="561"/>
      <c r="AT196" s="341">
        <f t="shared" si="42"/>
        <v>0</v>
      </c>
      <c r="AV196" s="356"/>
      <c r="AW196" s="122">
        <v>0</v>
      </c>
      <c r="AX196" s="128">
        <f t="shared" si="33"/>
        <v>0</v>
      </c>
      <c r="AY196" s="357">
        <v>0</v>
      </c>
      <c r="AZ196" s="699">
        <f>IF($AW197=0,0,        _xll.qDateNext($AW196,AZ$17,"M",TRUE,Currency2))</f>
        <v>0</v>
      </c>
      <c r="BA196" s="699">
        <f>IF($AW197=0,0,        _xll.qDateNext($AW196,BA$17,"M",TRUE,Currency2))</f>
        <v>0</v>
      </c>
      <c r="BB196" s="699">
        <f>IF($AW197=0,0,        _xll.qDateNext($AW196,BB$17,"M",TRUE,Currency2))</f>
        <v>0</v>
      </c>
      <c r="BC196" s="699">
        <f>IF($AW197=0,0,        _xll.qDateNext($AW196,BC$17,"M",TRUE,Currency2))</f>
        <v>0</v>
      </c>
      <c r="BD196" s="699">
        <f>IF($AW197=0,0,        _xll.qDateNext($AW196,BD$17,"M",TRUE,Currency2))</f>
        <v>0</v>
      </c>
      <c r="BE196" s="699">
        <f>IF($AW197=0,0,        _xll.qDateNext($AW196,BE$17,"M",TRUE,Currency2))</f>
        <v>0</v>
      </c>
      <c r="BF196" s="699">
        <f>IF($AW197=0,0,        _xll.qDateNext($AW196,BF$17,"M",TRUE,Currency2))</f>
        <v>0</v>
      </c>
      <c r="BG196" s="699">
        <f>IF($AW197=0,0,        _xll.qDateNext($AW196,BG$17,"M",TRUE,Currency2))</f>
        <v>0</v>
      </c>
      <c r="BH196" s="703">
        <v>0</v>
      </c>
      <c r="BI196" s="703">
        <v>0</v>
      </c>
      <c r="BJ196" s="703">
        <v>0</v>
      </c>
      <c r="BK196" s="703">
        <v>0</v>
      </c>
      <c r="BL196" s="703">
        <f t="shared" si="39"/>
        <v>0</v>
      </c>
      <c r="BM196" s="703">
        <f t="shared" si="40"/>
        <v>0</v>
      </c>
      <c r="BN196" s="703">
        <v>0</v>
      </c>
      <c r="BO196" s="703">
        <v>0</v>
      </c>
      <c r="BP196" s="685">
        <v>0</v>
      </c>
      <c r="BQ196" s="667"/>
      <c r="BR196" s="670">
        <f>IF(AW197=0,0,             IF(ISNUMBER(BQ196),BQ196,             IF(ISTEXT(BQ196),INDEX(BH196:BO196,MATCH(BQ196,$BH$17:$BO$17,0)),           IF(BP196="INT",_xll.qInterp(AW197,AZ196:BG196,BH196:BO196),       INDEX(BH196:BO196,MATCH(BP196,$BH$17:$BO$17,0))))))</f>
        <v>0</v>
      </c>
      <c r="BS196" s="731">
        <f t="shared" si="34"/>
        <v>0</v>
      </c>
      <c r="BT196" s="406">
        <f t="shared" si="35"/>
        <v>0</v>
      </c>
      <c r="BU196" s="284">
        <f>IF($AW197,_xll.qDateYears($AW196,$AW197,DCC_Leg2_Fixed),0)</f>
        <v>0</v>
      </c>
      <c r="BV196" s="284">
        <f>IF($AW197,_xll.qDateYears($AW196,$AW197,DCC_Leg2_Float),0)</f>
        <v>0</v>
      </c>
      <c r="BX196" s="350">
        <f t="shared" si="41"/>
        <v>0</v>
      </c>
      <c r="BY196" s="375">
        <f>IF(GenType_2a="Fixed",GenRate_2a%*$BT195*BU195,          IF(GenType_2a="Float",$BT195*(_xll.qGetFwdRate($J$18,$AW195,$AW196,"T",DCC_Leg2_Float)%+GenRate_2a%%)*$BV195,        IF(GenType_2a="bp (Fixed)",GenRate_2a%%*$BU195*$BT195,   IF(GenType_2a="bp (Float)",GenRate_2a%%*$BT195*$BV195,0))))</f>
        <v>0</v>
      </c>
      <c r="BZ196" s="561"/>
      <c r="CB196" s="341">
        <f t="shared" si="43"/>
        <v>0</v>
      </c>
      <c r="CC196" s="563"/>
      <c r="CD196" s="356"/>
      <c r="CE196" s="341">
        <v>0</v>
      </c>
      <c r="CF196" s="563"/>
      <c r="CG196" s="356"/>
    </row>
    <row r="197" spans="15:85">
      <c r="O197" s="122">
        <v>0</v>
      </c>
      <c r="P197" s="128">
        <f t="shared" si="30"/>
        <v>0</v>
      </c>
      <c r="Q197" s="126">
        <v>0</v>
      </c>
      <c r="R197" s="699">
        <f>IF($O198=0,0,        _xll.qDateNext($O197,R$17,"M",TRUE,Currency1))</f>
        <v>0</v>
      </c>
      <c r="S197" s="699">
        <f>IF($O198=0,0,        _xll.qDateNext($O197,S$17,"M",TRUE,Currency1))</f>
        <v>0</v>
      </c>
      <c r="T197" s="699">
        <f>IF($O198=0,0,        _xll.qDateNext($O197,T$17,"M",TRUE,Currency1))</f>
        <v>0</v>
      </c>
      <c r="U197" s="699">
        <f>IF($O198=0,0,        _xll.qDateNext($O197,U$17,"M",TRUE,Currency1))</f>
        <v>0</v>
      </c>
      <c r="V197" s="699">
        <f>IF($O198=0,0,        _xll.qDateNext($O197,V$17,"M",TRUE,Currency1))</f>
        <v>0</v>
      </c>
      <c r="W197" s="699">
        <f>IF($O198=0,0,        _xll.qDateNext($O197,W$17,"M",TRUE,Currency1))</f>
        <v>0</v>
      </c>
      <c r="X197" s="699">
        <f>IF($O198=0,0,        _xll.qDateNext($O197,X$17,"M",TRUE,Currency1))</f>
        <v>0</v>
      </c>
      <c r="Y197" s="699">
        <f>IF($O198=0,0,        _xll.qDateNext($O197,Y$17,"M",TRUE,Currency1))</f>
        <v>0</v>
      </c>
      <c r="Z197" s="703">
        <f>IF($O198=0,0,           IF(FRM,_xll.qGetFwdRate(Z$14,$O197,R197,"T",DCC_Leg1_Float),_xll.qGetFwdRate(Z$14,$O197,$O198,"T",DCC_Leg1_Float)))</f>
        <v>0</v>
      </c>
      <c r="AA197" s="703">
        <f>IF($O198=0,0,           IF(FRM,_xll.qGetFwdRate(AA$14,$O197,S197,"T",DCC_Leg1_Float),_xll.qGetFwdRate(AA$14,$O197,$O198,"T",DCC_Leg1_Float)))</f>
        <v>0</v>
      </c>
      <c r="AB197" s="703">
        <f t="shared" si="31"/>
        <v>0</v>
      </c>
      <c r="AC197" s="703">
        <f>IF($O198=0,0,           IF(FRM,_xll.qGetFwdRate(AC$14,$O197,U197,"T",DCC_Leg1_Float),_xll.qGetFwdRate(AC$14,$O197,$O198,"T",DCC_Leg1_Float)))</f>
        <v>0</v>
      </c>
      <c r="AD197" s="703">
        <f t="shared" si="36"/>
        <v>0</v>
      </c>
      <c r="AE197" s="703">
        <f t="shared" si="37"/>
        <v>0</v>
      </c>
      <c r="AF197" s="703">
        <f>IF($O198=0,0,           IF(FRM,_xll.qGetFwdRate(AF$14,$O197,X197,"T",DCC_Leg1_Float),_xll.qGetFwdRate(AF$14,$O197,$O198,"T",DCC_Leg1_Float)))</f>
        <v>0</v>
      </c>
      <c r="AG197" s="703">
        <f>IF($O198=0,0,           IF(FRM,_xll.qGetFwdRate(AG$14,$O197,Y197,"T",DCC_Leg1_Float),_xll.qGetFwdRate(AG$14,$O197,$O198,"T",DCC_Leg1_Float)))</f>
        <v>0</v>
      </c>
      <c r="AH197" s="685">
        <v>0</v>
      </c>
      <c r="AI197" s="667"/>
      <c r="AJ197" s="670">
        <f>IF(O198=0,0,             IF(ISNUMBER(AI197),AI197,             IF(ISTEXT(AI197),INDEX(Z197:AG197,MATCH(AI197,$Z$17:$AG$17,0)),           IF(AH197="INT",_xll.qInterp(O198,R197:Y197,Z197:AG197),       INDEX(Z197:AG197,MATCH(AH197,$Z$17:$AG$17,0))))))</f>
        <v>0</v>
      </c>
      <c r="AK197" s="732">
        <v>20</v>
      </c>
      <c r="AL197" s="721">
        <f t="shared" si="32"/>
        <v>0</v>
      </c>
      <c r="AM197" s="284">
        <f>IF($O198,_xll.qDateYears($O197,$O198,DCC_Leg1_Fixed),0)</f>
        <v>0</v>
      </c>
      <c r="AN197" s="284">
        <f>IF($O198,_xll.qDateYears($O197,$O198,DCC_Leg1_Float),0)</f>
        <v>0</v>
      </c>
      <c r="AP197" s="350">
        <f t="shared" si="38"/>
        <v>0</v>
      </c>
      <c r="AQ197" s="375">
        <f>IF(GenType_1a="Fixed",GenRate_1a%*$AL196*AM196,          IF(GenType_1a="Float",$AL196*(_xll.qGetFwdRate($D$18,$O196,$O197,"T",DCC_Leg1_Float)%+GenRate_1a%%)*$AN196,        IF(GenType_1a="bp (Fixed)",GenRate_1a%%*$AM196*$AL196,   IF(GenType_1a="bp (Float)",GenRate_1a%%*$AL196*$AN196,0))))</f>
        <v>0</v>
      </c>
      <c r="AR197" s="561"/>
      <c r="AT197" s="341">
        <f t="shared" si="42"/>
        <v>0</v>
      </c>
      <c r="AV197" s="356"/>
      <c r="AW197" s="122">
        <v>0</v>
      </c>
      <c r="AX197" s="128">
        <f t="shared" si="33"/>
        <v>0</v>
      </c>
      <c r="AY197" s="357">
        <v>0</v>
      </c>
      <c r="AZ197" s="699">
        <f>IF($AW198=0,0,        _xll.qDateNext($AW197,AZ$17,"M",TRUE,Currency2))</f>
        <v>0</v>
      </c>
      <c r="BA197" s="699">
        <f>IF($AW198=0,0,        _xll.qDateNext($AW197,BA$17,"M",TRUE,Currency2))</f>
        <v>0</v>
      </c>
      <c r="BB197" s="699">
        <f>IF($AW198=0,0,        _xll.qDateNext($AW197,BB$17,"M",TRUE,Currency2))</f>
        <v>0</v>
      </c>
      <c r="BC197" s="699">
        <f>IF($AW198=0,0,        _xll.qDateNext($AW197,BC$17,"M",TRUE,Currency2))</f>
        <v>0</v>
      </c>
      <c r="BD197" s="699">
        <f>IF($AW198=0,0,        _xll.qDateNext($AW197,BD$17,"M",TRUE,Currency2))</f>
        <v>0</v>
      </c>
      <c r="BE197" s="699">
        <f>IF($AW198=0,0,        _xll.qDateNext($AW197,BE$17,"M",TRUE,Currency2))</f>
        <v>0</v>
      </c>
      <c r="BF197" s="699">
        <f>IF($AW198=0,0,        _xll.qDateNext($AW197,BF$17,"M",TRUE,Currency2))</f>
        <v>0</v>
      </c>
      <c r="BG197" s="699">
        <f>IF($AW198=0,0,        _xll.qDateNext($AW197,BG$17,"M",TRUE,Currency2))</f>
        <v>0</v>
      </c>
      <c r="BH197" s="703">
        <v>0</v>
      </c>
      <c r="BI197" s="703">
        <v>0</v>
      </c>
      <c r="BJ197" s="703">
        <v>0</v>
      </c>
      <c r="BK197" s="703">
        <v>0</v>
      </c>
      <c r="BL197" s="703">
        <f t="shared" si="39"/>
        <v>0</v>
      </c>
      <c r="BM197" s="703">
        <f t="shared" si="40"/>
        <v>0</v>
      </c>
      <c r="BN197" s="703">
        <v>0</v>
      </c>
      <c r="BO197" s="703">
        <v>0</v>
      </c>
      <c r="BP197" s="685">
        <v>0</v>
      </c>
      <c r="BQ197" s="667"/>
      <c r="BR197" s="670">
        <f>IF(AW198=0,0,             IF(ISNUMBER(BQ197),BQ197,             IF(ISTEXT(BQ197),INDEX(BH197:BO197,MATCH(BQ197,$BH$17:$BO$17,0)),           IF(BP197="INT",_xll.qInterp(AW198,AZ197:BG197,BH197:BO197),       INDEX(BH197:BO197,MATCH(BP197,$BH$17:$BO$17,0))))))</f>
        <v>0</v>
      </c>
      <c r="BS197" s="731">
        <f t="shared" si="34"/>
        <v>0</v>
      </c>
      <c r="BT197" s="406">
        <f t="shared" si="35"/>
        <v>0</v>
      </c>
      <c r="BU197" s="284">
        <f>IF($AW198,_xll.qDateYears($AW197,$AW198,DCC_Leg2_Fixed),0)</f>
        <v>0</v>
      </c>
      <c r="BV197" s="284">
        <f>IF($AW198,_xll.qDateYears($AW197,$AW198,DCC_Leg2_Float),0)</f>
        <v>0</v>
      </c>
      <c r="BX197" s="350">
        <f t="shared" si="41"/>
        <v>0</v>
      </c>
      <c r="BY197" s="375">
        <f>IF(GenType_2a="Fixed",GenRate_2a%*$BT196*BU196,          IF(GenType_2a="Float",$BT196*(_xll.qGetFwdRate($J$18,$AW196,$AW197,"T",DCC_Leg2_Float)%+GenRate_2a%%)*$BV196,        IF(GenType_2a="bp (Fixed)",GenRate_2a%%*$BU196*$BT196,   IF(GenType_2a="bp (Float)",GenRate_2a%%*$BT196*$BV196,0))))</f>
        <v>0</v>
      </c>
      <c r="BZ197" s="561"/>
      <c r="CB197" s="341">
        <f t="shared" si="43"/>
        <v>0</v>
      </c>
      <c r="CC197" s="563"/>
      <c r="CD197" s="356"/>
      <c r="CE197" s="341">
        <v>0</v>
      </c>
      <c r="CF197" s="563"/>
      <c r="CG197" s="356"/>
    </row>
    <row r="198" spans="15:85">
      <c r="O198" s="122">
        <v>0</v>
      </c>
      <c r="P198" s="128">
        <f t="shared" si="30"/>
        <v>0</v>
      </c>
      <c r="Q198" s="126">
        <v>0</v>
      </c>
      <c r="R198" s="699">
        <f>IF($O199=0,0,        _xll.qDateNext($O198,R$17,"M",TRUE,Currency1))</f>
        <v>0</v>
      </c>
      <c r="S198" s="699">
        <f>IF($O199=0,0,        _xll.qDateNext($O198,S$17,"M",TRUE,Currency1))</f>
        <v>0</v>
      </c>
      <c r="T198" s="699">
        <f>IF($O199=0,0,        _xll.qDateNext($O198,T$17,"M",TRUE,Currency1))</f>
        <v>0</v>
      </c>
      <c r="U198" s="699">
        <f>IF($O199=0,0,        _xll.qDateNext($O198,U$17,"M",TRUE,Currency1))</f>
        <v>0</v>
      </c>
      <c r="V198" s="699">
        <f>IF($O199=0,0,        _xll.qDateNext($O198,V$17,"M",TRUE,Currency1))</f>
        <v>0</v>
      </c>
      <c r="W198" s="699">
        <f>IF($O199=0,0,        _xll.qDateNext($O198,W$17,"M",TRUE,Currency1))</f>
        <v>0</v>
      </c>
      <c r="X198" s="699">
        <f>IF($O199=0,0,        _xll.qDateNext($O198,X$17,"M",TRUE,Currency1))</f>
        <v>0</v>
      </c>
      <c r="Y198" s="699">
        <f>IF($O199=0,0,        _xll.qDateNext($O198,Y$17,"M",TRUE,Currency1))</f>
        <v>0</v>
      </c>
      <c r="Z198" s="703">
        <f>IF($O199=0,0,           IF(FRM,_xll.qGetFwdRate(Z$14,$O198,R198,"T",DCC_Leg1_Float),_xll.qGetFwdRate(Z$14,$O198,$O199,"T",DCC_Leg1_Float)))</f>
        <v>0</v>
      </c>
      <c r="AA198" s="703">
        <f>IF($O199=0,0,           IF(FRM,_xll.qGetFwdRate(AA$14,$O198,S198,"T",DCC_Leg1_Float),_xll.qGetFwdRate(AA$14,$O198,$O199,"T",DCC_Leg1_Float)))</f>
        <v>0</v>
      </c>
      <c r="AB198" s="703">
        <f t="shared" si="31"/>
        <v>0</v>
      </c>
      <c r="AC198" s="703">
        <f>IF($O199=0,0,           IF(FRM,_xll.qGetFwdRate(AC$14,$O198,U198,"T",DCC_Leg1_Float),_xll.qGetFwdRate(AC$14,$O198,$O199,"T",DCC_Leg1_Float)))</f>
        <v>0</v>
      </c>
      <c r="AD198" s="703">
        <f t="shared" si="36"/>
        <v>0</v>
      </c>
      <c r="AE198" s="703">
        <f t="shared" si="37"/>
        <v>0</v>
      </c>
      <c r="AF198" s="703">
        <f>IF($O199=0,0,           IF(FRM,_xll.qGetFwdRate(AF$14,$O198,X198,"T",DCC_Leg1_Float),_xll.qGetFwdRate(AF$14,$O198,$O199,"T",DCC_Leg1_Float)))</f>
        <v>0</v>
      </c>
      <c r="AG198" s="703">
        <f>IF($O199=0,0,           IF(FRM,_xll.qGetFwdRate(AG$14,$O198,Y198,"T",DCC_Leg1_Float),_xll.qGetFwdRate(AG$14,$O198,$O199,"T",DCC_Leg1_Float)))</f>
        <v>0</v>
      </c>
      <c r="AH198" s="685">
        <v>0</v>
      </c>
      <c r="AI198" s="667"/>
      <c r="AJ198" s="670">
        <f>IF(O199=0,0,             IF(ISNUMBER(AI198),AI198,             IF(ISTEXT(AI198),INDEX(Z198:AG198,MATCH(AI198,$Z$17:$AG$17,0)),           IF(AH198="INT",_xll.qInterp(O199,R198:Y198,Z198:AG198),       INDEX(Z198:AG198,MATCH(AH198,$Z$17:$AG$17,0))))))</f>
        <v>0</v>
      </c>
      <c r="AK198" s="732">
        <v>20</v>
      </c>
      <c r="AL198" s="721">
        <f t="shared" si="32"/>
        <v>0</v>
      </c>
      <c r="AM198" s="284">
        <f>IF($O199,_xll.qDateYears($O198,$O199,DCC_Leg1_Fixed),0)</f>
        <v>0</v>
      </c>
      <c r="AN198" s="284">
        <f>IF($O199,_xll.qDateYears($O198,$O199,DCC_Leg1_Float),0)</f>
        <v>0</v>
      </c>
      <c r="AP198" s="350">
        <f t="shared" si="38"/>
        <v>0</v>
      </c>
      <c r="AQ198" s="375">
        <f>IF(GenType_1a="Fixed",GenRate_1a%*$AL197*AM197,          IF(GenType_1a="Float",$AL197*(_xll.qGetFwdRate($D$18,$O197,$O198,"T",DCC_Leg1_Float)%+GenRate_1a%%)*$AN197,        IF(GenType_1a="bp (Fixed)",GenRate_1a%%*$AM197*$AL197,   IF(GenType_1a="bp (Float)",GenRate_1a%%*$AL197*$AN197,0))))</f>
        <v>0</v>
      </c>
      <c r="AR198" s="561"/>
      <c r="AT198" s="341">
        <f t="shared" si="42"/>
        <v>0</v>
      </c>
      <c r="AV198" s="356"/>
      <c r="AW198" s="122">
        <v>0</v>
      </c>
      <c r="AX198" s="128">
        <f t="shared" si="33"/>
        <v>0</v>
      </c>
      <c r="AY198" s="357">
        <v>0</v>
      </c>
      <c r="AZ198" s="699">
        <f>IF($AW199=0,0,        _xll.qDateNext($AW198,AZ$17,"M",TRUE,Currency2))</f>
        <v>0</v>
      </c>
      <c r="BA198" s="699">
        <f>IF($AW199=0,0,        _xll.qDateNext($AW198,BA$17,"M",TRUE,Currency2))</f>
        <v>0</v>
      </c>
      <c r="BB198" s="699">
        <f>IF($AW199=0,0,        _xll.qDateNext($AW198,BB$17,"M",TRUE,Currency2))</f>
        <v>0</v>
      </c>
      <c r="BC198" s="699">
        <f>IF($AW199=0,0,        _xll.qDateNext($AW198,BC$17,"M",TRUE,Currency2))</f>
        <v>0</v>
      </c>
      <c r="BD198" s="699">
        <f>IF($AW199=0,0,        _xll.qDateNext($AW198,BD$17,"M",TRUE,Currency2))</f>
        <v>0</v>
      </c>
      <c r="BE198" s="699">
        <f>IF($AW199=0,0,        _xll.qDateNext($AW198,BE$17,"M",TRUE,Currency2))</f>
        <v>0</v>
      </c>
      <c r="BF198" s="699">
        <f>IF($AW199=0,0,        _xll.qDateNext($AW198,BF$17,"M",TRUE,Currency2))</f>
        <v>0</v>
      </c>
      <c r="BG198" s="699">
        <f>IF($AW199=0,0,        _xll.qDateNext($AW198,BG$17,"M",TRUE,Currency2))</f>
        <v>0</v>
      </c>
      <c r="BH198" s="703">
        <v>0</v>
      </c>
      <c r="BI198" s="703">
        <v>0</v>
      </c>
      <c r="BJ198" s="703">
        <v>0</v>
      </c>
      <c r="BK198" s="703">
        <v>0</v>
      </c>
      <c r="BL198" s="703">
        <f t="shared" si="39"/>
        <v>0</v>
      </c>
      <c r="BM198" s="703">
        <f t="shared" si="40"/>
        <v>0</v>
      </c>
      <c r="BN198" s="703">
        <v>0</v>
      </c>
      <c r="BO198" s="703">
        <v>0</v>
      </c>
      <c r="BP198" s="685">
        <v>0</v>
      </c>
      <c r="BQ198" s="667"/>
      <c r="BR198" s="670">
        <f>IF(AW199=0,0,             IF(ISNUMBER(BQ198),BQ198,             IF(ISTEXT(BQ198),INDEX(BH198:BO198,MATCH(BQ198,$BH$17:$BO$17,0)),           IF(BP198="INT",_xll.qInterp(AW199,AZ198:BG198,BH198:BO198),       INDEX(BH198:BO198,MATCH(BP198,$BH$17:$BO$17,0))))))</f>
        <v>0</v>
      </c>
      <c r="BS198" s="731">
        <f t="shared" si="34"/>
        <v>0</v>
      </c>
      <c r="BT198" s="406">
        <f t="shared" si="35"/>
        <v>0</v>
      </c>
      <c r="BU198" s="284">
        <f>IF($AW199,_xll.qDateYears($AW198,$AW199,DCC_Leg2_Fixed),0)</f>
        <v>0</v>
      </c>
      <c r="BV198" s="284">
        <f>IF($AW199,_xll.qDateYears($AW198,$AW199,DCC_Leg2_Float),0)</f>
        <v>0</v>
      </c>
      <c r="BX198" s="350">
        <f t="shared" si="41"/>
        <v>0</v>
      </c>
      <c r="BY198" s="375">
        <f>IF(GenType_2a="Fixed",GenRate_2a%*$BT197*BU197,          IF(GenType_2a="Float",$BT197*(_xll.qGetFwdRate($J$18,$AW197,$AW198,"T",DCC_Leg2_Float)%+GenRate_2a%%)*$BV197,        IF(GenType_2a="bp (Fixed)",GenRate_2a%%*$BU197*$BT197,   IF(GenType_2a="bp (Float)",GenRate_2a%%*$BT197*$BV197,0))))</f>
        <v>0</v>
      </c>
      <c r="BZ198" s="561"/>
      <c r="CB198" s="341">
        <f t="shared" si="43"/>
        <v>0</v>
      </c>
      <c r="CC198" s="563"/>
      <c r="CD198" s="356"/>
      <c r="CE198" s="341">
        <v>0</v>
      </c>
      <c r="CF198" s="563"/>
      <c r="CG198" s="356"/>
    </row>
    <row r="199" spans="15:85">
      <c r="O199" s="122">
        <v>0</v>
      </c>
      <c r="P199" s="128">
        <f t="shared" si="30"/>
        <v>0</v>
      </c>
      <c r="Q199" s="126">
        <v>0</v>
      </c>
      <c r="R199" s="699">
        <f>IF($O200=0,0,        _xll.qDateNext($O199,R$17,"M",TRUE,Currency1))</f>
        <v>0</v>
      </c>
      <c r="S199" s="699">
        <f>IF($O200=0,0,        _xll.qDateNext($O199,S$17,"M",TRUE,Currency1))</f>
        <v>0</v>
      </c>
      <c r="T199" s="699">
        <f>IF($O200=0,0,        _xll.qDateNext($O199,T$17,"M",TRUE,Currency1))</f>
        <v>0</v>
      </c>
      <c r="U199" s="699">
        <f>IF($O200=0,0,        _xll.qDateNext($O199,U$17,"M",TRUE,Currency1))</f>
        <v>0</v>
      </c>
      <c r="V199" s="699">
        <f>IF($O200=0,0,        _xll.qDateNext($O199,V$17,"M",TRUE,Currency1))</f>
        <v>0</v>
      </c>
      <c r="W199" s="699">
        <f>IF($O200=0,0,        _xll.qDateNext($O199,W$17,"M",TRUE,Currency1))</f>
        <v>0</v>
      </c>
      <c r="X199" s="699">
        <f>IF($O200=0,0,        _xll.qDateNext($O199,X$17,"M",TRUE,Currency1))</f>
        <v>0</v>
      </c>
      <c r="Y199" s="699">
        <f>IF($O200=0,0,        _xll.qDateNext($O199,Y$17,"M",TRUE,Currency1))</f>
        <v>0</v>
      </c>
      <c r="Z199" s="703">
        <f>IF($O200=0,0,           IF(FRM,_xll.qGetFwdRate(Z$14,$O199,R199,"T",DCC_Leg1_Float),_xll.qGetFwdRate(Z$14,$O199,$O200,"T",DCC_Leg1_Float)))</f>
        <v>0</v>
      </c>
      <c r="AA199" s="703">
        <f>IF($O200=0,0,           IF(FRM,_xll.qGetFwdRate(AA$14,$O199,S199,"T",DCC_Leg1_Float),_xll.qGetFwdRate(AA$14,$O199,$O200,"T",DCC_Leg1_Float)))</f>
        <v>0</v>
      </c>
      <c r="AB199" s="703">
        <f t="shared" si="31"/>
        <v>0</v>
      </c>
      <c r="AC199" s="703">
        <f>IF($O200=0,0,           IF(FRM,_xll.qGetFwdRate(AC$14,$O199,U199,"T",DCC_Leg1_Float),_xll.qGetFwdRate(AC$14,$O199,$O200,"T",DCC_Leg1_Float)))</f>
        <v>0</v>
      </c>
      <c r="AD199" s="703">
        <f t="shared" si="36"/>
        <v>0</v>
      </c>
      <c r="AE199" s="703">
        <f t="shared" si="37"/>
        <v>0</v>
      </c>
      <c r="AF199" s="703">
        <f>IF($O200=0,0,           IF(FRM,_xll.qGetFwdRate(AF$14,$O199,X199,"T",DCC_Leg1_Float),_xll.qGetFwdRate(AF$14,$O199,$O200,"T",DCC_Leg1_Float)))</f>
        <v>0</v>
      </c>
      <c r="AG199" s="703">
        <f>IF($O200=0,0,           IF(FRM,_xll.qGetFwdRate(AG$14,$O199,Y199,"T",DCC_Leg1_Float),_xll.qGetFwdRate(AG$14,$O199,$O200,"T",DCC_Leg1_Float)))</f>
        <v>0</v>
      </c>
      <c r="AH199" s="685">
        <v>0</v>
      </c>
      <c r="AI199" s="667"/>
      <c r="AJ199" s="670">
        <f>IF(O200=0,0,             IF(ISNUMBER(AI199),AI199,             IF(ISTEXT(AI199),INDEX(Z199:AG199,MATCH(AI199,$Z$17:$AG$17,0)),           IF(AH199="INT",_xll.qInterp(O200,R199:Y199,Z199:AG199),       INDEX(Z199:AG199,MATCH(AH199,$Z$17:$AG$17,0))))))</f>
        <v>0</v>
      </c>
      <c r="AK199" s="732">
        <v>20</v>
      </c>
      <c r="AL199" s="721">
        <f t="shared" si="32"/>
        <v>0</v>
      </c>
      <c r="AM199" s="284">
        <f>IF($O200,_xll.qDateYears($O199,$O200,DCC_Leg1_Fixed),0)</f>
        <v>0</v>
      </c>
      <c r="AN199" s="284">
        <f>IF($O200,_xll.qDateYears($O199,$O200,DCC_Leg1_Float),0)</f>
        <v>0</v>
      </c>
      <c r="AP199" s="350">
        <f t="shared" si="38"/>
        <v>0</v>
      </c>
      <c r="AQ199" s="375">
        <f>IF(GenType_1a="Fixed",GenRate_1a%*$AL198*AM198,          IF(GenType_1a="Float",$AL198*(_xll.qGetFwdRate($D$18,$O198,$O199,"T",DCC_Leg1_Float)%+GenRate_1a%%)*$AN198,        IF(GenType_1a="bp (Fixed)",GenRate_1a%%*$AM198*$AL198,   IF(GenType_1a="bp (Float)",GenRate_1a%%*$AL198*$AN198,0))))</f>
        <v>0</v>
      </c>
      <c r="AR199" s="561"/>
      <c r="AT199" s="341">
        <f t="shared" si="42"/>
        <v>0</v>
      </c>
      <c r="AV199" s="356"/>
      <c r="AW199" s="122">
        <v>0</v>
      </c>
      <c r="AX199" s="128">
        <f t="shared" si="33"/>
        <v>0</v>
      </c>
      <c r="AY199" s="357">
        <v>0</v>
      </c>
      <c r="AZ199" s="699">
        <f>IF($AW200=0,0,        _xll.qDateNext($AW199,AZ$17,"M",TRUE,Currency2))</f>
        <v>0</v>
      </c>
      <c r="BA199" s="699">
        <f>IF($AW200=0,0,        _xll.qDateNext($AW199,BA$17,"M",TRUE,Currency2))</f>
        <v>0</v>
      </c>
      <c r="BB199" s="699">
        <f>IF($AW200=0,0,        _xll.qDateNext($AW199,BB$17,"M",TRUE,Currency2))</f>
        <v>0</v>
      </c>
      <c r="BC199" s="699">
        <f>IF($AW200=0,0,        _xll.qDateNext($AW199,BC$17,"M",TRUE,Currency2))</f>
        <v>0</v>
      </c>
      <c r="BD199" s="699">
        <f>IF($AW200=0,0,        _xll.qDateNext($AW199,BD$17,"M",TRUE,Currency2))</f>
        <v>0</v>
      </c>
      <c r="BE199" s="699">
        <f>IF($AW200=0,0,        _xll.qDateNext($AW199,BE$17,"M",TRUE,Currency2))</f>
        <v>0</v>
      </c>
      <c r="BF199" s="699">
        <f>IF($AW200=0,0,        _xll.qDateNext($AW199,BF$17,"M",TRUE,Currency2))</f>
        <v>0</v>
      </c>
      <c r="BG199" s="699">
        <f>IF($AW200=0,0,        _xll.qDateNext($AW199,BG$17,"M",TRUE,Currency2))</f>
        <v>0</v>
      </c>
      <c r="BH199" s="703">
        <v>0</v>
      </c>
      <c r="BI199" s="703">
        <v>0</v>
      </c>
      <c r="BJ199" s="703">
        <v>0</v>
      </c>
      <c r="BK199" s="703">
        <v>0</v>
      </c>
      <c r="BL199" s="703">
        <f t="shared" si="39"/>
        <v>0</v>
      </c>
      <c r="BM199" s="703">
        <f t="shared" si="40"/>
        <v>0</v>
      </c>
      <c r="BN199" s="703">
        <v>0</v>
      </c>
      <c r="BO199" s="703">
        <v>0</v>
      </c>
      <c r="BP199" s="685">
        <v>0</v>
      </c>
      <c r="BQ199" s="667"/>
      <c r="BR199" s="670">
        <f>IF(AW200=0,0,             IF(ISNUMBER(BQ199),BQ199,             IF(ISTEXT(BQ199),INDEX(BH199:BO199,MATCH(BQ199,$BH$17:$BO$17,0)),           IF(BP199="INT",_xll.qInterp(AW200,AZ199:BG199,BH199:BO199),       INDEX(BH199:BO199,MATCH(BP199,$BH$17:$BO$17,0))))))</f>
        <v>0</v>
      </c>
      <c r="BS199" s="731">
        <f t="shared" si="34"/>
        <v>0</v>
      </c>
      <c r="BT199" s="406">
        <f t="shared" si="35"/>
        <v>0</v>
      </c>
      <c r="BU199" s="284">
        <f>IF($AW200,_xll.qDateYears($AW199,$AW200,DCC_Leg2_Fixed),0)</f>
        <v>0</v>
      </c>
      <c r="BV199" s="284">
        <f>IF($AW200,_xll.qDateYears($AW199,$AW200,DCC_Leg2_Float),0)</f>
        <v>0</v>
      </c>
      <c r="BX199" s="350">
        <f t="shared" si="41"/>
        <v>0</v>
      </c>
      <c r="BY199" s="375">
        <f>IF(GenType_2a="Fixed",GenRate_2a%*$BT198*BU198,          IF(GenType_2a="Float",$BT198*(_xll.qGetFwdRate($J$18,$AW198,$AW199,"T",DCC_Leg2_Float)%+GenRate_2a%%)*$BV198,        IF(GenType_2a="bp (Fixed)",GenRate_2a%%*$BU198*$BT198,   IF(GenType_2a="bp (Float)",GenRate_2a%%*$BT198*$BV198,0))))</f>
        <v>0</v>
      </c>
      <c r="BZ199" s="561"/>
      <c r="CB199" s="341">
        <f t="shared" si="43"/>
        <v>0</v>
      </c>
      <c r="CC199" s="563"/>
      <c r="CD199" s="356"/>
      <c r="CE199" s="341">
        <v>0</v>
      </c>
      <c r="CF199" s="563"/>
      <c r="CG199" s="356"/>
    </row>
    <row r="200" spans="15:85">
      <c r="O200" s="122">
        <v>0</v>
      </c>
      <c r="P200" s="128">
        <f t="shared" si="30"/>
        <v>0</v>
      </c>
      <c r="Q200" s="126">
        <v>0</v>
      </c>
      <c r="R200" s="699">
        <f>IF($O201=0,0,        _xll.qDateNext($O200,R$17,"M",TRUE,Currency1))</f>
        <v>0</v>
      </c>
      <c r="S200" s="699">
        <f>IF($O201=0,0,        _xll.qDateNext($O200,S$17,"M",TRUE,Currency1))</f>
        <v>0</v>
      </c>
      <c r="T200" s="699">
        <f>IF($O201=0,0,        _xll.qDateNext($O200,T$17,"M",TRUE,Currency1))</f>
        <v>0</v>
      </c>
      <c r="U200" s="699">
        <f>IF($O201=0,0,        _xll.qDateNext($O200,U$17,"M",TRUE,Currency1))</f>
        <v>0</v>
      </c>
      <c r="V200" s="699">
        <f>IF($O201=0,0,        _xll.qDateNext($O200,V$17,"M",TRUE,Currency1))</f>
        <v>0</v>
      </c>
      <c r="W200" s="699">
        <f>IF($O201=0,0,        _xll.qDateNext($O200,W$17,"M",TRUE,Currency1))</f>
        <v>0</v>
      </c>
      <c r="X200" s="699">
        <f>IF($O201=0,0,        _xll.qDateNext($O200,X$17,"M",TRUE,Currency1))</f>
        <v>0</v>
      </c>
      <c r="Y200" s="699">
        <f>IF($O201=0,0,        _xll.qDateNext($O200,Y$17,"M",TRUE,Currency1))</f>
        <v>0</v>
      </c>
      <c r="Z200" s="703">
        <f>IF($O201=0,0,           IF(FRM,_xll.qGetFwdRate(Z$14,$O200,R200,"T",DCC_Leg1_Float),_xll.qGetFwdRate(Z$14,$O200,$O201,"T",DCC_Leg1_Float)))</f>
        <v>0</v>
      </c>
      <c r="AA200" s="703">
        <f>IF($O201=0,0,           IF(FRM,_xll.qGetFwdRate(AA$14,$O200,S200,"T",DCC_Leg1_Float),_xll.qGetFwdRate(AA$14,$O200,$O201,"T",DCC_Leg1_Float)))</f>
        <v>0</v>
      </c>
      <c r="AB200" s="703">
        <f t="shared" si="31"/>
        <v>0</v>
      </c>
      <c r="AC200" s="703">
        <f>IF($O201=0,0,           IF(FRM,_xll.qGetFwdRate(AC$14,$O200,U200,"T",DCC_Leg1_Float),_xll.qGetFwdRate(AC$14,$O200,$O201,"T",DCC_Leg1_Float)))</f>
        <v>0</v>
      </c>
      <c r="AD200" s="703">
        <f t="shared" si="36"/>
        <v>0</v>
      </c>
      <c r="AE200" s="703">
        <f t="shared" si="37"/>
        <v>0</v>
      </c>
      <c r="AF200" s="703">
        <f>IF($O201=0,0,           IF(FRM,_xll.qGetFwdRate(AF$14,$O200,X200,"T",DCC_Leg1_Float),_xll.qGetFwdRate(AF$14,$O200,$O201,"T",DCC_Leg1_Float)))</f>
        <v>0</v>
      </c>
      <c r="AG200" s="703">
        <f>IF($O201=0,0,           IF(FRM,_xll.qGetFwdRate(AG$14,$O200,Y200,"T",DCC_Leg1_Float),_xll.qGetFwdRate(AG$14,$O200,$O201,"T",DCC_Leg1_Float)))</f>
        <v>0</v>
      </c>
      <c r="AH200" s="685">
        <v>0</v>
      </c>
      <c r="AI200" s="667"/>
      <c r="AJ200" s="670">
        <f>IF(O201=0,0,             IF(ISNUMBER(AI200),AI200,             IF(ISTEXT(AI200),INDEX(Z200:AG200,MATCH(AI200,$Z$17:$AG$17,0)),           IF(AH200="INT",_xll.qInterp(O201,R200:Y200,Z200:AG200),       INDEX(Z200:AG200,MATCH(AH200,$Z$17:$AG$17,0))))))</f>
        <v>0</v>
      </c>
      <c r="AK200" s="732">
        <v>20</v>
      </c>
      <c r="AL200" s="721">
        <f t="shared" si="32"/>
        <v>0</v>
      </c>
      <c r="AM200" s="284">
        <f>IF($O201,_xll.qDateYears($O200,$O201,DCC_Leg1_Fixed),0)</f>
        <v>0</v>
      </c>
      <c r="AN200" s="284">
        <f>IF($O201,_xll.qDateYears($O200,$O201,DCC_Leg1_Float),0)</f>
        <v>0</v>
      </c>
      <c r="AP200" s="350">
        <f t="shared" si="38"/>
        <v>0</v>
      </c>
      <c r="AQ200" s="375">
        <f>IF(GenType_1a="Fixed",GenRate_1a%*$AL199*AM199,          IF(GenType_1a="Float",$AL199*(_xll.qGetFwdRate($D$18,$O199,$O200,"T",DCC_Leg1_Float)%+GenRate_1a%%)*$AN199,        IF(GenType_1a="bp (Fixed)",GenRate_1a%%*$AM199*$AL199,   IF(GenType_1a="bp (Float)",GenRate_1a%%*$AL199*$AN199,0))))</f>
        <v>0</v>
      </c>
      <c r="AR200" s="561"/>
      <c r="AT200" s="341">
        <f t="shared" si="42"/>
        <v>0</v>
      </c>
      <c r="AV200" s="356"/>
      <c r="AW200" s="122">
        <v>0</v>
      </c>
      <c r="AX200" s="128">
        <f t="shared" si="33"/>
        <v>0</v>
      </c>
      <c r="AY200" s="357">
        <v>0</v>
      </c>
      <c r="AZ200" s="699">
        <f>IF($AW201=0,0,        _xll.qDateNext($AW200,AZ$17,"M",TRUE,Currency2))</f>
        <v>0</v>
      </c>
      <c r="BA200" s="699">
        <f>IF($AW201=0,0,        _xll.qDateNext($AW200,BA$17,"M",TRUE,Currency2))</f>
        <v>0</v>
      </c>
      <c r="BB200" s="699">
        <f>IF($AW201=0,0,        _xll.qDateNext($AW200,BB$17,"M",TRUE,Currency2))</f>
        <v>0</v>
      </c>
      <c r="BC200" s="699">
        <f>IF($AW201=0,0,        _xll.qDateNext($AW200,BC$17,"M",TRUE,Currency2))</f>
        <v>0</v>
      </c>
      <c r="BD200" s="699">
        <f>IF($AW201=0,0,        _xll.qDateNext($AW200,BD$17,"M",TRUE,Currency2))</f>
        <v>0</v>
      </c>
      <c r="BE200" s="699">
        <f>IF($AW201=0,0,        _xll.qDateNext($AW200,BE$17,"M",TRUE,Currency2))</f>
        <v>0</v>
      </c>
      <c r="BF200" s="699">
        <f>IF($AW201=0,0,        _xll.qDateNext($AW200,BF$17,"M",TRUE,Currency2))</f>
        <v>0</v>
      </c>
      <c r="BG200" s="699">
        <f>IF($AW201=0,0,        _xll.qDateNext($AW200,BG$17,"M",TRUE,Currency2))</f>
        <v>0</v>
      </c>
      <c r="BH200" s="703">
        <v>0</v>
      </c>
      <c r="BI200" s="703">
        <v>0</v>
      </c>
      <c r="BJ200" s="703">
        <v>0</v>
      </c>
      <c r="BK200" s="703">
        <v>0</v>
      </c>
      <c r="BL200" s="703">
        <f t="shared" si="39"/>
        <v>0</v>
      </c>
      <c r="BM200" s="703">
        <f t="shared" si="40"/>
        <v>0</v>
      </c>
      <c r="BN200" s="703">
        <v>0</v>
      </c>
      <c r="BO200" s="703">
        <v>0</v>
      </c>
      <c r="BP200" s="685">
        <v>0</v>
      </c>
      <c r="BQ200" s="667"/>
      <c r="BR200" s="670">
        <f>IF(AW201=0,0,             IF(ISNUMBER(BQ200),BQ200,             IF(ISTEXT(BQ200),INDEX(BH200:BO200,MATCH(BQ200,$BH$17:$BO$17,0)),           IF(BP200="INT",_xll.qInterp(AW201,AZ200:BG200,BH200:BO200),       INDEX(BH200:BO200,MATCH(BP200,$BH$17:$BO$17,0))))))</f>
        <v>0</v>
      </c>
      <c r="BS200" s="731">
        <f t="shared" si="34"/>
        <v>0</v>
      </c>
      <c r="BT200" s="406">
        <f t="shared" si="35"/>
        <v>0</v>
      </c>
      <c r="BU200" s="284">
        <f>IF($AW201,_xll.qDateYears($AW200,$AW201,DCC_Leg2_Fixed),0)</f>
        <v>0</v>
      </c>
      <c r="BV200" s="284">
        <f>IF($AW201,_xll.qDateYears($AW200,$AW201,DCC_Leg2_Float),0)</f>
        <v>0</v>
      </c>
      <c r="BX200" s="350">
        <f t="shared" si="41"/>
        <v>0</v>
      </c>
      <c r="BY200" s="375">
        <f>IF(GenType_2a="Fixed",GenRate_2a%*$BT199*BU199,          IF(GenType_2a="Float",$BT199*(_xll.qGetFwdRate($J$18,$AW199,$AW200,"T",DCC_Leg2_Float)%+GenRate_2a%%)*$BV199,        IF(GenType_2a="bp (Fixed)",GenRate_2a%%*$BU199*$BT199,   IF(GenType_2a="bp (Float)",GenRate_2a%%*$BT199*$BV199,0))))</f>
        <v>0</v>
      </c>
      <c r="BZ200" s="561"/>
      <c r="CB200" s="341">
        <f t="shared" si="43"/>
        <v>0</v>
      </c>
      <c r="CC200" s="563"/>
      <c r="CD200" s="356"/>
      <c r="CE200" s="341">
        <v>0</v>
      </c>
      <c r="CF200" s="563"/>
      <c r="CG200" s="356"/>
    </row>
    <row r="201" spans="15:85">
      <c r="O201" s="122">
        <v>0</v>
      </c>
      <c r="P201" s="128">
        <f t="shared" si="30"/>
        <v>0</v>
      </c>
      <c r="Q201" s="126">
        <v>0</v>
      </c>
      <c r="R201" s="699">
        <f>IF($O202=0,0,        _xll.qDateNext($O201,R$17,"M",TRUE,Currency1))</f>
        <v>0</v>
      </c>
      <c r="S201" s="699">
        <f>IF($O202=0,0,        _xll.qDateNext($O201,S$17,"M",TRUE,Currency1))</f>
        <v>0</v>
      </c>
      <c r="T201" s="699">
        <f>IF($O202=0,0,        _xll.qDateNext($O201,T$17,"M",TRUE,Currency1))</f>
        <v>0</v>
      </c>
      <c r="U201" s="699">
        <f>IF($O202=0,0,        _xll.qDateNext($O201,U$17,"M",TRUE,Currency1))</f>
        <v>0</v>
      </c>
      <c r="V201" s="699">
        <f>IF($O202=0,0,        _xll.qDateNext($O201,V$17,"M",TRUE,Currency1))</f>
        <v>0</v>
      </c>
      <c r="W201" s="699">
        <f>IF($O202=0,0,        _xll.qDateNext($O201,W$17,"M",TRUE,Currency1))</f>
        <v>0</v>
      </c>
      <c r="X201" s="699">
        <f>IF($O202=0,0,        _xll.qDateNext($O201,X$17,"M",TRUE,Currency1))</f>
        <v>0</v>
      </c>
      <c r="Y201" s="699">
        <f>IF($O202=0,0,        _xll.qDateNext($O201,Y$17,"M",TRUE,Currency1))</f>
        <v>0</v>
      </c>
      <c r="Z201" s="703">
        <f>IF($O202=0,0,           IF(FRM,_xll.qGetFwdRate(Z$14,$O201,R201,"T",DCC_Leg1_Float),_xll.qGetFwdRate(Z$14,$O201,$O202,"T",DCC_Leg1_Float)))</f>
        <v>0</v>
      </c>
      <c r="AA201" s="703">
        <f>IF($O202=0,0,           IF(FRM,_xll.qGetFwdRate(AA$14,$O201,S201,"T",DCC_Leg1_Float),_xll.qGetFwdRate(AA$14,$O201,$O202,"T",DCC_Leg1_Float)))</f>
        <v>0</v>
      </c>
      <c r="AB201" s="703">
        <f t="shared" si="31"/>
        <v>0</v>
      </c>
      <c r="AC201" s="703">
        <f>IF($O202=0,0,           IF(FRM,_xll.qGetFwdRate(AC$14,$O201,U201,"T",DCC_Leg1_Float),_xll.qGetFwdRate(AC$14,$O201,$O202,"T",DCC_Leg1_Float)))</f>
        <v>0</v>
      </c>
      <c r="AD201" s="703">
        <f t="shared" si="36"/>
        <v>0</v>
      </c>
      <c r="AE201" s="703">
        <f t="shared" si="37"/>
        <v>0</v>
      </c>
      <c r="AF201" s="703">
        <f>IF($O202=0,0,           IF(FRM,_xll.qGetFwdRate(AF$14,$O201,X201,"T",DCC_Leg1_Float),_xll.qGetFwdRate(AF$14,$O201,$O202,"T",DCC_Leg1_Float)))</f>
        <v>0</v>
      </c>
      <c r="AG201" s="703">
        <f>IF($O202=0,0,           IF(FRM,_xll.qGetFwdRate(AG$14,$O201,Y201,"T",DCC_Leg1_Float),_xll.qGetFwdRate(AG$14,$O201,$O202,"T",DCC_Leg1_Float)))</f>
        <v>0</v>
      </c>
      <c r="AH201" s="685">
        <v>0</v>
      </c>
      <c r="AI201" s="667"/>
      <c r="AJ201" s="670">
        <f>IF(O202=0,0,             IF(ISNUMBER(AI201),AI201,             IF(ISTEXT(AI201),INDEX(Z201:AG201,MATCH(AI201,$Z$17:$AG$17,0)),           IF(AH201="INT",_xll.qInterp(O202,R201:Y201,Z201:AG201),       INDEX(Z201:AG201,MATCH(AH201,$Z$17:$AG$17,0))))))</f>
        <v>0</v>
      </c>
      <c r="AK201" s="732">
        <v>20</v>
      </c>
      <c r="AL201" s="721">
        <f t="shared" si="32"/>
        <v>0</v>
      </c>
      <c r="AM201" s="284">
        <f>IF($O202,_xll.qDateYears($O201,$O202,DCC_Leg1_Fixed),0)</f>
        <v>0</v>
      </c>
      <c r="AN201" s="284">
        <f>IF($O202,_xll.qDateYears($O201,$O202,DCC_Leg1_Float),0)</f>
        <v>0</v>
      </c>
      <c r="AP201" s="350">
        <f t="shared" si="38"/>
        <v>0</v>
      </c>
      <c r="AQ201" s="375">
        <f>IF(GenType_1a="Fixed",GenRate_1a%*$AL200*AM200,          IF(GenType_1a="Float",$AL200*(_xll.qGetFwdRate($D$18,$O200,$O201,"T",DCC_Leg1_Float)%+GenRate_1a%%)*$AN200,        IF(GenType_1a="bp (Fixed)",GenRate_1a%%*$AM200*$AL200,   IF(GenType_1a="bp (Float)",GenRate_1a%%*$AL200*$AN200,0))))</f>
        <v>0</v>
      </c>
      <c r="AR201" s="561"/>
      <c r="AT201" s="341">
        <f t="shared" si="42"/>
        <v>0</v>
      </c>
      <c r="AV201" s="356"/>
      <c r="AW201" s="122">
        <v>0</v>
      </c>
      <c r="AX201" s="128">
        <f t="shared" si="33"/>
        <v>0</v>
      </c>
      <c r="AY201" s="357">
        <v>0</v>
      </c>
      <c r="AZ201" s="699">
        <f>IF($AW202=0,0,        _xll.qDateNext($AW201,AZ$17,"M",TRUE,Currency2))</f>
        <v>0</v>
      </c>
      <c r="BA201" s="699">
        <f>IF($AW202=0,0,        _xll.qDateNext($AW201,BA$17,"M",TRUE,Currency2))</f>
        <v>0</v>
      </c>
      <c r="BB201" s="699">
        <f>IF($AW202=0,0,        _xll.qDateNext($AW201,BB$17,"M",TRUE,Currency2))</f>
        <v>0</v>
      </c>
      <c r="BC201" s="699">
        <f>IF($AW202=0,0,        _xll.qDateNext($AW201,BC$17,"M",TRUE,Currency2))</f>
        <v>0</v>
      </c>
      <c r="BD201" s="699">
        <f>IF($AW202=0,0,        _xll.qDateNext($AW201,BD$17,"M",TRUE,Currency2))</f>
        <v>0</v>
      </c>
      <c r="BE201" s="699">
        <f>IF($AW202=0,0,        _xll.qDateNext($AW201,BE$17,"M",TRUE,Currency2))</f>
        <v>0</v>
      </c>
      <c r="BF201" s="699">
        <f>IF($AW202=0,0,        _xll.qDateNext($AW201,BF$17,"M",TRUE,Currency2))</f>
        <v>0</v>
      </c>
      <c r="BG201" s="699">
        <f>IF($AW202=0,0,        _xll.qDateNext($AW201,BG$17,"M",TRUE,Currency2))</f>
        <v>0</v>
      </c>
      <c r="BH201" s="703">
        <v>0</v>
      </c>
      <c r="BI201" s="703">
        <v>0</v>
      </c>
      <c r="BJ201" s="703">
        <v>0</v>
      </c>
      <c r="BK201" s="703">
        <v>0</v>
      </c>
      <c r="BL201" s="703">
        <f t="shared" si="39"/>
        <v>0</v>
      </c>
      <c r="BM201" s="703">
        <f t="shared" si="40"/>
        <v>0</v>
      </c>
      <c r="BN201" s="703">
        <v>0</v>
      </c>
      <c r="BO201" s="703">
        <v>0</v>
      </c>
      <c r="BP201" s="685">
        <v>0</v>
      </c>
      <c r="BQ201" s="667"/>
      <c r="BR201" s="670">
        <f>IF(AW202=0,0,             IF(ISNUMBER(BQ201),BQ201,             IF(ISTEXT(BQ201),INDEX(BH201:BO201,MATCH(BQ201,$BH$17:$BO$17,0)),           IF(BP201="INT",_xll.qInterp(AW202,AZ201:BG201,BH201:BO201),       INDEX(BH201:BO201,MATCH(BP201,$BH$17:$BO$17,0))))))</f>
        <v>0</v>
      </c>
      <c r="BS201" s="731">
        <f t="shared" si="34"/>
        <v>0</v>
      </c>
      <c r="BT201" s="406">
        <f t="shared" si="35"/>
        <v>0</v>
      </c>
      <c r="BU201" s="284">
        <f>IF($AW202,_xll.qDateYears($AW201,$AW202,DCC_Leg2_Fixed),0)</f>
        <v>0</v>
      </c>
      <c r="BV201" s="284">
        <f>IF($AW202,_xll.qDateYears($AW201,$AW202,DCC_Leg2_Float),0)</f>
        <v>0</v>
      </c>
      <c r="BX201" s="350">
        <f t="shared" si="41"/>
        <v>0</v>
      </c>
      <c r="BY201" s="375">
        <f>IF(GenType_2a="Fixed",GenRate_2a%*$BT200*BU200,          IF(GenType_2a="Float",$BT200*(_xll.qGetFwdRate($J$18,$AW200,$AW201,"T",DCC_Leg2_Float)%+GenRate_2a%%)*$BV200,        IF(GenType_2a="bp (Fixed)",GenRate_2a%%*$BU200*$BT200,   IF(GenType_2a="bp (Float)",GenRate_2a%%*$BT200*$BV200,0))))</f>
        <v>0</v>
      </c>
      <c r="BZ201" s="561"/>
      <c r="CB201" s="341">
        <f t="shared" si="43"/>
        <v>0</v>
      </c>
      <c r="CC201" s="563"/>
      <c r="CD201" s="356"/>
      <c r="CE201" s="341">
        <v>0</v>
      </c>
      <c r="CF201" s="563"/>
      <c r="CG201" s="356"/>
    </row>
    <row r="202" spans="15:85">
      <c r="O202" s="122">
        <v>0</v>
      </c>
      <c r="P202" s="128">
        <f t="shared" si="30"/>
        <v>0</v>
      </c>
      <c r="Q202" s="126">
        <v>0</v>
      </c>
      <c r="R202" s="699">
        <f>IF($O203=0,0,        _xll.qDateNext($O202,R$17,"M",TRUE,Currency1))</f>
        <v>0</v>
      </c>
      <c r="S202" s="699">
        <f>IF($O203=0,0,        _xll.qDateNext($O202,S$17,"M",TRUE,Currency1))</f>
        <v>0</v>
      </c>
      <c r="T202" s="699">
        <f>IF($O203=0,0,        _xll.qDateNext($O202,T$17,"M",TRUE,Currency1))</f>
        <v>0</v>
      </c>
      <c r="U202" s="699">
        <f>IF($O203=0,0,        _xll.qDateNext($O202,U$17,"M",TRUE,Currency1))</f>
        <v>0</v>
      </c>
      <c r="V202" s="699">
        <f>IF($O203=0,0,        _xll.qDateNext($O202,V$17,"M",TRUE,Currency1))</f>
        <v>0</v>
      </c>
      <c r="W202" s="699">
        <f>IF($O203=0,0,        _xll.qDateNext($O202,W$17,"M",TRUE,Currency1))</f>
        <v>0</v>
      </c>
      <c r="X202" s="699">
        <f>IF($O203=0,0,        _xll.qDateNext($O202,X$17,"M",TRUE,Currency1))</f>
        <v>0</v>
      </c>
      <c r="Y202" s="699">
        <f>IF($O203=0,0,        _xll.qDateNext($O202,Y$17,"M",TRUE,Currency1))</f>
        <v>0</v>
      </c>
      <c r="Z202" s="703">
        <f>IF($O203=0,0,           IF(FRM,_xll.qGetFwdRate(Z$14,$O202,R202,"T",DCC_Leg1_Float),_xll.qGetFwdRate(Z$14,$O202,$O203,"T",DCC_Leg1_Float)))</f>
        <v>0</v>
      </c>
      <c r="AA202" s="703">
        <f>IF($O203=0,0,           IF(FRM,_xll.qGetFwdRate(AA$14,$O202,S202,"T",DCC_Leg1_Float),_xll.qGetFwdRate(AA$14,$O202,$O203,"T",DCC_Leg1_Float)))</f>
        <v>0</v>
      </c>
      <c r="AB202" s="703">
        <f t="shared" si="31"/>
        <v>0</v>
      </c>
      <c r="AC202" s="703">
        <f>IF($O203=0,0,           IF(FRM,_xll.qGetFwdRate(AC$14,$O202,U202,"T",DCC_Leg1_Float),_xll.qGetFwdRate(AC$14,$O202,$O203,"T",DCC_Leg1_Float)))</f>
        <v>0</v>
      </c>
      <c r="AD202" s="703">
        <f t="shared" si="36"/>
        <v>0</v>
      </c>
      <c r="AE202" s="703">
        <f t="shared" si="37"/>
        <v>0</v>
      </c>
      <c r="AF202" s="703">
        <f>IF($O203=0,0,           IF(FRM,_xll.qGetFwdRate(AF$14,$O202,X202,"T",DCC_Leg1_Float),_xll.qGetFwdRate(AF$14,$O202,$O203,"T",DCC_Leg1_Float)))</f>
        <v>0</v>
      </c>
      <c r="AG202" s="703">
        <f>IF($O203=0,0,           IF(FRM,_xll.qGetFwdRate(AG$14,$O202,Y202,"T",DCC_Leg1_Float),_xll.qGetFwdRate(AG$14,$O202,$O203,"T",DCC_Leg1_Float)))</f>
        <v>0</v>
      </c>
      <c r="AH202" s="685">
        <v>0</v>
      </c>
      <c r="AI202" s="667"/>
      <c r="AJ202" s="670">
        <f>IF(O203=0,0,             IF(ISNUMBER(AI202),AI202,             IF(ISTEXT(AI202),INDEX(Z202:AG202,MATCH(AI202,$Z$17:$AG$17,0)),           IF(AH202="INT",_xll.qInterp(O203,R202:Y202,Z202:AG202),       INDEX(Z202:AG202,MATCH(AH202,$Z$17:$AG$17,0))))))</f>
        <v>0</v>
      </c>
      <c r="AK202" s="732">
        <v>20</v>
      </c>
      <c r="AL202" s="721">
        <f t="shared" si="32"/>
        <v>0</v>
      </c>
      <c r="AM202" s="284">
        <f>IF($O203,_xll.qDateYears($O202,$O203,DCC_Leg1_Fixed),0)</f>
        <v>0</v>
      </c>
      <c r="AN202" s="284">
        <f>IF($O203,_xll.qDateYears($O202,$O203,DCC_Leg1_Float),0)</f>
        <v>0</v>
      </c>
      <c r="AP202" s="350">
        <f t="shared" si="38"/>
        <v>0</v>
      </c>
      <c r="AQ202" s="375">
        <f>IF(GenType_1a="Fixed",GenRate_1a%*$AL201*AM201,          IF(GenType_1a="Float",$AL201*(_xll.qGetFwdRate($D$18,$O201,$O202,"T",DCC_Leg1_Float)%+GenRate_1a%%)*$AN201,        IF(GenType_1a="bp (Fixed)",GenRate_1a%%*$AM201*$AL201,   IF(GenType_1a="bp (Float)",GenRate_1a%%*$AL201*$AN201,0))))</f>
        <v>0</v>
      </c>
      <c r="AR202" s="561"/>
      <c r="AT202" s="341">
        <f t="shared" si="42"/>
        <v>0</v>
      </c>
      <c r="AV202" s="356"/>
      <c r="AW202" s="122">
        <v>0</v>
      </c>
      <c r="AX202" s="128">
        <f t="shared" si="33"/>
        <v>0</v>
      </c>
      <c r="AY202" s="357">
        <v>0</v>
      </c>
      <c r="AZ202" s="699">
        <f>IF($AW203=0,0,        _xll.qDateNext($AW202,AZ$17,"M",TRUE,Currency2))</f>
        <v>0</v>
      </c>
      <c r="BA202" s="699">
        <f>IF($AW203=0,0,        _xll.qDateNext($AW202,BA$17,"M",TRUE,Currency2))</f>
        <v>0</v>
      </c>
      <c r="BB202" s="699">
        <f>IF($AW203=0,0,        _xll.qDateNext($AW202,BB$17,"M",TRUE,Currency2))</f>
        <v>0</v>
      </c>
      <c r="BC202" s="699">
        <f>IF($AW203=0,0,        _xll.qDateNext($AW202,BC$17,"M",TRUE,Currency2))</f>
        <v>0</v>
      </c>
      <c r="BD202" s="699">
        <f>IF($AW203=0,0,        _xll.qDateNext($AW202,BD$17,"M",TRUE,Currency2))</f>
        <v>0</v>
      </c>
      <c r="BE202" s="699">
        <f>IF($AW203=0,0,        _xll.qDateNext($AW202,BE$17,"M",TRUE,Currency2))</f>
        <v>0</v>
      </c>
      <c r="BF202" s="699">
        <f>IF($AW203=0,0,        _xll.qDateNext($AW202,BF$17,"M",TRUE,Currency2))</f>
        <v>0</v>
      </c>
      <c r="BG202" s="699">
        <f>IF($AW203=0,0,        _xll.qDateNext($AW202,BG$17,"M",TRUE,Currency2))</f>
        <v>0</v>
      </c>
      <c r="BH202" s="703">
        <v>0</v>
      </c>
      <c r="BI202" s="703">
        <v>0</v>
      </c>
      <c r="BJ202" s="703">
        <v>0</v>
      </c>
      <c r="BK202" s="703">
        <v>0</v>
      </c>
      <c r="BL202" s="703">
        <f t="shared" si="39"/>
        <v>0</v>
      </c>
      <c r="BM202" s="703">
        <f t="shared" si="40"/>
        <v>0</v>
      </c>
      <c r="BN202" s="703">
        <v>0</v>
      </c>
      <c r="BO202" s="703">
        <v>0</v>
      </c>
      <c r="BP202" s="685">
        <v>0</v>
      </c>
      <c r="BQ202" s="667"/>
      <c r="BR202" s="670">
        <f>IF(AW203=0,0,             IF(ISNUMBER(BQ202),BQ202,             IF(ISTEXT(BQ202),INDEX(BH202:BO202,MATCH(BQ202,$BH$17:$BO$17,0)),           IF(BP202="INT",_xll.qInterp(AW203,AZ202:BG202,BH202:BO202),       INDEX(BH202:BO202,MATCH(BP202,$BH$17:$BO$17,0))))))</f>
        <v>0</v>
      </c>
      <c r="BS202" s="731">
        <f t="shared" si="34"/>
        <v>0</v>
      </c>
      <c r="BT202" s="406">
        <f t="shared" si="35"/>
        <v>0</v>
      </c>
      <c r="BU202" s="284">
        <f>IF($AW203,_xll.qDateYears($AW202,$AW203,DCC_Leg2_Fixed),0)</f>
        <v>0</v>
      </c>
      <c r="BV202" s="284">
        <f>IF($AW203,_xll.qDateYears($AW202,$AW203,DCC_Leg2_Float),0)</f>
        <v>0</v>
      </c>
      <c r="BX202" s="350">
        <f t="shared" si="41"/>
        <v>0</v>
      </c>
      <c r="BY202" s="375">
        <f>IF(GenType_2a="Fixed",GenRate_2a%*$BT201*BU201,          IF(GenType_2a="Float",$BT201*(_xll.qGetFwdRate($J$18,$AW201,$AW202,"T",DCC_Leg2_Float)%+GenRate_2a%%)*$BV201,        IF(GenType_2a="bp (Fixed)",GenRate_2a%%*$BU201*$BT201,   IF(GenType_2a="bp (Float)",GenRate_2a%%*$BT201*$BV201,0))))</f>
        <v>0</v>
      </c>
      <c r="BZ202" s="561"/>
      <c r="CB202" s="341">
        <f t="shared" si="43"/>
        <v>0</v>
      </c>
      <c r="CC202" s="563"/>
      <c r="CD202" s="356"/>
      <c r="CE202" s="341">
        <v>0</v>
      </c>
      <c r="CF202" s="563"/>
      <c r="CG202" s="356"/>
    </row>
    <row r="203" spans="15:85">
      <c r="O203" s="122">
        <v>0</v>
      </c>
      <c r="P203" s="128">
        <f t="shared" si="30"/>
        <v>0</v>
      </c>
      <c r="Q203" s="126">
        <v>0</v>
      </c>
      <c r="R203" s="699">
        <f>IF($O204=0,0,        _xll.qDateNext($O203,R$17,"M",TRUE,Currency1))</f>
        <v>0</v>
      </c>
      <c r="S203" s="699">
        <f>IF($O204=0,0,        _xll.qDateNext($O203,S$17,"M",TRUE,Currency1))</f>
        <v>0</v>
      </c>
      <c r="T203" s="699">
        <f>IF($O204=0,0,        _xll.qDateNext($O203,T$17,"M",TRUE,Currency1))</f>
        <v>0</v>
      </c>
      <c r="U203" s="699">
        <f>IF($O204=0,0,        _xll.qDateNext($O203,U$17,"M",TRUE,Currency1))</f>
        <v>0</v>
      </c>
      <c r="V203" s="699">
        <f>IF($O204=0,0,        _xll.qDateNext($O203,V$17,"M",TRUE,Currency1))</f>
        <v>0</v>
      </c>
      <c r="W203" s="699">
        <f>IF($O204=0,0,        _xll.qDateNext($O203,W$17,"M",TRUE,Currency1))</f>
        <v>0</v>
      </c>
      <c r="X203" s="699">
        <f>IF($O204=0,0,        _xll.qDateNext($O203,X$17,"M",TRUE,Currency1))</f>
        <v>0</v>
      </c>
      <c r="Y203" s="699">
        <f>IF($O204=0,0,        _xll.qDateNext($O203,Y$17,"M",TRUE,Currency1))</f>
        <v>0</v>
      </c>
      <c r="Z203" s="703">
        <f>IF($O204=0,0,           IF(FRM,_xll.qGetFwdRate(Z$14,$O203,R203,"T",DCC_Leg1_Float),_xll.qGetFwdRate(Z$14,$O203,$O204,"T",DCC_Leg1_Float)))</f>
        <v>0</v>
      </c>
      <c r="AA203" s="703">
        <f>IF($O204=0,0,           IF(FRM,_xll.qGetFwdRate(AA$14,$O203,S203,"T",DCC_Leg1_Float),_xll.qGetFwdRate(AA$14,$O203,$O204,"T",DCC_Leg1_Float)))</f>
        <v>0</v>
      </c>
      <c r="AB203" s="703">
        <f t="shared" si="31"/>
        <v>0</v>
      </c>
      <c r="AC203" s="703">
        <f>IF($O204=0,0,           IF(FRM,_xll.qGetFwdRate(AC$14,$O203,U203,"T",DCC_Leg1_Float),_xll.qGetFwdRate(AC$14,$O203,$O204,"T",DCC_Leg1_Float)))</f>
        <v>0</v>
      </c>
      <c r="AD203" s="703">
        <f t="shared" si="36"/>
        <v>0</v>
      </c>
      <c r="AE203" s="703">
        <f t="shared" si="37"/>
        <v>0</v>
      </c>
      <c r="AF203" s="703">
        <f>IF($O204=0,0,           IF(FRM,_xll.qGetFwdRate(AF$14,$O203,X203,"T",DCC_Leg1_Float),_xll.qGetFwdRate(AF$14,$O203,$O204,"T",DCC_Leg1_Float)))</f>
        <v>0</v>
      </c>
      <c r="AG203" s="703">
        <f>IF($O204=0,0,           IF(FRM,_xll.qGetFwdRate(AG$14,$O203,Y203,"T",DCC_Leg1_Float),_xll.qGetFwdRate(AG$14,$O203,$O204,"T",DCC_Leg1_Float)))</f>
        <v>0</v>
      </c>
      <c r="AH203" s="685">
        <v>0</v>
      </c>
      <c r="AI203" s="667"/>
      <c r="AJ203" s="670">
        <f>IF(O204=0,0,             IF(ISNUMBER(AI203),AI203,             IF(ISTEXT(AI203),INDEX(Z203:AG203,MATCH(AI203,$Z$17:$AG$17,0)),           IF(AH203="INT",_xll.qInterp(O204,R203:Y203,Z203:AG203),       INDEX(Z203:AG203,MATCH(AH203,$Z$17:$AG$17,0))))))</f>
        <v>0</v>
      </c>
      <c r="AK203" s="732">
        <v>20</v>
      </c>
      <c r="AL203" s="721">
        <f t="shared" si="32"/>
        <v>0</v>
      </c>
      <c r="AM203" s="284">
        <f>IF($O204,_xll.qDateYears($O203,$O204,DCC_Leg1_Fixed),0)</f>
        <v>0</v>
      </c>
      <c r="AN203" s="284">
        <f>IF($O204,_xll.qDateYears($O203,$O204,DCC_Leg1_Float),0)</f>
        <v>0</v>
      </c>
      <c r="AP203" s="350">
        <f t="shared" si="38"/>
        <v>0</v>
      </c>
      <c r="AQ203" s="375">
        <f>IF(GenType_1a="Fixed",GenRate_1a%*$AL202*AM202,          IF(GenType_1a="Float",$AL202*(_xll.qGetFwdRate($D$18,$O202,$O203,"T",DCC_Leg1_Float)%+GenRate_1a%%)*$AN202,        IF(GenType_1a="bp (Fixed)",GenRate_1a%%*$AM202*$AL202,   IF(GenType_1a="bp (Float)",GenRate_1a%%*$AL202*$AN202,0))))</f>
        <v>0</v>
      </c>
      <c r="AR203" s="561"/>
      <c r="AT203" s="341">
        <f t="shared" si="42"/>
        <v>0</v>
      </c>
      <c r="AV203" s="356"/>
      <c r="AW203" s="122">
        <v>0</v>
      </c>
      <c r="AX203" s="128">
        <f t="shared" si="33"/>
        <v>0</v>
      </c>
      <c r="AY203" s="357">
        <v>0</v>
      </c>
      <c r="AZ203" s="699">
        <f>IF($AW204=0,0,        _xll.qDateNext($AW203,AZ$17,"M",TRUE,Currency2))</f>
        <v>0</v>
      </c>
      <c r="BA203" s="699">
        <f>IF($AW204=0,0,        _xll.qDateNext($AW203,BA$17,"M",TRUE,Currency2))</f>
        <v>0</v>
      </c>
      <c r="BB203" s="699">
        <f>IF($AW204=0,0,        _xll.qDateNext($AW203,BB$17,"M",TRUE,Currency2))</f>
        <v>0</v>
      </c>
      <c r="BC203" s="699">
        <f>IF($AW204=0,0,        _xll.qDateNext($AW203,BC$17,"M",TRUE,Currency2))</f>
        <v>0</v>
      </c>
      <c r="BD203" s="699">
        <f>IF($AW204=0,0,        _xll.qDateNext($AW203,BD$17,"M",TRUE,Currency2))</f>
        <v>0</v>
      </c>
      <c r="BE203" s="699">
        <f>IF($AW204=0,0,        _xll.qDateNext($AW203,BE$17,"M",TRUE,Currency2))</f>
        <v>0</v>
      </c>
      <c r="BF203" s="699">
        <f>IF($AW204=0,0,        _xll.qDateNext($AW203,BF$17,"M",TRUE,Currency2))</f>
        <v>0</v>
      </c>
      <c r="BG203" s="699">
        <f>IF($AW204=0,0,        _xll.qDateNext($AW203,BG$17,"M",TRUE,Currency2))</f>
        <v>0</v>
      </c>
      <c r="BH203" s="703">
        <v>0</v>
      </c>
      <c r="BI203" s="703">
        <v>0</v>
      </c>
      <c r="BJ203" s="703">
        <v>0</v>
      </c>
      <c r="BK203" s="703">
        <v>0</v>
      </c>
      <c r="BL203" s="703">
        <f t="shared" si="39"/>
        <v>0</v>
      </c>
      <c r="BM203" s="703">
        <f t="shared" si="40"/>
        <v>0</v>
      </c>
      <c r="BN203" s="703">
        <v>0</v>
      </c>
      <c r="BO203" s="703">
        <v>0</v>
      </c>
      <c r="BP203" s="685">
        <v>0</v>
      </c>
      <c r="BQ203" s="667"/>
      <c r="BR203" s="670">
        <f>IF(AW204=0,0,             IF(ISNUMBER(BQ203),BQ203,             IF(ISTEXT(BQ203),INDEX(BH203:BO203,MATCH(BQ203,$BH$17:$BO$17,0)),           IF(BP203="INT",_xll.qInterp(AW204,AZ203:BG203,BH203:BO203),       INDEX(BH203:BO203,MATCH(BP203,$BH$17:$BO$17,0))))))</f>
        <v>0</v>
      </c>
      <c r="BS203" s="731">
        <f t="shared" si="34"/>
        <v>0</v>
      </c>
      <c r="BT203" s="406">
        <f t="shared" si="35"/>
        <v>0</v>
      </c>
      <c r="BU203" s="284">
        <f>IF($AW204,_xll.qDateYears($AW203,$AW204,DCC_Leg2_Fixed),0)</f>
        <v>0</v>
      </c>
      <c r="BV203" s="284">
        <f>IF($AW204,_xll.qDateYears($AW203,$AW204,DCC_Leg2_Float),0)</f>
        <v>0</v>
      </c>
      <c r="BX203" s="350">
        <f t="shared" si="41"/>
        <v>0</v>
      </c>
      <c r="BY203" s="375">
        <f>IF(GenType_2a="Fixed",GenRate_2a%*$BT202*BU202,          IF(GenType_2a="Float",$BT202*(_xll.qGetFwdRate($J$18,$AW202,$AW203,"T",DCC_Leg2_Float)%+GenRate_2a%%)*$BV202,        IF(GenType_2a="bp (Fixed)",GenRate_2a%%*$BU202*$BT202,   IF(GenType_2a="bp (Float)",GenRate_2a%%*$BT202*$BV202,0))))</f>
        <v>0</v>
      </c>
      <c r="BZ203" s="561"/>
      <c r="CB203" s="341">
        <f t="shared" si="43"/>
        <v>0</v>
      </c>
      <c r="CC203" s="563"/>
      <c r="CD203" s="356"/>
      <c r="CE203" s="341">
        <v>0</v>
      </c>
      <c r="CF203" s="563"/>
      <c r="CG203" s="356"/>
    </row>
    <row r="204" spans="15:85">
      <c r="O204" s="122">
        <v>0</v>
      </c>
      <c r="P204" s="128">
        <f t="shared" si="30"/>
        <v>0</v>
      </c>
      <c r="Q204" s="126">
        <v>0</v>
      </c>
      <c r="R204" s="699">
        <f>IF($O205=0,0,        _xll.qDateNext($O204,R$17,"M",TRUE,Currency1))</f>
        <v>0</v>
      </c>
      <c r="S204" s="699">
        <f>IF($O205=0,0,        _xll.qDateNext($O204,S$17,"M",TRUE,Currency1))</f>
        <v>0</v>
      </c>
      <c r="T204" s="699">
        <f>IF($O205=0,0,        _xll.qDateNext($O204,T$17,"M",TRUE,Currency1))</f>
        <v>0</v>
      </c>
      <c r="U204" s="699">
        <f>IF($O205=0,0,        _xll.qDateNext($O204,U$17,"M",TRUE,Currency1))</f>
        <v>0</v>
      </c>
      <c r="V204" s="699">
        <f>IF($O205=0,0,        _xll.qDateNext($O204,V$17,"M",TRUE,Currency1))</f>
        <v>0</v>
      </c>
      <c r="W204" s="699">
        <f>IF($O205=0,0,        _xll.qDateNext($O204,W$17,"M",TRUE,Currency1))</f>
        <v>0</v>
      </c>
      <c r="X204" s="699">
        <f>IF($O205=0,0,        _xll.qDateNext($O204,X$17,"M",TRUE,Currency1))</f>
        <v>0</v>
      </c>
      <c r="Y204" s="699">
        <f>IF($O205=0,0,        _xll.qDateNext($O204,Y$17,"M",TRUE,Currency1))</f>
        <v>0</v>
      </c>
      <c r="Z204" s="703">
        <f>IF($O205=0,0,           IF(FRM,_xll.qGetFwdRate(Z$14,$O204,R204,"T",DCC_Leg1_Float),_xll.qGetFwdRate(Z$14,$O204,$O205,"T",DCC_Leg1_Float)))</f>
        <v>0</v>
      </c>
      <c r="AA204" s="703">
        <f>IF($O205=0,0,           IF(FRM,_xll.qGetFwdRate(AA$14,$O204,S204,"T",DCC_Leg1_Float),_xll.qGetFwdRate(AA$14,$O204,$O205,"T",DCC_Leg1_Float)))</f>
        <v>0</v>
      </c>
      <c r="AB204" s="703">
        <f t="shared" si="31"/>
        <v>0</v>
      </c>
      <c r="AC204" s="703">
        <f>IF($O205=0,0,           IF(FRM,_xll.qGetFwdRate(AC$14,$O204,U204,"T",DCC_Leg1_Float),_xll.qGetFwdRate(AC$14,$O204,$O205,"T",DCC_Leg1_Float)))</f>
        <v>0</v>
      </c>
      <c r="AD204" s="703">
        <f t="shared" si="36"/>
        <v>0</v>
      </c>
      <c r="AE204" s="703">
        <f t="shared" si="37"/>
        <v>0</v>
      </c>
      <c r="AF204" s="703">
        <f>IF($O205=0,0,           IF(FRM,_xll.qGetFwdRate(AF$14,$O204,X204,"T",DCC_Leg1_Float),_xll.qGetFwdRate(AF$14,$O204,$O205,"T",DCC_Leg1_Float)))</f>
        <v>0</v>
      </c>
      <c r="AG204" s="703">
        <f>IF($O205=0,0,           IF(FRM,_xll.qGetFwdRate(AG$14,$O204,Y204,"T",DCC_Leg1_Float),_xll.qGetFwdRate(AG$14,$O204,$O205,"T",DCC_Leg1_Float)))</f>
        <v>0</v>
      </c>
      <c r="AH204" s="685">
        <v>0</v>
      </c>
      <c r="AI204" s="667"/>
      <c r="AJ204" s="670">
        <f>IF(O205=0,0,             IF(ISNUMBER(AI204),AI204,             IF(ISTEXT(AI204),INDEX(Z204:AG204,MATCH(AI204,$Z$17:$AG$17,0)),           IF(AH204="INT",_xll.qInterp(O205,R204:Y204,Z204:AG204),       INDEX(Z204:AG204,MATCH(AH204,$Z$17:$AG$17,0))))))</f>
        <v>0</v>
      </c>
      <c r="AK204" s="732">
        <v>20</v>
      </c>
      <c r="AL204" s="721">
        <f t="shared" si="32"/>
        <v>0</v>
      </c>
      <c r="AM204" s="284">
        <f>IF($O205,_xll.qDateYears($O204,$O205,DCC_Leg1_Fixed),0)</f>
        <v>0</v>
      </c>
      <c r="AN204" s="284">
        <f>IF($O205,_xll.qDateYears($O204,$O205,DCC_Leg1_Float),0)</f>
        <v>0</v>
      </c>
      <c r="AP204" s="350">
        <f t="shared" si="38"/>
        <v>0</v>
      </c>
      <c r="AQ204" s="375">
        <f>IF(GenType_1a="Fixed",GenRate_1a%*$AL203*AM203,          IF(GenType_1a="Float",$AL203*(_xll.qGetFwdRate($D$18,$O203,$O204,"T",DCC_Leg1_Float)%+GenRate_1a%%)*$AN203,        IF(GenType_1a="bp (Fixed)",GenRate_1a%%*$AM203*$AL203,   IF(GenType_1a="bp (Float)",GenRate_1a%%*$AL203*$AN203,0))))</f>
        <v>0</v>
      </c>
      <c r="AR204" s="561"/>
      <c r="AT204" s="341">
        <f t="shared" si="42"/>
        <v>0</v>
      </c>
      <c r="AV204" s="356"/>
      <c r="AW204" s="122">
        <v>0</v>
      </c>
      <c r="AX204" s="128">
        <f t="shared" si="33"/>
        <v>0</v>
      </c>
      <c r="AY204" s="357">
        <v>0</v>
      </c>
      <c r="AZ204" s="699">
        <f>IF($AW205=0,0,        _xll.qDateNext($AW204,AZ$17,"M",TRUE,Currency2))</f>
        <v>0</v>
      </c>
      <c r="BA204" s="699">
        <f>IF($AW205=0,0,        _xll.qDateNext($AW204,BA$17,"M",TRUE,Currency2))</f>
        <v>0</v>
      </c>
      <c r="BB204" s="699">
        <f>IF($AW205=0,0,        _xll.qDateNext($AW204,BB$17,"M",TRUE,Currency2))</f>
        <v>0</v>
      </c>
      <c r="BC204" s="699">
        <f>IF($AW205=0,0,        _xll.qDateNext($AW204,BC$17,"M",TRUE,Currency2))</f>
        <v>0</v>
      </c>
      <c r="BD204" s="699">
        <f>IF($AW205=0,0,        _xll.qDateNext($AW204,BD$17,"M",TRUE,Currency2))</f>
        <v>0</v>
      </c>
      <c r="BE204" s="699">
        <f>IF($AW205=0,0,        _xll.qDateNext($AW204,BE$17,"M",TRUE,Currency2))</f>
        <v>0</v>
      </c>
      <c r="BF204" s="699">
        <f>IF($AW205=0,0,        _xll.qDateNext($AW204,BF$17,"M",TRUE,Currency2))</f>
        <v>0</v>
      </c>
      <c r="BG204" s="699">
        <f>IF($AW205=0,0,        _xll.qDateNext($AW204,BG$17,"M",TRUE,Currency2))</f>
        <v>0</v>
      </c>
      <c r="BH204" s="703">
        <v>0</v>
      </c>
      <c r="BI204" s="703">
        <v>0</v>
      </c>
      <c r="BJ204" s="703">
        <v>0</v>
      </c>
      <c r="BK204" s="703">
        <v>0</v>
      </c>
      <c r="BL204" s="703">
        <f t="shared" si="39"/>
        <v>0</v>
      </c>
      <c r="BM204" s="703">
        <f t="shared" si="40"/>
        <v>0</v>
      </c>
      <c r="BN204" s="703">
        <v>0</v>
      </c>
      <c r="BO204" s="703">
        <v>0</v>
      </c>
      <c r="BP204" s="685">
        <v>0</v>
      </c>
      <c r="BQ204" s="667"/>
      <c r="BR204" s="670">
        <f>IF(AW205=0,0,             IF(ISNUMBER(BQ204),BQ204,             IF(ISTEXT(BQ204),INDEX(BH204:BO204,MATCH(BQ204,$BH$17:$BO$17,0)),           IF(BP204="INT",_xll.qInterp(AW205,AZ204:BG204,BH204:BO204),       INDEX(BH204:BO204,MATCH(BP204,$BH$17:$BO$17,0))))))</f>
        <v>0</v>
      </c>
      <c r="BS204" s="731">
        <f t="shared" si="34"/>
        <v>0</v>
      </c>
      <c r="BT204" s="406">
        <f t="shared" si="35"/>
        <v>0</v>
      </c>
      <c r="BU204" s="284">
        <f>IF($AW205,_xll.qDateYears($AW204,$AW205,DCC_Leg2_Fixed),0)</f>
        <v>0</v>
      </c>
      <c r="BV204" s="284">
        <f>IF($AW205,_xll.qDateYears($AW204,$AW205,DCC_Leg2_Float),0)</f>
        <v>0</v>
      </c>
      <c r="BX204" s="350">
        <f t="shared" si="41"/>
        <v>0</v>
      </c>
      <c r="BY204" s="375">
        <f>IF(GenType_2a="Fixed",GenRate_2a%*$BT203*BU203,          IF(GenType_2a="Float",$BT203*(_xll.qGetFwdRate($J$18,$AW203,$AW204,"T",DCC_Leg2_Float)%+GenRate_2a%%)*$BV203,        IF(GenType_2a="bp (Fixed)",GenRate_2a%%*$BU203*$BT203,   IF(GenType_2a="bp (Float)",GenRate_2a%%*$BT203*$BV203,0))))</f>
        <v>0</v>
      </c>
      <c r="BZ204" s="561"/>
      <c r="CB204" s="341">
        <f t="shared" si="43"/>
        <v>0</v>
      </c>
      <c r="CC204" s="563"/>
      <c r="CD204" s="356"/>
      <c r="CE204" s="341">
        <v>0</v>
      </c>
      <c r="CF204" s="563"/>
      <c r="CG204" s="356"/>
    </row>
    <row r="205" spans="15:85">
      <c r="O205" s="122">
        <v>0</v>
      </c>
      <c r="P205" s="128">
        <f t="shared" si="30"/>
        <v>0</v>
      </c>
      <c r="Q205" s="126">
        <v>0</v>
      </c>
      <c r="R205" s="699">
        <f>IF($O206=0,0,        _xll.qDateNext($O205,R$17,"M",TRUE,Currency1))</f>
        <v>0</v>
      </c>
      <c r="S205" s="699">
        <f>IF($O206=0,0,        _xll.qDateNext($O205,S$17,"M",TRUE,Currency1))</f>
        <v>0</v>
      </c>
      <c r="T205" s="699">
        <f>IF($O206=0,0,        _xll.qDateNext($O205,T$17,"M",TRUE,Currency1))</f>
        <v>0</v>
      </c>
      <c r="U205" s="699">
        <f>IF($O206=0,0,        _xll.qDateNext($O205,U$17,"M",TRUE,Currency1))</f>
        <v>0</v>
      </c>
      <c r="V205" s="699">
        <f>IF($O206=0,0,        _xll.qDateNext($O205,V$17,"M",TRUE,Currency1))</f>
        <v>0</v>
      </c>
      <c r="W205" s="699">
        <f>IF($O206=0,0,        _xll.qDateNext($O205,W$17,"M",TRUE,Currency1))</f>
        <v>0</v>
      </c>
      <c r="X205" s="699">
        <f>IF($O206=0,0,        _xll.qDateNext($O205,X$17,"M",TRUE,Currency1))</f>
        <v>0</v>
      </c>
      <c r="Y205" s="699">
        <f>IF($O206=0,0,        _xll.qDateNext($O205,Y$17,"M",TRUE,Currency1))</f>
        <v>0</v>
      </c>
      <c r="Z205" s="703">
        <f>IF($O206=0,0,           IF(FRM,_xll.qGetFwdRate(Z$14,$O205,R205,"T",DCC_Leg1_Float),_xll.qGetFwdRate(Z$14,$O205,$O206,"T",DCC_Leg1_Float)))</f>
        <v>0</v>
      </c>
      <c r="AA205" s="703">
        <f>IF($O206=0,0,           IF(FRM,_xll.qGetFwdRate(AA$14,$O205,S205,"T",DCC_Leg1_Float),_xll.qGetFwdRate(AA$14,$O205,$O206,"T",DCC_Leg1_Float)))</f>
        <v>0</v>
      </c>
      <c r="AB205" s="703">
        <f t="shared" si="31"/>
        <v>0</v>
      </c>
      <c r="AC205" s="703">
        <f>IF($O206=0,0,           IF(FRM,_xll.qGetFwdRate(AC$14,$O205,U205,"T",DCC_Leg1_Float),_xll.qGetFwdRate(AC$14,$O205,$O206,"T",DCC_Leg1_Float)))</f>
        <v>0</v>
      </c>
      <c r="AD205" s="703">
        <f t="shared" si="36"/>
        <v>0</v>
      </c>
      <c r="AE205" s="703">
        <f t="shared" si="37"/>
        <v>0</v>
      </c>
      <c r="AF205" s="703">
        <f>IF($O206=0,0,           IF(FRM,_xll.qGetFwdRate(AF$14,$O205,X205,"T",DCC_Leg1_Float),_xll.qGetFwdRate(AF$14,$O205,$O206,"T",DCC_Leg1_Float)))</f>
        <v>0</v>
      </c>
      <c r="AG205" s="703">
        <f>IF($O206=0,0,           IF(FRM,_xll.qGetFwdRate(AG$14,$O205,Y205,"T",DCC_Leg1_Float),_xll.qGetFwdRate(AG$14,$O205,$O206,"T",DCC_Leg1_Float)))</f>
        <v>0</v>
      </c>
      <c r="AH205" s="685">
        <v>0</v>
      </c>
      <c r="AI205" s="667"/>
      <c r="AJ205" s="670">
        <f>IF(O206=0,0,             IF(ISNUMBER(AI205),AI205,             IF(ISTEXT(AI205),INDEX(Z205:AG205,MATCH(AI205,$Z$17:$AG$17,0)),           IF(AH205="INT",_xll.qInterp(O206,R205:Y205,Z205:AG205),       INDEX(Z205:AG205,MATCH(AH205,$Z$17:$AG$17,0))))))</f>
        <v>0</v>
      </c>
      <c r="AK205" s="732">
        <v>20</v>
      </c>
      <c r="AL205" s="721">
        <f t="shared" si="32"/>
        <v>0</v>
      </c>
      <c r="AM205" s="284">
        <f>IF($O206,_xll.qDateYears($O205,$O206,DCC_Leg1_Fixed),0)</f>
        <v>0</v>
      </c>
      <c r="AN205" s="284">
        <f>IF($O206,_xll.qDateYears($O205,$O206,DCC_Leg1_Float),0)</f>
        <v>0</v>
      </c>
      <c r="AP205" s="350">
        <f t="shared" si="38"/>
        <v>0</v>
      </c>
      <c r="AQ205" s="375">
        <f>IF(GenType_1a="Fixed",GenRate_1a%*$AL204*AM204,          IF(GenType_1a="Float",$AL204*(_xll.qGetFwdRate($D$18,$O204,$O205,"T",DCC_Leg1_Float)%+GenRate_1a%%)*$AN204,        IF(GenType_1a="bp (Fixed)",GenRate_1a%%*$AM204*$AL204,   IF(GenType_1a="bp (Float)",GenRate_1a%%*$AL204*$AN204,0))))</f>
        <v>0</v>
      </c>
      <c r="AR205" s="561"/>
      <c r="AT205" s="341">
        <f t="shared" si="42"/>
        <v>0</v>
      </c>
      <c r="AV205" s="356"/>
      <c r="AW205" s="122">
        <v>0</v>
      </c>
      <c r="AX205" s="128">
        <f t="shared" si="33"/>
        <v>0</v>
      </c>
      <c r="AY205" s="357">
        <v>0</v>
      </c>
      <c r="AZ205" s="699">
        <f>IF($AW206=0,0,        _xll.qDateNext($AW205,AZ$17,"M",TRUE,Currency2))</f>
        <v>0</v>
      </c>
      <c r="BA205" s="699">
        <f>IF($AW206=0,0,        _xll.qDateNext($AW205,BA$17,"M",TRUE,Currency2))</f>
        <v>0</v>
      </c>
      <c r="BB205" s="699">
        <f>IF($AW206=0,0,        _xll.qDateNext($AW205,BB$17,"M",TRUE,Currency2))</f>
        <v>0</v>
      </c>
      <c r="BC205" s="699">
        <f>IF($AW206=0,0,        _xll.qDateNext($AW205,BC$17,"M",TRUE,Currency2))</f>
        <v>0</v>
      </c>
      <c r="BD205" s="699">
        <f>IF($AW206=0,0,        _xll.qDateNext($AW205,BD$17,"M",TRUE,Currency2))</f>
        <v>0</v>
      </c>
      <c r="BE205" s="699">
        <f>IF($AW206=0,0,        _xll.qDateNext($AW205,BE$17,"M",TRUE,Currency2))</f>
        <v>0</v>
      </c>
      <c r="BF205" s="699">
        <f>IF($AW206=0,0,        _xll.qDateNext($AW205,BF$17,"M",TRUE,Currency2))</f>
        <v>0</v>
      </c>
      <c r="BG205" s="699">
        <f>IF($AW206=0,0,        _xll.qDateNext($AW205,BG$17,"M",TRUE,Currency2))</f>
        <v>0</v>
      </c>
      <c r="BH205" s="703">
        <v>0</v>
      </c>
      <c r="BI205" s="703">
        <v>0</v>
      </c>
      <c r="BJ205" s="703">
        <v>0</v>
      </c>
      <c r="BK205" s="703">
        <v>0</v>
      </c>
      <c r="BL205" s="703">
        <f t="shared" si="39"/>
        <v>0</v>
      </c>
      <c r="BM205" s="703">
        <f t="shared" si="40"/>
        <v>0</v>
      </c>
      <c r="BN205" s="703">
        <v>0</v>
      </c>
      <c r="BO205" s="703">
        <v>0</v>
      </c>
      <c r="BP205" s="685">
        <v>0</v>
      </c>
      <c r="BQ205" s="667"/>
      <c r="BR205" s="670">
        <f>IF(AW206=0,0,             IF(ISNUMBER(BQ205),BQ205,             IF(ISTEXT(BQ205),INDEX(BH205:BO205,MATCH(BQ205,$BH$17:$BO$17,0)),           IF(BP205="INT",_xll.qInterp(AW206,AZ205:BG205,BH205:BO205),       INDEX(BH205:BO205,MATCH(BP205,$BH$17:$BO$17,0))))))</f>
        <v>0</v>
      </c>
      <c r="BS205" s="731">
        <f t="shared" si="34"/>
        <v>0</v>
      </c>
      <c r="BT205" s="406">
        <f t="shared" si="35"/>
        <v>0</v>
      </c>
      <c r="BU205" s="284">
        <f>IF($AW206,_xll.qDateYears($AW205,$AW206,DCC_Leg2_Fixed),0)</f>
        <v>0</v>
      </c>
      <c r="BV205" s="284">
        <f>IF($AW206,_xll.qDateYears($AW205,$AW206,DCC_Leg2_Float),0)</f>
        <v>0</v>
      </c>
      <c r="BX205" s="350">
        <f t="shared" si="41"/>
        <v>0</v>
      </c>
      <c r="BY205" s="375">
        <f>IF(GenType_2a="Fixed",GenRate_2a%*$BT204*BU204,          IF(GenType_2a="Float",$BT204*(_xll.qGetFwdRate($J$18,$AW204,$AW205,"T",DCC_Leg2_Float)%+GenRate_2a%%)*$BV204,        IF(GenType_2a="bp (Fixed)",GenRate_2a%%*$BU204*$BT204,   IF(GenType_2a="bp (Float)",GenRate_2a%%*$BT204*$BV204,0))))</f>
        <v>0</v>
      </c>
      <c r="BZ205" s="561"/>
      <c r="CB205" s="341">
        <f t="shared" si="43"/>
        <v>0</v>
      </c>
      <c r="CC205" s="563"/>
      <c r="CD205" s="356"/>
      <c r="CE205" s="341">
        <v>0</v>
      </c>
      <c r="CF205" s="563"/>
      <c r="CG205" s="356"/>
    </row>
    <row r="206" spans="15:85">
      <c r="O206" s="122">
        <v>0</v>
      </c>
      <c r="P206" s="128">
        <f t="shared" si="30"/>
        <v>0</v>
      </c>
      <c r="Q206" s="126">
        <v>0</v>
      </c>
      <c r="R206" s="699">
        <f>IF($O207=0,0,        _xll.qDateNext($O206,R$17,"M",TRUE,Currency1))</f>
        <v>0</v>
      </c>
      <c r="S206" s="699">
        <f>IF($O207=0,0,        _xll.qDateNext($O206,S$17,"M",TRUE,Currency1))</f>
        <v>0</v>
      </c>
      <c r="T206" s="699">
        <f>IF($O207=0,0,        _xll.qDateNext($O206,T$17,"M",TRUE,Currency1))</f>
        <v>0</v>
      </c>
      <c r="U206" s="699">
        <f>IF($O207=0,0,        _xll.qDateNext($O206,U$17,"M",TRUE,Currency1))</f>
        <v>0</v>
      </c>
      <c r="V206" s="699">
        <f>IF($O207=0,0,        _xll.qDateNext($O206,V$17,"M",TRUE,Currency1))</f>
        <v>0</v>
      </c>
      <c r="W206" s="699">
        <f>IF($O207=0,0,        _xll.qDateNext($O206,W$17,"M",TRUE,Currency1))</f>
        <v>0</v>
      </c>
      <c r="X206" s="699">
        <f>IF($O207=0,0,        _xll.qDateNext($O206,X$17,"M",TRUE,Currency1))</f>
        <v>0</v>
      </c>
      <c r="Y206" s="699">
        <f>IF($O207=0,0,        _xll.qDateNext($O206,Y$17,"M",TRUE,Currency1))</f>
        <v>0</v>
      </c>
      <c r="Z206" s="703">
        <f>IF($O207=0,0,           IF(FRM,_xll.qGetFwdRate(Z$14,$O206,R206,"T",DCC_Leg1_Float),_xll.qGetFwdRate(Z$14,$O206,$O207,"T",DCC_Leg1_Float)))</f>
        <v>0</v>
      </c>
      <c r="AA206" s="703">
        <f>IF($O207=0,0,           IF(FRM,_xll.qGetFwdRate(AA$14,$O206,S206,"T",DCC_Leg1_Float),_xll.qGetFwdRate(AA$14,$O206,$O207,"T",DCC_Leg1_Float)))</f>
        <v>0</v>
      </c>
      <c r="AB206" s="703">
        <f t="shared" si="31"/>
        <v>0</v>
      </c>
      <c r="AC206" s="703">
        <f>IF($O207=0,0,           IF(FRM,_xll.qGetFwdRate(AC$14,$O206,U206,"T",DCC_Leg1_Float),_xll.qGetFwdRate(AC$14,$O206,$O207,"T",DCC_Leg1_Float)))</f>
        <v>0</v>
      </c>
      <c r="AD206" s="703">
        <f t="shared" si="36"/>
        <v>0</v>
      </c>
      <c r="AE206" s="703">
        <f t="shared" si="37"/>
        <v>0</v>
      </c>
      <c r="AF206" s="703">
        <f>IF($O207=0,0,           IF(FRM,_xll.qGetFwdRate(AF$14,$O206,X206,"T",DCC_Leg1_Float),_xll.qGetFwdRate(AF$14,$O206,$O207,"T",DCC_Leg1_Float)))</f>
        <v>0</v>
      </c>
      <c r="AG206" s="703">
        <f>IF($O207=0,0,           IF(FRM,_xll.qGetFwdRate(AG$14,$O206,Y206,"T",DCC_Leg1_Float),_xll.qGetFwdRate(AG$14,$O206,$O207,"T",DCC_Leg1_Float)))</f>
        <v>0</v>
      </c>
      <c r="AH206" s="685">
        <v>0</v>
      </c>
      <c r="AI206" s="667"/>
      <c r="AJ206" s="670">
        <f>IF(O207=0,0,             IF(ISNUMBER(AI206),AI206,             IF(ISTEXT(AI206),INDEX(Z206:AG206,MATCH(AI206,$Z$17:$AG$17,0)),           IF(AH206="INT",_xll.qInterp(O207,R206:Y206,Z206:AG206),       INDEX(Z206:AG206,MATCH(AH206,$Z$17:$AG$17,0))))))</f>
        <v>0</v>
      </c>
      <c r="AK206" s="732">
        <v>20</v>
      </c>
      <c r="AL206" s="721">
        <f t="shared" si="32"/>
        <v>0</v>
      </c>
      <c r="AM206" s="284">
        <f>IF($O207,_xll.qDateYears($O206,$O207,DCC_Leg1_Fixed),0)</f>
        <v>0</v>
      </c>
      <c r="AN206" s="284">
        <f>IF($O207,_xll.qDateYears($O206,$O207,DCC_Leg1_Float),0)</f>
        <v>0</v>
      </c>
      <c r="AP206" s="350">
        <f t="shared" si="38"/>
        <v>0</v>
      </c>
      <c r="AQ206" s="375">
        <f>IF(GenType_1a="Fixed",GenRate_1a%*$AL205*AM205,          IF(GenType_1a="Float",$AL205*(_xll.qGetFwdRate($D$18,$O205,$O206,"T",DCC_Leg1_Float)%+GenRate_1a%%)*$AN205,        IF(GenType_1a="bp (Fixed)",GenRate_1a%%*$AM205*$AL205,   IF(GenType_1a="bp (Float)",GenRate_1a%%*$AL205*$AN205,0))))</f>
        <v>0</v>
      </c>
      <c r="AR206" s="561"/>
      <c r="AT206" s="341">
        <f t="shared" si="42"/>
        <v>0</v>
      </c>
      <c r="AV206" s="356"/>
      <c r="AW206" s="122">
        <v>0</v>
      </c>
      <c r="AX206" s="128">
        <f t="shared" si="33"/>
        <v>0</v>
      </c>
      <c r="AY206" s="357">
        <v>0</v>
      </c>
      <c r="AZ206" s="699">
        <f>IF($AW207=0,0,        _xll.qDateNext($AW206,AZ$17,"M",TRUE,Currency2))</f>
        <v>0</v>
      </c>
      <c r="BA206" s="699">
        <f>IF($AW207=0,0,        _xll.qDateNext($AW206,BA$17,"M",TRUE,Currency2))</f>
        <v>0</v>
      </c>
      <c r="BB206" s="699">
        <f>IF($AW207=0,0,        _xll.qDateNext($AW206,BB$17,"M",TRUE,Currency2))</f>
        <v>0</v>
      </c>
      <c r="BC206" s="699">
        <f>IF($AW207=0,0,        _xll.qDateNext($AW206,BC$17,"M",TRUE,Currency2))</f>
        <v>0</v>
      </c>
      <c r="BD206" s="699">
        <f>IF($AW207=0,0,        _xll.qDateNext($AW206,BD$17,"M",TRUE,Currency2))</f>
        <v>0</v>
      </c>
      <c r="BE206" s="699">
        <f>IF($AW207=0,0,        _xll.qDateNext($AW206,BE$17,"M",TRUE,Currency2))</f>
        <v>0</v>
      </c>
      <c r="BF206" s="699">
        <f>IF($AW207=0,0,        _xll.qDateNext($AW206,BF$17,"M",TRUE,Currency2))</f>
        <v>0</v>
      </c>
      <c r="BG206" s="699">
        <f>IF($AW207=0,0,        _xll.qDateNext($AW206,BG$17,"M",TRUE,Currency2))</f>
        <v>0</v>
      </c>
      <c r="BH206" s="703">
        <v>0</v>
      </c>
      <c r="BI206" s="703">
        <v>0</v>
      </c>
      <c r="BJ206" s="703">
        <v>0</v>
      </c>
      <c r="BK206" s="703">
        <v>0</v>
      </c>
      <c r="BL206" s="703">
        <f t="shared" si="39"/>
        <v>0</v>
      </c>
      <c r="BM206" s="703">
        <f t="shared" si="40"/>
        <v>0</v>
      </c>
      <c r="BN206" s="703">
        <v>0</v>
      </c>
      <c r="BO206" s="703">
        <v>0</v>
      </c>
      <c r="BP206" s="685">
        <v>0</v>
      </c>
      <c r="BQ206" s="667"/>
      <c r="BR206" s="670">
        <f>IF(AW207=0,0,             IF(ISNUMBER(BQ206),BQ206,             IF(ISTEXT(BQ206),INDEX(BH206:BO206,MATCH(BQ206,$BH$17:$BO$17,0)),           IF(BP206="INT",_xll.qInterp(AW207,AZ206:BG206,BH206:BO206),       INDEX(BH206:BO206,MATCH(BP206,$BH$17:$BO$17,0))))))</f>
        <v>0</v>
      </c>
      <c r="BS206" s="731">
        <f t="shared" si="34"/>
        <v>0</v>
      </c>
      <c r="BT206" s="406">
        <f t="shared" si="35"/>
        <v>0</v>
      </c>
      <c r="BU206" s="284">
        <f>IF($AW207,_xll.qDateYears($AW206,$AW207,DCC_Leg2_Fixed),0)</f>
        <v>0</v>
      </c>
      <c r="BV206" s="284">
        <f>IF($AW207,_xll.qDateYears($AW206,$AW207,DCC_Leg2_Float),0)</f>
        <v>0</v>
      </c>
      <c r="BX206" s="350">
        <f t="shared" si="41"/>
        <v>0</v>
      </c>
      <c r="BY206" s="375">
        <f>IF(GenType_2a="Fixed",GenRate_2a%*$BT205*BU205,          IF(GenType_2a="Float",$BT205*(_xll.qGetFwdRate($J$18,$AW205,$AW206,"T",DCC_Leg2_Float)%+GenRate_2a%%)*$BV205,        IF(GenType_2a="bp (Fixed)",GenRate_2a%%*$BU205*$BT205,   IF(GenType_2a="bp (Float)",GenRate_2a%%*$BT205*$BV205,0))))</f>
        <v>0</v>
      </c>
      <c r="BZ206" s="561"/>
      <c r="CB206" s="341">
        <f t="shared" si="43"/>
        <v>0</v>
      </c>
      <c r="CC206" s="563"/>
      <c r="CD206" s="356"/>
      <c r="CE206" s="341">
        <v>0</v>
      </c>
      <c r="CF206" s="563"/>
      <c r="CG206" s="356"/>
    </row>
    <row r="207" spans="15:85">
      <c r="O207" s="122">
        <v>0</v>
      </c>
      <c r="P207" s="128">
        <f t="shared" si="30"/>
        <v>0</v>
      </c>
      <c r="Q207" s="126">
        <v>0</v>
      </c>
      <c r="R207" s="699">
        <f>IF($O208=0,0,        _xll.qDateNext($O207,R$17,"M",TRUE,Currency1))</f>
        <v>0</v>
      </c>
      <c r="S207" s="699">
        <f>IF($O208=0,0,        _xll.qDateNext($O207,S$17,"M",TRUE,Currency1))</f>
        <v>0</v>
      </c>
      <c r="T207" s="699">
        <f>IF($O208=0,0,        _xll.qDateNext($O207,T$17,"M",TRUE,Currency1))</f>
        <v>0</v>
      </c>
      <c r="U207" s="699">
        <f>IF($O208=0,0,        _xll.qDateNext($O207,U$17,"M",TRUE,Currency1))</f>
        <v>0</v>
      </c>
      <c r="V207" s="699">
        <f>IF($O208=0,0,        _xll.qDateNext($O207,V$17,"M",TRUE,Currency1))</f>
        <v>0</v>
      </c>
      <c r="W207" s="699">
        <f>IF($O208=0,0,        _xll.qDateNext($O207,W$17,"M",TRUE,Currency1))</f>
        <v>0</v>
      </c>
      <c r="X207" s="699">
        <f>IF($O208=0,0,        _xll.qDateNext($O207,X$17,"M",TRUE,Currency1))</f>
        <v>0</v>
      </c>
      <c r="Y207" s="699">
        <f>IF($O208=0,0,        _xll.qDateNext($O207,Y$17,"M",TRUE,Currency1))</f>
        <v>0</v>
      </c>
      <c r="Z207" s="703">
        <f>IF($O208=0,0,           IF(FRM,_xll.qGetFwdRate(Z$14,$O207,R207,"T",DCC_Leg1_Float),_xll.qGetFwdRate(Z$14,$O207,$O208,"T",DCC_Leg1_Float)))</f>
        <v>0</v>
      </c>
      <c r="AA207" s="703">
        <f>IF($O208=0,0,           IF(FRM,_xll.qGetFwdRate(AA$14,$O207,S207,"T",DCC_Leg1_Float),_xll.qGetFwdRate(AA$14,$O207,$O208,"T",DCC_Leg1_Float)))</f>
        <v>0</v>
      </c>
      <c r="AB207" s="703">
        <f t="shared" si="31"/>
        <v>0</v>
      </c>
      <c r="AC207" s="703">
        <f>IF($O208=0,0,           IF(FRM,_xll.qGetFwdRate(AC$14,$O207,U207,"T",DCC_Leg1_Float),_xll.qGetFwdRate(AC$14,$O207,$O208,"T",DCC_Leg1_Float)))</f>
        <v>0</v>
      </c>
      <c r="AD207" s="703">
        <f t="shared" si="36"/>
        <v>0</v>
      </c>
      <c r="AE207" s="703">
        <f t="shared" si="37"/>
        <v>0</v>
      </c>
      <c r="AF207" s="703">
        <f>IF($O208=0,0,           IF(FRM,_xll.qGetFwdRate(AF$14,$O207,X207,"T",DCC_Leg1_Float),_xll.qGetFwdRate(AF$14,$O207,$O208,"T",DCC_Leg1_Float)))</f>
        <v>0</v>
      </c>
      <c r="AG207" s="703">
        <f>IF($O208=0,0,           IF(FRM,_xll.qGetFwdRate(AG$14,$O207,Y207,"T",DCC_Leg1_Float),_xll.qGetFwdRate(AG$14,$O207,$O208,"T",DCC_Leg1_Float)))</f>
        <v>0</v>
      </c>
      <c r="AH207" s="685">
        <v>0</v>
      </c>
      <c r="AI207" s="667"/>
      <c r="AJ207" s="670">
        <f>IF(O208=0,0,             IF(ISNUMBER(AI207),AI207,             IF(ISTEXT(AI207),INDEX(Z207:AG207,MATCH(AI207,$Z$17:$AG$17,0)),           IF(AH207="INT",_xll.qInterp(O208,R207:Y207,Z207:AG207),       INDEX(Z207:AG207,MATCH(AH207,$Z$17:$AG$17,0))))))</f>
        <v>0</v>
      </c>
      <c r="AK207" s="732">
        <v>20</v>
      </c>
      <c r="AL207" s="721">
        <f t="shared" si="32"/>
        <v>0</v>
      </c>
      <c r="AM207" s="284">
        <f>IF($O208,_xll.qDateYears($O207,$O208,DCC_Leg1_Fixed),0)</f>
        <v>0</v>
      </c>
      <c r="AN207" s="284">
        <f>IF($O208,_xll.qDateYears($O207,$O208,DCC_Leg1_Float),0)</f>
        <v>0</v>
      </c>
      <c r="AP207" s="350">
        <f t="shared" si="38"/>
        <v>0</v>
      </c>
      <c r="AQ207" s="375">
        <f>IF(GenType_1a="Fixed",GenRate_1a%*$AL206*AM206,          IF(GenType_1a="Float",$AL206*(_xll.qGetFwdRate($D$18,$O206,$O207,"T",DCC_Leg1_Float)%+GenRate_1a%%)*$AN206,        IF(GenType_1a="bp (Fixed)",GenRate_1a%%*$AM206*$AL206,   IF(GenType_1a="bp (Float)",GenRate_1a%%*$AL206*$AN206,0))))</f>
        <v>0</v>
      </c>
      <c r="AR207" s="561"/>
      <c r="AT207" s="341">
        <f t="shared" si="42"/>
        <v>0</v>
      </c>
      <c r="AV207" s="356"/>
      <c r="AW207" s="122">
        <v>0</v>
      </c>
      <c r="AX207" s="128">
        <f t="shared" si="33"/>
        <v>0</v>
      </c>
      <c r="AY207" s="357">
        <v>0</v>
      </c>
      <c r="AZ207" s="699">
        <f>IF($AW208=0,0,        _xll.qDateNext($AW207,AZ$17,"M",TRUE,Currency2))</f>
        <v>0</v>
      </c>
      <c r="BA207" s="699">
        <f>IF($AW208=0,0,        _xll.qDateNext($AW207,BA$17,"M",TRUE,Currency2))</f>
        <v>0</v>
      </c>
      <c r="BB207" s="699">
        <f>IF($AW208=0,0,        _xll.qDateNext($AW207,BB$17,"M",TRUE,Currency2))</f>
        <v>0</v>
      </c>
      <c r="BC207" s="699">
        <f>IF($AW208=0,0,        _xll.qDateNext($AW207,BC$17,"M",TRUE,Currency2))</f>
        <v>0</v>
      </c>
      <c r="BD207" s="699">
        <f>IF($AW208=0,0,        _xll.qDateNext($AW207,BD$17,"M",TRUE,Currency2))</f>
        <v>0</v>
      </c>
      <c r="BE207" s="699">
        <f>IF($AW208=0,0,        _xll.qDateNext($AW207,BE$17,"M",TRUE,Currency2))</f>
        <v>0</v>
      </c>
      <c r="BF207" s="699">
        <f>IF($AW208=0,0,        _xll.qDateNext($AW207,BF$17,"M",TRUE,Currency2))</f>
        <v>0</v>
      </c>
      <c r="BG207" s="699">
        <f>IF($AW208=0,0,        _xll.qDateNext($AW207,BG$17,"M",TRUE,Currency2))</f>
        <v>0</v>
      </c>
      <c r="BH207" s="703">
        <v>0</v>
      </c>
      <c r="BI207" s="703">
        <v>0</v>
      </c>
      <c r="BJ207" s="703">
        <v>0</v>
      </c>
      <c r="BK207" s="703">
        <v>0</v>
      </c>
      <c r="BL207" s="703">
        <f t="shared" si="39"/>
        <v>0</v>
      </c>
      <c r="BM207" s="703">
        <f t="shared" si="40"/>
        <v>0</v>
      </c>
      <c r="BN207" s="703">
        <v>0</v>
      </c>
      <c r="BO207" s="703">
        <v>0</v>
      </c>
      <c r="BP207" s="685">
        <v>0</v>
      </c>
      <c r="BQ207" s="667"/>
      <c r="BR207" s="670">
        <f>IF(AW208=0,0,             IF(ISNUMBER(BQ207),BQ207,             IF(ISTEXT(BQ207),INDEX(BH207:BO207,MATCH(BQ207,$BH$17:$BO$17,0)),           IF(BP207="INT",_xll.qInterp(AW208,AZ207:BG207,BH207:BO207),       INDEX(BH207:BO207,MATCH(BP207,$BH$17:$BO$17,0))))))</f>
        <v>0</v>
      </c>
      <c r="BS207" s="731">
        <f t="shared" si="34"/>
        <v>0</v>
      </c>
      <c r="BT207" s="406">
        <f t="shared" si="35"/>
        <v>0</v>
      </c>
      <c r="BU207" s="284">
        <f>IF($AW208,_xll.qDateYears($AW207,$AW208,DCC_Leg2_Fixed),0)</f>
        <v>0</v>
      </c>
      <c r="BV207" s="284">
        <f>IF($AW208,_xll.qDateYears($AW207,$AW208,DCC_Leg2_Float),0)</f>
        <v>0</v>
      </c>
      <c r="BX207" s="350">
        <f t="shared" si="41"/>
        <v>0</v>
      </c>
      <c r="BY207" s="375">
        <f>IF(GenType_2a="Fixed",GenRate_2a%*$BT206*BU206,          IF(GenType_2a="Float",$BT206*(_xll.qGetFwdRate($J$18,$AW206,$AW207,"T",DCC_Leg2_Float)%+GenRate_2a%%)*$BV206,        IF(GenType_2a="bp (Fixed)",GenRate_2a%%*$BU206*$BT206,   IF(GenType_2a="bp (Float)",GenRate_2a%%*$BT206*$BV206,0))))</f>
        <v>0</v>
      </c>
      <c r="BZ207" s="561"/>
      <c r="CB207" s="341">
        <f t="shared" si="43"/>
        <v>0</v>
      </c>
      <c r="CC207" s="563"/>
      <c r="CD207" s="356"/>
      <c r="CE207" s="341">
        <v>0</v>
      </c>
      <c r="CF207" s="563"/>
      <c r="CG207" s="356"/>
    </row>
    <row r="208" spans="15:85">
      <c r="O208" s="122">
        <v>0</v>
      </c>
      <c r="P208" s="128">
        <f t="shared" si="30"/>
        <v>0</v>
      </c>
      <c r="Q208" s="126">
        <v>0</v>
      </c>
      <c r="R208" s="699">
        <f>IF($O209=0,0,        _xll.qDateNext($O208,R$17,"M",TRUE,Currency1))</f>
        <v>0</v>
      </c>
      <c r="S208" s="699">
        <f>IF($O209=0,0,        _xll.qDateNext($O208,S$17,"M",TRUE,Currency1))</f>
        <v>0</v>
      </c>
      <c r="T208" s="699">
        <f>IF($O209=0,0,        _xll.qDateNext($O208,T$17,"M",TRUE,Currency1))</f>
        <v>0</v>
      </c>
      <c r="U208" s="699">
        <f>IF($O209=0,0,        _xll.qDateNext($O208,U$17,"M",TRUE,Currency1))</f>
        <v>0</v>
      </c>
      <c r="V208" s="699">
        <f>IF($O209=0,0,        _xll.qDateNext($O208,V$17,"M",TRUE,Currency1))</f>
        <v>0</v>
      </c>
      <c r="W208" s="699">
        <f>IF($O209=0,0,        _xll.qDateNext($O208,W$17,"M",TRUE,Currency1))</f>
        <v>0</v>
      </c>
      <c r="X208" s="699">
        <f>IF($O209=0,0,        _xll.qDateNext($O208,X$17,"M",TRUE,Currency1))</f>
        <v>0</v>
      </c>
      <c r="Y208" s="699">
        <f>IF($O209=0,0,        _xll.qDateNext($O208,Y$17,"M",TRUE,Currency1))</f>
        <v>0</v>
      </c>
      <c r="Z208" s="703">
        <f>IF($O209=0,0,           IF(FRM,_xll.qGetFwdRate(Z$14,$O208,R208,"T",DCC_Leg1_Float),_xll.qGetFwdRate(Z$14,$O208,$O209,"T",DCC_Leg1_Float)))</f>
        <v>0</v>
      </c>
      <c r="AA208" s="703">
        <f>IF($O209=0,0,           IF(FRM,_xll.qGetFwdRate(AA$14,$O208,S208,"T",DCC_Leg1_Float),_xll.qGetFwdRate(AA$14,$O208,$O209,"T",DCC_Leg1_Float)))</f>
        <v>0</v>
      </c>
      <c r="AB208" s="703">
        <f t="shared" si="31"/>
        <v>0</v>
      </c>
      <c r="AC208" s="703">
        <f>IF($O209=0,0,           IF(FRM,_xll.qGetFwdRate(AC$14,$O208,U208,"T",DCC_Leg1_Float),_xll.qGetFwdRate(AC$14,$O208,$O209,"T",DCC_Leg1_Float)))</f>
        <v>0</v>
      </c>
      <c r="AD208" s="703">
        <f t="shared" si="36"/>
        <v>0</v>
      </c>
      <c r="AE208" s="703">
        <f t="shared" si="37"/>
        <v>0</v>
      </c>
      <c r="AF208" s="703">
        <f>IF($O209=0,0,           IF(FRM,_xll.qGetFwdRate(AF$14,$O208,X208,"T",DCC_Leg1_Float),_xll.qGetFwdRate(AF$14,$O208,$O209,"T",DCC_Leg1_Float)))</f>
        <v>0</v>
      </c>
      <c r="AG208" s="703">
        <f>IF($O209=0,0,           IF(FRM,_xll.qGetFwdRate(AG$14,$O208,Y208,"T",DCC_Leg1_Float),_xll.qGetFwdRate(AG$14,$O208,$O209,"T",DCC_Leg1_Float)))</f>
        <v>0</v>
      </c>
      <c r="AH208" s="685">
        <v>0</v>
      </c>
      <c r="AI208" s="667"/>
      <c r="AJ208" s="670">
        <f>IF(O209=0,0,             IF(ISNUMBER(AI208),AI208,             IF(ISTEXT(AI208),INDEX(Z208:AG208,MATCH(AI208,$Z$17:$AG$17,0)),           IF(AH208="INT",_xll.qInterp(O209,R208:Y208,Z208:AG208),       INDEX(Z208:AG208,MATCH(AH208,$Z$17:$AG$17,0))))))</f>
        <v>0</v>
      </c>
      <c r="AK208" s="732">
        <v>20</v>
      </c>
      <c r="AL208" s="721">
        <f t="shared" si="32"/>
        <v>0</v>
      </c>
      <c r="AM208" s="284">
        <f>IF($O209,_xll.qDateYears($O208,$O209,DCC_Leg1_Fixed),0)</f>
        <v>0</v>
      </c>
      <c r="AN208" s="284">
        <f>IF($O209,_xll.qDateYears($O208,$O209,DCC_Leg1_Float),0)</f>
        <v>0</v>
      </c>
      <c r="AP208" s="350">
        <f t="shared" si="38"/>
        <v>0</v>
      </c>
      <c r="AQ208" s="375">
        <f>IF(GenType_1a="Fixed",GenRate_1a%*$AL207*AM207,          IF(GenType_1a="Float",$AL207*(_xll.qGetFwdRate($D$18,$O207,$O208,"T",DCC_Leg1_Float)%+GenRate_1a%%)*$AN207,        IF(GenType_1a="bp (Fixed)",GenRate_1a%%*$AM207*$AL207,   IF(GenType_1a="bp (Float)",GenRate_1a%%*$AL207*$AN207,0))))</f>
        <v>0</v>
      </c>
      <c r="AR208" s="561"/>
      <c r="AT208" s="341">
        <f t="shared" si="42"/>
        <v>0</v>
      </c>
      <c r="AV208" s="356"/>
      <c r="AW208" s="122">
        <v>0</v>
      </c>
      <c r="AX208" s="128">
        <f t="shared" si="33"/>
        <v>0</v>
      </c>
      <c r="AY208" s="357">
        <v>0</v>
      </c>
      <c r="AZ208" s="699">
        <f>IF($AW209=0,0,        _xll.qDateNext($AW208,AZ$17,"M",TRUE,Currency2))</f>
        <v>0</v>
      </c>
      <c r="BA208" s="699">
        <f>IF($AW209=0,0,        _xll.qDateNext($AW208,BA$17,"M",TRUE,Currency2))</f>
        <v>0</v>
      </c>
      <c r="BB208" s="699">
        <f>IF($AW209=0,0,        _xll.qDateNext($AW208,BB$17,"M",TRUE,Currency2))</f>
        <v>0</v>
      </c>
      <c r="BC208" s="699">
        <f>IF($AW209=0,0,        _xll.qDateNext($AW208,BC$17,"M",TRUE,Currency2))</f>
        <v>0</v>
      </c>
      <c r="BD208" s="699">
        <f>IF($AW209=0,0,        _xll.qDateNext($AW208,BD$17,"M",TRUE,Currency2))</f>
        <v>0</v>
      </c>
      <c r="BE208" s="699">
        <f>IF($AW209=0,0,        _xll.qDateNext($AW208,BE$17,"M",TRUE,Currency2))</f>
        <v>0</v>
      </c>
      <c r="BF208" s="699">
        <f>IF($AW209=0,0,        _xll.qDateNext($AW208,BF$17,"M",TRUE,Currency2))</f>
        <v>0</v>
      </c>
      <c r="BG208" s="699">
        <f>IF($AW209=0,0,        _xll.qDateNext($AW208,BG$17,"M",TRUE,Currency2))</f>
        <v>0</v>
      </c>
      <c r="BH208" s="703">
        <v>0</v>
      </c>
      <c r="BI208" s="703">
        <v>0</v>
      </c>
      <c r="BJ208" s="703">
        <v>0</v>
      </c>
      <c r="BK208" s="703">
        <v>0</v>
      </c>
      <c r="BL208" s="703">
        <f t="shared" si="39"/>
        <v>0</v>
      </c>
      <c r="BM208" s="703">
        <f t="shared" si="40"/>
        <v>0</v>
      </c>
      <c r="BN208" s="703">
        <v>0</v>
      </c>
      <c r="BO208" s="703">
        <v>0</v>
      </c>
      <c r="BP208" s="685">
        <v>0</v>
      </c>
      <c r="BQ208" s="667"/>
      <c r="BR208" s="670">
        <f>IF(AW209=0,0,             IF(ISNUMBER(BQ208),BQ208,             IF(ISTEXT(BQ208),INDEX(BH208:BO208,MATCH(BQ208,$BH$17:$BO$17,0)),           IF(BP208="INT",_xll.qInterp(AW209,AZ208:BG208,BH208:BO208),       INDEX(BH208:BO208,MATCH(BP208,$BH$17:$BO$17,0))))))</f>
        <v>0</v>
      </c>
      <c r="BS208" s="731">
        <f t="shared" si="34"/>
        <v>0</v>
      </c>
      <c r="BT208" s="406">
        <f t="shared" si="35"/>
        <v>0</v>
      </c>
      <c r="BU208" s="284">
        <f>IF($AW209,_xll.qDateYears($AW208,$AW209,DCC_Leg2_Fixed),0)</f>
        <v>0</v>
      </c>
      <c r="BV208" s="284">
        <f>IF($AW209,_xll.qDateYears($AW208,$AW209,DCC_Leg2_Float),0)</f>
        <v>0</v>
      </c>
      <c r="BX208" s="350">
        <f t="shared" si="41"/>
        <v>0</v>
      </c>
      <c r="BY208" s="375">
        <f>IF(GenType_2a="Fixed",GenRate_2a%*$BT207*BU207,          IF(GenType_2a="Float",$BT207*(_xll.qGetFwdRate($J$18,$AW207,$AW208,"T",DCC_Leg2_Float)%+GenRate_2a%%)*$BV207,        IF(GenType_2a="bp (Fixed)",GenRate_2a%%*$BU207*$BT207,   IF(GenType_2a="bp (Float)",GenRate_2a%%*$BT207*$BV207,0))))</f>
        <v>0</v>
      </c>
      <c r="BZ208" s="561"/>
      <c r="CB208" s="341">
        <f t="shared" si="43"/>
        <v>0</v>
      </c>
      <c r="CC208" s="563"/>
      <c r="CD208" s="356"/>
      <c r="CE208" s="341">
        <v>0</v>
      </c>
      <c r="CF208" s="563"/>
      <c r="CG208" s="356"/>
    </row>
    <row r="209" spans="15:85">
      <c r="O209" s="122">
        <v>0</v>
      </c>
      <c r="P209" s="128">
        <f t="shared" si="30"/>
        <v>0</v>
      </c>
      <c r="Q209" s="126">
        <v>0</v>
      </c>
      <c r="R209" s="699">
        <f>IF($O210=0,0,        _xll.qDateNext($O209,R$17,"M",TRUE,Currency1))</f>
        <v>0</v>
      </c>
      <c r="S209" s="699">
        <f>IF($O210=0,0,        _xll.qDateNext($O209,S$17,"M",TRUE,Currency1))</f>
        <v>0</v>
      </c>
      <c r="T209" s="699">
        <f>IF($O210=0,0,        _xll.qDateNext($O209,T$17,"M",TRUE,Currency1))</f>
        <v>0</v>
      </c>
      <c r="U209" s="699">
        <f>IF($O210=0,0,        _xll.qDateNext($O209,U$17,"M",TRUE,Currency1))</f>
        <v>0</v>
      </c>
      <c r="V209" s="699">
        <f>IF($O210=0,0,        _xll.qDateNext($O209,V$17,"M",TRUE,Currency1))</f>
        <v>0</v>
      </c>
      <c r="W209" s="699">
        <f>IF($O210=0,0,        _xll.qDateNext($O209,W$17,"M",TRUE,Currency1))</f>
        <v>0</v>
      </c>
      <c r="X209" s="699">
        <f>IF($O210=0,0,        _xll.qDateNext($O209,X$17,"M",TRUE,Currency1))</f>
        <v>0</v>
      </c>
      <c r="Y209" s="699">
        <f>IF($O210=0,0,        _xll.qDateNext($O209,Y$17,"M",TRUE,Currency1))</f>
        <v>0</v>
      </c>
      <c r="Z209" s="703">
        <f>IF($O210=0,0,           IF(FRM,_xll.qGetFwdRate(Z$14,$O209,R209,"T",DCC_Leg1_Float),_xll.qGetFwdRate(Z$14,$O209,$O210,"T",DCC_Leg1_Float)))</f>
        <v>0</v>
      </c>
      <c r="AA209" s="703">
        <f>IF($O210=0,0,           IF(FRM,_xll.qGetFwdRate(AA$14,$O209,S209,"T",DCC_Leg1_Float),_xll.qGetFwdRate(AA$14,$O209,$O210,"T",DCC_Leg1_Float)))</f>
        <v>0</v>
      </c>
      <c r="AB209" s="703">
        <f t="shared" si="31"/>
        <v>0</v>
      </c>
      <c r="AC209" s="703">
        <f>IF($O210=0,0,           IF(FRM,_xll.qGetFwdRate(AC$14,$O209,U209,"T",DCC_Leg1_Float),_xll.qGetFwdRate(AC$14,$O209,$O210,"T",DCC_Leg1_Float)))</f>
        <v>0</v>
      </c>
      <c r="AD209" s="703">
        <f t="shared" si="36"/>
        <v>0</v>
      </c>
      <c r="AE209" s="703">
        <f t="shared" si="37"/>
        <v>0</v>
      </c>
      <c r="AF209" s="703">
        <f>IF($O210=0,0,           IF(FRM,_xll.qGetFwdRate(AF$14,$O209,X209,"T",DCC_Leg1_Float),_xll.qGetFwdRate(AF$14,$O209,$O210,"T",DCC_Leg1_Float)))</f>
        <v>0</v>
      </c>
      <c r="AG209" s="703">
        <f>IF($O210=0,0,           IF(FRM,_xll.qGetFwdRate(AG$14,$O209,Y209,"T",DCC_Leg1_Float),_xll.qGetFwdRate(AG$14,$O209,$O210,"T",DCC_Leg1_Float)))</f>
        <v>0</v>
      </c>
      <c r="AH209" s="685">
        <v>0</v>
      </c>
      <c r="AI209" s="667"/>
      <c r="AJ209" s="670">
        <f>IF(O210=0,0,             IF(ISNUMBER(AI209),AI209,             IF(ISTEXT(AI209),INDEX(Z209:AG209,MATCH(AI209,$Z$17:$AG$17,0)),           IF(AH209="INT",_xll.qInterp(O210,R209:Y209,Z209:AG209),       INDEX(Z209:AG209,MATCH(AH209,$Z$17:$AG$17,0))))))</f>
        <v>0</v>
      </c>
      <c r="AK209" s="732">
        <v>20</v>
      </c>
      <c r="AL209" s="721">
        <f t="shared" si="32"/>
        <v>0</v>
      </c>
      <c r="AM209" s="284">
        <f>IF($O210,_xll.qDateYears($O209,$O210,DCC_Leg1_Fixed),0)</f>
        <v>0</v>
      </c>
      <c r="AN209" s="284">
        <f>IF($O210,_xll.qDateYears($O209,$O210,DCC_Leg1_Float),0)</f>
        <v>0</v>
      </c>
      <c r="AP209" s="350">
        <f t="shared" si="38"/>
        <v>0</v>
      </c>
      <c r="AQ209" s="375">
        <f>IF(GenType_1a="Fixed",GenRate_1a%*$AL208*AM208,          IF(GenType_1a="Float",$AL208*(_xll.qGetFwdRate($D$18,$O208,$O209,"T",DCC_Leg1_Float)%+GenRate_1a%%)*$AN208,        IF(GenType_1a="bp (Fixed)",GenRate_1a%%*$AM208*$AL208,   IF(GenType_1a="bp (Float)",GenRate_1a%%*$AL208*$AN208,0))))</f>
        <v>0</v>
      </c>
      <c r="AR209" s="561"/>
      <c r="AT209" s="341">
        <f t="shared" si="42"/>
        <v>0</v>
      </c>
      <c r="AV209" s="356"/>
      <c r="AW209" s="122">
        <v>0</v>
      </c>
      <c r="AX209" s="128">
        <f t="shared" si="33"/>
        <v>0</v>
      </c>
      <c r="AY209" s="357">
        <v>0</v>
      </c>
      <c r="AZ209" s="699">
        <f>IF($AW210=0,0,        _xll.qDateNext($AW209,AZ$17,"M",TRUE,Currency2))</f>
        <v>0</v>
      </c>
      <c r="BA209" s="699">
        <f>IF($AW210=0,0,        _xll.qDateNext($AW209,BA$17,"M",TRUE,Currency2))</f>
        <v>0</v>
      </c>
      <c r="BB209" s="699">
        <f>IF($AW210=0,0,        _xll.qDateNext($AW209,BB$17,"M",TRUE,Currency2))</f>
        <v>0</v>
      </c>
      <c r="BC209" s="699">
        <f>IF($AW210=0,0,        _xll.qDateNext($AW209,BC$17,"M",TRUE,Currency2))</f>
        <v>0</v>
      </c>
      <c r="BD209" s="699">
        <f>IF($AW210=0,0,        _xll.qDateNext($AW209,BD$17,"M",TRUE,Currency2))</f>
        <v>0</v>
      </c>
      <c r="BE209" s="699">
        <f>IF($AW210=0,0,        _xll.qDateNext($AW209,BE$17,"M",TRUE,Currency2))</f>
        <v>0</v>
      </c>
      <c r="BF209" s="699">
        <f>IF($AW210=0,0,        _xll.qDateNext($AW209,BF$17,"M",TRUE,Currency2))</f>
        <v>0</v>
      </c>
      <c r="BG209" s="699">
        <f>IF($AW210=0,0,        _xll.qDateNext($AW209,BG$17,"M",TRUE,Currency2))</f>
        <v>0</v>
      </c>
      <c r="BH209" s="703">
        <v>0</v>
      </c>
      <c r="BI209" s="703">
        <v>0</v>
      </c>
      <c r="BJ209" s="703">
        <v>0</v>
      </c>
      <c r="BK209" s="703">
        <v>0</v>
      </c>
      <c r="BL209" s="703">
        <f t="shared" si="39"/>
        <v>0</v>
      </c>
      <c r="BM209" s="703">
        <f t="shared" si="40"/>
        <v>0</v>
      </c>
      <c r="BN209" s="703">
        <v>0</v>
      </c>
      <c r="BO209" s="703">
        <v>0</v>
      </c>
      <c r="BP209" s="685">
        <v>0</v>
      </c>
      <c r="BQ209" s="667"/>
      <c r="BR209" s="670">
        <f>IF(AW210=0,0,             IF(ISNUMBER(BQ209),BQ209,             IF(ISTEXT(BQ209),INDEX(BH209:BO209,MATCH(BQ209,$BH$17:$BO$17,0)),           IF(BP209="INT",_xll.qInterp(AW210,AZ209:BG209,BH209:BO209),       INDEX(BH209:BO209,MATCH(BP209,$BH$17:$BO$17,0))))))</f>
        <v>0</v>
      </c>
      <c r="BS209" s="731">
        <f t="shared" si="34"/>
        <v>0</v>
      </c>
      <c r="BT209" s="406">
        <f t="shared" si="35"/>
        <v>0</v>
      </c>
      <c r="BU209" s="284">
        <f>IF($AW210,_xll.qDateYears($AW209,$AW210,DCC_Leg2_Fixed),0)</f>
        <v>0</v>
      </c>
      <c r="BV209" s="284">
        <f>IF($AW210,_xll.qDateYears($AW209,$AW210,DCC_Leg2_Float),0)</f>
        <v>0</v>
      </c>
      <c r="BX209" s="350">
        <f t="shared" si="41"/>
        <v>0</v>
      </c>
      <c r="BY209" s="375">
        <f>IF(GenType_2a="Fixed",GenRate_2a%*$BT208*BU208,          IF(GenType_2a="Float",$BT208*(_xll.qGetFwdRate($J$18,$AW208,$AW209,"T",DCC_Leg2_Float)%+GenRate_2a%%)*$BV208,        IF(GenType_2a="bp (Fixed)",GenRate_2a%%*$BU208*$BT208,   IF(GenType_2a="bp (Float)",GenRate_2a%%*$BT208*$BV208,0))))</f>
        <v>0</v>
      </c>
      <c r="BZ209" s="561"/>
      <c r="CB209" s="341">
        <f t="shared" si="43"/>
        <v>0</v>
      </c>
      <c r="CC209" s="563"/>
      <c r="CD209" s="356"/>
      <c r="CE209" s="341">
        <v>0</v>
      </c>
      <c r="CF209" s="563"/>
      <c r="CG209" s="356"/>
    </row>
    <row r="210" spans="15:85">
      <c r="O210" s="122">
        <v>0</v>
      </c>
      <c r="P210" s="128">
        <f t="shared" ref="P210:P273" si="44">IF(O211,O211-O210,0)</f>
        <v>0</v>
      </c>
      <c r="Q210" s="126">
        <v>0</v>
      </c>
      <c r="R210" s="699">
        <f>IF($O211=0,0,        _xll.qDateNext($O210,R$17,"M",TRUE,Currency1))</f>
        <v>0</v>
      </c>
      <c r="S210" s="699">
        <f>IF($O211=0,0,        _xll.qDateNext($O210,S$17,"M",TRUE,Currency1))</f>
        <v>0</v>
      </c>
      <c r="T210" s="699">
        <f>IF($O211=0,0,        _xll.qDateNext($O210,T$17,"M",TRUE,Currency1))</f>
        <v>0</v>
      </c>
      <c r="U210" s="699">
        <f>IF($O211=0,0,        _xll.qDateNext($O210,U$17,"M",TRUE,Currency1))</f>
        <v>0</v>
      </c>
      <c r="V210" s="699">
        <f>IF($O211=0,0,        _xll.qDateNext($O210,V$17,"M",TRUE,Currency1))</f>
        <v>0</v>
      </c>
      <c r="W210" s="699">
        <f>IF($O211=0,0,        _xll.qDateNext($O210,W$17,"M",TRUE,Currency1))</f>
        <v>0</v>
      </c>
      <c r="X210" s="699">
        <f>IF($O211=0,0,        _xll.qDateNext($O210,X$17,"M",TRUE,Currency1))</f>
        <v>0</v>
      </c>
      <c r="Y210" s="699">
        <f>IF($O211=0,0,        _xll.qDateNext($O210,Y$17,"M",TRUE,Currency1))</f>
        <v>0</v>
      </c>
      <c r="Z210" s="703">
        <f>IF($O211=0,0,           IF(FRM,_xll.qGetFwdRate(Z$14,$O210,R210,"T",DCC_Leg1_Float),_xll.qGetFwdRate(Z$14,$O210,$O211,"T",DCC_Leg1_Float)))</f>
        <v>0</v>
      </c>
      <c r="AA210" s="703">
        <f>IF($O211=0,0,           IF(FRM,_xll.qGetFwdRate(AA$14,$O210,S210,"T",DCC_Leg1_Float),_xll.qGetFwdRate(AA$14,$O210,$O211,"T",DCC_Leg1_Float)))</f>
        <v>0</v>
      </c>
      <c r="AB210" s="703">
        <f t="shared" ref="AB210:AB273" si="45">AVERAGE(AA210,AC210)</f>
        <v>0</v>
      </c>
      <c r="AC210" s="703">
        <f>IF($O211=0,0,           IF(FRM,_xll.qGetFwdRate(AC$14,$O210,U210,"T",DCC_Leg1_Float),_xll.qGetFwdRate(AC$14,$O210,$O211,"T",DCC_Leg1_Float)))</f>
        <v>0</v>
      </c>
      <c r="AD210" s="703">
        <f t="shared" si="36"/>
        <v>0</v>
      </c>
      <c r="AE210" s="703">
        <f t="shared" si="37"/>
        <v>0</v>
      </c>
      <c r="AF210" s="703">
        <f>IF($O211=0,0,           IF(FRM,_xll.qGetFwdRate(AF$14,$O210,X210,"T",DCC_Leg1_Float),_xll.qGetFwdRate(AF$14,$O210,$O211,"T",DCC_Leg1_Float)))</f>
        <v>0</v>
      </c>
      <c r="AG210" s="703">
        <f>IF($O211=0,0,           IF(FRM,_xll.qGetFwdRate(AG$14,$O210,Y210,"T",DCC_Leg1_Float),_xll.qGetFwdRate(AG$14,$O210,$O211,"T",DCC_Leg1_Float)))</f>
        <v>0</v>
      </c>
      <c r="AH210" s="685">
        <v>0</v>
      </c>
      <c r="AI210" s="667"/>
      <c r="AJ210" s="670">
        <f>IF(O211=0,0,             IF(ISNUMBER(AI210),AI210,             IF(ISTEXT(AI210),INDEX(Z210:AG210,MATCH(AI210,$Z$17:$AG$17,0)),           IF(AH210="INT",_xll.qInterp(O211,R210:Y210,Z210:AG210),       INDEX(Z210:AG210,MATCH(AH210,$Z$17:$AG$17,0))))))</f>
        <v>0</v>
      </c>
      <c r="AK210" s="732">
        <v>20</v>
      </c>
      <c r="AL210" s="721">
        <f t="shared" ref="AL210:AL273" si="46">IF(O211,AK210*1000000*$AN$11,0)</f>
        <v>0</v>
      </c>
      <c r="AM210" s="284">
        <f>IF($O211,_xll.qDateYears($O210,$O211,DCC_Leg1_Fixed),0)</f>
        <v>0</v>
      </c>
      <c r="AN210" s="284">
        <f>IF($O211,_xll.qDateYears($O210,$O211,DCC_Leg1_Float),0)</f>
        <v>0</v>
      </c>
      <c r="AP210" s="350">
        <f t="shared" si="38"/>
        <v>0</v>
      </c>
      <c r="AQ210" s="375">
        <f>IF(GenType_1a="Fixed",GenRate_1a%*$AL209*AM209,          IF(GenType_1a="Float",$AL209*(_xll.qGetFwdRate($D$18,$O209,$O210,"T",DCC_Leg1_Float)%+GenRate_1a%%)*$AN209,        IF(GenType_1a="bp (Fixed)",GenRate_1a%%*$AM209*$AL209,   IF(GenType_1a="bp (Float)",GenRate_1a%%*$AL209*$AN209,0))))</f>
        <v>0</v>
      </c>
      <c r="AR210" s="561"/>
      <c r="AT210" s="341">
        <f t="shared" si="42"/>
        <v>0</v>
      </c>
      <c r="AV210" s="356"/>
      <c r="AW210" s="122">
        <v>0</v>
      </c>
      <c r="AX210" s="128">
        <f t="shared" ref="AX210:AX273" si="47">IF(AW211,AW211-AW210,0)</f>
        <v>0</v>
      </c>
      <c r="AY210" s="357">
        <v>0</v>
      </c>
      <c r="AZ210" s="699">
        <f>IF($AW211=0,0,        _xll.qDateNext($AW210,AZ$17,"M",TRUE,Currency2))</f>
        <v>0</v>
      </c>
      <c r="BA210" s="699">
        <f>IF($AW211=0,0,        _xll.qDateNext($AW210,BA$17,"M",TRUE,Currency2))</f>
        <v>0</v>
      </c>
      <c r="BB210" s="699">
        <f>IF($AW211=0,0,        _xll.qDateNext($AW210,BB$17,"M",TRUE,Currency2))</f>
        <v>0</v>
      </c>
      <c r="BC210" s="699">
        <f>IF($AW211=0,0,        _xll.qDateNext($AW210,BC$17,"M",TRUE,Currency2))</f>
        <v>0</v>
      </c>
      <c r="BD210" s="699">
        <f>IF($AW211=0,0,        _xll.qDateNext($AW210,BD$17,"M",TRUE,Currency2))</f>
        <v>0</v>
      </c>
      <c r="BE210" s="699">
        <f>IF($AW211=0,0,        _xll.qDateNext($AW210,BE$17,"M",TRUE,Currency2))</f>
        <v>0</v>
      </c>
      <c r="BF210" s="699">
        <f>IF($AW211=0,0,        _xll.qDateNext($AW210,BF$17,"M",TRUE,Currency2))</f>
        <v>0</v>
      </c>
      <c r="BG210" s="699">
        <f>IF($AW211=0,0,        _xll.qDateNext($AW210,BG$17,"M",TRUE,Currency2))</f>
        <v>0</v>
      </c>
      <c r="BH210" s="703">
        <v>0</v>
      </c>
      <c r="BI210" s="703">
        <v>0</v>
      </c>
      <c r="BJ210" s="703">
        <v>0</v>
      </c>
      <c r="BK210" s="703">
        <v>0</v>
      </c>
      <c r="BL210" s="703">
        <f t="shared" si="39"/>
        <v>0</v>
      </c>
      <c r="BM210" s="703">
        <f t="shared" si="40"/>
        <v>0</v>
      </c>
      <c r="BN210" s="703">
        <v>0</v>
      </c>
      <c r="BO210" s="703">
        <v>0</v>
      </c>
      <c r="BP210" s="685">
        <v>0</v>
      </c>
      <c r="BQ210" s="667"/>
      <c r="BR210" s="670">
        <f>IF(AW211=0,0,             IF(ISNUMBER(BQ210),BQ210,             IF(ISTEXT(BQ210),INDEX(BH210:BO210,MATCH(BQ210,$BH$17:$BO$17,0)),           IF(BP210="INT",_xll.qInterp(AW211,AZ210:BG210,BH210:BO210),       INDEX(BH210:BO210,MATCH(BP210,$BH$17:$BO$17,0))))))</f>
        <v>0</v>
      </c>
      <c r="BS210" s="731">
        <f t="shared" ref="BS210:BS273" si="48">IF(AW211,INDEX($AK$18:$AK$516,MATCH(AW210,OFFSET($O$18,0,0,$AN$12,1)))*$F$6,0)</f>
        <v>0</v>
      </c>
      <c r="BT210" s="406">
        <f t="shared" ref="BT210:BT273" si="49">IF(AW210,BS210*1000000*$BV$11,0)</f>
        <v>0</v>
      </c>
      <c r="BU210" s="284">
        <f>IF($AW211,_xll.qDateYears($AW210,$AW211,DCC_Leg2_Fixed),0)</f>
        <v>0</v>
      </c>
      <c r="BV210" s="284">
        <f>IF($AW211,_xll.qDateYears($AW210,$AW211,DCC_Leg2_Float),0)</f>
        <v>0</v>
      </c>
      <c r="BX210" s="350">
        <f t="shared" si="41"/>
        <v>0</v>
      </c>
      <c r="BY210" s="375">
        <f>IF(GenType_2a="Fixed",GenRate_2a%*$BT209*BU209,          IF(GenType_2a="Float",$BT209*(_xll.qGetFwdRate($J$18,$AW209,$AW210,"T",DCC_Leg2_Float)%+GenRate_2a%%)*$BV209,        IF(GenType_2a="bp (Fixed)",GenRate_2a%%*$BU209*$BT209,   IF(GenType_2a="bp (Float)",GenRate_2a%%*$BT209*$BV209,0))))</f>
        <v>0</v>
      </c>
      <c r="BZ210" s="561"/>
      <c r="CB210" s="341">
        <f t="shared" si="43"/>
        <v>0</v>
      </c>
      <c r="CC210" s="563"/>
      <c r="CD210" s="356"/>
      <c r="CE210" s="341">
        <v>0</v>
      </c>
      <c r="CF210" s="563"/>
      <c r="CG210" s="356"/>
    </row>
    <row r="211" spans="15:85">
      <c r="O211" s="122">
        <v>0</v>
      </c>
      <c r="P211" s="128">
        <f t="shared" si="44"/>
        <v>0</v>
      </c>
      <c r="Q211" s="126">
        <v>0</v>
      </c>
      <c r="R211" s="699">
        <f>IF($O212=0,0,        _xll.qDateNext($O211,R$17,"M",TRUE,Currency1))</f>
        <v>0</v>
      </c>
      <c r="S211" s="699">
        <f>IF($O212=0,0,        _xll.qDateNext($O211,S$17,"M",TRUE,Currency1))</f>
        <v>0</v>
      </c>
      <c r="T211" s="699">
        <f>IF($O212=0,0,        _xll.qDateNext($O211,T$17,"M",TRUE,Currency1))</f>
        <v>0</v>
      </c>
      <c r="U211" s="699">
        <f>IF($O212=0,0,        _xll.qDateNext($O211,U$17,"M",TRUE,Currency1))</f>
        <v>0</v>
      </c>
      <c r="V211" s="699">
        <f>IF($O212=0,0,        _xll.qDateNext($O211,V$17,"M",TRUE,Currency1))</f>
        <v>0</v>
      </c>
      <c r="W211" s="699">
        <f>IF($O212=0,0,        _xll.qDateNext($O211,W$17,"M",TRUE,Currency1))</f>
        <v>0</v>
      </c>
      <c r="X211" s="699">
        <f>IF($O212=0,0,        _xll.qDateNext($O211,X$17,"M",TRUE,Currency1))</f>
        <v>0</v>
      </c>
      <c r="Y211" s="699">
        <f>IF($O212=0,0,        _xll.qDateNext($O211,Y$17,"M",TRUE,Currency1))</f>
        <v>0</v>
      </c>
      <c r="Z211" s="703">
        <f>IF($O212=0,0,           IF(FRM,_xll.qGetFwdRate(Z$14,$O211,R211,"T",DCC_Leg1_Float),_xll.qGetFwdRate(Z$14,$O211,$O212,"T",DCC_Leg1_Float)))</f>
        <v>0</v>
      </c>
      <c r="AA211" s="703">
        <f>IF($O212=0,0,           IF(FRM,_xll.qGetFwdRate(AA$14,$O211,S211,"T",DCC_Leg1_Float),_xll.qGetFwdRate(AA$14,$O211,$O212,"T",DCC_Leg1_Float)))</f>
        <v>0</v>
      </c>
      <c r="AB211" s="703">
        <f t="shared" si="45"/>
        <v>0</v>
      </c>
      <c r="AC211" s="703">
        <f>IF($O212=0,0,           IF(FRM,_xll.qGetFwdRate(AC$14,$O211,U211,"T",DCC_Leg1_Float),_xll.qGetFwdRate(AC$14,$O211,$O212,"T",DCC_Leg1_Float)))</f>
        <v>0</v>
      </c>
      <c r="AD211" s="703">
        <f t="shared" ref="AD211:AD274" si="50">(AF211-AC211)/3+AC211</f>
        <v>0</v>
      </c>
      <c r="AE211" s="703">
        <f t="shared" ref="AE211:AE274" si="51">AVERAGE(AD211,AF211)</f>
        <v>0</v>
      </c>
      <c r="AF211" s="703">
        <f>IF($O212=0,0,           IF(FRM,_xll.qGetFwdRate(AF$14,$O211,X211,"T",DCC_Leg1_Float),_xll.qGetFwdRate(AF$14,$O211,$O212,"T",DCC_Leg1_Float)))</f>
        <v>0</v>
      </c>
      <c r="AG211" s="703">
        <f>IF($O212=0,0,           IF(FRM,_xll.qGetFwdRate(AG$14,$O211,Y211,"T",DCC_Leg1_Float),_xll.qGetFwdRate(AG$14,$O211,$O212,"T",DCC_Leg1_Float)))</f>
        <v>0</v>
      </c>
      <c r="AH211" s="685">
        <v>0</v>
      </c>
      <c r="AI211" s="667"/>
      <c r="AJ211" s="670">
        <f>IF(O212=0,0,             IF(ISNUMBER(AI211),AI211,             IF(ISTEXT(AI211),INDEX(Z211:AG211,MATCH(AI211,$Z$17:$AG$17,0)),           IF(AH211="INT",_xll.qInterp(O212,R211:Y211,Z211:AG211),       INDEX(Z211:AG211,MATCH(AH211,$Z$17:$AG$17,0))))))</f>
        <v>0</v>
      </c>
      <c r="AK211" s="732">
        <v>20</v>
      </c>
      <c r="AL211" s="721">
        <f t="shared" si="46"/>
        <v>0</v>
      </c>
      <c r="AM211" s="284">
        <f>IF($O212,_xll.qDateYears($O211,$O212,DCC_Leg1_Fixed),0)</f>
        <v>0</v>
      </c>
      <c r="AN211" s="284">
        <f>IF($O212,_xll.qDateYears($O211,$O212,DCC_Leg1_Float),0)</f>
        <v>0</v>
      </c>
      <c r="AP211" s="350">
        <f t="shared" ref="AP211:AP274" si="52">IF(Principal1?,$AL210-$AL211,       0)</f>
        <v>0</v>
      </c>
      <c r="AQ211" s="375">
        <f>IF(GenType_1a="Fixed",GenRate_1a%*$AL210*AM210,          IF(GenType_1a="Float",$AL210*(_xll.qGetFwdRate($D$18,$O210,$O211,"T",DCC_Leg1_Float)%+GenRate_1a%%)*$AN210,        IF(GenType_1a="bp (Fixed)",GenRate_1a%%*$AM210*$AL210,   IF(GenType_1a="bp (Float)",GenRate_1a%%*$AL210*$AN210,0))))</f>
        <v>0</v>
      </c>
      <c r="AR211" s="561"/>
      <c r="AT211" s="341">
        <f t="shared" si="42"/>
        <v>0</v>
      </c>
      <c r="AV211" s="356"/>
      <c r="AW211" s="122">
        <v>0</v>
      </c>
      <c r="AX211" s="128">
        <f t="shared" si="47"/>
        <v>0</v>
      </c>
      <c r="AY211" s="357">
        <v>0</v>
      </c>
      <c r="AZ211" s="699">
        <f>IF($AW212=0,0,        _xll.qDateNext($AW211,AZ$17,"M",TRUE,Currency2))</f>
        <v>0</v>
      </c>
      <c r="BA211" s="699">
        <f>IF($AW212=0,0,        _xll.qDateNext($AW211,BA$17,"M",TRUE,Currency2))</f>
        <v>0</v>
      </c>
      <c r="BB211" s="699">
        <f>IF($AW212=0,0,        _xll.qDateNext($AW211,BB$17,"M",TRUE,Currency2))</f>
        <v>0</v>
      </c>
      <c r="BC211" s="699">
        <f>IF($AW212=0,0,        _xll.qDateNext($AW211,BC$17,"M",TRUE,Currency2))</f>
        <v>0</v>
      </c>
      <c r="BD211" s="699">
        <f>IF($AW212=0,0,        _xll.qDateNext($AW211,BD$17,"M",TRUE,Currency2))</f>
        <v>0</v>
      </c>
      <c r="BE211" s="699">
        <f>IF($AW212=0,0,        _xll.qDateNext($AW211,BE$17,"M",TRUE,Currency2))</f>
        <v>0</v>
      </c>
      <c r="BF211" s="699">
        <f>IF($AW212=0,0,        _xll.qDateNext($AW211,BF$17,"M",TRUE,Currency2))</f>
        <v>0</v>
      </c>
      <c r="BG211" s="699">
        <f>IF($AW212=0,0,        _xll.qDateNext($AW211,BG$17,"M",TRUE,Currency2))</f>
        <v>0</v>
      </c>
      <c r="BH211" s="703">
        <v>0</v>
      </c>
      <c r="BI211" s="703">
        <v>0</v>
      </c>
      <c r="BJ211" s="703">
        <v>0</v>
      </c>
      <c r="BK211" s="703">
        <v>0</v>
      </c>
      <c r="BL211" s="703">
        <f t="shared" ref="BL211:BL274" si="53">(BN211-BK211)/3+BK211</f>
        <v>0</v>
      </c>
      <c r="BM211" s="703">
        <f t="shared" ref="BM211:BM274" si="54">AVERAGE(BL211,BN211)</f>
        <v>0</v>
      </c>
      <c r="BN211" s="703">
        <v>0</v>
      </c>
      <c r="BO211" s="703">
        <v>0</v>
      </c>
      <c r="BP211" s="685">
        <v>0</v>
      </c>
      <c r="BQ211" s="667"/>
      <c r="BR211" s="670">
        <f>IF(AW212=0,0,             IF(ISNUMBER(BQ211),BQ211,             IF(ISTEXT(BQ211),INDEX(BH211:BO211,MATCH(BQ211,$BH$17:$BO$17,0)),           IF(BP211="INT",_xll.qInterp(AW212,AZ211:BG211,BH211:BO211),       INDEX(BH211:BO211,MATCH(BP211,$BH$17:$BO$17,0))))))</f>
        <v>0</v>
      </c>
      <c r="BS211" s="731">
        <f t="shared" si="48"/>
        <v>0</v>
      </c>
      <c r="BT211" s="406">
        <f t="shared" si="49"/>
        <v>0</v>
      </c>
      <c r="BU211" s="284">
        <f>IF($AW212,_xll.qDateYears($AW211,$AW212,DCC_Leg2_Fixed),0)</f>
        <v>0</v>
      </c>
      <c r="BV211" s="284">
        <f>IF($AW212,_xll.qDateYears($AW211,$AW212,DCC_Leg2_Float),0)</f>
        <v>0</v>
      </c>
      <c r="BX211" s="350">
        <f t="shared" ref="BX211:BX274" si="55">IF(Principal2?,$BT210-$BT211,       0)</f>
        <v>0</v>
      </c>
      <c r="BY211" s="375">
        <f>IF(GenType_2a="Fixed",GenRate_2a%*$BT210*BU210,          IF(GenType_2a="Float",$BT210*(_xll.qGetFwdRate($J$18,$AW210,$AW211,"T",DCC_Leg2_Float)%+GenRate_2a%%)*$BV210,        IF(GenType_2a="bp (Fixed)",GenRate_2a%%*$BU210*$BT210,   IF(GenType_2a="bp (Float)",GenRate_2a%%*$BT210*$BV210,0))))</f>
        <v>0</v>
      </c>
      <c r="BZ211" s="561"/>
      <c r="CB211" s="341">
        <f t="shared" si="43"/>
        <v>0</v>
      </c>
      <c r="CC211" s="563"/>
      <c r="CD211" s="356"/>
      <c r="CE211" s="341">
        <v>0</v>
      </c>
      <c r="CF211" s="563"/>
      <c r="CG211" s="356"/>
    </row>
    <row r="212" spans="15:85">
      <c r="O212" s="122">
        <v>0</v>
      </c>
      <c r="P212" s="128">
        <f t="shared" si="44"/>
        <v>0</v>
      </c>
      <c r="Q212" s="126">
        <v>0</v>
      </c>
      <c r="R212" s="699">
        <f>IF($O213=0,0,        _xll.qDateNext($O212,R$17,"M",TRUE,Currency1))</f>
        <v>0</v>
      </c>
      <c r="S212" s="699">
        <f>IF($O213=0,0,        _xll.qDateNext($O212,S$17,"M",TRUE,Currency1))</f>
        <v>0</v>
      </c>
      <c r="T212" s="699">
        <f>IF($O213=0,0,        _xll.qDateNext($O212,T$17,"M",TRUE,Currency1))</f>
        <v>0</v>
      </c>
      <c r="U212" s="699">
        <f>IF($O213=0,0,        _xll.qDateNext($O212,U$17,"M",TRUE,Currency1))</f>
        <v>0</v>
      </c>
      <c r="V212" s="699">
        <f>IF($O213=0,0,        _xll.qDateNext($O212,V$17,"M",TRUE,Currency1))</f>
        <v>0</v>
      </c>
      <c r="W212" s="699">
        <f>IF($O213=0,0,        _xll.qDateNext($O212,W$17,"M",TRUE,Currency1))</f>
        <v>0</v>
      </c>
      <c r="X212" s="699">
        <f>IF($O213=0,0,        _xll.qDateNext($O212,X$17,"M",TRUE,Currency1))</f>
        <v>0</v>
      </c>
      <c r="Y212" s="699">
        <f>IF($O213=0,0,        _xll.qDateNext($O212,Y$17,"M",TRUE,Currency1))</f>
        <v>0</v>
      </c>
      <c r="Z212" s="703">
        <f>IF($O213=0,0,           IF(FRM,_xll.qGetFwdRate(Z$14,$O212,R212,"T",DCC_Leg1_Float),_xll.qGetFwdRate(Z$14,$O212,$O213,"T",DCC_Leg1_Float)))</f>
        <v>0</v>
      </c>
      <c r="AA212" s="703">
        <f>IF($O213=0,0,           IF(FRM,_xll.qGetFwdRate(AA$14,$O212,S212,"T",DCC_Leg1_Float),_xll.qGetFwdRate(AA$14,$O212,$O213,"T",DCC_Leg1_Float)))</f>
        <v>0</v>
      </c>
      <c r="AB212" s="703">
        <f t="shared" si="45"/>
        <v>0</v>
      </c>
      <c r="AC212" s="703">
        <f>IF($O213=0,0,           IF(FRM,_xll.qGetFwdRate(AC$14,$O212,U212,"T",DCC_Leg1_Float),_xll.qGetFwdRate(AC$14,$O212,$O213,"T",DCC_Leg1_Float)))</f>
        <v>0</v>
      </c>
      <c r="AD212" s="703">
        <f t="shared" si="50"/>
        <v>0</v>
      </c>
      <c r="AE212" s="703">
        <f t="shared" si="51"/>
        <v>0</v>
      </c>
      <c r="AF212" s="703">
        <f>IF($O213=0,0,           IF(FRM,_xll.qGetFwdRate(AF$14,$O212,X212,"T",DCC_Leg1_Float),_xll.qGetFwdRate(AF$14,$O212,$O213,"T",DCC_Leg1_Float)))</f>
        <v>0</v>
      </c>
      <c r="AG212" s="703">
        <f>IF($O213=0,0,           IF(FRM,_xll.qGetFwdRate(AG$14,$O212,Y212,"T",DCC_Leg1_Float),_xll.qGetFwdRate(AG$14,$O212,$O213,"T",DCC_Leg1_Float)))</f>
        <v>0</v>
      </c>
      <c r="AH212" s="685">
        <v>0</v>
      </c>
      <c r="AI212" s="667"/>
      <c r="AJ212" s="670">
        <f>IF(O213=0,0,             IF(ISNUMBER(AI212),AI212,             IF(ISTEXT(AI212),INDEX(Z212:AG212,MATCH(AI212,$Z$17:$AG$17,0)),           IF(AH212="INT",_xll.qInterp(O213,R212:Y212,Z212:AG212),       INDEX(Z212:AG212,MATCH(AH212,$Z$17:$AG$17,0))))))</f>
        <v>0</v>
      </c>
      <c r="AK212" s="732">
        <v>20</v>
      </c>
      <c r="AL212" s="721">
        <f t="shared" si="46"/>
        <v>0</v>
      </c>
      <c r="AM212" s="284">
        <f>IF($O213,_xll.qDateYears($O212,$O213,DCC_Leg1_Fixed),0)</f>
        <v>0</v>
      </c>
      <c r="AN212" s="284">
        <f>IF($O213,_xll.qDateYears($O212,$O213,DCC_Leg1_Float),0)</f>
        <v>0</v>
      </c>
      <c r="AP212" s="350">
        <f t="shared" si="52"/>
        <v>0</v>
      </c>
      <c r="AQ212" s="375">
        <f>IF(GenType_1a="Fixed",GenRate_1a%*$AL211*AM211,          IF(GenType_1a="Float",$AL211*(_xll.qGetFwdRate($D$18,$O211,$O212,"T",DCC_Leg1_Float)%+GenRate_1a%%)*$AN211,        IF(GenType_1a="bp (Fixed)",GenRate_1a%%*$AM211*$AL211,   IF(GenType_1a="bp (Float)",GenRate_1a%%*$AL211*$AN211,0))))</f>
        <v>0</v>
      </c>
      <c r="AR212" s="561"/>
      <c r="AT212" s="341">
        <f t="shared" si="42"/>
        <v>0</v>
      </c>
      <c r="AV212" s="356"/>
      <c r="AW212" s="122">
        <v>0</v>
      </c>
      <c r="AX212" s="128">
        <f t="shared" si="47"/>
        <v>0</v>
      </c>
      <c r="AY212" s="357">
        <v>0</v>
      </c>
      <c r="AZ212" s="699">
        <f>IF($AW213=0,0,        _xll.qDateNext($AW212,AZ$17,"M",TRUE,Currency2))</f>
        <v>0</v>
      </c>
      <c r="BA212" s="699">
        <f>IF($AW213=0,0,        _xll.qDateNext($AW212,BA$17,"M",TRUE,Currency2))</f>
        <v>0</v>
      </c>
      <c r="BB212" s="699">
        <f>IF($AW213=0,0,        _xll.qDateNext($AW212,BB$17,"M",TRUE,Currency2))</f>
        <v>0</v>
      </c>
      <c r="BC212" s="699">
        <f>IF($AW213=0,0,        _xll.qDateNext($AW212,BC$17,"M",TRUE,Currency2))</f>
        <v>0</v>
      </c>
      <c r="BD212" s="699">
        <f>IF($AW213=0,0,        _xll.qDateNext($AW212,BD$17,"M",TRUE,Currency2))</f>
        <v>0</v>
      </c>
      <c r="BE212" s="699">
        <f>IF($AW213=0,0,        _xll.qDateNext($AW212,BE$17,"M",TRUE,Currency2))</f>
        <v>0</v>
      </c>
      <c r="BF212" s="699">
        <f>IF($AW213=0,0,        _xll.qDateNext($AW212,BF$17,"M",TRUE,Currency2))</f>
        <v>0</v>
      </c>
      <c r="BG212" s="699">
        <f>IF($AW213=0,0,        _xll.qDateNext($AW212,BG$17,"M",TRUE,Currency2))</f>
        <v>0</v>
      </c>
      <c r="BH212" s="703">
        <v>0</v>
      </c>
      <c r="BI212" s="703">
        <v>0</v>
      </c>
      <c r="BJ212" s="703">
        <v>0</v>
      </c>
      <c r="BK212" s="703">
        <v>0</v>
      </c>
      <c r="BL212" s="703">
        <f t="shared" si="53"/>
        <v>0</v>
      </c>
      <c r="BM212" s="703">
        <f t="shared" si="54"/>
        <v>0</v>
      </c>
      <c r="BN212" s="703">
        <v>0</v>
      </c>
      <c r="BO212" s="703">
        <v>0</v>
      </c>
      <c r="BP212" s="685">
        <v>0</v>
      </c>
      <c r="BQ212" s="667"/>
      <c r="BR212" s="670">
        <f>IF(AW213=0,0,             IF(ISNUMBER(BQ212),BQ212,             IF(ISTEXT(BQ212),INDEX(BH212:BO212,MATCH(BQ212,$BH$17:$BO$17,0)),           IF(BP212="INT",_xll.qInterp(AW213,AZ212:BG212,BH212:BO212),       INDEX(BH212:BO212,MATCH(BP212,$BH$17:$BO$17,0))))))</f>
        <v>0</v>
      </c>
      <c r="BS212" s="731">
        <f t="shared" si="48"/>
        <v>0</v>
      </c>
      <c r="BT212" s="406">
        <f t="shared" si="49"/>
        <v>0</v>
      </c>
      <c r="BU212" s="284">
        <f>IF($AW213,_xll.qDateYears($AW212,$AW213,DCC_Leg2_Fixed),0)</f>
        <v>0</v>
      </c>
      <c r="BV212" s="284">
        <f>IF($AW213,_xll.qDateYears($AW212,$AW213,DCC_Leg2_Float),0)</f>
        <v>0</v>
      </c>
      <c r="BX212" s="350">
        <f t="shared" si="55"/>
        <v>0</v>
      </c>
      <c r="BY212" s="375">
        <f>IF(GenType_2a="Fixed",GenRate_2a%*$BT211*BU211,          IF(GenType_2a="Float",$BT211*(_xll.qGetFwdRate($J$18,$AW211,$AW212,"T",DCC_Leg2_Float)%+GenRate_2a%%)*$BV211,        IF(GenType_2a="bp (Fixed)",GenRate_2a%%*$BU211*$BT211,   IF(GenType_2a="bp (Float)",GenRate_2a%%*$BT211*$BV211,0))))</f>
        <v>0</v>
      </c>
      <c r="BZ212" s="561"/>
      <c r="CB212" s="341">
        <f t="shared" si="43"/>
        <v>0</v>
      </c>
      <c r="CC212" s="563"/>
      <c r="CD212" s="356"/>
      <c r="CE212" s="341">
        <v>0</v>
      </c>
      <c r="CF212" s="563"/>
      <c r="CG212" s="356"/>
    </row>
    <row r="213" spans="15:85">
      <c r="O213" s="122">
        <v>0</v>
      </c>
      <c r="P213" s="128">
        <f t="shared" si="44"/>
        <v>0</v>
      </c>
      <c r="Q213" s="126">
        <v>0</v>
      </c>
      <c r="R213" s="699">
        <f>IF($O214=0,0,        _xll.qDateNext($O213,R$17,"M",TRUE,Currency1))</f>
        <v>0</v>
      </c>
      <c r="S213" s="699">
        <f>IF($O214=0,0,        _xll.qDateNext($O213,S$17,"M",TRUE,Currency1))</f>
        <v>0</v>
      </c>
      <c r="T213" s="699">
        <f>IF($O214=0,0,        _xll.qDateNext($O213,T$17,"M",TRUE,Currency1))</f>
        <v>0</v>
      </c>
      <c r="U213" s="699">
        <f>IF($O214=0,0,        _xll.qDateNext($O213,U$17,"M",TRUE,Currency1))</f>
        <v>0</v>
      </c>
      <c r="V213" s="699">
        <f>IF($O214=0,0,        _xll.qDateNext($O213,V$17,"M",TRUE,Currency1))</f>
        <v>0</v>
      </c>
      <c r="W213" s="699">
        <f>IF($O214=0,0,        _xll.qDateNext($O213,W$17,"M",TRUE,Currency1))</f>
        <v>0</v>
      </c>
      <c r="X213" s="699">
        <f>IF($O214=0,0,        _xll.qDateNext($O213,X$17,"M",TRUE,Currency1))</f>
        <v>0</v>
      </c>
      <c r="Y213" s="699">
        <f>IF($O214=0,0,        _xll.qDateNext($O213,Y$17,"M",TRUE,Currency1))</f>
        <v>0</v>
      </c>
      <c r="Z213" s="703">
        <f>IF($O214=0,0,           IF(FRM,_xll.qGetFwdRate(Z$14,$O213,R213,"T",DCC_Leg1_Float),_xll.qGetFwdRate(Z$14,$O213,$O214,"T",DCC_Leg1_Float)))</f>
        <v>0</v>
      </c>
      <c r="AA213" s="703">
        <f>IF($O214=0,0,           IF(FRM,_xll.qGetFwdRate(AA$14,$O213,S213,"T",DCC_Leg1_Float),_xll.qGetFwdRate(AA$14,$O213,$O214,"T",DCC_Leg1_Float)))</f>
        <v>0</v>
      </c>
      <c r="AB213" s="703">
        <f t="shared" si="45"/>
        <v>0</v>
      </c>
      <c r="AC213" s="703">
        <f>IF($O214=0,0,           IF(FRM,_xll.qGetFwdRate(AC$14,$O213,U213,"T",DCC_Leg1_Float),_xll.qGetFwdRate(AC$14,$O213,$O214,"T",DCC_Leg1_Float)))</f>
        <v>0</v>
      </c>
      <c r="AD213" s="703">
        <f t="shared" si="50"/>
        <v>0</v>
      </c>
      <c r="AE213" s="703">
        <f t="shared" si="51"/>
        <v>0</v>
      </c>
      <c r="AF213" s="703">
        <f>IF($O214=0,0,           IF(FRM,_xll.qGetFwdRate(AF$14,$O213,X213,"T",DCC_Leg1_Float),_xll.qGetFwdRate(AF$14,$O213,$O214,"T",DCC_Leg1_Float)))</f>
        <v>0</v>
      </c>
      <c r="AG213" s="703">
        <f>IF($O214=0,0,           IF(FRM,_xll.qGetFwdRate(AG$14,$O213,Y213,"T",DCC_Leg1_Float),_xll.qGetFwdRate(AG$14,$O213,$O214,"T",DCC_Leg1_Float)))</f>
        <v>0</v>
      </c>
      <c r="AH213" s="685">
        <v>0</v>
      </c>
      <c r="AI213" s="667"/>
      <c r="AJ213" s="670">
        <f>IF(O214=0,0,             IF(ISNUMBER(AI213),AI213,             IF(ISTEXT(AI213),INDEX(Z213:AG213,MATCH(AI213,$Z$17:$AG$17,0)),           IF(AH213="INT",_xll.qInterp(O214,R213:Y213,Z213:AG213),       INDEX(Z213:AG213,MATCH(AH213,$Z$17:$AG$17,0))))))</f>
        <v>0</v>
      </c>
      <c r="AK213" s="732">
        <v>20</v>
      </c>
      <c r="AL213" s="721">
        <f t="shared" si="46"/>
        <v>0</v>
      </c>
      <c r="AM213" s="284">
        <f>IF($O214,_xll.qDateYears($O213,$O214,DCC_Leg1_Fixed),0)</f>
        <v>0</v>
      </c>
      <c r="AN213" s="284">
        <f>IF($O214,_xll.qDateYears($O213,$O214,DCC_Leg1_Float),0)</f>
        <v>0</v>
      </c>
      <c r="AP213" s="350">
        <f t="shared" si="52"/>
        <v>0</v>
      </c>
      <c r="AQ213" s="375">
        <f>IF(GenType_1a="Fixed",GenRate_1a%*$AL212*AM212,          IF(GenType_1a="Float",$AL212*(_xll.qGetFwdRate($D$18,$O212,$O213,"T",DCC_Leg1_Float)%+GenRate_1a%%)*$AN212,        IF(GenType_1a="bp (Fixed)",GenRate_1a%%*$AM212*$AL212,   IF(GenType_1a="bp (Float)",GenRate_1a%%*$AL212*$AN212,0))))</f>
        <v>0</v>
      </c>
      <c r="AR213" s="561"/>
      <c r="AT213" s="341">
        <f t="shared" si="42"/>
        <v>0</v>
      </c>
      <c r="AV213" s="356"/>
      <c r="AW213" s="122">
        <v>0</v>
      </c>
      <c r="AX213" s="128">
        <f t="shared" si="47"/>
        <v>0</v>
      </c>
      <c r="AY213" s="357">
        <v>0</v>
      </c>
      <c r="AZ213" s="699">
        <f>IF($AW214=0,0,        _xll.qDateNext($AW213,AZ$17,"M",TRUE,Currency2))</f>
        <v>0</v>
      </c>
      <c r="BA213" s="699">
        <f>IF($AW214=0,0,        _xll.qDateNext($AW213,BA$17,"M",TRUE,Currency2))</f>
        <v>0</v>
      </c>
      <c r="BB213" s="699">
        <f>IF($AW214=0,0,        _xll.qDateNext($AW213,BB$17,"M",TRUE,Currency2))</f>
        <v>0</v>
      </c>
      <c r="BC213" s="699">
        <f>IF($AW214=0,0,        _xll.qDateNext($AW213,BC$17,"M",TRUE,Currency2))</f>
        <v>0</v>
      </c>
      <c r="BD213" s="699">
        <f>IF($AW214=0,0,        _xll.qDateNext($AW213,BD$17,"M",TRUE,Currency2))</f>
        <v>0</v>
      </c>
      <c r="BE213" s="699">
        <f>IF($AW214=0,0,        _xll.qDateNext($AW213,BE$17,"M",TRUE,Currency2))</f>
        <v>0</v>
      </c>
      <c r="BF213" s="699">
        <f>IF($AW214=0,0,        _xll.qDateNext($AW213,BF$17,"M",TRUE,Currency2))</f>
        <v>0</v>
      </c>
      <c r="BG213" s="699">
        <f>IF($AW214=0,0,        _xll.qDateNext($AW213,BG$17,"M",TRUE,Currency2))</f>
        <v>0</v>
      </c>
      <c r="BH213" s="703">
        <v>0</v>
      </c>
      <c r="BI213" s="703">
        <v>0</v>
      </c>
      <c r="BJ213" s="703">
        <v>0</v>
      </c>
      <c r="BK213" s="703">
        <v>0</v>
      </c>
      <c r="BL213" s="703">
        <f t="shared" si="53"/>
        <v>0</v>
      </c>
      <c r="BM213" s="703">
        <f t="shared" si="54"/>
        <v>0</v>
      </c>
      <c r="BN213" s="703">
        <v>0</v>
      </c>
      <c r="BO213" s="703">
        <v>0</v>
      </c>
      <c r="BP213" s="685">
        <v>0</v>
      </c>
      <c r="BQ213" s="667"/>
      <c r="BR213" s="670">
        <f>IF(AW214=0,0,             IF(ISNUMBER(BQ213),BQ213,             IF(ISTEXT(BQ213),INDEX(BH213:BO213,MATCH(BQ213,$BH$17:$BO$17,0)),           IF(BP213="INT",_xll.qInterp(AW214,AZ213:BG213,BH213:BO213),       INDEX(BH213:BO213,MATCH(BP213,$BH$17:$BO$17,0))))))</f>
        <v>0</v>
      </c>
      <c r="BS213" s="731">
        <f t="shared" si="48"/>
        <v>0</v>
      </c>
      <c r="BT213" s="406">
        <f t="shared" si="49"/>
        <v>0</v>
      </c>
      <c r="BU213" s="284">
        <f>IF($AW214,_xll.qDateYears($AW213,$AW214,DCC_Leg2_Fixed),0)</f>
        <v>0</v>
      </c>
      <c r="BV213" s="284">
        <f>IF($AW214,_xll.qDateYears($AW213,$AW214,DCC_Leg2_Float),0)</f>
        <v>0</v>
      </c>
      <c r="BX213" s="350">
        <f t="shared" si="55"/>
        <v>0</v>
      </c>
      <c r="BY213" s="375">
        <f>IF(GenType_2a="Fixed",GenRate_2a%*$BT212*BU212,          IF(GenType_2a="Float",$BT212*(_xll.qGetFwdRate($J$18,$AW212,$AW213,"T",DCC_Leg2_Float)%+GenRate_2a%%)*$BV212,        IF(GenType_2a="bp (Fixed)",GenRate_2a%%*$BU212*$BT212,   IF(GenType_2a="bp (Float)",GenRate_2a%%*$BT212*$BV212,0))))</f>
        <v>0</v>
      </c>
      <c r="BZ213" s="561"/>
      <c r="CB213" s="341">
        <f t="shared" si="43"/>
        <v>0</v>
      </c>
      <c r="CC213" s="563"/>
      <c r="CD213" s="356"/>
      <c r="CE213" s="341">
        <v>0</v>
      </c>
      <c r="CF213" s="563"/>
      <c r="CG213" s="356"/>
    </row>
    <row r="214" spans="15:85">
      <c r="O214" s="122">
        <v>0</v>
      </c>
      <c r="P214" s="128">
        <f t="shared" si="44"/>
        <v>0</v>
      </c>
      <c r="Q214" s="126">
        <v>0</v>
      </c>
      <c r="R214" s="699">
        <f>IF($O215=0,0,        _xll.qDateNext($O214,R$17,"M",TRUE,Currency1))</f>
        <v>0</v>
      </c>
      <c r="S214" s="699">
        <f>IF($O215=0,0,        _xll.qDateNext($O214,S$17,"M",TRUE,Currency1))</f>
        <v>0</v>
      </c>
      <c r="T214" s="699">
        <f>IF($O215=0,0,        _xll.qDateNext($O214,T$17,"M",TRUE,Currency1))</f>
        <v>0</v>
      </c>
      <c r="U214" s="699">
        <f>IF($O215=0,0,        _xll.qDateNext($O214,U$17,"M",TRUE,Currency1))</f>
        <v>0</v>
      </c>
      <c r="V214" s="699">
        <f>IF($O215=0,0,        _xll.qDateNext($O214,V$17,"M",TRUE,Currency1))</f>
        <v>0</v>
      </c>
      <c r="W214" s="699">
        <f>IF($O215=0,0,        _xll.qDateNext($O214,W$17,"M",TRUE,Currency1))</f>
        <v>0</v>
      </c>
      <c r="X214" s="699">
        <f>IF($O215=0,0,        _xll.qDateNext($O214,X$17,"M",TRUE,Currency1))</f>
        <v>0</v>
      </c>
      <c r="Y214" s="699">
        <f>IF($O215=0,0,        _xll.qDateNext($O214,Y$17,"M",TRUE,Currency1))</f>
        <v>0</v>
      </c>
      <c r="Z214" s="703">
        <f>IF($O215=0,0,           IF(FRM,_xll.qGetFwdRate(Z$14,$O214,R214,"T",DCC_Leg1_Float),_xll.qGetFwdRate(Z$14,$O214,$O215,"T",DCC_Leg1_Float)))</f>
        <v>0</v>
      </c>
      <c r="AA214" s="703">
        <f>IF($O215=0,0,           IF(FRM,_xll.qGetFwdRate(AA$14,$O214,S214,"T",DCC_Leg1_Float),_xll.qGetFwdRate(AA$14,$O214,$O215,"T",DCC_Leg1_Float)))</f>
        <v>0</v>
      </c>
      <c r="AB214" s="703">
        <f t="shared" si="45"/>
        <v>0</v>
      </c>
      <c r="AC214" s="703">
        <f>IF($O215=0,0,           IF(FRM,_xll.qGetFwdRate(AC$14,$O214,U214,"T",DCC_Leg1_Float),_xll.qGetFwdRate(AC$14,$O214,$O215,"T",DCC_Leg1_Float)))</f>
        <v>0</v>
      </c>
      <c r="AD214" s="703">
        <f t="shared" si="50"/>
        <v>0</v>
      </c>
      <c r="AE214" s="703">
        <f t="shared" si="51"/>
        <v>0</v>
      </c>
      <c r="AF214" s="703">
        <f>IF($O215=0,0,           IF(FRM,_xll.qGetFwdRate(AF$14,$O214,X214,"T",DCC_Leg1_Float),_xll.qGetFwdRate(AF$14,$O214,$O215,"T",DCC_Leg1_Float)))</f>
        <v>0</v>
      </c>
      <c r="AG214" s="703">
        <f>IF($O215=0,0,           IF(FRM,_xll.qGetFwdRate(AG$14,$O214,Y214,"T",DCC_Leg1_Float),_xll.qGetFwdRate(AG$14,$O214,$O215,"T",DCC_Leg1_Float)))</f>
        <v>0</v>
      </c>
      <c r="AH214" s="685">
        <v>0</v>
      </c>
      <c r="AI214" s="667"/>
      <c r="AJ214" s="670">
        <f>IF(O215=0,0,             IF(ISNUMBER(AI214),AI214,             IF(ISTEXT(AI214),INDEX(Z214:AG214,MATCH(AI214,$Z$17:$AG$17,0)),           IF(AH214="INT",_xll.qInterp(O215,R214:Y214,Z214:AG214),       INDEX(Z214:AG214,MATCH(AH214,$Z$17:$AG$17,0))))))</f>
        <v>0</v>
      </c>
      <c r="AK214" s="732">
        <v>20</v>
      </c>
      <c r="AL214" s="721">
        <f t="shared" si="46"/>
        <v>0</v>
      </c>
      <c r="AM214" s="284">
        <f>IF($O215,_xll.qDateYears($O214,$O215,DCC_Leg1_Fixed),0)</f>
        <v>0</v>
      </c>
      <c r="AN214" s="284">
        <f>IF($O215,_xll.qDateYears($O214,$O215,DCC_Leg1_Float),0)</f>
        <v>0</v>
      </c>
      <c r="AP214" s="350">
        <f t="shared" si="52"/>
        <v>0</v>
      </c>
      <c r="AQ214" s="375">
        <f>IF(GenType_1a="Fixed",GenRate_1a%*$AL213*AM213,          IF(GenType_1a="Float",$AL213*(_xll.qGetFwdRate($D$18,$O213,$O214,"T",DCC_Leg1_Float)%+GenRate_1a%%)*$AN213,        IF(GenType_1a="bp (Fixed)",GenRate_1a%%*$AM213*$AL213,   IF(GenType_1a="bp (Float)",GenRate_1a%%*$AL213*$AN213,0))))</f>
        <v>0</v>
      </c>
      <c r="AR214" s="561"/>
      <c r="AT214" s="341">
        <f t="shared" si="42"/>
        <v>0</v>
      </c>
      <c r="AV214" s="356"/>
      <c r="AW214" s="122">
        <v>0</v>
      </c>
      <c r="AX214" s="128">
        <f t="shared" si="47"/>
        <v>0</v>
      </c>
      <c r="AY214" s="357">
        <v>0</v>
      </c>
      <c r="AZ214" s="699">
        <f>IF($AW215=0,0,        _xll.qDateNext($AW214,AZ$17,"M",TRUE,Currency2))</f>
        <v>0</v>
      </c>
      <c r="BA214" s="699">
        <f>IF($AW215=0,0,        _xll.qDateNext($AW214,BA$17,"M",TRUE,Currency2))</f>
        <v>0</v>
      </c>
      <c r="BB214" s="699">
        <f>IF($AW215=0,0,        _xll.qDateNext($AW214,BB$17,"M",TRUE,Currency2))</f>
        <v>0</v>
      </c>
      <c r="BC214" s="699">
        <f>IF($AW215=0,0,        _xll.qDateNext($AW214,BC$17,"M",TRUE,Currency2))</f>
        <v>0</v>
      </c>
      <c r="BD214" s="699">
        <f>IF($AW215=0,0,        _xll.qDateNext($AW214,BD$17,"M",TRUE,Currency2))</f>
        <v>0</v>
      </c>
      <c r="BE214" s="699">
        <f>IF($AW215=0,0,        _xll.qDateNext($AW214,BE$17,"M",TRUE,Currency2))</f>
        <v>0</v>
      </c>
      <c r="BF214" s="699">
        <f>IF($AW215=0,0,        _xll.qDateNext($AW214,BF$17,"M",TRUE,Currency2))</f>
        <v>0</v>
      </c>
      <c r="BG214" s="699">
        <f>IF($AW215=0,0,        _xll.qDateNext($AW214,BG$17,"M",TRUE,Currency2))</f>
        <v>0</v>
      </c>
      <c r="BH214" s="703">
        <v>0</v>
      </c>
      <c r="BI214" s="703">
        <v>0</v>
      </c>
      <c r="BJ214" s="703">
        <v>0</v>
      </c>
      <c r="BK214" s="703">
        <v>0</v>
      </c>
      <c r="BL214" s="703">
        <f t="shared" si="53"/>
        <v>0</v>
      </c>
      <c r="BM214" s="703">
        <f t="shared" si="54"/>
        <v>0</v>
      </c>
      <c r="BN214" s="703">
        <v>0</v>
      </c>
      <c r="BO214" s="703">
        <v>0</v>
      </c>
      <c r="BP214" s="685">
        <v>0</v>
      </c>
      <c r="BQ214" s="667"/>
      <c r="BR214" s="670">
        <f>IF(AW215=0,0,             IF(ISNUMBER(BQ214),BQ214,             IF(ISTEXT(BQ214),INDEX(BH214:BO214,MATCH(BQ214,$BH$17:$BO$17,0)),           IF(BP214="INT",_xll.qInterp(AW215,AZ214:BG214,BH214:BO214),       INDEX(BH214:BO214,MATCH(BP214,$BH$17:$BO$17,0))))))</f>
        <v>0</v>
      </c>
      <c r="BS214" s="731">
        <f t="shared" si="48"/>
        <v>0</v>
      </c>
      <c r="BT214" s="406">
        <f t="shared" si="49"/>
        <v>0</v>
      </c>
      <c r="BU214" s="284">
        <f>IF($AW215,_xll.qDateYears($AW214,$AW215,DCC_Leg2_Fixed),0)</f>
        <v>0</v>
      </c>
      <c r="BV214" s="284">
        <f>IF($AW215,_xll.qDateYears($AW214,$AW215,DCC_Leg2_Float),0)</f>
        <v>0</v>
      </c>
      <c r="BX214" s="350">
        <f t="shared" si="55"/>
        <v>0</v>
      </c>
      <c r="BY214" s="375">
        <f>IF(GenType_2a="Fixed",GenRate_2a%*$BT213*BU213,          IF(GenType_2a="Float",$BT213*(_xll.qGetFwdRate($J$18,$AW213,$AW214,"T",DCC_Leg2_Float)%+GenRate_2a%%)*$BV213,        IF(GenType_2a="bp (Fixed)",GenRate_2a%%*$BU213*$BT213,   IF(GenType_2a="bp (Float)",GenRate_2a%%*$BT213*$BV213,0))))</f>
        <v>0</v>
      </c>
      <c r="BZ214" s="561"/>
      <c r="CB214" s="341">
        <f t="shared" si="43"/>
        <v>0</v>
      </c>
      <c r="CC214" s="563"/>
      <c r="CD214" s="356"/>
      <c r="CE214" s="341">
        <v>0</v>
      </c>
      <c r="CF214" s="563"/>
      <c r="CG214" s="356"/>
    </row>
    <row r="215" spans="15:85">
      <c r="O215" s="122">
        <v>0</v>
      </c>
      <c r="P215" s="128">
        <f t="shared" si="44"/>
        <v>0</v>
      </c>
      <c r="Q215" s="126">
        <v>0</v>
      </c>
      <c r="R215" s="699">
        <f>IF($O216=0,0,        _xll.qDateNext($O215,R$17,"M",TRUE,Currency1))</f>
        <v>0</v>
      </c>
      <c r="S215" s="699">
        <f>IF($O216=0,0,        _xll.qDateNext($O215,S$17,"M",TRUE,Currency1))</f>
        <v>0</v>
      </c>
      <c r="T215" s="699">
        <f>IF($O216=0,0,        _xll.qDateNext($O215,T$17,"M",TRUE,Currency1))</f>
        <v>0</v>
      </c>
      <c r="U215" s="699">
        <f>IF($O216=0,0,        _xll.qDateNext($O215,U$17,"M",TRUE,Currency1))</f>
        <v>0</v>
      </c>
      <c r="V215" s="699">
        <f>IF($O216=0,0,        _xll.qDateNext($O215,V$17,"M",TRUE,Currency1))</f>
        <v>0</v>
      </c>
      <c r="W215" s="699">
        <f>IF($O216=0,0,        _xll.qDateNext($O215,W$17,"M",TRUE,Currency1))</f>
        <v>0</v>
      </c>
      <c r="X215" s="699">
        <f>IF($O216=0,0,        _xll.qDateNext($O215,X$17,"M",TRUE,Currency1))</f>
        <v>0</v>
      </c>
      <c r="Y215" s="699">
        <f>IF($O216=0,0,        _xll.qDateNext($O215,Y$17,"M",TRUE,Currency1))</f>
        <v>0</v>
      </c>
      <c r="Z215" s="703">
        <f>IF($O216=0,0,           IF(FRM,_xll.qGetFwdRate(Z$14,$O215,R215,"T",DCC_Leg1_Float),_xll.qGetFwdRate(Z$14,$O215,$O216,"T",DCC_Leg1_Float)))</f>
        <v>0</v>
      </c>
      <c r="AA215" s="703">
        <f>IF($O216=0,0,           IF(FRM,_xll.qGetFwdRate(AA$14,$O215,S215,"T",DCC_Leg1_Float),_xll.qGetFwdRate(AA$14,$O215,$O216,"T",DCC_Leg1_Float)))</f>
        <v>0</v>
      </c>
      <c r="AB215" s="703">
        <f t="shared" si="45"/>
        <v>0</v>
      </c>
      <c r="AC215" s="703">
        <f>IF($O216=0,0,           IF(FRM,_xll.qGetFwdRate(AC$14,$O215,U215,"T",DCC_Leg1_Float),_xll.qGetFwdRate(AC$14,$O215,$O216,"T",DCC_Leg1_Float)))</f>
        <v>0</v>
      </c>
      <c r="AD215" s="703">
        <f t="shared" si="50"/>
        <v>0</v>
      </c>
      <c r="AE215" s="703">
        <f t="shared" si="51"/>
        <v>0</v>
      </c>
      <c r="AF215" s="703">
        <f>IF($O216=0,0,           IF(FRM,_xll.qGetFwdRate(AF$14,$O215,X215,"T",DCC_Leg1_Float),_xll.qGetFwdRate(AF$14,$O215,$O216,"T",DCC_Leg1_Float)))</f>
        <v>0</v>
      </c>
      <c r="AG215" s="703">
        <f>IF($O216=0,0,           IF(FRM,_xll.qGetFwdRate(AG$14,$O215,Y215,"T",DCC_Leg1_Float),_xll.qGetFwdRate(AG$14,$O215,$O216,"T",DCC_Leg1_Float)))</f>
        <v>0</v>
      </c>
      <c r="AH215" s="685">
        <v>0</v>
      </c>
      <c r="AI215" s="667"/>
      <c r="AJ215" s="670">
        <f>IF(O216=0,0,             IF(ISNUMBER(AI215),AI215,             IF(ISTEXT(AI215),INDEX(Z215:AG215,MATCH(AI215,$Z$17:$AG$17,0)),           IF(AH215="INT",_xll.qInterp(O216,R215:Y215,Z215:AG215),       INDEX(Z215:AG215,MATCH(AH215,$Z$17:$AG$17,0))))))</f>
        <v>0</v>
      </c>
      <c r="AK215" s="732">
        <v>20</v>
      </c>
      <c r="AL215" s="721">
        <f t="shared" si="46"/>
        <v>0</v>
      </c>
      <c r="AM215" s="284">
        <f>IF($O216,_xll.qDateYears($O215,$O216,DCC_Leg1_Fixed),0)</f>
        <v>0</v>
      </c>
      <c r="AN215" s="284">
        <f>IF($O216,_xll.qDateYears($O215,$O216,DCC_Leg1_Float),0)</f>
        <v>0</v>
      </c>
      <c r="AP215" s="350">
        <f t="shared" si="52"/>
        <v>0</v>
      </c>
      <c r="AQ215" s="375">
        <f>IF(GenType_1a="Fixed",GenRate_1a%*$AL214*AM214,          IF(GenType_1a="Float",$AL214*(_xll.qGetFwdRate($D$18,$O214,$O215,"T",DCC_Leg1_Float)%+GenRate_1a%%)*$AN214,        IF(GenType_1a="bp (Fixed)",GenRate_1a%%*$AM214*$AL214,   IF(GenType_1a="bp (Float)",GenRate_1a%%*$AL214*$AN214,0))))</f>
        <v>0</v>
      </c>
      <c r="AR215" s="561"/>
      <c r="AT215" s="341">
        <f t="shared" si="42"/>
        <v>0</v>
      </c>
      <c r="AV215" s="356"/>
      <c r="AW215" s="122">
        <v>0</v>
      </c>
      <c r="AX215" s="128">
        <f t="shared" si="47"/>
        <v>0</v>
      </c>
      <c r="AY215" s="357">
        <v>0</v>
      </c>
      <c r="AZ215" s="699">
        <f>IF($AW216=0,0,        _xll.qDateNext($AW215,AZ$17,"M",TRUE,Currency2))</f>
        <v>0</v>
      </c>
      <c r="BA215" s="699">
        <f>IF($AW216=0,0,        _xll.qDateNext($AW215,BA$17,"M",TRUE,Currency2))</f>
        <v>0</v>
      </c>
      <c r="BB215" s="699">
        <f>IF($AW216=0,0,        _xll.qDateNext($AW215,BB$17,"M",TRUE,Currency2))</f>
        <v>0</v>
      </c>
      <c r="BC215" s="699">
        <f>IF($AW216=0,0,        _xll.qDateNext($AW215,BC$17,"M",TRUE,Currency2))</f>
        <v>0</v>
      </c>
      <c r="BD215" s="699">
        <f>IF($AW216=0,0,        _xll.qDateNext($AW215,BD$17,"M",TRUE,Currency2))</f>
        <v>0</v>
      </c>
      <c r="BE215" s="699">
        <f>IF($AW216=0,0,        _xll.qDateNext($AW215,BE$17,"M",TRUE,Currency2))</f>
        <v>0</v>
      </c>
      <c r="BF215" s="699">
        <f>IF($AW216=0,0,        _xll.qDateNext($AW215,BF$17,"M",TRUE,Currency2))</f>
        <v>0</v>
      </c>
      <c r="BG215" s="699">
        <f>IF($AW216=0,0,        _xll.qDateNext($AW215,BG$17,"M",TRUE,Currency2))</f>
        <v>0</v>
      </c>
      <c r="BH215" s="703">
        <v>0</v>
      </c>
      <c r="BI215" s="703">
        <v>0</v>
      </c>
      <c r="BJ215" s="703">
        <v>0</v>
      </c>
      <c r="BK215" s="703">
        <v>0</v>
      </c>
      <c r="BL215" s="703">
        <f t="shared" si="53"/>
        <v>0</v>
      </c>
      <c r="BM215" s="703">
        <f t="shared" si="54"/>
        <v>0</v>
      </c>
      <c r="BN215" s="703">
        <v>0</v>
      </c>
      <c r="BO215" s="703">
        <v>0</v>
      </c>
      <c r="BP215" s="685">
        <v>0</v>
      </c>
      <c r="BQ215" s="667"/>
      <c r="BR215" s="670">
        <f>IF(AW216=0,0,             IF(ISNUMBER(BQ215),BQ215,             IF(ISTEXT(BQ215),INDEX(BH215:BO215,MATCH(BQ215,$BH$17:$BO$17,0)),           IF(BP215="INT",_xll.qInterp(AW216,AZ215:BG215,BH215:BO215),       INDEX(BH215:BO215,MATCH(BP215,$BH$17:$BO$17,0))))))</f>
        <v>0</v>
      </c>
      <c r="BS215" s="731">
        <f t="shared" si="48"/>
        <v>0</v>
      </c>
      <c r="BT215" s="406">
        <f t="shared" si="49"/>
        <v>0</v>
      </c>
      <c r="BU215" s="284">
        <f>IF($AW216,_xll.qDateYears($AW215,$AW216,DCC_Leg2_Fixed),0)</f>
        <v>0</v>
      </c>
      <c r="BV215" s="284">
        <f>IF($AW216,_xll.qDateYears($AW215,$AW216,DCC_Leg2_Float),0)</f>
        <v>0</v>
      </c>
      <c r="BX215" s="350">
        <f t="shared" si="55"/>
        <v>0</v>
      </c>
      <c r="BY215" s="375">
        <f>IF(GenType_2a="Fixed",GenRate_2a%*$BT214*BU214,          IF(GenType_2a="Float",$BT214*(_xll.qGetFwdRate($J$18,$AW214,$AW215,"T",DCC_Leg2_Float)%+GenRate_2a%%)*$BV214,        IF(GenType_2a="bp (Fixed)",GenRate_2a%%*$BU214*$BT214,   IF(GenType_2a="bp (Float)",GenRate_2a%%*$BT214*$BV214,0))))</f>
        <v>0</v>
      </c>
      <c r="BZ215" s="561"/>
      <c r="CB215" s="341">
        <f t="shared" si="43"/>
        <v>0</v>
      </c>
      <c r="CC215" s="563"/>
      <c r="CD215" s="356"/>
      <c r="CE215" s="341">
        <v>0</v>
      </c>
      <c r="CF215" s="563"/>
      <c r="CG215" s="356"/>
    </row>
    <row r="216" spans="15:85">
      <c r="O216" s="122">
        <v>0</v>
      </c>
      <c r="P216" s="128">
        <f t="shared" si="44"/>
        <v>0</v>
      </c>
      <c r="Q216" s="126">
        <v>0</v>
      </c>
      <c r="R216" s="699">
        <f>IF($O217=0,0,        _xll.qDateNext($O216,R$17,"M",TRUE,Currency1))</f>
        <v>0</v>
      </c>
      <c r="S216" s="699">
        <f>IF($O217=0,0,        _xll.qDateNext($O216,S$17,"M",TRUE,Currency1))</f>
        <v>0</v>
      </c>
      <c r="T216" s="699">
        <f>IF($O217=0,0,        _xll.qDateNext($O216,T$17,"M",TRUE,Currency1))</f>
        <v>0</v>
      </c>
      <c r="U216" s="699">
        <f>IF($O217=0,0,        _xll.qDateNext($O216,U$17,"M",TRUE,Currency1))</f>
        <v>0</v>
      </c>
      <c r="V216" s="699">
        <f>IF($O217=0,0,        _xll.qDateNext($O216,V$17,"M",TRUE,Currency1))</f>
        <v>0</v>
      </c>
      <c r="W216" s="699">
        <f>IF($O217=0,0,        _xll.qDateNext($O216,W$17,"M",TRUE,Currency1))</f>
        <v>0</v>
      </c>
      <c r="X216" s="699">
        <f>IF($O217=0,0,        _xll.qDateNext($O216,X$17,"M",TRUE,Currency1))</f>
        <v>0</v>
      </c>
      <c r="Y216" s="699">
        <f>IF($O217=0,0,        _xll.qDateNext($O216,Y$17,"M",TRUE,Currency1))</f>
        <v>0</v>
      </c>
      <c r="Z216" s="703">
        <f>IF($O217=0,0,           IF(FRM,_xll.qGetFwdRate(Z$14,$O216,R216,"T",DCC_Leg1_Float),_xll.qGetFwdRate(Z$14,$O216,$O217,"T",DCC_Leg1_Float)))</f>
        <v>0</v>
      </c>
      <c r="AA216" s="703">
        <f>IF($O217=0,0,           IF(FRM,_xll.qGetFwdRate(AA$14,$O216,S216,"T",DCC_Leg1_Float),_xll.qGetFwdRate(AA$14,$O216,$O217,"T",DCC_Leg1_Float)))</f>
        <v>0</v>
      </c>
      <c r="AB216" s="703">
        <f t="shared" si="45"/>
        <v>0</v>
      </c>
      <c r="AC216" s="703">
        <f>IF($O217=0,0,           IF(FRM,_xll.qGetFwdRate(AC$14,$O216,U216,"T",DCC_Leg1_Float),_xll.qGetFwdRate(AC$14,$O216,$O217,"T",DCC_Leg1_Float)))</f>
        <v>0</v>
      </c>
      <c r="AD216" s="703">
        <f t="shared" si="50"/>
        <v>0</v>
      </c>
      <c r="AE216" s="703">
        <f t="shared" si="51"/>
        <v>0</v>
      </c>
      <c r="AF216" s="703">
        <f>IF($O217=0,0,           IF(FRM,_xll.qGetFwdRate(AF$14,$O216,X216,"T",DCC_Leg1_Float),_xll.qGetFwdRate(AF$14,$O216,$O217,"T",DCC_Leg1_Float)))</f>
        <v>0</v>
      </c>
      <c r="AG216" s="703">
        <f>IF($O217=0,0,           IF(FRM,_xll.qGetFwdRate(AG$14,$O216,Y216,"T",DCC_Leg1_Float),_xll.qGetFwdRate(AG$14,$O216,$O217,"T",DCC_Leg1_Float)))</f>
        <v>0</v>
      </c>
      <c r="AH216" s="685">
        <v>0</v>
      </c>
      <c r="AI216" s="667"/>
      <c r="AJ216" s="670">
        <f>IF(O217=0,0,             IF(ISNUMBER(AI216),AI216,             IF(ISTEXT(AI216),INDEX(Z216:AG216,MATCH(AI216,$Z$17:$AG$17,0)),           IF(AH216="INT",_xll.qInterp(O217,R216:Y216,Z216:AG216),       INDEX(Z216:AG216,MATCH(AH216,$Z$17:$AG$17,0))))))</f>
        <v>0</v>
      </c>
      <c r="AK216" s="732">
        <v>20</v>
      </c>
      <c r="AL216" s="721">
        <f t="shared" si="46"/>
        <v>0</v>
      </c>
      <c r="AM216" s="284">
        <f>IF($O217,_xll.qDateYears($O216,$O217,DCC_Leg1_Fixed),0)</f>
        <v>0</v>
      </c>
      <c r="AN216" s="284">
        <f>IF($O217,_xll.qDateYears($O216,$O217,DCC_Leg1_Float),0)</f>
        <v>0</v>
      </c>
      <c r="AP216" s="350">
        <f t="shared" si="52"/>
        <v>0</v>
      </c>
      <c r="AQ216" s="375">
        <f>IF(GenType_1a="Fixed",GenRate_1a%*$AL215*AM215,          IF(GenType_1a="Float",$AL215*(_xll.qGetFwdRate($D$18,$O215,$O216,"T",DCC_Leg1_Float)%+GenRate_1a%%)*$AN215,        IF(GenType_1a="bp (Fixed)",GenRate_1a%%*$AM215*$AL215,   IF(GenType_1a="bp (Float)",GenRate_1a%%*$AL215*$AN215,0))))</f>
        <v>0</v>
      </c>
      <c r="AR216" s="561"/>
      <c r="AT216" s="341">
        <f t="shared" si="42"/>
        <v>0</v>
      </c>
      <c r="AV216" s="356"/>
      <c r="AW216" s="122">
        <v>0</v>
      </c>
      <c r="AX216" s="128">
        <f t="shared" si="47"/>
        <v>0</v>
      </c>
      <c r="AY216" s="357">
        <v>0</v>
      </c>
      <c r="AZ216" s="699">
        <f>IF($AW217=0,0,        _xll.qDateNext($AW216,AZ$17,"M",TRUE,Currency2))</f>
        <v>0</v>
      </c>
      <c r="BA216" s="699">
        <f>IF($AW217=0,0,        _xll.qDateNext($AW216,BA$17,"M",TRUE,Currency2))</f>
        <v>0</v>
      </c>
      <c r="BB216" s="699">
        <f>IF($AW217=0,0,        _xll.qDateNext($AW216,BB$17,"M",TRUE,Currency2))</f>
        <v>0</v>
      </c>
      <c r="BC216" s="699">
        <f>IF($AW217=0,0,        _xll.qDateNext($AW216,BC$17,"M",TRUE,Currency2))</f>
        <v>0</v>
      </c>
      <c r="BD216" s="699">
        <f>IF($AW217=0,0,        _xll.qDateNext($AW216,BD$17,"M",TRUE,Currency2))</f>
        <v>0</v>
      </c>
      <c r="BE216" s="699">
        <f>IF($AW217=0,0,        _xll.qDateNext($AW216,BE$17,"M",TRUE,Currency2))</f>
        <v>0</v>
      </c>
      <c r="BF216" s="699">
        <f>IF($AW217=0,0,        _xll.qDateNext($AW216,BF$17,"M",TRUE,Currency2))</f>
        <v>0</v>
      </c>
      <c r="BG216" s="699">
        <f>IF($AW217=0,0,        _xll.qDateNext($AW216,BG$17,"M",TRUE,Currency2))</f>
        <v>0</v>
      </c>
      <c r="BH216" s="703">
        <v>0</v>
      </c>
      <c r="BI216" s="703">
        <v>0</v>
      </c>
      <c r="BJ216" s="703">
        <v>0</v>
      </c>
      <c r="BK216" s="703">
        <v>0</v>
      </c>
      <c r="BL216" s="703">
        <f t="shared" si="53"/>
        <v>0</v>
      </c>
      <c r="BM216" s="703">
        <f t="shared" si="54"/>
        <v>0</v>
      </c>
      <c r="BN216" s="703">
        <v>0</v>
      </c>
      <c r="BO216" s="703">
        <v>0</v>
      </c>
      <c r="BP216" s="685">
        <v>0</v>
      </c>
      <c r="BQ216" s="667"/>
      <c r="BR216" s="670">
        <f>IF(AW217=0,0,             IF(ISNUMBER(BQ216),BQ216,             IF(ISTEXT(BQ216),INDEX(BH216:BO216,MATCH(BQ216,$BH$17:$BO$17,0)),           IF(BP216="INT",_xll.qInterp(AW217,AZ216:BG216,BH216:BO216),       INDEX(BH216:BO216,MATCH(BP216,$BH$17:$BO$17,0))))))</f>
        <v>0</v>
      </c>
      <c r="BS216" s="731">
        <f t="shared" si="48"/>
        <v>0</v>
      </c>
      <c r="BT216" s="406">
        <f t="shared" si="49"/>
        <v>0</v>
      </c>
      <c r="BU216" s="284">
        <f>IF($AW217,_xll.qDateYears($AW216,$AW217,DCC_Leg2_Fixed),0)</f>
        <v>0</v>
      </c>
      <c r="BV216" s="284">
        <f>IF($AW217,_xll.qDateYears($AW216,$AW217,DCC_Leg2_Float),0)</f>
        <v>0</v>
      </c>
      <c r="BX216" s="350">
        <f t="shared" si="55"/>
        <v>0</v>
      </c>
      <c r="BY216" s="375">
        <f>IF(GenType_2a="Fixed",GenRate_2a%*$BT215*BU215,          IF(GenType_2a="Float",$BT215*(_xll.qGetFwdRate($J$18,$AW215,$AW216,"T",DCC_Leg2_Float)%+GenRate_2a%%)*$BV215,        IF(GenType_2a="bp (Fixed)",GenRate_2a%%*$BU215*$BT215,   IF(GenType_2a="bp (Float)",GenRate_2a%%*$BT215*$BV215,0))))</f>
        <v>0</v>
      </c>
      <c r="BZ216" s="561"/>
      <c r="CB216" s="341">
        <f t="shared" si="43"/>
        <v>0</v>
      </c>
      <c r="CC216" s="563"/>
      <c r="CD216" s="356"/>
      <c r="CE216" s="341">
        <v>0</v>
      </c>
      <c r="CF216" s="563"/>
      <c r="CG216" s="356"/>
    </row>
    <row r="217" spans="15:85">
      <c r="O217" s="122">
        <v>0</v>
      </c>
      <c r="P217" s="128">
        <f t="shared" si="44"/>
        <v>0</v>
      </c>
      <c r="Q217" s="126">
        <v>0</v>
      </c>
      <c r="R217" s="699">
        <f>IF($O218=0,0,        _xll.qDateNext($O217,R$17,"M",TRUE,Currency1))</f>
        <v>0</v>
      </c>
      <c r="S217" s="699">
        <f>IF($O218=0,0,        _xll.qDateNext($O217,S$17,"M",TRUE,Currency1))</f>
        <v>0</v>
      </c>
      <c r="T217" s="699">
        <f>IF($O218=0,0,        _xll.qDateNext($O217,T$17,"M",TRUE,Currency1))</f>
        <v>0</v>
      </c>
      <c r="U217" s="699">
        <f>IF($O218=0,0,        _xll.qDateNext($O217,U$17,"M",TRUE,Currency1))</f>
        <v>0</v>
      </c>
      <c r="V217" s="699">
        <f>IF($O218=0,0,        _xll.qDateNext($O217,V$17,"M",TRUE,Currency1))</f>
        <v>0</v>
      </c>
      <c r="W217" s="699">
        <f>IF($O218=0,0,        _xll.qDateNext($O217,W$17,"M",TRUE,Currency1))</f>
        <v>0</v>
      </c>
      <c r="X217" s="699">
        <f>IF($O218=0,0,        _xll.qDateNext($O217,X$17,"M",TRUE,Currency1))</f>
        <v>0</v>
      </c>
      <c r="Y217" s="699">
        <f>IF($O218=0,0,        _xll.qDateNext($O217,Y$17,"M",TRUE,Currency1))</f>
        <v>0</v>
      </c>
      <c r="Z217" s="703">
        <f>IF($O218=0,0,           IF(FRM,_xll.qGetFwdRate(Z$14,$O217,R217,"T",DCC_Leg1_Float),_xll.qGetFwdRate(Z$14,$O217,$O218,"T",DCC_Leg1_Float)))</f>
        <v>0</v>
      </c>
      <c r="AA217" s="703">
        <f>IF($O218=0,0,           IF(FRM,_xll.qGetFwdRate(AA$14,$O217,S217,"T",DCC_Leg1_Float),_xll.qGetFwdRate(AA$14,$O217,$O218,"T",DCC_Leg1_Float)))</f>
        <v>0</v>
      </c>
      <c r="AB217" s="703">
        <f t="shared" si="45"/>
        <v>0</v>
      </c>
      <c r="AC217" s="703">
        <f>IF($O218=0,0,           IF(FRM,_xll.qGetFwdRate(AC$14,$O217,U217,"T",DCC_Leg1_Float),_xll.qGetFwdRate(AC$14,$O217,$O218,"T",DCC_Leg1_Float)))</f>
        <v>0</v>
      </c>
      <c r="AD217" s="703">
        <f t="shared" si="50"/>
        <v>0</v>
      </c>
      <c r="AE217" s="703">
        <f t="shared" si="51"/>
        <v>0</v>
      </c>
      <c r="AF217" s="703">
        <f>IF($O218=0,0,           IF(FRM,_xll.qGetFwdRate(AF$14,$O217,X217,"T",DCC_Leg1_Float),_xll.qGetFwdRate(AF$14,$O217,$O218,"T",DCC_Leg1_Float)))</f>
        <v>0</v>
      </c>
      <c r="AG217" s="703">
        <f>IF($O218=0,0,           IF(FRM,_xll.qGetFwdRate(AG$14,$O217,Y217,"T",DCC_Leg1_Float),_xll.qGetFwdRate(AG$14,$O217,$O218,"T",DCC_Leg1_Float)))</f>
        <v>0</v>
      </c>
      <c r="AH217" s="685">
        <v>0</v>
      </c>
      <c r="AI217" s="667"/>
      <c r="AJ217" s="670">
        <f>IF(O218=0,0,             IF(ISNUMBER(AI217),AI217,             IF(ISTEXT(AI217),INDEX(Z217:AG217,MATCH(AI217,$Z$17:$AG$17,0)),           IF(AH217="INT",_xll.qInterp(O218,R217:Y217,Z217:AG217),       INDEX(Z217:AG217,MATCH(AH217,$Z$17:$AG$17,0))))))</f>
        <v>0</v>
      </c>
      <c r="AK217" s="732">
        <v>20</v>
      </c>
      <c r="AL217" s="721">
        <f t="shared" si="46"/>
        <v>0</v>
      </c>
      <c r="AM217" s="284">
        <f>IF($O218,_xll.qDateYears($O217,$O218,DCC_Leg1_Fixed),0)</f>
        <v>0</v>
      </c>
      <c r="AN217" s="284">
        <f>IF($O218,_xll.qDateYears($O217,$O218,DCC_Leg1_Float),0)</f>
        <v>0</v>
      </c>
      <c r="AP217" s="350">
        <f t="shared" si="52"/>
        <v>0</v>
      </c>
      <c r="AQ217" s="375">
        <f>IF(GenType_1a="Fixed",GenRate_1a%*$AL216*AM216,          IF(GenType_1a="Float",$AL216*(_xll.qGetFwdRate($D$18,$O216,$O217,"T",DCC_Leg1_Float)%+GenRate_1a%%)*$AN216,        IF(GenType_1a="bp (Fixed)",GenRate_1a%%*$AM216*$AL216,   IF(GenType_1a="bp (Float)",GenRate_1a%%*$AL216*$AN216,0))))</f>
        <v>0</v>
      </c>
      <c r="AR217" s="561"/>
      <c r="AT217" s="341">
        <f t="shared" si="42"/>
        <v>0</v>
      </c>
      <c r="AV217" s="356"/>
      <c r="AW217" s="122">
        <v>0</v>
      </c>
      <c r="AX217" s="128">
        <f t="shared" si="47"/>
        <v>0</v>
      </c>
      <c r="AY217" s="357">
        <v>0</v>
      </c>
      <c r="AZ217" s="699">
        <f>IF($AW218=0,0,        _xll.qDateNext($AW217,AZ$17,"M",TRUE,Currency2))</f>
        <v>0</v>
      </c>
      <c r="BA217" s="699">
        <f>IF($AW218=0,0,        _xll.qDateNext($AW217,BA$17,"M",TRUE,Currency2))</f>
        <v>0</v>
      </c>
      <c r="BB217" s="699">
        <f>IF($AW218=0,0,        _xll.qDateNext($AW217,BB$17,"M",TRUE,Currency2))</f>
        <v>0</v>
      </c>
      <c r="BC217" s="699">
        <f>IF($AW218=0,0,        _xll.qDateNext($AW217,BC$17,"M",TRUE,Currency2))</f>
        <v>0</v>
      </c>
      <c r="BD217" s="699">
        <f>IF($AW218=0,0,        _xll.qDateNext($AW217,BD$17,"M",TRUE,Currency2))</f>
        <v>0</v>
      </c>
      <c r="BE217" s="699">
        <f>IF($AW218=0,0,        _xll.qDateNext($AW217,BE$17,"M",TRUE,Currency2))</f>
        <v>0</v>
      </c>
      <c r="BF217" s="699">
        <f>IF($AW218=0,0,        _xll.qDateNext($AW217,BF$17,"M",TRUE,Currency2))</f>
        <v>0</v>
      </c>
      <c r="BG217" s="699">
        <f>IF($AW218=0,0,        _xll.qDateNext($AW217,BG$17,"M",TRUE,Currency2))</f>
        <v>0</v>
      </c>
      <c r="BH217" s="703">
        <v>0</v>
      </c>
      <c r="BI217" s="703">
        <v>0</v>
      </c>
      <c r="BJ217" s="703">
        <v>0</v>
      </c>
      <c r="BK217" s="703">
        <v>0</v>
      </c>
      <c r="BL217" s="703">
        <f t="shared" si="53"/>
        <v>0</v>
      </c>
      <c r="BM217" s="703">
        <f t="shared" si="54"/>
        <v>0</v>
      </c>
      <c r="BN217" s="703">
        <v>0</v>
      </c>
      <c r="BO217" s="703">
        <v>0</v>
      </c>
      <c r="BP217" s="685">
        <v>0</v>
      </c>
      <c r="BQ217" s="667"/>
      <c r="BR217" s="670">
        <f>IF(AW218=0,0,             IF(ISNUMBER(BQ217),BQ217,             IF(ISTEXT(BQ217),INDEX(BH217:BO217,MATCH(BQ217,$BH$17:$BO$17,0)),           IF(BP217="INT",_xll.qInterp(AW218,AZ217:BG217,BH217:BO217),       INDEX(BH217:BO217,MATCH(BP217,$BH$17:$BO$17,0))))))</f>
        <v>0</v>
      </c>
      <c r="BS217" s="731">
        <f t="shared" si="48"/>
        <v>0</v>
      </c>
      <c r="BT217" s="406">
        <f t="shared" si="49"/>
        <v>0</v>
      </c>
      <c r="BU217" s="284">
        <f>IF($AW218,_xll.qDateYears($AW217,$AW218,DCC_Leg2_Fixed),0)</f>
        <v>0</v>
      </c>
      <c r="BV217" s="284">
        <f>IF($AW218,_xll.qDateYears($AW217,$AW218,DCC_Leg2_Float),0)</f>
        <v>0</v>
      </c>
      <c r="BX217" s="350">
        <f t="shared" si="55"/>
        <v>0</v>
      </c>
      <c r="BY217" s="375">
        <f>IF(GenType_2a="Fixed",GenRate_2a%*$BT216*BU216,          IF(GenType_2a="Float",$BT216*(_xll.qGetFwdRate($J$18,$AW216,$AW217,"T",DCC_Leg2_Float)%+GenRate_2a%%)*$BV216,        IF(GenType_2a="bp (Fixed)",GenRate_2a%%*$BU216*$BT216,   IF(GenType_2a="bp (Float)",GenRate_2a%%*$BT216*$BV216,0))))</f>
        <v>0</v>
      </c>
      <c r="BZ217" s="561"/>
      <c r="CB217" s="341">
        <f t="shared" si="43"/>
        <v>0</v>
      </c>
      <c r="CC217" s="563"/>
      <c r="CD217" s="356"/>
      <c r="CE217" s="341">
        <v>0</v>
      </c>
      <c r="CF217" s="563"/>
      <c r="CG217" s="356"/>
    </row>
    <row r="218" spans="15:85">
      <c r="O218" s="122">
        <v>0</v>
      </c>
      <c r="P218" s="128">
        <f t="shared" si="44"/>
        <v>0</v>
      </c>
      <c r="Q218" s="126">
        <v>0</v>
      </c>
      <c r="R218" s="699">
        <f>IF($O219=0,0,        _xll.qDateNext($O218,R$17,"M",TRUE,Currency1))</f>
        <v>0</v>
      </c>
      <c r="S218" s="699">
        <f>IF($O219=0,0,        _xll.qDateNext($O218,S$17,"M",TRUE,Currency1))</f>
        <v>0</v>
      </c>
      <c r="T218" s="699">
        <f>IF($O219=0,0,        _xll.qDateNext($O218,T$17,"M",TRUE,Currency1))</f>
        <v>0</v>
      </c>
      <c r="U218" s="699">
        <f>IF($O219=0,0,        _xll.qDateNext($O218,U$17,"M",TRUE,Currency1))</f>
        <v>0</v>
      </c>
      <c r="V218" s="699">
        <f>IF($O219=0,0,        _xll.qDateNext($O218,V$17,"M",TRUE,Currency1))</f>
        <v>0</v>
      </c>
      <c r="W218" s="699">
        <f>IF($O219=0,0,        _xll.qDateNext($O218,W$17,"M",TRUE,Currency1))</f>
        <v>0</v>
      </c>
      <c r="X218" s="699">
        <f>IF($O219=0,0,        _xll.qDateNext($O218,X$17,"M",TRUE,Currency1))</f>
        <v>0</v>
      </c>
      <c r="Y218" s="699">
        <f>IF($O219=0,0,        _xll.qDateNext($O218,Y$17,"M",TRUE,Currency1))</f>
        <v>0</v>
      </c>
      <c r="Z218" s="703">
        <f>IF($O219=0,0,           IF(FRM,_xll.qGetFwdRate(Z$14,$O218,R218,"T",DCC_Leg1_Float),_xll.qGetFwdRate(Z$14,$O218,$O219,"T",DCC_Leg1_Float)))</f>
        <v>0</v>
      </c>
      <c r="AA218" s="703">
        <f>IF($O219=0,0,           IF(FRM,_xll.qGetFwdRate(AA$14,$O218,S218,"T",DCC_Leg1_Float),_xll.qGetFwdRate(AA$14,$O218,$O219,"T",DCC_Leg1_Float)))</f>
        <v>0</v>
      </c>
      <c r="AB218" s="703">
        <f t="shared" si="45"/>
        <v>0</v>
      </c>
      <c r="AC218" s="703">
        <f>IF($O219=0,0,           IF(FRM,_xll.qGetFwdRate(AC$14,$O218,U218,"T",DCC_Leg1_Float),_xll.qGetFwdRate(AC$14,$O218,$O219,"T",DCC_Leg1_Float)))</f>
        <v>0</v>
      </c>
      <c r="AD218" s="703">
        <f t="shared" si="50"/>
        <v>0</v>
      </c>
      <c r="AE218" s="703">
        <f t="shared" si="51"/>
        <v>0</v>
      </c>
      <c r="AF218" s="703">
        <f>IF($O219=0,0,           IF(FRM,_xll.qGetFwdRate(AF$14,$O218,X218,"T",DCC_Leg1_Float),_xll.qGetFwdRate(AF$14,$O218,$O219,"T",DCC_Leg1_Float)))</f>
        <v>0</v>
      </c>
      <c r="AG218" s="703">
        <f>IF($O219=0,0,           IF(FRM,_xll.qGetFwdRate(AG$14,$O218,Y218,"T",DCC_Leg1_Float),_xll.qGetFwdRate(AG$14,$O218,$O219,"T",DCC_Leg1_Float)))</f>
        <v>0</v>
      </c>
      <c r="AH218" s="685">
        <v>0</v>
      </c>
      <c r="AI218" s="667"/>
      <c r="AJ218" s="670">
        <f>IF(O219=0,0,             IF(ISNUMBER(AI218),AI218,             IF(ISTEXT(AI218),INDEX(Z218:AG218,MATCH(AI218,$Z$17:$AG$17,0)),           IF(AH218="INT",_xll.qInterp(O219,R218:Y218,Z218:AG218),       INDEX(Z218:AG218,MATCH(AH218,$Z$17:$AG$17,0))))))</f>
        <v>0</v>
      </c>
      <c r="AK218" s="732">
        <v>20</v>
      </c>
      <c r="AL218" s="721">
        <f t="shared" si="46"/>
        <v>0</v>
      </c>
      <c r="AM218" s="284">
        <f>IF($O219,_xll.qDateYears($O218,$O219,DCC_Leg1_Fixed),0)</f>
        <v>0</v>
      </c>
      <c r="AN218" s="284">
        <f>IF($O219,_xll.qDateYears($O218,$O219,DCC_Leg1_Float),0)</f>
        <v>0</v>
      </c>
      <c r="AP218" s="350">
        <f t="shared" si="52"/>
        <v>0</v>
      </c>
      <c r="AQ218" s="375">
        <f>IF(GenType_1a="Fixed",GenRate_1a%*$AL217*AM217,          IF(GenType_1a="Float",$AL217*(_xll.qGetFwdRate($D$18,$O217,$O218,"T",DCC_Leg1_Float)%+GenRate_1a%%)*$AN217,        IF(GenType_1a="bp (Fixed)",GenRate_1a%%*$AM217*$AL217,   IF(GenType_1a="bp (Float)",GenRate_1a%%*$AL217*$AN217,0))))</f>
        <v>0</v>
      </c>
      <c r="AR218" s="561"/>
      <c r="AT218" s="341">
        <f t="shared" si="42"/>
        <v>0</v>
      </c>
      <c r="AV218" s="356"/>
      <c r="AW218" s="122">
        <v>0</v>
      </c>
      <c r="AX218" s="128">
        <f t="shared" si="47"/>
        <v>0</v>
      </c>
      <c r="AY218" s="357">
        <v>0</v>
      </c>
      <c r="AZ218" s="699">
        <f>IF($AW219=0,0,        _xll.qDateNext($AW218,AZ$17,"M",TRUE,Currency2))</f>
        <v>0</v>
      </c>
      <c r="BA218" s="699">
        <f>IF($AW219=0,0,        _xll.qDateNext($AW218,BA$17,"M",TRUE,Currency2))</f>
        <v>0</v>
      </c>
      <c r="BB218" s="699">
        <f>IF($AW219=0,0,        _xll.qDateNext($AW218,BB$17,"M",TRUE,Currency2))</f>
        <v>0</v>
      </c>
      <c r="BC218" s="699">
        <f>IF($AW219=0,0,        _xll.qDateNext($AW218,BC$17,"M",TRUE,Currency2))</f>
        <v>0</v>
      </c>
      <c r="BD218" s="699">
        <f>IF($AW219=0,0,        _xll.qDateNext($AW218,BD$17,"M",TRUE,Currency2))</f>
        <v>0</v>
      </c>
      <c r="BE218" s="699">
        <f>IF($AW219=0,0,        _xll.qDateNext($AW218,BE$17,"M",TRUE,Currency2))</f>
        <v>0</v>
      </c>
      <c r="BF218" s="699">
        <f>IF($AW219=0,0,        _xll.qDateNext($AW218,BF$17,"M",TRUE,Currency2))</f>
        <v>0</v>
      </c>
      <c r="BG218" s="699">
        <f>IF($AW219=0,0,        _xll.qDateNext($AW218,BG$17,"M",TRUE,Currency2))</f>
        <v>0</v>
      </c>
      <c r="BH218" s="703">
        <v>0</v>
      </c>
      <c r="BI218" s="703">
        <v>0</v>
      </c>
      <c r="BJ218" s="703">
        <v>0</v>
      </c>
      <c r="BK218" s="703">
        <v>0</v>
      </c>
      <c r="BL218" s="703">
        <f t="shared" si="53"/>
        <v>0</v>
      </c>
      <c r="BM218" s="703">
        <f t="shared" si="54"/>
        <v>0</v>
      </c>
      <c r="BN218" s="703">
        <v>0</v>
      </c>
      <c r="BO218" s="703">
        <v>0</v>
      </c>
      <c r="BP218" s="685">
        <v>0</v>
      </c>
      <c r="BQ218" s="667"/>
      <c r="BR218" s="670">
        <f>IF(AW219=0,0,             IF(ISNUMBER(BQ218),BQ218,             IF(ISTEXT(BQ218),INDEX(BH218:BO218,MATCH(BQ218,$BH$17:$BO$17,0)),           IF(BP218="INT",_xll.qInterp(AW219,AZ218:BG218,BH218:BO218),       INDEX(BH218:BO218,MATCH(BP218,$BH$17:$BO$17,0))))))</f>
        <v>0</v>
      </c>
      <c r="BS218" s="731">
        <f t="shared" si="48"/>
        <v>0</v>
      </c>
      <c r="BT218" s="406">
        <f t="shared" si="49"/>
        <v>0</v>
      </c>
      <c r="BU218" s="284">
        <f>IF($AW219,_xll.qDateYears($AW218,$AW219,DCC_Leg2_Fixed),0)</f>
        <v>0</v>
      </c>
      <c r="BV218" s="284">
        <f>IF($AW219,_xll.qDateYears($AW218,$AW219,DCC_Leg2_Float),0)</f>
        <v>0</v>
      </c>
      <c r="BX218" s="350">
        <f t="shared" si="55"/>
        <v>0</v>
      </c>
      <c r="BY218" s="375">
        <f>IF(GenType_2a="Fixed",GenRate_2a%*$BT217*BU217,          IF(GenType_2a="Float",$BT217*(_xll.qGetFwdRate($J$18,$AW217,$AW218,"T",DCC_Leg2_Float)%+GenRate_2a%%)*$BV217,        IF(GenType_2a="bp (Fixed)",GenRate_2a%%*$BU217*$BT217,   IF(GenType_2a="bp (Float)",GenRate_2a%%*$BT217*$BV217,0))))</f>
        <v>0</v>
      </c>
      <c r="BZ218" s="561"/>
      <c r="CB218" s="341">
        <f t="shared" si="43"/>
        <v>0</v>
      </c>
      <c r="CC218" s="563"/>
      <c r="CD218" s="356"/>
      <c r="CE218" s="341">
        <v>0</v>
      </c>
      <c r="CF218" s="563"/>
      <c r="CG218" s="356"/>
    </row>
    <row r="219" spans="15:85">
      <c r="O219" s="122">
        <v>0</v>
      </c>
      <c r="P219" s="128">
        <f t="shared" si="44"/>
        <v>0</v>
      </c>
      <c r="Q219" s="126">
        <v>0</v>
      </c>
      <c r="R219" s="699">
        <f>IF($O220=0,0,        _xll.qDateNext($O219,R$17,"M",TRUE,Currency1))</f>
        <v>0</v>
      </c>
      <c r="S219" s="699">
        <f>IF($O220=0,0,        _xll.qDateNext($O219,S$17,"M",TRUE,Currency1))</f>
        <v>0</v>
      </c>
      <c r="T219" s="699">
        <f>IF($O220=0,0,        _xll.qDateNext($O219,T$17,"M",TRUE,Currency1))</f>
        <v>0</v>
      </c>
      <c r="U219" s="699">
        <f>IF($O220=0,0,        _xll.qDateNext($O219,U$17,"M",TRUE,Currency1))</f>
        <v>0</v>
      </c>
      <c r="V219" s="699">
        <f>IF($O220=0,0,        _xll.qDateNext($O219,V$17,"M",TRUE,Currency1))</f>
        <v>0</v>
      </c>
      <c r="W219" s="699">
        <f>IF($O220=0,0,        _xll.qDateNext($O219,W$17,"M",TRUE,Currency1))</f>
        <v>0</v>
      </c>
      <c r="X219" s="699">
        <f>IF($O220=0,0,        _xll.qDateNext($O219,X$17,"M",TRUE,Currency1))</f>
        <v>0</v>
      </c>
      <c r="Y219" s="699">
        <f>IF($O220=0,0,        _xll.qDateNext($O219,Y$17,"M",TRUE,Currency1))</f>
        <v>0</v>
      </c>
      <c r="Z219" s="703">
        <f>IF($O220=0,0,           IF(FRM,_xll.qGetFwdRate(Z$14,$O219,R219,"T",DCC_Leg1_Float),_xll.qGetFwdRate(Z$14,$O219,$O220,"T",DCC_Leg1_Float)))</f>
        <v>0</v>
      </c>
      <c r="AA219" s="703">
        <f>IF($O220=0,0,           IF(FRM,_xll.qGetFwdRate(AA$14,$O219,S219,"T",DCC_Leg1_Float),_xll.qGetFwdRate(AA$14,$O219,$O220,"T",DCC_Leg1_Float)))</f>
        <v>0</v>
      </c>
      <c r="AB219" s="703">
        <f t="shared" si="45"/>
        <v>0</v>
      </c>
      <c r="AC219" s="703">
        <f>IF($O220=0,0,           IF(FRM,_xll.qGetFwdRate(AC$14,$O219,U219,"T",DCC_Leg1_Float),_xll.qGetFwdRate(AC$14,$O219,$O220,"T",DCC_Leg1_Float)))</f>
        <v>0</v>
      </c>
      <c r="AD219" s="703">
        <f t="shared" si="50"/>
        <v>0</v>
      </c>
      <c r="AE219" s="703">
        <f t="shared" si="51"/>
        <v>0</v>
      </c>
      <c r="AF219" s="703">
        <f>IF($O220=0,0,           IF(FRM,_xll.qGetFwdRate(AF$14,$O219,X219,"T",DCC_Leg1_Float),_xll.qGetFwdRate(AF$14,$O219,$O220,"T",DCC_Leg1_Float)))</f>
        <v>0</v>
      </c>
      <c r="AG219" s="703">
        <f>IF($O220=0,0,           IF(FRM,_xll.qGetFwdRate(AG$14,$O219,Y219,"T",DCC_Leg1_Float),_xll.qGetFwdRate(AG$14,$O219,$O220,"T",DCC_Leg1_Float)))</f>
        <v>0</v>
      </c>
      <c r="AH219" s="685">
        <v>0</v>
      </c>
      <c r="AI219" s="667"/>
      <c r="AJ219" s="670">
        <f>IF(O220=0,0,             IF(ISNUMBER(AI219),AI219,             IF(ISTEXT(AI219),INDEX(Z219:AG219,MATCH(AI219,$Z$17:$AG$17,0)),           IF(AH219="INT",_xll.qInterp(O220,R219:Y219,Z219:AG219),       INDEX(Z219:AG219,MATCH(AH219,$Z$17:$AG$17,0))))))</f>
        <v>0</v>
      </c>
      <c r="AK219" s="732">
        <v>20</v>
      </c>
      <c r="AL219" s="721">
        <f t="shared" si="46"/>
        <v>0</v>
      </c>
      <c r="AM219" s="284">
        <f>IF($O220,_xll.qDateYears($O219,$O220,DCC_Leg1_Fixed),0)</f>
        <v>0</v>
      </c>
      <c r="AN219" s="284">
        <f>IF($O220,_xll.qDateYears($O219,$O220,DCC_Leg1_Float),0)</f>
        <v>0</v>
      </c>
      <c r="AP219" s="350">
        <f t="shared" si="52"/>
        <v>0</v>
      </c>
      <c r="AQ219" s="375">
        <f>IF(GenType_1a="Fixed",GenRate_1a%*$AL218*AM218,          IF(GenType_1a="Float",$AL218*(_xll.qGetFwdRate($D$18,$O218,$O219,"T",DCC_Leg1_Float)%+GenRate_1a%%)*$AN218,        IF(GenType_1a="bp (Fixed)",GenRate_1a%%*$AM218*$AL218,   IF(GenType_1a="bp (Float)",GenRate_1a%%*$AL218*$AN218,0))))</f>
        <v>0</v>
      </c>
      <c r="AR219" s="561"/>
      <c r="AT219" s="341">
        <f t="shared" si="42"/>
        <v>0</v>
      </c>
      <c r="AV219" s="356"/>
      <c r="AW219" s="122">
        <v>0</v>
      </c>
      <c r="AX219" s="128">
        <f t="shared" si="47"/>
        <v>0</v>
      </c>
      <c r="AY219" s="357">
        <v>0</v>
      </c>
      <c r="AZ219" s="699">
        <f>IF($AW220=0,0,        _xll.qDateNext($AW219,AZ$17,"M",TRUE,Currency2))</f>
        <v>0</v>
      </c>
      <c r="BA219" s="699">
        <f>IF($AW220=0,0,        _xll.qDateNext($AW219,BA$17,"M",TRUE,Currency2))</f>
        <v>0</v>
      </c>
      <c r="BB219" s="699">
        <f>IF($AW220=0,0,        _xll.qDateNext($AW219,BB$17,"M",TRUE,Currency2))</f>
        <v>0</v>
      </c>
      <c r="BC219" s="699">
        <f>IF($AW220=0,0,        _xll.qDateNext($AW219,BC$17,"M",TRUE,Currency2))</f>
        <v>0</v>
      </c>
      <c r="BD219" s="699">
        <f>IF($AW220=0,0,        _xll.qDateNext($AW219,BD$17,"M",TRUE,Currency2))</f>
        <v>0</v>
      </c>
      <c r="BE219" s="699">
        <f>IF($AW220=0,0,        _xll.qDateNext($AW219,BE$17,"M",TRUE,Currency2))</f>
        <v>0</v>
      </c>
      <c r="BF219" s="699">
        <f>IF($AW220=0,0,        _xll.qDateNext($AW219,BF$17,"M",TRUE,Currency2))</f>
        <v>0</v>
      </c>
      <c r="BG219" s="699">
        <f>IF($AW220=0,0,        _xll.qDateNext($AW219,BG$17,"M",TRUE,Currency2))</f>
        <v>0</v>
      </c>
      <c r="BH219" s="703">
        <v>0</v>
      </c>
      <c r="BI219" s="703">
        <v>0</v>
      </c>
      <c r="BJ219" s="703">
        <v>0</v>
      </c>
      <c r="BK219" s="703">
        <v>0</v>
      </c>
      <c r="BL219" s="703">
        <f t="shared" si="53"/>
        <v>0</v>
      </c>
      <c r="BM219" s="703">
        <f t="shared" si="54"/>
        <v>0</v>
      </c>
      <c r="BN219" s="703">
        <v>0</v>
      </c>
      <c r="BO219" s="703">
        <v>0</v>
      </c>
      <c r="BP219" s="685">
        <v>0</v>
      </c>
      <c r="BQ219" s="667"/>
      <c r="BR219" s="670">
        <f>IF(AW220=0,0,             IF(ISNUMBER(BQ219),BQ219,             IF(ISTEXT(BQ219),INDEX(BH219:BO219,MATCH(BQ219,$BH$17:$BO$17,0)),           IF(BP219="INT",_xll.qInterp(AW220,AZ219:BG219,BH219:BO219),       INDEX(BH219:BO219,MATCH(BP219,$BH$17:$BO$17,0))))))</f>
        <v>0</v>
      </c>
      <c r="BS219" s="731">
        <f t="shared" si="48"/>
        <v>0</v>
      </c>
      <c r="BT219" s="406">
        <f t="shared" si="49"/>
        <v>0</v>
      </c>
      <c r="BU219" s="284">
        <f>IF($AW220,_xll.qDateYears($AW219,$AW220,DCC_Leg2_Fixed),0)</f>
        <v>0</v>
      </c>
      <c r="BV219" s="284">
        <f>IF($AW220,_xll.qDateYears($AW219,$AW220,DCC_Leg2_Float),0)</f>
        <v>0</v>
      </c>
      <c r="BX219" s="350">
        <f t="shared" si="55"/>
        <v>0</v>
      </c>
      <c r="BY219" s="375">
        <f>IF(GenType_2a="Fixed",GenRate_2a%*$BT218*BU218,          IF(GenType_2a="Float",$BT218*(_xll.qGetFwdRate($J$18,$AW218,$AW219,"T",DCC_Leg2_Float)%+GenRate_2a%%)*$BV218,        IF(GenType_2a="bp (Fixed)",GenRate_2a%%*$BU218*$BT218,   IF(GenType_2a="bp (Float)",GenRate_2a%%*$BT218*$BV218,0))))</f>
        <v>0</v>
      </c>
      <c r="BZ219" s="561"/>
      <c r="CB219" s="341">
        <f t="shared" si="43"/>
        <v>0</v>
      </c>
      <c r="CC219" s="563"/>
      <c r="CD219" s="356"/>
      <c r="CE219" s="341">
        <v>0</v>
      </c>
      <c r="CF219" s="563"/>
      <c r="CG219" s="356"/>
    </row>
    <row r="220" spans="15:85">
      <c r="O220" s="122">
        <v>0</v>
      </c>
      <c r="P220" s="128">
        <f t="shared" si="44"/>
        <v>0</v>
      </c>
      <c r="Q220" s="126">
        <v>0</v>
      </c>
      <c r="R220" s="699">
        <f>IF($O221=0,0,        _xll.qDateNext($O220,R$17,"M",TRUE,Currency1))</f>
        <v>0</v>
      </c>
      <c r="S220" s="699">
        <f>IF($O221=0,0,        _xll.qDateNext($O220,S$17,"M",TRUE,Currency1))</f>
        <v>0</v>
      </c>
      <c r="T220" s="699">
        <f>IF($O221=0,0,        _xll.qDateNext($O220,T$17,"M",TRUE,Currency1))</f>
        <v>0</v>
      </c>
      <c r="U220" s="699">
        <f>IF($O221=0,0,        _xll.qDateNext($O220,U$17,"M",TRUE,Currency1))</f>
        <v>0</v>
      </c>
      <c r="V220" s="699">
        <f>IF($O221=0,0,        _xll.qDateNext($O220,V$17,"M",TRUE,Currency1))</f>
        <v>0</v>
      </c>
      <c r="W220" s="699">
        <f>IF($O221=0,0,        _xll.qDateNext($O220,W$17,"M",TRUE,Currency1))</f>
        <v>0</v>
      </c>
      <c r="X220" s="699">
        <f>IF($O221=0,0,        _xll.qDateNext($O220,X$17,"M",TRUE,Currency1))</f>
        <v>0</v>
      </c>
      <c r="Y220" s="699">
        <f>IF($O221=0,0,        _xll.qDateNext($O220,Y$17,"M",TRUE,Currency1))</f>
        <v>0</v>
      </c>
      <c r="Z220" s="703">
        <f>IF($O221=0,0,           IF(FRM,_xll.qGetFwdRate(Z$14,$O220,R220,"T",DCC_Leg1_Float),_xll.qGetFwdRate(Z$14,$O220,$O221,"T",DCC_Leg1_Float)))</f>
        <v>0</v>
      </c>
      <c r="AA220" s="703">
        <f>IF($O221=0,0,           IF(FRM,_xll.qGetFwdRate(AA$14,$O220,S220,"T",DCC_Leg1_Float),_xll.qGetFwdRate(AA$14,$O220,$O221,"T",DCC_Leg1_Float)))</f>
        <v>0</v>
      </c>
      <c r="AB220" s="703">
        <f t="shared" si="45"/>
        <v>0</v>
      </c>
      <c r="AC220" s="703">
        <f>IF($O221=0,0,           IF(FRM,_xll.qGetFwdRate(AC$14,$O220,U220,"T",DCC_Leg1_Float),_xll.qGetFwdRate(AC$14,$O220,$O221,"T",DCC_Leg1_Float)))</f>
        <v>0</v>
      </c>
      <c r="AD220" s="703">
        <f t="shared" si="50"/>
        <v>0</v>
      </c>
      <c r="AE220" s="703">
        <f t="shared" si="51"/>
        <v>0</v>
      </c>
      <c r="AF220" s="703">
        <f>IF($O221=0,0,           IF(FRM,_xll.qGetFwdRate(AF$14,$O220,X220,"T",DCC_Leg1_Float),_xll.qGetFwdRate(AF$14,$O220,$O221,"T",DCC_Leg1_Float)))</f>
        <v>0</v>
      </c>
      <c r="AG220" s="703">
        <f>IF($O221=0,0,           IF(FRM,_xll.qGetFwdRate(AG$14,$O220,Y220,"T",DCC_Leg1_Float),_xll.qGetFwdRate(AG$14,$O220,$O221,"T",DCC_Leg1_Float)))</f>
        <v>0</v>
      </c>
      <c r="AH220" s="685">
        <v>0</v>
      </c>
      <c r="AI220" s="667"/>
      <c r="AJ220" s="670">
        <f>IF(O221=0,0,             IF(ISNUMBER(AI220),AI220,             IF(ISTEXT(AI220),INDEX(Z220:AG220,MATCH(AI220,$Z$17:$AG$17,0)),           IF(AH220="INT",_xll.qInterp(O221,R220:Y220,Z220:AG220),       INDEX(Z220:AG220,MATCH(AH220,$Z$17:$AG$17,0))))))</f>
        <v>0</v>
      </c>
      <c r="AK220" s="732">
        <v>20</v>
      </c>
      <c r="AL220" s="721">
        <f t="shared" si="46"/>
        <v>0</v>
      </c>
      <c r="AM220" s="284">
        <f>IF($O221,_xll.qDateYears($O220,$O221,DCC_Leg1_Fixed),0)</f>
        <v>0</v>
      </c>
      <c r="AN220" s="284">
        <f>IF($O221,_xll.qDateYears($O220,$O221,DCC_Leg1_Float),0)</f>
        <v>0</v>
      </c>
      <c r="AP220" s="350">
        <f t="shared" si="52"/>
        <v>0</v>
      </c>
      <c r="AQ220" s="375">
        <f>IF(GenType_1a="Fixed",GenRate_1a%*$AL219*AM219,          IF(GenType_1a="Float",$AL219*(_xll.qGetFwdRate($D$18,$O219,$O220,"T",DCC_Leg1_Float)%+GenRate_1a%%)*$AN219,        IF(GenType_1a="bp (Fixed)",GenRate_1a%%*$AM219*$AL219,   IF(GenType_1a="bp (Float)",GenRate_1a%%*$AL219*$AN219,0))))</f>
        <v>0</v>
      </c>
      <c r="AR220" s="561"/>
      <c r="AT220" s="341">
        <f t="shared" si="42"/>
        <v>0</v>
      </c>
      <c r="AV220" s="356"/>
      <c r="AW220" s="122">
        <v>0</v>
      </c>
      <c r="AX220" s="128">
        <f t="shared" si="47"/>
        <v>0</v>
      </c>
      <c r="AY220" s="357">
        <v>0</v>
      </c>
      <c r="AZ220" s="699">
        <f>IF($AW221=0,0,        _xll.qDateNext($AW220,AZ$17,"M",TRUE,Currency2))</f>
        <v>0</v>
      </c>
      <c r="BA220" s="699">
        <f>IF($AW221=0,0,        _xll.qDateNext($AW220,BA$17,"M",TRUE,Currency2))</f>
        <v>0</v>
      </c>
      <c r="BB220" s="699">
        <f>IF($AW221=0,0,        _xll.qDateNext($AW220,BB$17,"M",TRUE,Currency2))</f>
        <v>0</v>
      </c>
      <c r="BC220" s="699">
        <f>IF($AW221=0,0,        _xll.qDateNext($AW220,BC$17,"M",TRUE,Currency2))</f>
        <v>0</v>
      </c>
      <c r="BD220" s="699">
        <f>IF($AW221=0,0,        _xll.qDateNext($AW220,BD$17,"M",TRUE,Currency2))</f>
        <v>0</v>
      </c>
      <c r="BE220" s="699">
        <f>IF($AW221=0,0,        _xll.qDateNext($AW220,BE$17,"M",TRUE,Currency2))</f>
        <v>0</v>
      </c>
      <c r="BF220" s="699">
        <f>IF($AW221=0,0,        _xll.qDateNext($AW220,BF$17,"M",TRUE,Currency2))</f>
        <v>0</v>
      </c>
      <c r="BG220" s="699">
        <f>IF($AW221=0,0,        _xll.qDateNext($AW220,BG$17,"M",TRUE,Currency2))</f>
        <v>0</v>
      </c>
      <c r="BH220" s="703">
        <v>0</v>
      </c>
      <c r="BI220" s="703">
        <v>0</v>
      </c>
      <c r="BJ220" s="703">
        <v>0</v>
      </c>
      <c r="BK220" s="703">
        <v>0</v>
      </c>
      <c r="BL220" s="703">
        <f t="shared" si="53"/>
        <v>0</v>
      </c>
      <c r="BM220" s="703">
        <f t="shared" si="54"/>
        <v>0</v>
      </c>
      <c r="BN220" s="703">
        <v>0</v>
      </c>
      <c r="BO220" s="703">
        <v>0</v>
      </c>
      <c r="BP220" s="685">
        <v>0</v>
      </c>
      <c r="BQ220" s="667"/>
      <c r="BR220" s="670">
        <f>IF(AW221=0,0,             IF(ISNUMBER(BQ220),BQ220,             IF(ISTEXT(BQ220),INDEX(BH220:BO220,MATCH(BQ220,$BH$17:$BO$17,0)),           IF(BP220="INT",_xll.qInterp(AW221,AZ220:BG220,BH220:BO220),       INDEX(BH220:BO220,MATCH(BP220,$BH$17:$BO$17,0))))))</f>
        <v>0</v>
      </c>
      <c r="BS220" s="731">
        <f t="shared" si="48"/>
        <v>0</v>
      </c>
      <c r="BT220" s="406">
        <f t="shared" si="49"/>
        <v>0</v>
      </c>
      <c r="BU220" s="284">
        <f>IF($AW221,_xll.qDateYears($AW220,$AW221,DCC_Leg2_Fixed),0)</f>
        <v>0</v>
      </c>
      <c r="BV220" s="284">
        <f>IF($AW221,_xll.qDateYears($AW220,$AW221,DCC_Leg2_Float),0)</f>
        <v>0</v>
      </c>
      <c r="BX220" s="350">
        <f t="shared" si="55"/>
        <v>0</v>
      </c>
      <c r="BY220" s="375">
        <f>IF(GenType_2a="Fixed",GenRate_2a%*$BT219*BU219,          IF(GenType_2a="Float",$BT219*(_xll.qGetFwdRate($J$18,$AW219,$AW220,"T",DCC_Leg2_Float)%+GenRate_2a%%)*$BV219,        IF(GenType_2a="bp (Fixed)",GenRate_2a%%*$BU219*$BT219,   IF(GenType_2a="bp (Float)",GenRate_2a%%*$BT219*$BV219,0))))</f>
        <v>0</v>
      </c>
      <c r="BZ220" s="561"/>
      <c r="CB220" s="341">
        <f t="shared" si="43"/>
        <v>0</v>
      </c>
      <c r="CC220" s="563"/>
      <c r="CD220" s="356"/>
      <c r="CE220" s="341">
        <v>0</v>
      </c>
      <c r="CF220" s="563"/>
      <c r="CG220" s="356"/>
    </row>
    <row r="221" spans="15:85">
      <c r="O221" s="122">
        <v>0</v>
      </c>
      <c r="P221" s="128">
        <f t="shared" si="44"/>
        <v>0</v>
      </c>
      <c r="Q221" s="126">
        <v>0</v>
      </c>
      <c r="R221" s="699">
        <f>IF($O222=0,0,        _xll.qDateNext($O221,R$17,"M",TRUE,Currency1))</f>
        <v>0</v>
      </c>
      <c r="S221" s="699">
        <f>IF($O222=0,0,        _xll.qDateNext($O221,S$17,"M",TRUE,Currency1))</f>
        <v>0</v>
      </c>
      <c r="T221" s="699">
        <f>IF($O222=0,0,        _xll.qDateNext($O221,T$17,"M",TRUE,Currency1))</f>
        <v>0</v>
      </c>
      <c r="U221" s="699">
        <f>IF($O222=0,0,        _xll.qDateNext($O221,U$17,"M",TRUE,Currency1))</f>
        <v>0</v>
      </c>
      <c r="V221" s="699">
        <f>IF($O222=0,0,        _xll.qDateNext($O221,V$17,"M",TRUE,Currency1))</f>
        <v>0</v>
      </c>
      <c r="W221" s="699">
        <f>IF($O222=0,0,        _xll.qDateNext($O221,W$17,"M",TRUE,Currency1))</f>
        <v>0</v>
      </c>
      <c r="X221" s="699">
        <f>IF($O222=0,0,        _xll.qDateNext($O221,X$17,"M",TRUE,Currency1))</f>
        <v>0</v>
      </c>
      <c r="Y221" s="699">
        <f>IF($O222=0,0,        _xll.qDateNext($O221,Y$17,"M",TRUE,Currency1))</f>
        <v>0</v>
      </c>
      <c r="Z221" s="703">
        <f>IF($O222=0,0,           IF(FRM,_xll.qGetFwdRate(Z$14,$O221,R221,"T",DCC_Leg1_Float),_xll.qGetFwdRate(Z$14,$O221,$O222,"T",DCC_Leg1_Float)))</f>
        <v>0</v>
      </c>
      <c r="AA221" s="703">
        <f>IF($O222=0,0,           IF(FRM,_xll.qGetFwdRate(AA$14,$O221,S221,"T",DCC_Leg1_Float),_xll.qGetFwdRate(AA$14,$O221,$O222,"T",DCC_Leg1_Float)))</f>
        <v>0</v>
      </c>
      <c r="AB221" s="703">
        <f t="shared" si="45"/>
        <v>0</v>
      </c>
      <c r="AC221" s="703">
        <f>IF($O222=0,0,           IF(FRM,_xll.qGetFwdRate(AC$14,$O221,U221,"T",DCC_Leg1_Float),_xll.qGetFwdRate(AC$14,$O221,$O222,"T",DCC_Leg1_Float)))</f>
        <v>0</v>
      </c>
      <c r="AD221" s="703">
        <f t="shared" si="50"/>
        <v>0</v>
      </c>
      <c r="AE221" s="703">
        <f t="shared" si="51"/>
        <v>0</v>
      </c>
      <c r="AF221" s="703">
        <f>IF($O222=0,0,           IF(FRM,_xll.qGetFwdRate(AF$14,$O221,X221,"T",DCC_Leg1_Float),_xll.qGetFwdRate(AF$14,$O221,$O222,"T",DCC_Leg1_Float)))</f>
        <v>0</v>
      </c>
      <c r="AG221" s="703">
        <f>IF($O222=0,0,           IF(FRM,_xll.qGetFwdRate(AG$14,$O221,Y221,"T",DCC_Leg1_Float),_xll.qGetFwdRate(AG$14,$O221,$O222,"T",DCC_Leg1_Float)))</f>
        <v>0</v>
      </c>
      <c r="AH221" s="685">
        <v>0</v>
      </c>
      <c r="AI221" s="667"/>
      <c r="AJ221" s="670">
        <f>IF(O222=0,0,             IF(ISNUMBER(AI221),AI221,             IF(ISTEXT(AI221),INDEX(Z221:AG221,MATCH(AI221,$Z$17:$AG$17,0)),           IF(AH221="INT",_xll.qInterp(O222,R221:Y221,Z221:AG221),       INDEX(Z221:AG221,MATCH(AH221,$Z$17:$AG$17,0))))))</f>
        <v>0</v>
      </c>
      <c r="AK221" s="732">
        <v>20</v>
      </c>
      <c r="AL221" s="721">
        <f t="shared" si="46"/>
        <v>0</v>
      </c>
      <c r="AM221" s="284">
        <f>IF($O222,_xll.qDateYears($O221,$O222,DCC_Leg1_Fixed),0)</f>
        <v>0</v>
      </c>
      <c r="AN221" s="284">
        <f>IF($O222,_xll.qDateYears($O221,$O222,DCC_Leg1_Float),0)</f>
        <v>0</v>
      </c>
      <c r="AP221" s="350">
        <f t="shared" si="52"/>
        <v>0</v>
      </c>
      <c r="AQ221" s="375">
        <f>IF(GenType_1a="Fixed",GenRate_1a%*$AL220*AM220,          IF(GenType_1a="Float",$AL220*(_xll.qGetFwdRate($D$18,$O220,$O221,"T",DCC_Leg1_Float)%+GenRate_1a%%)*$AN220,        IF(GenType_1a="bp (Fixed)",GenRate_1a%%*$AM220*$AL220,   IF(GenType_1a="bp (Float)",GenRate_1a%%*$AL220*$AN220,0))))</f>
        <v>0</v>
      </c>
      <c r="AR221" s="561"/>
      <c r="AT221" s="341">
        <f t="shared" si="42"/>
        <v>0</v>
      </c>
      <c r="AV221" s="356"/>
      <c r="AW221" s="122">
        <v>0</v>
      </c>
      <c r="AX221" s="128">
        <f t="shared" si="47"/>
        <v>0</v>
      </c>
      <c r="AY221" s="357">
        <v>0</v>
      </c>
      <c r="AZ221" s="699">
        <f>IF($AW222=0,0,        _xll.qDateNext($AW221,AZ$17,"M",TRUE,Currency2))</f>
        <v>0</v>
      </c>
      <c r="BA221" s="699">
        <f>IF($AW222=0,0,        _xll.qDateNext($AW221,BA$17,"M",TRUE,Currency2))</f>
        <v>0</v>
      </c>
      <c r="BB221" s="699">
        <f>IF($AW222=0,0,        _xll.qDateNext($AW221,BB$17,"M",TRUE,Currency2))</f>
        <v>0</v>
      </c>
      <c r="BC221" s="699">
        <f>IF($AW222=0,0,        _xll.qDateNext($AW221,BC$17,"M",TRUE,Currency2))</f>
        <v>0</v>
      </c>
      <c r="BD221" s="699">
        <f>IF($AW222=0,0,        _xll.qDateNext($AW221,BD$17,"M",TRUE,Currency2))</f>
        <v>0</v>
      </c>
      <c r="BE221" s="699">
        <f>IF($AW222=0,0,        _xll.qDateNext($AW221,BE$17,"M",TRUE,Currency2))</f>
        <v>0</v>
      </c>
      <c r="BF221" s="699">
        <f>IF($AW222=0,0,        _xll.qDateNext($AW221,BF$17,"M",TRUE,Currency2))</f>
        <v>0</v>
      </c>
      <c r="BG221" s="699">
        <f>IF($AW222=0,0,        _xll.qDateNext($AW221,BG$17,"M",TRUE,Currency2))</f>
        <v>0</v>
      </c>
      <c r="BH221" s="703">
        <v>0</v>
      </c>
      <c r="BI221" s="703">
        <v>0</v>
      </c>
      <c r="BJ221" s="703">
        <v>0</v>
      </c>
      <c r="BK221" s="703">
        <v>0</v>
      </c>
      <c r="BL221" s="703">
        <f t="shared" si="53"/>
        <v>0</v>
      </c>
      <c r="BM221" s="703">
        <f t="shared" si="54"/>
        <v>0</v>
      </c>
      <c r="BN221" s="703">
        <v>0</v>
      </c>
      <c r="BO221" s="703">
        <v>0</v>
      </c>
      <c r="BP221" s="685">
        <v>0</v>
      </c>
      <c r="BQ221" s="667"/>
      <c r="BR221" s="670">
        <f>IF(AW222=0,0,             IF(ISNUMBER(BQ221),BQ221,             IF(ISTEXT(BQ221),INDEX(BH221:BO221,MATCH(BQ221,$BH$17:$BO$17,0)),           IF(BP221="INT",_xll.qInterp(AW222,AZ221:BG221,BH221:BO221),       INDEX(BH221:BO221,MATCH(BP221,$BH$17:$BO$17,0))))))</f>
        <v>0</v>
      </c>
      <c r="BS221" s="731">
        <f t="shared" si="48"/>
        <v>0</v>
      </c>
      <c r="BT221" s="406">
        <f t="shared" si="49"/>
        <v>0</v>
      </c>
      <c r="BU221" s="284">
        <f>IF($AW222,_xll.qDateYears($AW221,$AW222,DCC_Leg2_Fixed),0)</f>
        <v>0</v>
      </c>
      <c r="BV221" s="284">
        <f>IF($AW222,_xll.qDateYears($AW221,$AW222,DCC_Leg2_Float),0)</f>
        <v>0</v>
      </c>
      <c r="BX221" s="350">
        <f t="shared" si="55"/>
        <v>0</v>
      </c>
      <c r="BY221" s="375">
        <f>IF(GenType_2a="Fixed",GenRate_2a%*$BT220*BU220,          IF(GenType_2a="Float",$BT220*(_xll.qGetFwdRate($J$18,$AW220,$AW221,"T",DCC_Leg2_Float)%+GenRate_2a%%)*$BV220,        IF(GenType_2a="bp (Fixed)",GenRate_2a%%*$BU220*$BT220,   IF(GenType_2a="bp (Float)",GenRate_2a%%*$BT220*$BV220,0))))</f>
        <v>0</v>
      </c>
      <c r="BZ221" s="561"/>
      <c r="CB221" s="341">
        <f t="shared" si="43"/>
        <v>0</v>
      </c>
      <c r="CC221" s="563"/>
      <c r="CD221" s="356"/>
      <c r="CE221" s="341">
        <v>0</v>
      </c>
      <c r="CF221" s="563"/>
      <c r="CG221" s="356"/>
    </row>
    <row r="222" spans="15:85">
      <c r="O222" s="122">
        <v>0</v>
      </c>
      <c r="P222" s="128">
        <f t="shared" si="44"/>
        <v>0</v>
      </c>
      <c r="Q222" s="126">
        <v>0</v>
      </c>
      <c r="R222" s="699">
        <f>IF($O223=0,0,        _xll.qDateNext($O222,R$17,"M",TRUE,Currency1))</f>
        <v>0</v>
      </c>
      <c r="S222" s="699">
        <f>IF($O223=0,0,        _xll.qDateNext($O222,S$17,"M",TRUE,Currency1))</f>
        <v>0</v>
      </c>
      <c r="T222" s="699">
        <f>IF($O223=0,0,        _xll.qDateNext($O222,T$17,"M",TRUE,Currency1))</f>
        <v>0</v>
      </c>
      <c r="U222" s="699">
        <f>IF($O223=0,0,        _xll.qDateNext($O222,U$17,"M",TRUE,Currency1))</f>
        <v>0</v>
      </c>
      <c r="V222" s="699">
        <f>IF($O223=0,0,        _xll.qDateNext($O222,V$17,"M",TRUE,Currency1))</f>
        <v>0</v>
      </c>
      <c r="W222" s="699">
        <f>IF($O223=0,0,        _xll.qDateNext($O222,W$17,"M",TRUE,Currency1))</f>
        <v>0</v>
      </c>
      <c r="X222" s="699">
        <f>IF($O223=0,0,        _xll.qDateNext($O222,X$17,"M",TRUE,Currency1))</f>
        <v>0</v>
      </c>
      <c r="Y222" s="699">
        <f>IF($O223=0,0,        _xll.qDateNext($O222,Y$17,"M",TRUE,Currency1))</f>
        <v>0</v>
      </c>
      <c r="Z222" s="703">
        <f>IF($O223=0,0,           IF(FRM,_xll.qGetFwdRate(Z$14,$O222,R222,"T",DCC_Leg1_Float),_xll.qGetFwdRate(Z$14,$O222,$O223,"T",DCC_Leg1_Float)))</f>
        <v>0</v>
      </c>
      <c r="AA222" s="703">
        <f>IF($O223=0,0,           IF(FRM,_xll.qGetFwdRate(AA$14,$O222,S222,"T",DCC_Leg1_Float),_xll.qGetFwdRate(AA$14,$O222,$O223,"T",DCC_Leg1_Float)))</f>
        <v>0</v>
      </c>
      <c r="AB222" s="703">
        <f t="shared" si="45"/>
        <v>0</v>
      </c>
      <c r="AC222" s="703">
        <f>IF($O223=0,0,           IF(FRM,_xll.qGetFwdRate(AC$14,$O222,U222,"T",DCC_Leg1_Float),_xll.qGetFwdRate(AC$14,$O222,$O223,"T",DCC_Leg1_Float)))</f>
        <v>0</v>
      </c>
      <c r="AD222" s="703">
        <f t="shared" si="50"/>
        <v>0</v>
      </c>
      <c r="AE222" s="703">
        <f t="shared" si="51"/>
        <v>0</v>
      </c>
      <c r="AF222" s="703">
        <f>IF($O223=0,0,           IF(FRM,_xll.qGetFwdRate(AF$14,$O222,X222,"T",DCC_Leg1_Float),_xll.qGetFwdRate(AF$14,$O222,$O223,"T",DCC_Leg1_Float)))</f>
        <v>0</v>
      </c>
      <c r="AG222" s="703">
        <f>IF($O223=0,0,           IF(FRM,_xll.qGetFwdRate(AG$14,$O222,Y222,"T",DCC_Leg1_Float),_xll.qGetFwdRate(AG$14,$O222,$O223,"T",DCC_Leg1_Float)))</f>
        <v>0</v>
      </c>
      <c r="AH222" s="685">
        <v>0</v>
      </c>
      <c r="AI222" s="667"/>
      <c r="AJ222" s="670">
        <f>IF(O223=0,0,             IF(ISNUMBER(AI222),AI222,             IF(ISTEXT(AI222),INDEX(Z222:AG222,MATCH(AI222,$Z$17:$AG$17,0)),           IF(AH222="INT",_xll.qInterp(O223,R222:Y222,Z222:AG222),       INDEX(Z222:AG222,MATCH(AH222,$Z$17:$AG$17,0))))))</f>
        <v>0</v>
      </c>
      <c r="AK222" s="732">
        <v>20</v>
      </c>
      <c r="AL222" s="721">
        <f t="shared" si="46"/>
        <v>0</v>
      </c>
      <c r="AM222" s="284">
        <f>IF($O223,_xll.qDateYears($O222,$O223,DCC_Leg1_Fixed),0)</f>
        <v>0</v>
      </c>
      <c r="AN222" s="284">
        <f>IF($O223,_xll.qDateYears($O222,$O223,DCC_Leg1_Float),0)</f>
        <v>0</v>
      </c>
      <c r="AP222" s="350">
        <f t="shared" si="52"/>
        <v>0</v>
      </c>
      <c r="AQ222" s="375">
        <f>IF(GenType_1a="Fixed",GenRate_1a%*$AL221*AM221,          IF(GenType_1a="Float",$AL221*(_xll.qGetFwdRate($D$18,$O221,$O222,"T",DCC_Leg1_Float)%+GenRate_1a%%)*$AN221,        IF(GenType_1a="bp (Fixed)",GenRate_1a%%*$AM221*$AL221,   IF(GenType_1a="bp (Float)",GenRate_1a%%*$AL221*$AN221,0))))</f>
        <v>0</v>
      </c>
      <c r="AR222" s="561"/>
      <c r="AT222" s="341">
        <f t="shared" si="42"/>
        <v>0</v>
      </c>
      <c r="AV222" s="356"/>
      <c r="AW222" s="122">
        <v>0</v>
      </c>
      <c r="AX222" s="128">
        <f t="shared" si="47"/>
        <v>0</v>
      </c>
      <c r="AY222" s="357">
        <v>0</v>
      </c>
      <c r="AZ222" s="699">
        <f>IF($AW223=0,0,        _xll.qDateNext($AW222,AZ$17,"M",TRUE,Currency2))</f>
        <v>0</v>
      </c>
      <c r="BA222" s="699">
        <f>IF($AW223=0,0,        _xll.qDateNext($AW222,BA$17,"M",TRUE,Currency2))</f>
        <v>0</v>
      </c>
      <c r="BB222" s="699">
        <f>IF($AW223=0,0,        _xll.qDateNext($AW222,BB$17,"M",TRUE,Currency2))</f>
        <v>0</v>
      </c>
      <c r="BC222" s="699">
        <f>IF($AW223=0,0,        _xll.qDateNext($AW222,BC$17,"M",TRUE,Currency2))</f>
        <v>0</v>
      </c>
      <c r="BD222" s="699">
        <f>IF($AW223=0,0,        _xll.qDateNext($AW222,BD$17,"M",TRUE,Currency2))</f>
        <v>0</v>
      </c>
      <c r="BE222" s="699">
        <f>IF($AW223=0,0,        _xll.qDateNext($AW222,BE$17,"M",TRUE,Currency2))</f>
        <v>0</v>
      </c>
      <c r="BF222" s="699">
        <f>IF($AW223=0,0,        _xll.qDateNext($AW222,BF$17,"M",TRUE,Currency2))</f>
        <v>0</v>
      </c>
      <c r="BG222" s="699">
        <f>IF($AW223=0,0,        _xll.qDateNext($AW222,BG$17,"M",TRUE,Currency2))</f>
        <v>0</v>
      </c>
      <c r="BH222" s="703">
        <v>0</v>
      </c>
      <c r="BI222" s="703">
        <v>0</v>
      </c>
      <c r="BJ222" s="703">
        <v>0</v>
      </c>
      <c r="BK222" s="703">
        <v>0</v>
      </c>
      <c r="BL222" s="703">
        <f t="shared" si="53"/>
        <v>0</v>
      </c>
      <c r="BM222" s="703">
        <f t="shared" si="54"/>
        <v>0</v>
      </c>
      <c r="BN222" s="703">
        <v>0</v>
      </c>
      <c r="BO222" s="703">
        <v>0</v>
      </c>
      <c r="BP222" s="685">
        <v>0</v>
      </c>
      <c r="BQ222" s="667"/>
      <c r="BR222" s="670">
        <f>IF(AW223=0,0,             IF(ISNUMBER(BQ222),BQ222,             IF(ISTEXT(BQ222),INDEX(BH222:BO222,MATCH(BQ222,$BH$17:$BO$17,0)),           IF(BP222="INT",_xll.qInterp(AW223,AZ222:BG222,BH222:BO222),       INDEX(BH222:BO222,MATCH(BP222,$BH$17:$BO$17,0))))))</f>
        <v>0</v>
      </c>
      <c r="BS222" s="731">
        <f t="shared" si="48"/>
        <v>0</v>
      </c>
      <c r="BT222" s="406">
        <f t="shared" si="49"/>
        <v>0</v>
      </c>
      <c r="BU222" s="284">
        <f>IF($AW223,_xll.qDateYears($AW222,$AW223,DCC_Leg2_Fixed),0)</f>
        <v>0</v>
      </c>
      <c r="BV222" s="284">
        <f>IF($AW223,_xll.qDateYears($AW222,$AW223,DCC_Leg2_Float),0)</f>
        <v>0</v>
      </c>
      <c r="BX222" s="350">
        <f t="shared" si="55"/>
        <v>0</v>
      </c>
      <c r="BY222" s="375">
        <f>IF(GenType_2a="Fixed",GenRate_2a%*$BT221*BU221,          IF(GenType_2a="Float",$BT221*(_xll.qGetFwdRate($J$18,$AW221,$AW222,"T",DCC_Leg2_Float)%+GenRate_2a%%)*$BV221,        IF(GenType_2a="bp (Fixed)",GenRate_2a%%*$BU221*$BT221,   IF(GenType_2a="bp (Float)",GenRate_2a%%*$BT221*$BV221,0))))</f>
        <v>0</v>
      </c>
      <c r="BZ222" s="561"/>
      <c r="CB222" s="341">
        <f t="shared" si="43"/>
        <v>0</v>
      </c>
      <c r="CC222" s="563"/>
      <c r="CD222" s="356"/>
      <c r="CE222" s="341">
        <v>0</v>
      </c>
      <c r="CF222" s="563"/>
      <c r="CG222" s="356"/>
    </row>
    <row r="223" spans="15:85">
      <c r="O223" s="122">
        <v>0</v>
      </c>
      <c r="P223" s="128">
        <f t="shared" si="44"/>
        <v>0</v>
      </c>
      <c r="Q223" s="126">
        <v>0</v>
      </c>
      <c r="R223" s="699">
        <f>IF($O224=0,0,        _xll.qDateNext($O223,R$17,"M",TRUE,Currency1))</f>
        <v>0</v>
      </c>
      <c r="S223" s="699">
        <f>IF($O224=0,0,        _xll.qDateNext($O223,S$17,"M",TRUE,Currency1))</f>
        <v>0</v>
      </c>
      <c r="T223" s="699">
        <f>IF($O224=0,0,        _xll.qDateNext($O223,T$17,"M",TRUE,Currency1))</f>
        <v>0</v>
      </c>
      <c r="U223" s="699">
        <f>IF($O224=0,0,        _xll.qDateNext($O223,U$17,"M",TRUE,Currency1))</f>
        <v>0</v>
      </c>
      <c r="V223" s="699">
        <f>IF($O224=0,0,        _xll.qDateNext($O223,V$17,"M",TRUE,Currency1))</f>
        <v>0</v>
      </c>
      <c r="W223" s="699">
        <f>IF($O224=0,0,        _xll.qDateNext($O223,W$17,"M",TRUE,Currency1))</f>
        <v>0</v>
      </c>
      <c r="X223" s="699">
        <f>IF($O224=0,0,        _xll.qDateNext($O223,X$17,"M",TRUE,Currency1))</f>
        <v>0</v>
      </c>
      <c r="Y223" s="699">
        <f>IF($O224=0,0,        _xll.qDateNext($O223,Y$17,"M",TRUE,Currency1))</f>
        <v>0</v>
      </c>
      <c r="Z223" s="703">
        <f>IF($O224=0,0,           IF(FRM,_xll.qGetFwdRate(Z$14,$O223,R223,"T",DCC_Leg1_Float),_xll.qGetFwdRate(Z$14,$O223,$O224,"T",DCC_Leg1_Float)))</f>
        <v>0</v>
      </c>
      <c r="AA223" s="703">
        <f>IF($O224=0,0,           IF(FRM,_xll.qGetFwdRate(AA$14,$O223,S223,"T",DCC_Leg1_Float),_xll.qGetFwdRate(AA$14,$O223,$O224,"T",DCC_Leg1_Float)))</f>
        <v>0</v>
      </c>
      <c r="AB223" s="703">
        <f t="shared" si="45"/>
        <v>0</v>
      </c>
      <c r="AC223" s="703">
        <f>IF($O224=0,0,           IF(FRM,_xll.qGetFwdRate(AC$14,$O223,U223,"T",DCC_Leg1_Float),_xll.qGetFwdRate(AC$14,$O223,$O224,"T",DCC_Leg1_Float)))</f>
        <v>0</v>
      </c>
      <c r="AD223" s="703">
        <f t="shared" si="50"/>
        <v>0</v>
      </c>
      <c r="AE223" s="703">
        <f t="shared" si="51"/>
        <v>0</v>
      </c>
      <c r="AF223" s="703">
        <f>IF($O224=0,0,           IF(FRM,_xll.qGetFwdRate(AF$14,$O223,X223,"T",DCC_Leg1_Float),_xll.qGetFwdRate(AF$14,$O223,$O224,"T",DCC_Leg1_Float)))</f>
        <v>0</v>
      </c>
      <c r="AG223" s="703">
        <f>IF($O224=0,0,           IF(FRM,_xll.qGetFwdRate(AG$14,$O223,Y223,"T",DCC_Leg1_Float),_xll.qGetFwdRate(AG$14,$O223,$O224,"T",DCC_Leg1_Float)))</f>
        <v>0</v>
      </c>
      <c r="AH223" s="685">
        <v>0</v>
      </c>
      <c r="AI223" s="667"/>
      <c r="AJ223" s="670">
        <f>IF(O224=0,0,             IF(ISNUMBER(AI223),AI223,             IF(ISTEXT(AI223),INDEX(Z223:AG223,MATCH(AI223,$Z$17:$AG$17,0)),           IF(AH223="INT",_xll.qInterp(O224,R223:Y223,Z223:AG223),       INDEX(Z223:AG223,MATCH(AH223,$Z$17:$AG$17,0))))))</f>
        <v>0</v>
      </c>
      <c r="AK223" s="732">
        <v>20</v>
      </c>
      <c r="AL223" s="721">
        <f t="shared" si="46"/>
        <v>0</v>
      </c>
      <c r="AM223" s="284">
        <f>IF($O224,_xll.qDateYears($O223,$O224,DCC_Leg1_Fixed),0)</f>
        <v>0</v>
      </c>
      <c r="AN223" s="284">
        <f>IF($O224,_xll.qDateYears($O223,$O224,DCC_Leg1_Float),0)</f>
        <v>0</v>
      </c>
      <c r="AP223" s="350">
        <f t="shared" si="52"/>
        <v>0</v>
      </c>
      <c r="AQ223" s="375">
        <f>IF(GenType_1a="Fixed",GenRate_1a%*$AL222*AM222,          IF(GenType_1a="Float",$AL222*(_xll.qGetFwdRate($D$18,$O222,$O223,"T",DCC_Leg1_Float)%+GenRate_1a%%)*$AN222,        IF(GenType_1a="bp (Fixed)",GenRate_1a%%*$AM222*$AL222,   IF(GenType_1a="bp (Float)",GenRate_1a%%*$AL222*$AN222,0))))</f>
        <v>0</v>
      </c>
      <c r="AR223" s="561"/>
      <c r="AT223" s="341">
        <f t="shared" si="42"/>
        <v>0</v>
      </c>
      <c r="AV223" s="356"/>
      <c r="AW223" s="122">
        <v>0</v>
      </c>
      <c r="AX223" s="128">
        <f t="shared" si="47"/>
        <v>0</v>
      </c>
      <c r="AY223" s="357">
        <v>0</v>
      </c>
      <c r="AZ223" s="699">
        <f>IF($AW224=0,0,        _xll.qDateNext($AW223,AZ$17,"M",TRUE,Currency2))</f>
        <v>0</v>
      </c>
      <c r="BA223" s="699">
        <f>IF($AW224=0,0,        _xll.qDateNext($AW223,BA$17,"M",TRUE,Currency2))</f>
        <v>0</v>
      </c>
      <c r="BB223" s="699">
        <f>IF($AW224=0,0,        _xll.qDateNext($AW223,BB$17,"M",TRUE,Currency2))</f>
        <v>0</v>
      </c>
      <c r="BC223" s="699">
        <f>IF($AW224=0,0,        _xll.qDateNext($AW223,BC$17,"M",TRUE,Currency2))</f>
        <v>0</v>
      </c>
      <c r="BD223" s="699">
        <f>IF($AW224=0,0,        _xll.qDateNext($AW223,BD$17,"M",TRUE,Currency2))</f>
        <v>0</v>
      </c>
      <c r="BE223" s="699">
        <f>IF($AW224=0,0,        _xll.qDateNext($AW223,BE$17,"M",TRUE,Currency2))</f>
        <v>0</v>
      </c>
      <c r="BF223" s="699">
        <f>IF($AW224=0,0,        _xll.qDateNext($AW223,BF$17,"M",TRUE,Currency2))</f>
        <v>0</v>
      </c>
      <c r="BG223" s="699">
        <f>IF($AW224=0,0,        _xll.qDateNext($AW223,BG$17,"M",TRUE,Currency2))</f>
        <v>0</v>
      </c>
      <c r="BH223" s="703">
        <v>0</v>
      </c>
      <c r="BI223" s="703">
        <v>0</v>
      </c>
      <c r="BJ223" s="703">
        <v>0</v>
      </c>
      <c r="BK223" s="703">
        <v>0</v>
      </c>
      <c r="BL223" s="703">
        <f t="shared" si="53"/>
        <v>0</v>
      </c>
      <c r="BM223" s="703">
        <f t="shared" si="54"/>
        <v>0</v>
      </c>
      <c r="BN223" s="703">
        <v>0</v>
      </c>
      <c r="BO223" s="703">
        <v>0</v>
      </c>
      <c r="BP223" s="685">
        <v>0</v>
      </c>
      <c r="BQ223" s="667"/>
      <c r="BR223" s="670">
        <f>IF(AW224=0,0,             IF(ISNUMBER(BQ223),BQ223,             IF(ISTEXT(BQ223),INDEX(BH223:BO223,MATCH(BQ223,$BH$17:$BO$17,0)),           IF(BP223="INT",_xll.qInterp(AW224,AZ223:BG223,BH223:BO223),       INDEX(BH223:BO223,MATCH(BP223,$BH$17:$BO$17,0))))))</f>
        <v>0</v>
      </c>
      <c r="BS223" s="731">
        <f t="shared" si="48"/>
        <v>0</v>
      </c>
      <c r="BT223" s="406">
        <f t="shared" si="49"/>
        <v>0</v>
      </c>
      <c r="BU223" s="284">
        <f>IF($AW224,_xll.qDateYears($AW223,$AW224,DCC_Leg2_Fixed),0)</f>
        <v>0</v>
      </c>
      <c r="BV223" s="284">
        <f>IF($AW224,_xll.qDateYears($AW223,$AW224,DCC_Leg2_Float),0)</f>
        <v>0</v>
      </c>
      <c r="BX223" s="350">
        <f t="shared" si="55"/>
        <v>0</v>
      </c>
      <c r="BY223" s="375">
        <f>IF(GenType_2a="Fixed",GenRate_2a%*$BT222*BU222,          IF(GenType_2a="Float",$BT222*(_xll.qGetFwdRate($J$18,$AW222,$AW223,"T",DCC_Leg2_Float)%+GenRate_2a%%)*$BV222,        IF(GenType_2a="bp (Fixed)",GenRate_2a%%*$BU222*$BT222,   IF(GenType_2a="bp (Float)",GenRate_2a%%*$BT222*$BV222,0))))</f>
        <v>0</v>
      </c>
      <c r="BZ223" s="561"/>
      <c r="CB223" s="341">
        <f t="shared" si="43"/>
        <v>0</v>
      </c>
      <c r="CC223" s="563"/>
      <c r="CD223" s="356"/>
      <c r="CE223" s="341">
        <v>0</v>
      </c>
      <c r="CF223" s="563"/>
      <c r="CG223" s="356"/>
    </row>
    <row r="224" spans="15:85">
      <c r="O224" s="122">
        <v>0</v>
      </c>
      <c r="P224" s="128">
        <f t="shared" si="44"/>
        <v>0</v>
      </c>
      <c r="Q224" s="126">
        <v>0</v>
      </c>
      <c r="R224" s="699">
        <f>IF($O225=0,0,        _xll.qDateNext($O224,R$17,"M",TRUE,Currency1))</f>
        <v>0</v>
      </c>
      <c r="S224" s="699">
        <f>IF($O225=0,0,        _xll.qDateNext($O224,S$17,"M",TRUE,Currency1))</f>
        <v>0</v>
      </c>
      <c r="T224" s="699">
        <f>IF($O225=0,0,        _xll.qDateNext($O224,T$17,"M",TRUE,Currency1))</f>
        <v>0</v>
      </c>
      <c r="U224" s="699">
        <f>IF($O225=0,0,        _xll.qDateNext($O224,U$17,"M",TRUE,Currency1))</f>
        <v>0</v>
      </c>
      <c r="V224" s="699">
        <f>IF($O225=0,0,        _xll.qDateNext($O224,V$17,"M",TRUE,Currency1))</f>
        <v>0</v>
      </c>
      <c r="W224" s="699">
        <f>IF($O225=0,0,        _xll.qDateNext($O224,W$17,"M",TRUE,Currency1))</f>
        <v>0</v>
      </c>
      <c r="X224" s="699">
        <f>IF($O225=0,0,        _xll.qDateNext($O224,X$17,"M",TRUE,Currency1))</f>
        <v>0</v>
      </c>
      <c r="Y224" s="699">
        <f>IF($O225=0,0,        _xll.qDateNext($O224,Y$17,"M",TRUE,Currency1))</f>
        <v>0</v>
      </c>
      <c r="Z224" s="703">
        <f>IF($O225=0,0,           IF(FRM,_xll.qGetFwdRate(Z$14,$O224,R224,"T",DCC_Leg1_Float),_xll.qGetFwdRate(Z$14,$O224,$O225,"T",DCC_Leg1_Float)))</f>
        <v>0</v>
      </c>
      <c r="AA224" s="703">
        <f>IF($O225=0,0,           IF(FRM,_xll.qGetFwdRate(AA$14,$O224,S224,"T",DCC_Leg1_Float),_xll.qGetFwdRate(AA$14,$O224,$O225,"T",DCC_Leg1_Float)))</f>
        <v>0</v>
      </c>
      <c r="AB224" s="703">
        <f t="shared" si="45"/>
        <v>0</v>
      </c>
      <c r="AC224" s="703">
        <f>IF($O225=0,0,           IF(FRM,_xll.qGetFwdRate(AC$14,$O224,U224,"T",DCC_Leg1_Float),_xll.qGetFwdRate(AC$14,$O224,$O225,"T",DCC_Leg1_Float)))</f>
        <v>0</v>
      </c>
      <c r="AD224" s="703">
        <f t="shared" si="50"/>
        <v>0</v>
      </c>
      <c r="AE224" s="703">
        <f t="shared" si="51"/>
        <v>0</v>
      </c>
      <c r="AF224" s="703">
        <f>IF($O225=0,0,           IF(FRM,_xll.qGetFwdRate(AF$14,$O224,X224,"T",DCC_Leg1_Float),_xll.qGetFwdRate(AF$14,$O224,$O225,"T",DCC_Leg1_Float)))</f>
        <v>0</v>
      </c>
      <c r="AG224" s="703">
        <f>IF($O225=0,0,           IF(FRM,_xll.qGetFwdRate(AG$14,$O224,Y224,"T",DCC_Leg1_Float),_xll.qGetFwdRate(AG$14,$O224,$O225,"T",DCC_Leg1_Float)))</f>
        <v>0</v>
      </c>
      <c r="AH224" s="685">
        <v>0</v>
      </c>
      <c r="AI224" s="667"/>
      <c r="AJ224" s="670">
        <f>IF(O225=0,0,             IF(ISNUMBER(AI224),AI224,             IF(ISTEXT(AI224),INDEX(Z224:AG224,MATCH(AI224,$Z$17:$AG$17,0)),           IF(AH224="INT",_xll.qInterp(O225,R224:Y224,Z224:AG224),       INDEX(Z224:AG224,MATCH(AH224,$Z$17:$AG$17,0))))))</f>
        <v>0</v>
      </c>
      <c r="AK224" s="732">
        <v>20</v>
      </c>
      <c r="AL224" s="721">
        <f t="shared" si="46"/>
        <v>0</v>
      </c>
      <c r="AM224" s="284">
        <f>IF($O225,_xll.qDateYears($O224,$O225,DCC_Leg1_Fixed),0)</f>
        <v>0</v>
      </c>
      <c r="AN224" s="284">
        <f>IF($O225,_xll.qDateYears($O224,$O225,DCC_Leg1_Float),0)</f>
        <v>0</v>
      </c>
      <c r="AP224" s="350">
        <f t="shared" si="52"/>
        <v>0</v>
      </c>
      <c r="AQ224" s="375">
        <f>IF(GenType_1a="Fixed",GenRate_1a%*$AL223*AM223,          IF(GenType_1a="Float",$AL223*(_xll.qGetFwdRate($D$18,$O223,$O224,"T",DCC_Leg1_Float)%+GenRate_1a%%)*$AN223,        IF(GenType_1a="bp (Fixed)",GenRate_1a%%*$AM223*$AL223,   IF(GenType_1a="bp (Float)",GenRate_1a%%*$AL223*$AN223,0))))</f>
        <v>0</v>
      </c>
      <c r="AR224" s="561"/>
      <c r="AT224" s="341">
        <f t="shared" si="42"/>
        <v>0</v>
      </c>
      <c r="AV224" s="356"/>
      <c r="AW224" s="122">
        <v>0</v>
      </c>
      <c r="AX224" s="128">
        <f t="shared" si="47"/>
        <v>0</v>
      </c>
      <c r="AY224" s="357">
        <v>0</v>
      </c>
      <c r="AZ224" s="699">
        <f>IF($AW225=0,0,        _xll.qDateNext($AW224,AZ$17,"M",TRUE,Currency2))</f>
        <v>0</v>
      </c>
      <c r="BA224" s="699">
        <f>IF($AW225=0,0,        _xll.qDateNext($AW224,BA$17,"M",TRUE,Currency2))</f>
        <v>0</v>
      </c>
      <c r="BB224" s="699">
        <f>IF($AW225=0,0,        _xll.qDateNext($AW224,BB$17,"M",TRUE,Currency2))</f>
        <v>0</v>
      </c>
      <c r="BC224" s="699">
        <f>IF($AW225=0,0,        _xll.qDateNext($AW224,BC$17,"M",TRUE,Currency2))</f>
        <v>0</v>
      </c>
      <c r="BD224" s="699">
        <f>IF($AW225=0,0,        _xll.qDateNext($AW224,BD$17,"M",TRUE,Currency2))</f>
        <v>0</v>
      </c>
      <c r="BE224" s="699">
        <f>IF($AW225=0,0,        _xll.qDateNext($AW224,BE$17,"M",TRUE,Currency2))</f>
        <v>0</v>
      </c>
      <c r="BF224" s="699">
        <f>IF($AW225=0,0,        _xll.qDateNext($AW224,BF$17,"M",TRUE,Currency2))</f>
        <v>0</v>
      </c>
      <c r="BG224" s="699">
        <f>IF($AW225=0,0,        _xll.qDateNext($AW224,BG$17,"M",TRUE,Currency2))</f>
        <v>0</v>
      </c>
      <c r="BH224" s="703">
        <v>0</v>
      </c>
      <c r="BI224" s="703">
        <v>0</v>
      </c>
      <c r="BJ224" s="703">
        <v>0</v>
      </c>
      <c r="BK224" s="703">
        <v>0</v>
      </c>
      <c r="BL224" s="703">
        <f t="shared" si="53"/>
        <v>0</v>
      </c>
      <c r="BM224" s="703">
        <f t="shared" si="54"/>
        <v>0</v>
      </c>
      <c r="BN224" s="703">
        <v>0</v>
      </c>
      <c r="BO224" s="703">
        <v>0</v>
      </c>
      <c r="BP224" s="685">
        <v>0</v>
      </c>
      <c r="BQ224" s="667"/>
      <c r="BR224" s="670">
        <f>IF(AW225=0,0,             IF(ISNUMBER(BQ224),BQ224,             IF(ISTEXT(BQ224),INDEX(BH224:BO224,MATCH(BQ224,$BH$17:$BO$17,0)),           IF(BP224="INT",_xll.qInterp(AW225,AZ224:BG224,BH224:BO224),       INDEX(BH224:BO224,MATCH(BP224,$BH$17:$BO$17,0))))))</f>
        <v>0</v>
      </c>
      <c r="BS224" s="731">
        <f t="shared" si="48"/>
        <v>0</v>
      </c>
      <c r="BT224" s="406">
        <f t="shared" si="49"/>
        <v>0</v>
      </c>
      <c r="BU224" s="284">
        <f>IF($AW225,_xll.qDateYears($AW224,$AW225,DCC_Leg2_Fixed),0)</f>
        <v>0</v>
      </c>
      <c r="BV224" s="284">
        <f>IF($AW225,_xll.qDateYears($AW224,$AW225,DCC_Leg2_Float),0)</f>
        <v>0</v>
      </c>
      <c r="BX224" s="350">
        <f t="shared" si="55"/>
        <v>0</v>
      </c>
      <c r="BY224" s="375">
        <f>IF(GenType_2a="Fixed",GenRate_2a%*$BT223*BU223,          IF(GenType_2a="Float",$BT223*(_xll.qGetFwdRate($J$18,$AW223,$AW224,"T",DCC_Leg2_Float)%+GenRate_2a%%)*$BV223,        IF(GenType_2a="bp (Fixed)",GenRate_2a%%*$BU223*$BT223,   IF(GenType_2a="bp (Float)",GenRate_2a%%*$BT223*$BV223,0))))</f>
        <v>0</v>
      </c>
      <c r="BZ224" s="561"/>
      <c r="CB224" s="341">
        <f t="shared" si="43"/>
        <v>0</v>
      </c>
      <c r="CC224" s="563"/>
      <c r="CD224" s="356"/>
      <c r="CE224" s="341">
        <v>0</v>
      </c>
      <c r="CF224" s="563"/>
      <c r="CG224" s="356"/>
    </row>
    <row r="225" spans="15:85">
      <c r="O225" s="122">
        <v>0</v>
      </c>
      <c r="P225" s="128">
        <f t="shared" si="44"/>
        <v>0</v>
      </c>
      <c r="Q225" s="126">
        <v>0</v>
      </c>
      <c r="R225" s="699">
        <f>IF($O226=0,0,        _xll.qDateNext($O225,R$17,"M",TRUE,Currency1))</f>
        <v>0</v>
      </c>
      <c r="S225" s="699">
        <f>IF($O226=0,0,        _xll.qDateNext($O225,S$17,"M",TRUE,Currency1))</f>
        <v>0</v>
      </c>
      <c r="T225" s="699">
        <f>IF($O226=0,0,        _xll.qDateNext($O225,T$17,"M",TRUE,Currency1))</f>
        <v>0</v>
      </c>
      <c r="U225" s="699">
        <f>IF($O226=0,0,        _xll.qDateNext($O225,U$17,"M",TRUE,Currency1))</f>
        <v>0</v>
      </c>
      <c r="V225" s="699">
        <f>IF($O226=0,0,        _xll.qDateNext($O225,V$17,"M",TRUE,Currency1))</f>
        <v>0</v>
      </c>
      <c r="W225" s="699">
        <f>IF($O226=0,0,        _xll.qDateNext($O225,W$17,"M",TRUE,Currency1))</f>
        <v>0</v>
      </c>
      <c r="X225" s="699">
        <f>IF($O226=0,0,        _xll.qDateNext($O225,X$17,"M",TRUE,Currency1))</f>
        <v>0</v>
      </c>
      <c r="Y225" s="699">
        <f>IF($O226=0,0,        _xll.qDateNext($O225,Y$17,"M",TRUE,Currency1))</f>
        <v>0</v>
      </c>
      <c r="Z225" s="703">
        <f>IF($O226=0,0,           IF(FRM,_xll.qGetFwdRate(Z$14,$O225,R225,"T",DCC_Leg1_Float),_xll.qGetFwdRate(Z$14,$O225,$O226,"T",DCC_Leg1_Float)))</f>
        <v>0</v>
      </c>
      <c r="AA225" s="703">
        <f>IF($O226=0,0,           IF(FRM,_xll.qGetFwdRate(AA$14,$O225,S225,"T",DCC_Leg1_Float),_xll.qGetFwdRate(AA$14,$O225,$O226,"T",DCC_Leg1_Float)))</f>
        <v>0</v>
      </c>
      <c r="AB225" s="703">
        <f t="shared" si="45"/>
        <v>0</v>
      </c>
      <c r="AC225" s="703">
        <f>IF($O226=0,0,           IF(FRM,_xll.qGetFwdRate(AC$14,$O225,U225,"T",DCC_Leg1_Float),_xll.qGetFwdRate(AC$14,$O225,$O226,"T",DCC_Leg1_Float)))</f>
        <v>0</v>
      </c>
      <c r="AD225" s="703">
        <f t="shared" si="50"/>
        <v>0</v>
      </c>
      <c r="AE225" s="703">
        <f t="shared" si="51"/>
        <v>0</v>
      </c>
      <c r="AF225" s="703">
        <f>IF($O226=0,0,           IF(FRM,_xll.qGetFwdRate(AF$14,$O225,X225,"T",DCC_Leg1_Float),_xll.qGetFwdRate(AF$14,$O225,$O226,"T",DCC_Leg1_Float)))</f>
        <v>0</v>
      </c>
      <c r="AG225" s="703">
        <f>IF($O226=0,0,           IF(FRM,_xll.qGetFwdRate(AG$14,$O225,Y225,"T",DCC_Leg1_Float),_xll.qGetFwdRate(AG$14,$O225,$O226,"T",DCC_Leg1_Float)))</f>
        <v>0</v>
      </c>
      <c r="AH225" s="685">
        <v>0</v>
      </c>
      <c r="AI225" s="667"/>
      <c r="AJ225" s="670">
        <f>IF(O226=0,0,             IF(ISNUMBER(AI225),AI225,             IF(ISTEXT(AI225),INDEX(Z225:AG225,MATCH(AI225,$Z$17:$AG$17,0)),           IF(AH225="INT",_xll.qInterp(O226,R225:Y225,Z225:AG225),       INDEX(Z225:AG225,MATCH(AH225,$Z$17:$AG$17,0))))))</f>
        <v>0</v>
      </c>
      <c r="AK225" s="732">
        <v>20</v>
      </c>
      <c r="AL225" s="721">
        <f t="shared" si="46"/>
        <v>0</v>
      </c>
      <c r="AM225" s="284">
        <f>IF($O226,_xll.qDateYears($O225,$O226,DCC_Leg1_Fixed),0)</f>
        <v>0</v>
      </c>
      <c r="AN225" s="284">
        <f>IF($O226,_xll.qDateYears($O225,$O226,DCC_Leg1_Float),0)</f>
        <v>0</v>
      </c>
      <c r="AP225" s="350">
        <f t="shared" si="52"/>
        <v>0</v>
      </c>
      <c r="AQ225" s="375">
        <f>IF(GenType_1a="Fixed",GenRate_1a%*$AL224*AM224,          IF(GenType_1a="Float",$AL224*(_xll.qGetFwdRate($D$18,$O224,$O225,"T",DCC_Leg1_Float)%+GenRate_1a%%)*$AN224,        IF(GenType_1a="bp (Fixed)",GenRate_1a%%*$AM224*$AL224,   IF(GenType_1a="bp (Float)",GenRate_1a%%*$AL224*$AN224,0))))</f>
        <v>0</v>
      </c>
      <c r="AR225" s="561"/>
      <c r="AT225" s="341">
        <f t="shared" si="42"/>
        <v>0</v>
      </c>
      <c r="AV225" s="356"/>
      <c r="AW225" s="122">
        <v>0</v>
      </c>
      <c r="AX225" s="128">
        <f t="shared" si="47"/>
        <v>0</v>
      </c>
      <c r="AY225" s="357">
        <v>0</v>
      </c>
      <c r="AZ225" s="699">
        <f>IF($AW226=0,0,        _xll.qDateNext($AW225,AZ$17,"M",TRUE,Currency2))</f>
        <v>0</v>
      </c>
      <c r="BA225" s="699">
        <f>IF($AW226=0,0,        _xll.qDateNext($AW225,BA$17,"M",TRUE,Currency2))</f>
        <v>0</v>
      </c>
      <c r="BB225" s="699">
        <f>IF($AW226=0,0,        _xll.qDateNext($AW225,BB$17,"M",TRUE,Currency2))</f>
        <v>0</v>
      </c>
      <c r="BC225" s="699">
        <f>IF($AW226=0,0,        _xll.qDateNext($AW225,BC$17,"M",TRUE,Currency2))</f>
        <v>0</v>
      </c>
      <c r="BD225" s="699">
        <f>IF($AW226=0,0,        _xll.qDateNext($AW225,BD$17,"M",TRUE,Currency2))</f>
        <v>0</v>
      </c>
      <c r="BE225" s="699">
        <f>IF($AW226=0,0,        _xll.qDateNext($AW225,BE$17,"M",TRUE,Currency2))</f>
        <v>0</v>
      </c>
      <c r="BF225" s="699">
        <f>IF($AW226=0,0,        _xll.qDateNext($AW225,BF$17,"M",TRUE,Currency2))</f>
        <v>0</v>
      </c>
      <c r="BG225" s="699">
        <f>IF($AW226=0,0,        _xll.qDateNext($AW225,BG$17,"M",TRUE,Currency2))</f>
        <v>0</v>
      </c>
      <c r="BH225" s="703">
        <v>0</v>
      </c>
      <c r="BI225" s="703">
        <v>0</v>
      </c>
      <c r="BJ225" s="703">
        <v>0</v>
      </c>
      <c r="BK225" s="703">
        <v>0</v>
      </c>
      <c r="BL225" s="703">
        <f t="shared" si="53"/>
        <v>0</v>
      </c>
      <c r="BM225" s="703">
        <f t="shared" si="54"/>
        <v>0</v>
      </c>
      <c r="BN225" s="703">
        <v>0</v>
      </c>
      <c r="BO225" s="703">
        <v>0</v>
      </c>
      <c r="BP225" s="685">
        <v>0</v>
      </c>
      <c r="BQ225" s="667"/>
      <c r="BR225" s="670">
        <f>IF(AW226=0,0,             IF(ISNUMBER(BQ225),BQ225,             IF(ISTEXT(BQ225),INDEX(BH225:BO225,MATCH(BQ225,$BH$17:$BO$17,0)),           IF(BP225="INT",_xll.qInterp(AW226,AZ225:BG225,BH225:BO225),       INDEX(BH225:BO225,MATCH(BP225,$BH$17:$BO$17,0))))))</f>
        <v>0</v>
      </c>
      <c r="BS225" s="731">
        <f t="shared" si="48"/>
        <v>0</v>
      </c>
      <c r="BT225" s="406">
        <f t="shared" si="49"/>
        <v>0</v>
      </c>
      <c r="BU225" s="284">
        <f>IF($AW226,_xll.qDateYears($AW225,$AW226,DCC_Leg2_Fixed),0)</f>
        <v>0</v>
      </c>
      <c r="BV225" s="284">
        <f>IF($AW226,_xll.qDateYears($AW225,$AW226,DCC_Leg2_Float),0)</f>
        <v>0</v>
      </c>
      <c r="BX225" s="350">
        <f t="shared" si="55"/>
        <v>0</v>
      </c>
      <c r="BY225" s="375">
        <f>IF(GenType_2a="Fixed",GenRate_2a%*$BT224*BU224,          IF(GenType_2a="Float",$BT224*(_xll.qGetFwdRate($J$18,$AW224,$AW225,"T",DCC_Leg2_Float)%+GenRate_2a%%)*$BV224,        IF(GenType_2a="bp (Fixed)",GenRate_2a%%*$BU224*$BT224,   IF(GenType_2a="bp (Float)",GenRate_2a%%*$BT224*$BV224,0))))</f>
        <v>0</v>
      </c>
      <c r="BZ225" s="561"/>
      <c r="CB225" s="341">
        <f t="shared" si="43"/>
        <v>0</v>
      </c>
      <c r="CC225" s="563"/>
      <c r="CD225" s="356"/>
      <c r="CE225" s="341">
        <v>0</v>
      </c>
      <c r="CF225" s="563"/>
      <c r="CG225" s="356"/>
    </row>
    <row r="226" spans="15:85">
      <c r="O226" s="122">
        <v>0</v>
      </c>
      <c r="P226" s="128">
        <f t="shared" si="44"/>
        <v>0</v>
      </c>
      <c r="Q226" s="126">
        <v>0</v>
      </c>
      <c r="R226" s="699">
        <f>IF($O227=0,0,        _xll.qDateNext($O226,R$17,"M",TRUE,Currency1))</f>
        <v>0</v>
      </c>
      <c r="S226" s="699">
        <f>IF($O227=0,0,        _xll.qDateNext($O226,S$17,"M",TRUE,Currency1))</f>
        <v>0</v>
      </c>
      <c r="T226" s="699">
        <f>IF($O227=0,0,        _xll.qDateNext($O226,T$17,"M",TRUE,Currency1))</f>
        <v>0</v>
      </c>
      <c r="U226" s="699">
        <f>IF($O227=0,0,        _xll.qDateNext($O226,U$17,"M",TRUE,Currency1))</f>
        <v>0</v>
      </c>
      <c r="V226" s="699">
        <f>IF($O227=0,0,        _xll.qDateNext($O226,V$17,"M",TRUE,Currency1))</f>
        <v>0</v>
      </c>
      <c r="W226" s="699">
        <f>IF($O227=0,0,        _xll.qDateNext($O226,W$17,"M",TRUE,Currency1))</f>
        <v>0</v>
      </c>
      <c r="X226" s="699">
        <f>IF($O227=0,0,        _xll.qDateNext($O226,X$17,"M",TRUE,Currency1))</f>
        <v>0</v>
      </c>
      <c r="Y226" s="699">
        <f>IF($O227=0,0,        _xll.qDateNext($O226,Y$17,"M",TRUE,Currency1))</f>
        <v>0</v>
      </c>
      <c r="Z226" s="703">
        <f>IF($O227=0,0,           IF(FRM,_xll.qGetFwdRate(Z$14,$O226,R226,"T",DCC_Leg1_Float),_xll.qGetFwdRate(Z$14,$O226,$O227,"T",DCC_Leg1_Float)))</f>
        <v>0</v>
      </c>
      <c r="AA226" s="703">
        <f>IF($O227=0,0,           IF(FRM,_xll.qGetFwdRate(AA$14,$O226,S226,"T",DCC_Leg1_Float),_xll.qGetFwdRate(AA$14,$O226,$O227,"T",DCC_Leg1_Float)))</f>
        <v>0</v>
      </c>
      <c r="AB226" s="703">
        <f t="shared" si="45"/>
        <v>0</v>
      </c>
      <c r="AC226" s="703">
        <f>IF($O227=0,0,           IF(FRM,_xll.qGetFwdRate(AC$14,$O226,U226,"T",DCC_Leg1_Float),_xll.qGetFwdRate(AC$14,$O226,$O227,"T",DCC_Leg1_Float)))</f>
        <v>0</v>
      </c>
      <c r="AD226" s="703">
        <f t="shared" si="50"/>
        <v>0</v>
      </c>
      <c r="AE226" s="703">
        <f t="shared" si="51"/>
        <v>0</v>
      </c>
      <c r="AF226" s="703">
        <f>IF($O227=0,0,           IF(FRM,_xll.qGetFwdRate(AF$14,$O226,X226,"T",DCC_Leg1_Float),_xll.qGetFwdRate(AF$14,$O226,$O227,"T",DCC_Leg1_Float)))</f>
        <v>0</v>
      </c>
      <c r="AG226" s="703">
        <f>IF($O227=0,0,           IF(FRM,_xll.qGetFwdRate(AG$14,$O226,Y226,"T",DCC_Leg1_Float),_xll.qGetFwdRate(AG$14,$O226,$O227,"T",DCC_Leg1_Float)))</f>
        <v>0</v>
      </c>
      <c r="AH226" s="685">
        <v>0</v>
      </c>
      <c r="AI226" s="667"/>
      <c r="AJ226" s="670">
        <f>IF(O227=0,0,             IF(ISNUMBER(AI226),AI226,             IF(ISTEXT(AI226),INDEX(Z226:AG226,MATCH(AI226,$Z$17:$AG$17,0)),           IF(AH226="INT",_xll.qInterp(O227,R226:Y226,Z226:AG226),       INDEX(Z226:AG226,MATCH(AH226,$Z$17:$AG$17,0))))))</f>
        <v>0</v>
      </c>
      <c r="AK226" s="732">
        <v>20</v>
      </c>
      <c r="AL226" s="721">
        <f t="shared" si="46"/>
        <v>0</v>
      </c>
      <c r="AM226" s="284">
        <f>IF($O227,_xll.qDateYears($O226,$O227,DCC_Leg1_Fixed),0)</f>
        <v>0</v>
      </c>
      <c r="AN226" s="284">
        <f>IF($O227,_xll.qDateYears($O226,$O227,DCC_Leg1_Float),0)</f>
        <v>0</v>
      </c>
      <c r="AP226" s="350">
        <f t="shared" si="52"/>
        <v>0</v>
      </c>
      <c r="AQ226" s="375">
        <f>IF(GenType_1a="Fixed",GenRate_1a%*$AL225*AM225,          IF(GenType_1a="Float",$AL225*(_xll.qGetFwdRate($D$18,$O225,$O226,"T",DCC_Leg1_Float)%+GenRate_1a%%)*$AN225,        IF(GenType_1a="bp (Fixed)",GenRate_1a%%*$AM225*$AL225,   IF(GenType_1a="bp (Float)",GenRate_1a%%*$AL225*$AN225,0))))</f>
        <v>0</v>
      </c>
      <c r="AR226" s="561"/>
      <c r="AT226" s="341">
        <f t="shared" si="42"/>
        <v>0</v>
      </c>
      <c r="AV226" s="356"/>
      <c r="AW226" s="122">
        <v>0</v>
      </c>
      <c r="AX226" s="128">
        <f t="shared" si="47"/>
        <v>0</v>
      </c>
      <c r="AY226" s="357">
        <v>0</v>
      </c>
      <c r="AZ226" s="699">
        <f>IF($AW227=0,0,        _xll.qDateNext($AW226,AZ$17,"M",TRUE,Currency2))</f>
        <v>0</v>
      </c>
      <c r="BA226" s="699">
        <f>IF($AW227=0,0,        _xll.qDateNext($AW226,BA$17,"M",TRUE,Currency2))</f>
        <v>0</v>
      </c>
      <c r="BB226" s="699">
        <f>IF($AW227=0,0,        _xll.qDateNext($AW226,BB$17,"M",TRUE,Currency2))</f>
        <v>0</v>
      </c>
      <c r="BC226" s="699">
        <f>IF($AW227=0,0,        _xll.qDateNext($AW226,BC$17,"M",TRUE,Currency2))</f>
        <v>0</v>
      </c>
      <c r="BD226" s="699">
        <f>IF($AW227=0,0,        _xll.qDateNext($AW226,BD$17,"M",TRUE,Currency2))</f>
        <v>0</v>
      </c>
      <c r="BE226" s="699">
        <f>IF($AW227=0,0,        _xll.qDateNext($AW226,BE$17,"M",TRUE,Currency2))</f>
        <v>0</v>
      </c>
      <c r="BF226" s="699">
        <f>IF($AW227=0,0,        _xll.qDateNext($AW226,BF$17,"M",TRUE,Currency2))</f>
        <v>0</v>
      </c>
      <c r="BG226" s="699">
        <f>IF($AW227=0,0,        _xll.qDateNext($AW226,BG$17,"M",TRUE,Currency2))</f>
        <v>0</v>
      </c>
      <c r="BH226" s="703">
        <v>0</v>
      </c>
      <c r="BI226" s="703">
        <v>0</v>
      </c>
      <c r="BJ226" s="703">
        <v>0</v>
      </c>
      <c r="BK226" s="703">
        <v>0</v>
      </c>
      <c r="BL226" s="703">
        <f t="shared" si="53"/>
        <v>0</v>
      </c>
      <c r="BM226" s="703">
        <f t="shared" si="54"/>
        <v>0</v>
      </c>
      <c r="BN226" s="703">
        <v>0</v>
      </c>
      <c r="BO226" s="703">
        <v>0</v>
      </c>
      <c r="BP226" s="685">
        <v>0</v>
      </c>
      <c r="BQ226" s="667"/>
      <c r="BR226" s="670">
        <f>IF(AW227=0,0,             IF(ISNUMBER(BQ226),BQ226,             IF(ISTEXT(BQ226),INDEX(BH226:BO226,MATCH(BQ226,$BH$17:$BO$17,0)),           IF(BP226="INT",_xll.qInterp(AW227,AZ226:BG226,BH226:BO226),       INDEX(BH226:BO226,MATCH(BP226,$BH$17:$BO$17,0))))))</f>
        <v>0</v>
      </c>
      <c r="BS226" s="731">
        <f t="shared" si="48"/>
        <v>0</v>
      </c>
      <c r="BT226" s="406">
        <f t="shared" si="49"/>
        <v>0</v>
      </c>
      <c r="BU226" s="284">
        <f>IF($AW227,_xll.qDateYears($AW226,$AW227,DCC_Leg2_Fixed),0)</f>
        <v>0</v>
      </c>
      <c r="BV226" s="284">
        <f>IF($AW227,_xll.qDateYears($AW226,$AW227,DCC_Leg2_Float),0)</f>
        <v>0</v>
      </c>
      <c r="BX226" s="350">
        <f t="shared" si="55"/>
        <v>0</v>
      </c>
      <c r="BY226" s="375">
        <f>IF(GenType_2a="Fixed",GenRate_2a%*$BT225*BU225,          IF(GenType_2a="Float",$BT225*(_xll.qGetFwdRate($J$18,$AW225,$AW226,"T",DCC_Leg2_Float)%+GenRate_2a%%)*$BV225,        IF(GenType_2a="bp (Fixed)",GenRate_2a%%*$BU225*$BT225,   IF(GenType_2a="bp (Float)",GenRate_2a%%*$BT225*$BV225,0))))</f>
        <v>0</v>
      </c>
      <c r="BZ226" s="561"/>
      <c r="CB226" s="341">
        <f t="shared" si="43"/>
        <v>0</v>
      </c>
      <c r="CC226" s="563"/>
      <c r="CD226" s="356"/>
      <c r="CE226" s="341">
        <v>0</v>
      </c>
      <c r="CF226" s="563"/>
      <c r="CG226" s="356"/>
    </row>
    <row r="227" spans="15:85">
      <c r="O227" s="122">
        <v>0</v>
      </c>
      <c r="P227" s="128">
        <f t="shared" si="44"/>
        <v>0</v>
      </c>
      <c r="Q227" s="126">
        <v>0</v>
      </c>
      <c r="R227" s="699">
        <f>IF($O228=0,0,        _xll.qDateNext($O227,R$17,"M",TRUE,Currency1))</f>
        <v>0</v>
      </c>
      <c r="S227" s="699">
        <f>IF($O228=0,0,        _xll.qDateNext($O227,S$17,"M",TRUE,Currency1))</f>
        <v>0</v>
      </c>
      <c r="T227" s="699">
        <f>IF($O228=0,0,        _xll.qDateNext($O227,T$17,"M",TRUE,Currency1))</f>
        <v>0</v>
      </c>
      <c r="U227" s="699">
        <f>IF($O228=0,0,        _xll.qDateNext($O227,U$17,"M",TRUE,Currency1))</f>
        <v>0</v>
      </c>
      <c r="V227" s="699">
        <f>IF($O228=0,0,        _xll.qDateNext($O227,V$17,"M",TRUE,Currency1))</f>
        <v>0</v>
      </c>
      <c r="W227" s="699">
        <f>IF($O228=0,0,        _xll.qDateNext($O227,W$17,"M",TRUE,Currency1))</f>
        <v>0</v>
      </c>
      <c r="X227" s="699">
        <f>IF($O228=0,0,        _xll.qDateNext($O227,X$17,"M",TRUE,Currency1))</f>
        <v>0</v>
      </c>
      <c r="Y227" s="699">
        <f>IF($O228=0,0,        _xll.qDateNext($O227,Y$17,"M",TRUE,Currency1))</f>
        <v>0</v>
      </c>
      <c r="Z227" s="703">
        <f>IF($O228=0,0,           IF(FRM,_xll.qGetFwdRate(Z$14,$O227,R227,"T",DCC_Leg1_Float),_xll.qGetFwdRate(Z$14,$O227,$O228,"T",DCC_Leg1_Float)))</f>
        <v>0</v>
      </c>
      <c r="AA227" s="703">
        <f>IF($O228=0,0,           IF(FRM,_xll.qGetFwdRate(AA$14,$O227,S227,"T",DCC_Leg1_Float),_xll.qGetFwdRate(AA$14,$O227,$O228,"T",DCC_Leg1_Float)))</f>
        <v>0</v>
      </c>
      <c r="AB227" s="703">
        <f t="shared" si="45"/>
        <v>0</v>
      </c>
      <c r="AC227" s="703">
        <f>IF($O228=0,0,           IF(FRM,_xll.qGetFwdRate(AC$14,$O227,U227,"T",DCC_Leg1_Float),_xll.qGetFwdRate(AC$14,$O227,$O228,"T",DCC_Leg1_Float)))</f>
        <v>0</v>
      </c>
      <c r="AD227" s="703">
        <f t="shared" si="50"/>
        <v>0</v>
      </c>
      <c r="AE227" s="703">
        <f t="shared" si="51"/>
        <v>0</v>
      </c>
      <c r="AF227" s="703">
        <f>IF($O228=0,0,           IF(FRM,_xll.qGetFwdRate(AF$14,$O227,X227,"T",DCC_Leg1_Float),_xll.qGetFwdRate(AF$14,$O227,$O228,"T",DCC_Leg1_Float)))</f>
        <v>0</v>
      </c>
      <c r="AG227" s="703">
        <f>IF($O228=0,0,           IF(FRM,_xll.qGetFwdRate(AG$14,$O227,Y227,"T",DCC_Leg1_Float),_xll.qGetFwdRate(AG$14,$O227,$O228,"T",DCC_Leg1_Float)))</f>
        <v>0</v>
      </c>
      <c r="AH227" s="685">
        <v>0</v>
      </c>
      <c r="AI227" s="667"/>
      <c r="AJ227" s="670">
        <f>IF(O228=0,0,             IF(ISNUMBER(AI227),AI227,             IF(ISTEXT(AI227),INDEX(Z227:AG227,MATCH(AI227,$Z$17:$AG$17,0)),           IF(AH227="INT",_xll.qInterp(O228,R227:Y227,Z227:AG227),       INDEX(Z227:AG227,MATCH(AH227,$Z$17:$AG$17,0))))))</f>
        <v>0</v>
      </c>
      <c r="AK227" s="732">
        <v>20</v>
      </c>
      <c r="AL227" s="721">
        <f t="shared" si="46"/>
        <v>0</v>
      </c>
      <c r="AM227" s="284">
        <f>IF($O228,_xll.qDateYears($O227,$O228,DCC_Leg1_Fixed),0)</f>
        <v>0</v>
      </c>
      <c r="AN227" s="284">
        <f>IF($O228,_xll.qDateYears($O227,$O228,DCC_Leg1_Float),0)</f>
        <v>0</v>
      </c>
      <c r="AP227" s="350">
        <f t="shared" si="52"/>
        <v>0</v>
      </c>
      <c r="AQ227" s="375">
        <f>IF(GenType_1a="Fixed",GenRate_1a%*$AL226*AM226,          IF(GenType_1a="Float",$AL226*(_xll.qGetFwdRate($D$18,$O226,$O227,"T",DCC_Leg1_Float)%+GenRate_1a%%)*$AN226,        IF(GenType_1a="bp (Fixed)",GenRate_1a%%*$AM226*$AL226,   IF(GenType_1a="bp (Float)",GenRate_1a%%*$AL226*$AN226,0))))</f>
        <v>0</v>
      </c>
      <c r="AR227" s="561"/>
      <c r="AT227" s="341">
        <f t="shared" si="42"/>
        <v>0</v>
      </c>
      <c r="AV227" s="356"/>
      <c r="AW227" s="122">
        <v>0</v>
      </c>
      <c r="AX227" s="128">
        <f t="shared" si="47"/>
        <v>0</v>
      </c>
      <c r="AY227" s="357">
        <v>0</v>
      </c>
      <c r="AZ227" s="699">
        <f>IF($AW228=0,0,        _xll.qDateNext($AW227,AZ$17,"M",TRUE,Currency2))</f>
        <v>0</v>
      </c>
      <c r="BA227" s="699">
        <f>IF($AW228=0,0,        _xll.qDateNext($AW227,BA$17,"M",TRUE,Currency2))</f>
        <v>0</v>
      </c>
      <c r="BB227" s="699">
        <f>IF($AW228=0,0,        _xll.qDateNext($AW227,BB$17,"M",TRUE,Currency2))</f>
        <v>0</v>
      </c>
      <c r="BC227" s="699">
        <f>IF($AW228=0,0,        _xll.qDateNext($AW227,BC$17,"M",TRUE,Currency2))</f>
        <v>0</v>
      </c>
      <c r="BD227" s="699">
        <f>IF($AW228=0,0,        _xll.qDateNext($AW227,BD$17,"M",TRUE,Currency2))</f>
        <v>0</v>
      </c>
      <c r="BE227" s="699">
        <f>IF($AW228=0,0,        _xll.qDateNext($AW227,BE$17,"M",TRUE,Currency2))</f>
        <v>0</v>
      </c>
      <c r="BF227" s="699">
        <f>IF($AW228=0,0,        _xll.qDateNext($AW227,BF$17,"M",TRUE,Currency2))</f>
        <v>0</v>
      </c>
      <c r="BG227" s="699">
        <f>IF($AW228=0,0,        _xll.qDateNext($AW227,BG$17,"M",TRUE,Currency2))</f>
        <v>0</v>
      </c>
      <c r="BH227" s="703">
        <v>0</v>
      </c>
      <c r="BI227" s="703">
        <v>0</v>
      </c>
      <c r="BJ227" s="703">
        <v>0</v>
      </c>
      <c r="BK227" s="703">
        <v>0</v>
      </c>
      <c r="BL227" s="703">
        <f t="shared" si="53"/>
        <v>0</v>
      </c>
      <c r="BM227" s="703">
        <f t="shared" si="54"/>
        <v>0</v>
      </c>
      <c r="BN227" s="703">
        <v>0</v>
      </c>
      <c r="BO227" s="703">
        <v>0</v>
      </c>
      <c r="BP227" s="685">
        <v>0</v>
      </c>
      <c r="BQ227" s="667"/>
      <c r="BR227" s="670">
        <f>IF(AW228=0,0,             IF(ISNUMBER(BQ227),BQ227,             IF(ISTEXT(BQ227),INDEX(BH227:BO227,MATCH(BQ227,$BH$17:$BO$17,0)),           IF(BP227="INT",_xll.qInterp(AW228,AZ227:BG227,BH227:BO227),       INDEX(BH227:BO227,MATCH(BP227,$BH$17:$BO$17,0))))))</f>
        <v>0</v>
      </c>
      <c r="BS227" s="731">
        <f t="shared" si="48"/>
        <v>0</v>
      </c>
      <c r="BT227" s="406">
        <f t="shared" si="49"/>
        <v>0</v>
      </c>
      <c r="BU227" s="284">
        <f>IF($AW228,_xll.qDateYears($AW227,$AW228,DCC_Leg2_Fixed),0)</f>
        <v>0</v>
      </c>
      <c r="BV227" s="284">
        <f>IF($AW228,_xll.qDateYears($AW227,$AW228,DCC_Leg2_Float),0)</f>
        <v>0</v>
      </c>
      <c r="BX227" s="350">
        <f t="shared" si="55"/>
        <v>0</v>
      </c>
      <c r="BY227" s="375">
        <f>IF(GenType_2a="Fixed",GenRate_2a%*$BT226*BU226,          IF(GenType_2a="Float",$BT226*(_xll.qGetFwdRate($J$18,$AW226,$AW227,"T",DCC_Leg2_Float)%+GenRate_2a%%)*$BV226,        IF(GenType_2a="bp (Fixed)",GenRate_2a%%*$BU226*$BT226,   IF(GenType_2a="bp (Float)",GenRate_2a%%*$BT226*$BV226,0))))</f>
        <v>0</v>
      </c>
      <c r="BZ227" s="561"/>
      <c r="CB227" s="341">
        <f t="shared" si="43"/>
        <v>0</v>
      </c>
      <c r="CC227" s="563"/>
      <c r="CD227" s="356"/>
      <c r="CE227" s="341">
        <v>0</v>
      </c>
      <c r="CF227" s="563"/>
      <c r="CG227" s="356"/>
    </row>
    <row r="228" spans="15:85">
      <c r="O228" s="122">
        <v>0</v>
      </c>
      <c r="P228" s="128">
        <f t="shared" si="44"/>
        <v>0</v>
      </c>
      <c r="Q228" s="126">
        <v>0</v>
      </c>
      <c r="R228" s="699">
        <f>IF($O229=0,0,        _xll.qDateNext($O228,R$17,"M",TRUE,Currency1))</f>
        <v>0</v>
      </c>
      <c r="S228" s="699">
        <f>IF($O229=0,0,        _xll.qDateNext($O228,S$17,"M",TRUE,Currency1))</f>
        <v>0</v>
      </c>
      <c r="T228" s="699">
        <f>IF($O229=0,0,        _xll.qDateNext($O228,T$17,"M",TRUE,Currency1))</f>
        <v>0</v>
      </c>
      <c r="U228" s="699">
        <f>IF($O229=0,0,        _xll.qDateNext($O228,U$17,"M",TRUE,Currency1))</f>
        <v>0</v>
      </c>
      <c r="V228" s="699">
        <f>IF($O229=0,0,        _xll.qDateNext($O228,V$17,"M",TRUE,Currency1))</f>
        <v>0</v>
      </c>
      <c r="W228" s="699">
        <f>IF($O229=0,0,        _xll.qDateNext($O228,W$17,"M",TRUE,Currency1))</f>
        <v>0</v>
      </c>
      <c r="X228" s="699">
        <f>IF($O229=0,0,        _xll.qDateNext($O228,X$17,"M",TRUE,Currency1))</f>
        <v>0</v>
      </c>
      <c r="Y228" s="699">
        <f>IF($O229=0,0,        _xll.qDateNext($O228,Y$17,"M",TRUE,Currency1))</f>
        <v>0</v>
      </c>
      <c r="Z228" s="703">
        <f>IF($O229=0,0,           IF(FRM,_xll.qGetFwdRate(Z$14,$O228,R228,"T",DCC_Leg1_Float),_xll.qGetFwdRate(Z$14,$O228,$O229,"T",DCC_Leg1_Float)))</f>
        <v>0</v>
      </c>
      <c r="AA228" s="703">
        <f>IF($O229=0,0,           IF(FRM,_xll.qGetFwdRate(AA$14,$O228,S228,"T",DCC_Leg1_Float),_xll.qGetFwdRate(AA$14,$O228,$O229,"T",DCC_Leg1_Float)))</f>
        <v>0</v>
      </c>
      <c r="AB228" s="703">
        <f t="shared" si="45"/>
        <v>0</v>
      </c>
      <c r="AC228" s="703">
        <f>IF($O229=0,0,           IF(FRM,_xll.qGetFwdRate(AC$14,$O228,U228,"T",DCC_Leg1_Float),_xll.qGetFwdRate(AC$14,$O228,$O229,"T",DCC_Leg1_Float)))</f>
        <v>0</v>
      </c>
      <c r="AD228" s="703">
        <f t="shared" si="50"/>
        <v>0</v>
      </c>
      <c r="AE228" s="703">
        <f t="shared" si="51"/>
        <v>0</v>
      </c>
      <c r="AF228" s="703">
        <f>IF($O229=0,0,           IF(FRM,_xll.qGetFwdRate(AF$14,$O228,X228,"T",DCC_Leg1_Float),_xll.qGetFwdRate(AF$14,$O228,$O229,"T",DCC_Leg1_Float)))</f>
        <v>0</v>
      </c>
      <c r="AG228" s="703">
        <f>IF($O229=0,0,           IF(FRM,_xll.qGetFwdRate(AG$14,$O228,Y228,"T",DCC_Leg1_Float),_xll.qGetFwdRate(AG$14,$O228,$O229,"T",DCC_Leg1_Float)))</f>
        <v>0</v>
      </c>
      <c r="AH228" s="685">
        <v>0</v>
      </c>
      <c r="AI228" s="667"/>
      <c r="AJ228" s="670">
        <f>IF(O229=0,0,             IF(ISNUMBER(AI228),AI228,             IF(ISTEXT(AI228),INDEX(Z228:AG228,MATCH(AI228,$Z$17:$AG$17,0)),           IF(AH228="INT",_xll.qInterp(O229,R228:Y228,Z228:AG228),       INDEX(Z228:AG228,MATCH(AH228,$Z$17:$AG$17,0))))))</f>
        <v>0</v>
      </c>
      <c r="AK228" s="732">
        <v>20</v>
      </c>
      <c r="AL228" s="721">
        <f t="shared" si="46"/>
        <v>0</v>
      </c>
      <c r="AM228" s="284">
        <f>IF($O229,_xll.qDateYears($O228,$O229,DCC_Leg1_Fixed),0)</f>
        <v>0</v>
      </c>
      <c r="AN228" s="284">
        <f>IF($O229,_xll.qDateYears($O228,$O229,DCC_Leg1_Float),0)</f>
        <v>0</v>
      </c>
      <c r="AP228" s="350">
        <f t="shared" si="52"/>
        <v>0</v>
      </c>
      <c r="AQ228" s="375">
        <f>IF(GenType_1a="Fixed",GenRate_1a%*$AL227*AM227,          IF(GenType_1a="Float",$AL227*(_xll.qGetFwdRate($D$18,$O227,$O228,"T",DCC_Leg1_Float)%+GenRate_1a%%)*$AN227,        IF(GenType_1a="bp (Fixed)",GenRate_1a%%*$AM227*$AL227,   IF(GenType_1a="bp (Float)",GenRate_1a%%*$AL227*$AN227,0))))</f>
        <v>0</v>
      </c>
      <c r="AR228" s="561"/>
      <c r="AT228" s="341">
        <f t="shared" si="42"/>
        <v>0</v>
      </c>
      <c r="AV228" s="356"/>
      <c r="AW228" s="122">
        <v>0</v>
      </c>
      <c r="AX228" s="128">
        <f t="shared" si="47"/>
        <v>0</v>
      </c>
      <c r="AY228" s="357">
        <v>0</v>
      </c>
      <c r="AZ228" s="699">
        <f>IF($AW229=0,0,        _xll.qDateNext($AW228,AZ$17,"M",TRUE,Currency2))</f>
        <v>0</v>
      </c>
      <c r="BA228" s="699">
        <f>IF($AW229=0,0,        _xll.qDateNext($AW228,BA$17,"M",TRUE,Currency2))</f>
        <v>0</v>
      </c>
      <c r="BB228" s="699">
        <f>IF($AW229=0,0,        _xll.qDateNext($AW228,BB$17,"M",TRUE,Currency2))</f>
        <v>0</v>
      </c>
      <c r="BC228" s="699">
        <f>IF($AW229=0,0,        _xll.qDateNext($AW228,BC$17,"M",TRUE,Currency2))</f>
        <v>0</v>
      </c>
      <c r="BD228" s="699">
        <f>IF($AW229=0,0,        _xll.qDateNext($AW228,BD$17,"M",TRUE,Currency2))</f>
        <v>0</v>
      </c>
      <c r="BE228" s="699">
        <f>IF($AW229=0,0,        _xll.qDateNext($AW228,BE$17,"M",TRUE,Currency2))</f>
        <v>0</v>
      </c>
      <c r="BF228" s="699">
        <f>IF($AW229=0,0,        _xll.qDateNext($AW228,BF$17,"M",TRUE,Currency2))</f>
        <v>0</v>
      </c>
      <c r="BG228" s="699">
        <f>IF($AW229=0,0,        _xll.qDateNext($AW228,BG$17,"M",TRUE,Currency2))</f>
        <v>0</v>
      </c>
      <c r="BH228" s="703">
        <v>0</v>
      </c>
      <c r="BI228" s="703">
        <v>0</v>
      </c>
      <c r="BJ228" s="703">
        <v>0</v>
      </c>
      <c r="BK228" s="703">
        <v>0</v>
      </c>
      <c r="BL228" s="703">
        <f t="shared" si="53"/>
        <v>0</v>
      </c>
      <c r="BM228" s="703">
        <f t="shared" si="54"/>
        <v>0</v>
      </c>
      <c r="BN228" s="703">
        <v>0</v>
      </c>
      <c r="BO228" s="703">
        <v>0</v>
      </c>
      <c r="BP228" s="685">
        <v>0</v>
      </c>
      <c r="BQ228" s="667"/>
      <c r="BR228" s="670">
        <f>IF(AW229=0,0,             IF(ISNUMBER(BQ228),BQ228,             IF(ISTEXT(BQ228),INDEX(BH228:BO228,MATCH(BQ228,$BH$17:$BO$17,0)),           IF(BP228="INT",_xll.qInterp(AW229,AZ228:BG228,BH228:BO228),       INDEX(BH228:BO228,MATCH(BP228,$BH$17:$BO$17,0))))))</f>
        <v>0</v>
      </c>
      <c r="BS228" s="731">
        <f t="shared" si="48"/>
        <v>0</v>
      </c>
      <c r="BT228" s="406">
        <f t="shared" si="49"/>
        <v>0</v>
      </c>
      <c r="BU228" s="284">
        <f>IF($AW229,_xll.qDateYears($AW228,$AW229,DCC_Leg2_Fixed),0)</f>
        <v>0</v>
      </c>
      <c r="BV228" s="284">
        <f>IF($AW229,_xll.qDateYears($AW228,$AW229,DCC_Leg2_Float),0)</f>
        <v>0</v>
      </c>
      <c r="BX228" s="350">
        <f t="shared" si="55"/>
        <v>0</v>
      </c>
      <c r="BY228" s="375">
        <f>IF(GenType_2a="Fixed",GenRate_2a%*$BT227*BU227,          IF(GenType_2a="Float",$BT227*(_xll.qGetFwdRate($J$18,$AW227,$AW228,"T",DCC_Leg2_Float)%+GenRate_2a%%)*$BV227,        IF(GenType_2a="bp (Fixed)",GenRate_2a%%*$BU227*$BT227,   IF(GenType_2a="bp (Float)",GenRate_2a%%*$BT227*$BV227,0))))</f>
        <v>0</v>
      </c>
      <c r="BZ228" s="561"/>
      <c r="CB228" s="341">
        <f t="shared" si="43"/>
        <v>0</v>
      </c>
      <c r="CC228" s="563"/>
      <c r="CD228" s="356"/>
      <c r="CE228" s="341">
        <v>0</v>
      </c>
      <c r="CF228" s="563"/>
      <c r="CG228" s="356"/>
    </row>
    <row r="229" spans="15:85">
      <c r="O229" s="122">
        <v>0</v>
      </c>
      <c r="P229" s="128">
        <f t="shared" si="44"/>
        <v>0</v>
      </c>
      <c r="Q229" s="126">
        <v>0</v>
      </c>
      <c r="R229" s="699">
        <f>IF($O230=0,0,        _xll.qDateNext($O229,R$17,"M",TRUE,Currency1))</f>
        <v>0</v>
      </c>
      <c r="S229" s="699">
        <f>IF($O230=0,0,        _xll.qDateNext($O229,S$17,"M",TRUE,Currency1))</f>
        <v>0</v>
      </c>
      <c r="T229" s="699">
        <f>IF($O230=0,0,        _xll.qDateNext($O229,T$17,"M",TRUE,Currency1))</f>
        <v>0</v>
      </c>
      <c r="U229" s="699">
        <f>IF($O230=0,0,        _xll.qDateNext($O229,U$17,"M",TRUE,Currency1))</f>
        <v>0</v>
      </c>
      <c r="V229" s="699">
        <f>IF($O230=0,0,        _xll.qDateNext($O229,V$17,"M",TRUE,Currency1))</f>
        <v>0</v>
      </c>
      <c r="W229" s="699">
        <f>IF($O230=0,0,        _xll.qDateNext($O229,W$17,"M",TRUE,Currency1))</f>
        <v>0</v>
      </c>
      <c r="X229" s="699">
        <f>IF($O230=0,0,        _xll.qDateNext($O229,X$17,"M",TRUE,Currency1))</f>
        <v>0</v>
      </c>
      <c r="Y229" s="699">
        <f>IF($O230=0,0,        _xll.qDateNext($O229,Y$17,"M",TRUE,Currency1))</f>
        <v>0</v>
      </c>
      <c r="Z229" s="703">
        <f>IF($O230=0,0,           IF(FRM,_xll.qGetFwdRate(Z$14,$O229,R229,"T",DCC_Leg1_Float),_xll.qGetFwdRate(Z$14,$O229,$O230,"T",DCC_Leg1_Float)))</f>
        <v>0</v>
      </c>
      <c r="AA229" s="703">
        <f>IF($O230=0,0,           IF(FRM,_xll.qGetFwdRate(AA$14,$O229,S229,"T",DCC_Leg1_Float),_xll.qGetFwdRate(AA$14,$O229,$O230,"T",DCC_Leg1_Float)))</f>
        <v>0</v>
      </c>
      <c r="AB229" s="703">
        <f t="shared" si="45"/>
        <v>0</v>
      </c>
      <c r="AC229" s="703">
        <f>IF($O230=0,0,           IF(FRM,_xll.qGetFwdRate(AC$14,$O229,U229,"T",DCC_Leg1_Float),_xll.qGetFwdRate(AC$14,$O229,$O230,"T",DCC_Leg1_Float)))</f>
        <v>0</v>
      </c>
      <c r="AD229" s="703">
        <f t="shared" si="50"/>
        <v>0</v>
      </c>
      <c r="AE229" s="703">
        <f t="shared" si="51"/>
        <v>0</v>
      </c>
      <c r="AF229" s="703">
        <f>IF($O230=0,0,           IF(FRM,_xll.qGetFwdRate(AF$14,$O229,X229,"T",DCC_Leg1_Float),_xll.qGetFwdRate(AF$14,$O229,$O230,"T",DCC_Leg1_Float)))</f>
        <v>0</v>
      </c>
      <c r="AG229" s="703">
        <f>IF($O230=0,0,           IF(FRM,_xll.qGetFwdRate(AG$14,$O229,Y229,"T",DCC_Leg1_Float),_xll.qGetFwdRate(AG$14,$O229,$O230,"T",DCC_Leg1_Float)))</f>
        <v>0</v>
      </c>
      <c r="AH229" s="685">
        <v>0</v>
      </c>
      <c r="AI229" s="667"/>
      <c r="AJ229" s="670">
        <f>IF(O230=0,0,             IF(ISNUMBER(AI229),AI229,             IF(ISTEXT(AI229),INDEX(Z229:AG229,MATCH(AI229,$Z$17:$AG$17,0)),           IF(AH229="INT",_xll.qInterp(O230,R229:Y229,Z229:AG229),       INDEX(Z229:AG229,MATCH(AH229,$Z$17:$AG$17,0))))))</f>
        <v>0</v>
      </c>
      <c r="AK229" s="732">
        <v>20</v>
      </c>
      <c r="AL229" s="721">
        <f t="shared" si="46"/>
        <v>0</v>
      </c>
      <c r="AM229" s="284">
        <f>IF($O230,_xll.qDateYears($O229,$O230,DCC_Leg1_Fixed),0)</f>
        <v>0</v>
      </c>
      <c r="AN229" s="284">
        <f>IF($O230,_xll.qDateYears($O229,$O230,DCC_Leg1_Float),0)</f>
        <v>0</v>
      </c>
      <c r="AP229" s="350">
        <f t="shared" si="52"/>
        <v>0</v>
      </c>
      <c r="AQ229" s="375">
        <f>IF(GenType_1a="Fixed",GenRate_1a%*$AL228*AM228,          IF(GenType_1a="Float",$AL228*(_xll.qGetFwdRate($D$18,$O228,$O229,"T",DCC_Leg1_Float)%+GenRate_1a%%)*$AN228,        IF(GenType_1a="bp (Fixed)",GenRate_1a%%*$AM228*$AL228,   IF(GenType_1a="bp (Float)",GenRate_1a%%*$AL228*$AN228,0))))</f>
        <v>0</v>
      </c>
      <c r="AR229" s="561"/>
      <c r="AT229" s="341">
        <f t="shared" si="42"/>
        <v>0</v>
      </c>
      <c r="AV229" s="356"/>
      <c r="AW229" s="122">
        <v>0</v>
      </c>
      <c r="AX229" s="128">
        <f t="shared" si="47"/>
        <v>0</v>
      </c>
      <c r="AY229" s="357">
        <v>0</v>
      </c>
      <c r="AZ229" s="699">
        <f>IF($AW230=0,0,        _xll.qDateNext($AW229,AZ$17,"M",TRUE,Currency2))</f>
        <v>0</v>
      </c>
      <c r="BA229" s="699">
        <f>IF($AW230=0,0,        _xll.qDateNext($AW229,BA$17,"M",TRUE,Currency2))</f>
        <v>0</v>
      </c>
      <c r="BB229" s="699">
        <f>IF($AW230=0,0,        _xll.qDateNext($AW229,BB$17,"M",TRUE,Currency2))</f>
        <v>0</v>
      </c>
      <c r="BC229" s="699">
        <f>IF($AW230=0,0,        _xll.qDateNext($AW229,BC$17,"M",TRUE,Currency2))</f>
        <v>0</v>
      </c>
      <c r="BD229" s="699">
        <f>IF($AW230=0,0,        _xll.qDateNext($AW229,BD$17,"M",TRUE,Currency2))</f>
        <v>0</v>
      </c>
      <c r="BE229" s="699">
        <f>IF($AW230=0,0,        _xll.qDateNext($AW229,BE$17,"M",TRUE,Currency2))</f>
        <v>0</v>
      </c>
      <c r="BF229" s="699">
        <f>IF($AW230=0,0,        _xll.qDateNext($AW229,BF$17,"M",TRUE,Currency2))</f>
        <v>0</v>
      </c>
      <c r="BG229" s="699">
        <f>IF($AW230=0,0,        _xll.qDateNext($AW229,BG$17,"M",TRUE,Currency2))</f>
        <v>0</v>
      </c>
      <c r="BH229" s="703">
        <v>0</v>
      </c>
      <c r="BI229" s="703">
        <v>0</v>
      </c>
      <c r="BJ229" s="703">
        <v>0</v>
      </c>
      <c r="BK229" s="703">
        <v>0</v>
      </c>
      <c r="BL229" s="703">
        <f t="shared" si="53"/>
        <v>0</v>
      </c>
      <c r="BM229" s="703">
        <f t="shared" si="54"/>
        <v>0</v>
      </c>
      <c r="BN229" s="703">
        <v>0</v>
      </c>
      <c r="BO229" s="703">
        <v>0</v>
      </c>
      <c r="BP229" s="685">
        <v>0</v>
      </c>
      <c r="BQ229" s="667"/>
      <c r="BR229" s="670">
        <f>IF(AW230=0,0,             IF(ISNUMBER(BQ229),BQ229,             IF(ISTEXT(BQ229),INDEX(BH229:BO229,MATCH(BQ229,$BH$17:$BO$17,0)),           IF(BP229="INT",_xll.qInterp(AW230,AZ229:BG229,BH229:BO229),       INDEX(BH229:BO229,MATCH(BP229,$BH$17:$BO$17,0))))))</f>
        <v>0</v>
      </c>
      <c r="BS229" s="731">
        <f t="shared" si="48"/>
        <v>0</v>
      </c>
      <c r="BT229" s="406">
        <f t="shared" si="49"/>
        <v>0</v>
      </c>
      <c r="BU229" s="284">
        <f>IF($AW230,_xll.qDateYears($AW229,$AW230,DCC_Leg2_Fixed),0)</f>
        <v>0</v>
      </c>
      <c r="BV229" s="284">
        <f>IF($AW230,_xll.qDateYears($AW229,$AW230,DCC_Leg2_Float),0)</f>
        <v>0</v>
      </c>
      <c r="BX229" s="350">
        <f t="shared" si="55"/>
        <v>0</v>
      </c>
      <c r="BY229" s="375">
        <f>IF(GenType_2a="Fixed",GenRate_2a%*$BT228*BU228,          IF(GenType_2a="Float",$BT228*(_xll.qGetFwdRate($J$18,$AW228,$AW229,"T",DCC_Leg2_Float)%+GenRate_2a%%)*$BV228,        IF(GenType_2a="bp (Fixed)",GenRate_2a%%*$BU228*$BT228,   IF(GenType_2a="bp (Float)",GenRate_2a%%*$BT228*$BV228,0))))</f>
        <v>0</v>
      </c>
      <c r="BZ229" s="561"/>
      <c r="CB229" s="341">
        <f t="shared" si="43"/>
        <v>0</v>
      </c>
      <c r="CC229" s="563"/>
      <c r="CD229" s="356"/>
      <c r="CE229" s="341">
        <v>0</v>
      </c>
      <c r="CF229" s="563"/>
      <c r="CG229" s="356"/>
    </row>
    <row r="230" spans="15:85">
      <c r="O230" s="122">
        <v>0</v>
      </c>
      <c r="P230" s="128">
        <f t="shared" si="44"/>
        <v>0</v>
      </c>
      <c r="Q230" s="126">
        <v>0</v>
      </c>
      <c r="R230" s="699">
        <f>IF($O231=0,0,        _xll.qDateNext($O230,R$17,"M",TRUE,Currency1))</f>
        <v>0</v>
      </c>
      <c r="S230" s="699">
        <f>IF($O231=0,0,        _xll.qDateNext($O230,S$17,"M",TRUE,Currency1))</f>
        <v>0</v>
      </c>
      <c r="T230" s="699">
        <f>IF($O231=0,0,        _xll.qDateNext($O230,T$17,"M",TRUE,Currency1))</f>
        <v>0</v>
      </c>
      <c r="U230" s="699">
        <f>IF($O231=0,0,        _xll.qDateNext($O230,U$17,"M",TRUE,Currency1))</f>
        <v>0</v>
      </c>
      <c r="V230" s="699">
        <f>IF($O231=0,0,        _xll.qDateNext($O230,V$17,"M",TRUE,Currency1))</f>
        <v>0</v>
      </c>
      <c r="W230" s="699">
        <f>IF($O231=0,0,        _xll.qDateNext($O230,W$17,"M",TRUE,Currency1))</f>
        <v>0</v>
      </c>
      <c r="X230" s="699">
        <f>IF($O231=0,0,        _xll.qDateNext($O230,X$17,"M",TRUE,Currency1))</f>
        <v>0</v>
      </c>
      <c r="Y230" s="699">
        <f>IF($O231=0,0,        _xll.qDateNext($O230,Y$17,"M",TRUE,Currency1))</f>
        <v>0</v>
      </c>
      <c r="Z230" s="703">
        <f>IF($O231=0,0,           IF(FRM,_xll.qGetFwdRate(Z$14,$O230,R230,"T",DCC_Leg1_Float),_xll.qGetFwdRate(Z$14,$O230,$O231,"T",DCC_Leg1_Float)))</f>
        <v>0</v>
      </c>
      <c r="AA230" s="703">
        <f>IF($O231=0,0,           IF(FRM,_xll.qGetFwdRate(AA$14,$O230,S230,"T",DCC_Leg1_Float),_xll.qGetFwdRate(AA$14,$O230,$O231,"T",DCC_Leg1_Float)))</f>
        <v>0</v>
      </c>
      <c r="AB230" s="703">
        <f t="shared" si="45"/>
        <v>0</v>
      </c>
      <c r="AC230" s="703">
        <f>IF($O231=0,0,           IF(FRM,_xll.qGetFwdRate(AC$14,$O230,U230,"T",DCC_Leg1_Float),_xll.qGetFwdRate(AC$14,$O230,$O231,"T",DCC_Leg1_Float)))</f>
        <v>0</v>
      </c>
      <c r="AD230" s="703">
        <f t="shared" si="50"/>
        <v>0</v>
      </c>
      <c r="AE230" s="703">
        <f t="shared" si="51"/>
        <v>0</v>
      </c>
      <c r="AF230" s="703">
        <f>IF($O231=0,0,           IF(FRM,_xll.qGetFwdRate(AF$14,$O230,X230,"T",DCC_Leg1_Float),_xll.qGetFwdRate(AF$14,$O230,$O231,"T",DCC_Leg1_Float)))</f>
        <v>0</v>
      </c>
      <c r="AG230" s="703">
        <f>IF($O231=0,0,           IF(FRM,_xll.qGetFwdRate(AG$14,$O230,Y230,"T",DCC_Leg1_Float),_xll.qGetFwdRate(AG$14,$O230,$O231,"T",DCC_Leg1_Float)))</f>
        <v>0</v>
      </c>
      <c r="AH230" s="685">
        <v>0</v>
      </c>
      <c r="AI230" s="667"/>
      <c r="AJ230" s="670">
        <f>IF(O231=0,0,             IF(ISNUMBER(AI230),AI230,             IF(ISTEXT(AI230),INDEX(Z230:AG230,MATCH(AI230,$Z$17:$AG$17,0)),           IF(AH230="INT",_xll.qInterp(O231,R230:Y230,Z230:AG230),       INDEX(Z230:AG230,MATCH(AH230,$Z$17:$AG$17,0))))))</f>
        <v>0</v>
      </c>
      <c r="AK230" s="732">
        <v>20</v>
      </c>
      <c r="AL230" s="721">
        <f t="shared" si="46"/>
        <v>0</v>
      </c>
      <c r="AM230" s="284">
        <f>IF($O231,_xll.qDateYears($O230,$O231,DCC_Leg1_Fixed),0)</f>
        <v>0</v>
      </c>
      <c r="AN230" s="284">
        <f>IF($O231,_xll.qDateYears($O230,$O231,DCC_Leg1_Float),0)</f>
        <v>0</v>
      </c>
      <c r="AP230" s="350">
        <f t="shared" si="52"/>
        <v>0</v>
      </c>
      <c r="AQ230" s="375">
        <f>IF(GenType_1a="Fixed",GenRate_1a%*$AL229*AM229,          IF(GenType_1a="Float",$AL229*(_xll.qGetFwdRate($D$18,$O229,$O230,"T",DCC_Leg1_Float)%+GenRate_1a%%)*$AN229,        IF(GenType_1a="bp (Fixed)",GenRate_1a%%*$AM229*$AL229,   IF(GenType_1a="bp (Float)",GenRate_1a%%*$AL229*$AN229,0))))</f>
        <v>0</v>
      </c>
      <c r="AR230" s="561"/>
      <c r="AT230" s="341">
        <f t="shared" si="42"/>
        <v>0</v>
      </c>
      <c r="AV230" s="356"/>
      <c r="AW230" s="122">
        <v>0</v>
      </c>
      <c r="AX230" s="128">
        <f t="shared" si="47"/>
        <v>0</v>
      </c>
      <c r="AY230" s="357">
        <v>0</v>
      </c>
      <c r="AZ230" s="699">
        <f>IF($AW231=0,0,        _xll.qDateNext($AW230,AZ$17,"M",TRUE,Currency2))</f>
        <v>0</v>
      </c>
      <c r="BA230" s="699">
        <f>IF($AW231=0,0,        _xll.qDateNext($AW230,BA$17,"M",TRUE,Currency2))</f>
        <v>0</v>
      </c>
      <c r="BB230" s="699">
        <f>IF($AW231=0,0,        _xll.qDateNext($AW230,BB$17,"M",TRUE,Currency2))</f>
        <v>0</v>
      </c>
      <c r="BC230" s="699">
        <f>IF($AW231=0,0,        _xll.qDateNext($AW230,BC$17,"M",TRUE,Currency2))</f>
        <v>0</v>
      </c>
      <c r="BD230" s="699">
        <f>IF($AW231=0,0,        _xll.qDateNext($AW230,BD$17,"M",TRUE,Currency2))</f>
        <v>0</v>
      </c>
      <c r="BE230" s="699">
        <f>IF($AW231=0,0,        _xll.qDateNext($AW230,BE$17,"M",TRUE,Currency2))</f>
        <v>0</v>
      </c>
      <c r="BF230" s="699">
        <f>IF($AW231=0,0,        _xll.qDateNext($AW230,BF$17,"M",TRUE,Currency2))</f>
        <v>0</v>
      </c>
      <c r="BG230" s="699">
        <f>IF($AW231=0,0,        _xll.qDateNext($AW230,BG$17,"M",TRUE,Currency2))</f>
        <v>0</v>
      </c>
      <c r="BH230" s="703">
        <v>0</v>
      </c>
      <c r="BI230" s="703">
        <v>0</v>
      </c>
      <c r="BJ230" s="703">
        <v>0</v>
      </c>
      <c r="BK230" s="703">
        <v>0</v>
      </c>
      <c r="BL230" s="703">
        <f t="shared" si="53"/>
        <v>0</v>
      </c>
      <c r="BM230" s="703">
        <f t="shared" si="54"/>
        <v>0</v>
      </c>
      <c r="BN230" s="703">
        <v>0</v>
      </c>
      <c r="BO230" s="703">
        <v>0</v>
      </c>
      <c r="BP230" s="685">
        <v>0</v>
      </c>
      <c r="BQ230" s="667"/>
      <c r="BR230" s="670">
        <f>IF(AW231=0,0,             IF(ISNUMBER(BQ230),BQ230,             IF(ISTEXT(BQ230),INDEX(BH230:BO230,MATCH(BQ230,$BH$17:$BO$17,0)),           IF(BP230="INT",_xll.qInterp(AW231,AZ230:BG230,BH230:BO230),       INDEX(BH230:BO230,MATCH(BP230,$BH$17:$BO$17,0))))))</f>
        <v>0</v>
      </c>
      <c r="BS230" s="731">
        <f t="shared" si="48"/>
        <v>0</v>
      </c>
      <c r="BT230" s="406">
        <f t="shared" si="49"/>
        <v>0</v>
      </c>
      <c r="BU230" s="284">
        <f>IF($AW231,_xll.qDateYears($AW230,$AW231,DCC_Leg2_Fixed),0)</f>
        <v>0</v>
      </c>
      <c r="BV230" s="284">
        <f>IF($AW231,_xll.qDateYears($AW230,$AW231,DCC_Leg2_Float),0)</f>
        <v>0</v>
      </c>
      <c r="BX230" s="350">
        <f t="shared" si="55"/>
        <v>0</v>
      </c>
      <c r="BY230" s="375">
        <f>IF(GenType_2a="Fixed",GenRate_2a%*$BT229*BU229,          IF(GenType_2a="Float",$BT229*(_xll.qGetFwdRate($J$18,$AW229,$AW230,"T",DCC_Leg2_Float)%+GenRate_2a%%)*$BV229,        IF(GenType_2a="bp (Fixed)",GenRate_2a%%*$BU229*$BT229,   IF(GenType_2a="bp (Float)",GenRate_2a%%*$BT229*$BV229,0))))</f>
        <v>0</v>
      </c>
      <c r="BZ230" s="561"/>
      <c r="CB230" s="341">
        <f t="shared" si="43"/>
        <v>0</v>
      </c>
      <c r="CC230" s="563"/>
      <c r="CD230" s="356"/>
      <c r="CE230" s="341">
        <v>0</v>
      </c>
      <c r="CF230" s="563"/>
      <c r="CG230" s="356"/>
    </row>
    <row r="231" spans="15:85">
      <c r="O231" s="122">
        <v>0</v>
      </c>
      <c r="P231" s="128">
        <f t="shared" si="44"/>
        <v>0</v>
      </c>
      <c r="Q231" s="126">
        <v>0</v>
      </c>
      <c r="R231" s="699">
        <f>IF($O232=0,0,        _xll.qDateNext($O231,R$17,"M",TRUE,Currency1))</f>
        <v>0</v>
      </c>
      <c r="S231" s="699">
        <f>IF($O232=0,0,        _xll.qDateNext($O231,S$17,"M",TRUE,Currency1))</f>
        <v>0</v>
      </c>
      <c r="T231" s="699">
        <f>IF($O232=0,0,        _xll.qDateNext($O231,T$17,"M",TRUE,Currency1))</f>
        <v>0</v>
      </c>
      <c r="U231" s="699">
        <f>IF($O232=0,0,        _xll.qDateNext($O231,U$17,"M",TRUE,Currency1))</f>
        <v>0</v>
      </c>
      <c r="V231" s="699">
        <f>IF($O232=0,0,        _xll.qDateNext($O231,V$17,"M",TRUE,Currency1))</f>
        <v>0</v>
      </c>
      <c r="W231" s="699">
        <f>IF($O232=0,0,        _xll.qDateNext($O231,W$17,"M",TRUE,Currency1))</f>
        <v>0</v>
      </c>
      <c r="X231" s="699">
        <f>IF($O232=0,0,        _xll.qDateNext($O231,X$17,"M",TRUE,Currency1))</f>
        <v>0</v>
      </c>
      <c r="Y231" s="699">
        <f>IF($O232=0,0,        _xll.qDateNext($O231,Y$17,"M",TRUE,Currency1))</f>
        <v>0</v>
      </c>
      <c r="Z231" s="703">
        <f>IF($O232=0,0,           IF(FRM,_xll.qGetFwdRate(Z$14,$O231,R231,"T",DCC_Leg1_Float),_xll.qGetFwdRate(Z$14,$O231,$O232,"T",DCC_Leg1_Float)))</f>
        <v>0</v>
      </c>
      <c r="AA231" s="703">
        <f>IF($O232=0,0,           IF(FRM,_xll.qGetFwdRate(AA$14,$O231,S231,"T",DCC_Leg1_Float),_xll.qGetFwdRate(AA$14,$O231,$O232,"T",DCC_Leg1_Float)))</f>
        <v>0</v>
      </c>
      <c r="AB231" s="703">
        <f t="shared" si="45"/>
        <v>0</v>
      </c>
      <c r="AC231" s="703">
        <f>IF($O232=0,0,           IF(FRM,_xll.qGetFwdRate(AC$14,$O231,U231,"T",DCC_Leg1_Float),_xll.qGetFwdRate(AC$14,$O231,$O232,"T",DCC_Leg1_Float)))</f>
        <v>0</v>
      </c>
      <c r="AD231" s="703">
        <f t="shared" si="50"/>
        <v>0</v>
      </c>
      <c r="AE231" s="703">
        <f t="shared" si="51"/>
        <v>0</v>
      </c>
      <c r="AF231" s="703">
        <f>IF($O232=0,0,           IF(FRM,_xll.qGetFwdRate(AF$14,$O231,X231,"T",DCC_Leg1_Float),_xll.qGetFwdRate(AF$14,$O231,$O232,"T",DCC_Leg1_Float)))</f>
        <v>0</v>
      </c>
      <c r="AG231" s="703">
        <f>IF($O232=0,0,           IF(FRM,_xll.qGetFwdRate(AG$14,$O231,Y231,"T",DCC_Leg1_Float),_xll.qGetFwdRate(AG$14,$O231,$O232,"T",DCC_Leg1_Float)))</f>
        <v>0</v>
      </c>
      <c r="AH231" s="685">
        <v>0</v>
      </c>
      <c r="AI231" s="667"/>
      <c r="AJ231" s="670">
        <f>IF(O232=0,0,             IF(ISNUMBER(AI231),AI231,             IF(ISTEXT(AI231),INDEX(Z231:AG231,MATCH(AI231,$Z$17:$AG$17,0)),           IF(AH231="INT",_xll.qInterp(O232,R231:Y231,Z231:AG231),       INDEX(Z231:AG231,MATCH(AH231,$Z$17:$AG$17,0))))))</f>
        <v>0</v>
      </c>
      <c r="AK231" s="732">
        <v>20</v>
      </c>
      <c r="AL231" s="721">
        <f t="shared" si="46"/>
        <v>0</v>
      </c>
      <c r="AM231" s="284">
        <f>IF($O232,_xll.qDateYears($O231,$O232,DCC_Leg1_Fixed),0)</f>
        <v>0</v>
      </c>
      <c r="AN231" s="284">
        <f>IF($O232,_xll.qDateYears($O231,$O232,DCC_Leg1_Float),0)</f>
        <v>0</v>
      </c>
      <c r="AP231" s="350">
        <f t="shared" si="52"/>
        <v>0</v>
      </c>
      <c r="AQ231" s="375">
        <f>IF(GenType_1a="Fixed",GenRate_1a%*$AL230*AM230,          IF(GenType_1a="Float",$AL230*(_xll.qGetFwdRate($D$18,$O230,$O231,"T",DCC_Leg1_Float)%+GenRate_1a%%)*$AN230,        IF(GenType_1a="bp (Fixed)",GenRate_1a%%*$AM230*$AL230,   IF(GenType_1a="bp (Float)",GenRate_1a%%*$AL230*$AN230,0))))</f>
        <v>0</v>
      </c>
      <c r="AR231" s="561"/>
      <c r="AT231" s="341">
        <f t="shared" si="42"/>
        <v>0</v>
      </c>
      <c r="AV231" s="356"/>
      <c r="AW231" s="122">
        <v>0</v>
      </c>
      <c r="AX231" s="128">
        <f t="shared" si="47"/>
        <v>0</v>
      </c>
      <c r="AY231" s="357">
        <v>0</v>
      </c>
      <c r="AZ231" s="699">
        <f>IF($AW232=0,0,        _xll.qDateNext($AW231,AZ$17,"M",TRUE,Currency2))</f>
        <v>0</v>
      </c>
      <c r="BA231" s="699">
        <f>IF($AW232=0,0,        _xll.qDateNext($AW231,BA$17,"M",TRUE,Currency2))</f>
        <v>0</v>
      </c>
      <c r="BB231" s="699">
        <f>IF($AW232=0,0,        _xll.qDateNext($AW231,BB$17,"M",TRUE,Currency2))</f>
        <v>0</v>
      </c>
      <c r="BC231" s="699">
        <f>IF($AW232=0,0,        _xll.qDateNext($AW231,BC$17,"M",TRUE,Currency2))</f>
        <v>0</v>
      </c>
      <c r="BD231" s="699">
        <f>IF($AW232=0,0,        _xll.qDateNext($AW231,BD$17,"M",TRUE,Currency2))</f>
        <v>0</v>
      </c>
      <c r="BE231" s="699">
        <f>IF($AW232=0,0,        _xll.qDateNext($AW231,BE$17,"M",TRUE,Currency2))</f>
        <v>0</v>
      </c>
      <c r="BF231" s="699">
        <f>IF($AW232=0,0,        _xll.qDateNext($AW231,BF$17,"M",TRUE,Currency2))</f>
        <v>0</v>
      </c>
      <c r="BG231" s="699">
        <f>IF($AW232=0,0,        _xll.qDateNext($AW231,BG$17,"M",TRUE,Currency2))</f>
        <v>0</v>
      </c>
      <c r="BH231" s="703">
        <v>0</v>
      </c>
      <c r="BI231" s="703">
        <v>0</v>
      </c>
      <c r="BJ231" s="703">
        <v>0</v>
      </c>
      <c r="BK231" s="703">
        <v>0</v>
      </c>
      <c r="BL231" s="703">
        <f t="shared" si="53"/>
        <v>0</v>
      </c>
      <c r="BM231" s="703">
        <f t="shared" si="54"/>
        <v>0</v>
      </c>
      <c r="BN231" s="703">
        <v>0</v>
      </c>
      <c r="BO231" s="703">
        <v>0</v>
      </c>
      <c r="BP231" s="685">
        <v>0</v>
      </c>
      <c r="BQ231" s="667"/>
      <c r="BR231" s="670">
        <f>IF(AW232=0,0,             IF(ISNUMBER(BQ231),BQ231,             IF(ISTEXT(BQ231),INDEX(BH231:BO231,MATCH(BQ231,$BH$17:$BO$17,0)),           IF(BP231="INT",_xll.qInterp(AW232,AZ231:BG231,BH231:BO231),       INDEX(BH231:BO231,MATCH(BP231,$BH$17:$BO$17,0))))))</f>
        <v>0</v>
      </c>
      <c r="BS231" s="731">
        <f t="shared" si="48"/>
        <v>0</v>
      </c>
      <c r="BT231" s="406">
        <f t="shared" si="49"/>
        <v>0</v>
      </c>
      <c r="BU231" s="284">
        <f>IF($AW232,_xll.qDateYears($AW231,$AW232,DCC_Leg2_Fixed),0)</f>
        <v>0</v>
      </c>
      <c r="BV231" s="284">
        <f>IF($AW232,_xll.qDateYears($AW231,$AW232,DCC_Leg2_Float),0)</f>
        <v>0</v>
      </c>
      <c r="BX231" s="350">
        <f t="shared" si="55"/>
        <v>0</v>
      </c>
      <c r="BY231" s="375">
        <f>IF(GenType_2a="Fixed",GenRate_2a%*$BT230*BU230,          IF(GenType_2a="Float",$BT230*(_xll.qGetFwdRate($J$18,$AW230,$AW231,"T",DCC_Leg2_Float)%+GenRate_2a%%)*$BV230,        IF(GenType_2a="bp (Fixed)",GenRate_2a%%*$BU230*$BT230,   IF(GenType_2a="bp (Float)",GenRate_2a%%*$BT230*$BV230,0))))</f>
        <v>0</v>
      </c>
      <c r="BZ231" s="561"/>
      <c r="CB231" s="341">
        <f t="shared" si="43"/>
        <v>0</v>
      </c>
      <c r="CC231" s="563"/>
      <c r="CD231" s="356"/>
      <c r="CE231" s="341">
        <v>0</v>
      </c>
      <c r="CF231" s="563"/>
      <c r="CG231" s="356"/>
    </row>
    <row r="232" spans="15:85">
      <c r="O232" s="122">
        <v>0</v>
      </c>
      <c r="P232" s="128">
        <f t="shared" si="44"/>
        <v>0</v>
      </c>
      <c r="Q232" s="126">
        <v>0</v>
      </c>
      <c r="R232" s="699">
        <f>IF($O233=0,0,        _xll.qDateNext($O232,R$17,"M",TRUE,Currency1))</f>
        <v>0</v>
      </c>
      <c r="S232" s="699">
        <f>IF($O233=0,0,        _xll.qDateNext($O232,S$17,"M",TRUE,Currency1))</f>
        <v>0</v>
      </c>
      <c r="T232" s="699">
        <f>IF($O233=0,0,        _xll.qDateNext($O232,T$17,"M",TRUE,Currency1))</f>
        <v>0</v>
      </c>
      <c r="U232" s="699">
        <f>IF($O233=0,0,        _xll.qDateNext($O232,U$17,"M",TRUE,Currency1))</f>
        <v>0</v>
      </c>
      <c r="V232" s="699">
        <f>IF($O233=0,0,        _xll.qDateNext($O232,V$17,"M",TRUE,Currency1))</f>
        <v>0</v>
      </c>
      <c r="W232" s="699">
        <f>IF($O233=0,0,        _xll.qDateNext($O232,W$17,"M",TRUE,Currency1))</f>
        <v>0</v>
      </c>
      <c r="X232" s="699">
        <f>IF($O233=0,0,        _xll.qDateNext($O232,X$17,"M",TRUE,Currency1))</f>
        <v>0</v>
      </c>
      <c r="Y232" s="699">
        <f>IF($O233=0,0,        _xll.qDateNext($O232,Y$17,"M",TRUE,Currency1))</f>
        <v>0</v>
      </c>
      <c r="Z232" s="703">
        <f>IF($O233=0,0,           IF(FRM,_xll.qGetFwdRate(Z$14,$O232,R232,"T",DCC_Leg1_Float),_xll.qGetFwdRate(Z$14,$O232,$O233,"T",DCC_Leg1_Float)))</f>
        <v>0</v>
      </c>
      <c r="AA232" s="703">
        <f>IF($O233=0,0,           IF(FRM,_xll.qGetFwdRate(AA$14,$O232,S232,"T",DCC_Leg1_Float),_xll.qGetFwdRate(AA$14,$O232,$O233,"T",DCC_Leg1_Float)))</f>
        <v>0</v>
      </c>
      <c r="AB232" s="703">
        <f t="shared" si="45"/>
        <v>0</v>
      </c>
      <c r="AC232" s="703">
        <f>IF($O233=0,0,           IF(FRM,_xll.qGetFwdRate(AC$14,$O232,U232,"T",DCC_Leg1_Float),_xll.qGetFwdRate(AC$14,$O232,$O233,"T",DCC_Leg1_Float)))</f>
        <v>0</v>
      </c>
      <c r="AD232" s="703">
        <f t="shared" si="50"/>
        <v>0</v>
      </c>
      <c r="AE232" s="703">
        <f t="shared" si="51"/>
        <v>0</v>
      </c>
      <c r="AF232" s="703">
        <f>IF($O233=0,0,           IF(FRM,_xll.qGetFwdRate(AF$14,$O232,X232,"T",DCC_Leg1_Float),_xll.qGetFwdRate(AF$14,$O232,$O233,"T",DCC_Leg1_Float)))</f>
        <v>0</v>
      </c>
      <c r="AG232" s="703">
        <f>IF($O233=0,0,           IF(FRM,_xll.qGetFwdRate(AG$14,$O232,Y232,"T",DCC_Leg1_Float),_xll.qGetFwdRate(AG$14,$O232,$O233,"T",DCC_Leg1_Float)))</f>
        <v>0</v>
      </c>
      <c r="AH232" s="685">
        <v>0</v>
      </c>
      <c r="AI232" s="667"/>
      <c r="AJ232" s="670">
        <f>IF(O233=0,0,             IF(ISNUMBER(AI232),AI232,             IF(ISTEXT(AI232),INDEX(Z232:AG232,MATCH(AI232,$Z$17:$AG$17,0)),           IF(AH232="INT",_xll.qInterp(O233,R232:Y232,Z232:AG232),       INDEX(Z232:AG232,MATCH(AH232,$Z$17:$AG$17,0))))))</f>
        <v>0</v>
      </c>
      <c r="AK232" s="732">
        <v>20</v>
      </c>
      <c r="AL232" s="721">
        <f t="shared" si="46"/>
        <v>0</v>
      </c>
      <c r="AM232" s="284">
        <f>IF($O233,_xll.qDateYears($O232,$O233,DCC_Leg1_Fixed),0)</f>
        <v>0</v>
      </c>
      <c r="AN232" s="284">
        <f>IF($O233,_xll.qDateYears($O232,$O233,DCC_Leg1_Float),0)</f>
        <v>0</v>
      </c>
      <c r="AP232" s="350">
        <f t="shared" si="52"/>
        <v>0</v>
      </c>
      <c r="AQ232" s="375">
        <f>IF(GenType_1a="Fixed",GenRate_1a%*$AL231*AM231,          IF(GenType_1a="Float",$AL231*(_xll.qGetFwdRate($D$18,$O231,$O232,"T",DCC_Leg1_Float)%+GenRate_1a%%)*$AN231,        IF(GenType_1a="bp (Fixed)",GenRate_1a%%*$AM231*$AL231,   IF(GenType_1a="bp (Float)",GenRate_1a%%*$AL231*$AN231,0))))</f>
        <v>0</v>
      </c>
      <c r="AR232" s="561"/>
      <c r="AT232" s="341">
        <f t="shared" ref="AT232:AT295" si="56">SUM(AP232:AR232)</f>
        <v>0</v>
      </c>
      <c r="AV232" s="356"/>
      <c r="AW232" s="122">
        <v>0</v>
      </c>
      <c r="AX232" s="128">
        <f t="shared" si="47"/>
        <v>0</v>
      </c>
      <c r="AY232" s="357">
        <v>0</v>
      </c>
      <c r="AZ232" s="699">
        <f>IF($AW233=0,0,        _xll.qDateNext($AW232,AZ$17,"M",TRUE,Currency2))</f>
        <v>0</v>
      </c>
      <c r="BA232" s="699">
        <f>IF($AW233=0,0,        _xll.qDateNext($AW232,BA$17,"M",TRUE,Currency2))</f>
        <v>0</v>
      </c>
      <c r="BB232" s="699">
        <f>IF($AW233=0,0,        _xll.qDateNext($AW232,BB$17,"M",TRUE,Currency2))</f>
        <v>0</v>
      </c>
      <c r="BC232" s="699">
        <f>IF($AW233=0,0,        _xll.qDateNext($AW232,BC$17,"M",TRUE,Currency2))</f>
        <v>0</v>
      </c>
      <c r="BD232" s="699">
        <f>IF($AW233=0,0,        _xll.qDateNext($AW232,BD$17,"M",TRUE,Currency2))</f>
        <v>0</v>
      </c>
      <c r="BE232" s="699">
        <f>IF($AW233=0,0,        _xll.qDateNext($AW232,BE$17,"M",TRUE,Currency2))</f>
        <v>0</v>
      </c>
      <c r="BF232" s="699">
        <f>IF($AW233=0,0,        _xll.qDateNext($AW232,BF$17,"M",TRUE,Currency2))</f>
        <v>0</v>
      </c>
      <c r="BG232" s="699">
        <f>IF($AW233=0,0,        _xll.qDateNext($AW232,BG$17,"M",TRUE,Currency2))</f>
        <v>0</v>
      </c>
      <c r="BH232" s="703">
        <v>0</v>
      </c>
      <c r="BI232" s="703">
        <v>0</v>
      </c>
      <c r="BJ232" s="703">
        <v>0</v>
      </c>
      <c r="BK232" s="703">
        <v>0</v>
      </c>
      <c r="BL232" s="703">
        <f t="shared" si="53"/>
        <v>0</v>
      </c>
      <c r="BM232" s="703">
        <f t="shared" si="54"/>
        <v>0</v>
      </c>
      <c r="BN232" s="703">
        <v>0</v>
      </c>
      <c r="BO232" s="703">
        <v>0</v>
      </c>
      <c r="BP232" s="685">
        <v>0</v>
      </c>
      <c r="BQ232" s="667"/>
      <c r="BR232" s="670">
        <f>IF(AW233=0,0,             IF(ISNUMBER(BQ232),BQ232,             IF(ISTEXT(BQ232),INDEX(BH232:BO232,MATCH(BQ232,$BH$17:$BO$17,0)),           IF(BP232="INT",_xll.qInterp(AW233,AZ232:BG232,BH232:BO232),       INDEX(BH232:BO232,MATCH(BP232,$BH$17:$BO$17,0))))))</f>
        <v>0</v>
      </c>
      <c r="BS232" s="731">
        <f t="shared" si="48"/>
        <v>0</v>
      </c>
      <c r="BT232" s="406">
        <f t="shared" si="49"/>
        <v>0</v>
      </c>
      <c r="BU232" s="284">
        <f>IF($AW233,_xll.qDateYears($AW232,$AW233,DCC_Leg2_Fixed),0)</f>
        <v>0</v>
      </c>
      <c r="BV232" s="284">
        <f>IF($AW233,_xll.qDateYears($AW232,$AW233,DCC_Leg2_Float),0)</f>
        <v>0</v>
      </c>
      <c r="BX232" s="350">
        <f t="shared" si="55"/>
        <v>0</v>
      </c>
      <c r="BY232" s="375">
        <f>IF(GenType_2a="Fixed",GenRate_2a%*$BT231*BU231,          IF(GenType_2a="Float",$BT231*(_xll.qGetFwdRate($J$18,$AW231,$AW232,"T",DCC_Leg2_Float)%+GenRate_2a%%)*$BV231,        IF(GenType_2a="bp (Fixed)",GenRate_2a%%*$BU231*$BT231,   IF(GenType_2a="bp (Float)",GenRate_2a%%*$BT231*$BV231,0))))</f>
        <v>0</v>
      </c>
      <c r="BZ232" s="561"/>
      <c r="CB232" s="341">
        <f t="shared" si="43"/>
        <v>0</v>
      </c>
      <c r="CC232" s="563"/>
      <c r="CD232" s="356"/>
      <c r="CE232" s="341">
        <v>0</v>
      </c>
      <c r="CF232" s="563"/>
      <c r="CG232" s="356"/>
    </row>
    <row r="233" spans="15:85">
      <c r="O233" s="122">
        <v>0</v>
      </c>
      <c r="P233" s="128">
        <f t="shared" si="44"/>
        <v>0</v>
      </c>
      <c r="Q233" s="126">
        <v>0</v>
      </c>
      <c r="R233" s="699">
        <f>IF($O234=0,0,        _xll.qDateNext($O233,R$17,"M",TRUE,Currency1))</f>
        <v>0</v>
      </c>
      <c r="S233" s="699">
        <f>IF($O234=0,0,        _xll.qDateNext($O233,S$17,"M",TRUE,Currency1))</f>
        <v>0</v>
      </c>
      <c r="T233" s="699">
        <f>IF($O234=0,0,        _xll.qDateNext($O233,T$17,"M",TRUE,Currency1))</f>
        <v>0</v>
      </c>
      <c r="U233" s="699">
        <f>IF($O234=0,0,        _xll.qDateNext($O233,U$17,"M",TRUE,Currency1))</f>
        <v>0</v>
      </c>
      <c r="V233" s="699">
        <f>IF($O234=0,0,        _xll.qDateNext($O233,V$17,"M",TRUE,Currency1))</f>
        <v>0</v>
      </c>
      <c r="W233" s="699">
        <f>IF($O234=0,0,        _xll.qDateNext($O233,W$17,"M",TRUE,Currency1))</f>
        <v>0</v>
      </c>
      <c r="X233" s="699">
        <f>IF($O234=0,0,        _xll.qDateNext($O233,X$17,"M",TRUE,Currency1))</f>
        <v>0</v>
      </c>
      <c r="Y233" s="699">
        <f>IF($O234=0,0,        _xll.qDateNext($O233,Y$17,"M",TRUE,Currency1))</f>
        <v>0</v>
      </c>
      <c r="Z233" s="703">
        <f>IF($O234=0,0,           IF(FRM,_xll.qGetFwdRate(Z$14,$O233,R233,"T",DCC_Leg1_Float),_xll.qGetFwdRate(Z$14,$O233,$O234,"T",DCC_Leg1_Float)))</f>
        <v>0</v>
      </c>
      <c r="AA233" s="703">
        <f>IF($O234=0,0,           IF(FRM,_xll.qGetFwdRate(AA$14,$O233,S233,"T",DCC_Leg1_Float),_xll.qGetFwdRate(AA$14,$O233,$O234,"T",DCC_Leg1_Float)))</f>
        <v>0</v>
      </c>
      <c r="AB233" s="703">
        <f t="shared" si="45"/>
        <v>0</v>
      </c>
      <c r="AC233" s="703">
        <f>IF($O234=0,0,           IF(FRM,_xll.qGetFwdRate(AC$14,$O233,U233,"T",DCC_Leg1_Float),_xll.qGetFwdRate(AC$14,$O233,$O234,"T",DCC_Leg1_Float)))</f>
        <v>0</v>
      </c>
      <c r="AD233" s="703">
        <f t="shared" si="50"/>
        <v>0</v>
      </c>
      <c r="AE233" s="703">
        <f t="shared" si="51"/>
        <v>0</v>
      </c>
      <c r="AF233" s="703">
        <f>IF($O234=0,0,           IF(FRM,_xll.qGetFwdRate(AF$14,$O233,X233,"T",DCC_Leg1_Float),_xll.qGetFwdRate(AF$14,$O233,$O234,"T",DCC_Leg1_Float)))</f>
        <v>0</v>
      </c>
      <c r="AG233" s="703">
        <f>IF($O234=0,0,           IF(FRM,_xll.qGetFwdRate(AG$14,$O233,Y233,"T",DCC_Leg1_Float),_xll.qGetFwdRate(AG$14,$O233,$O234,"T",DCC_Leg1_Float)))</f>
        <v>0</v>
      </c>
      <c r="AH233" s="685">
        <v>0</v>
      </c>
      <c r="AI233" s="667"/>
      <c r="AJ233" s="670">
        <f>IF(O234=0,0,             IF(ISNUMBER(AI233),AI233,             IF(ISTEXT(AI233),INDEX(Z233:AG233,MATCH(AI233,$Z$17:$AG$17,0)),           IF(AH233="INT",_xll.qInterp(O234,R233:Y233,Z233:AG233),       INDEX(Z233:AG233,MATCH(AH233,$Z$17:$AG$17,0))))))</f>
        <v>0</v>
      </c>
      <c r="AK233" s="732">
        <v>20</v>
      </c>
      <c r="AL233" s="721">
        <f t="shared" si="46"/>
        <v>0</v>
      </c>
      <c r="AM233" s="284">
        <f>IF($O234,_xll.qDateYears($O233,$O234,DCC_Leg1_Fixed),0)</f>
        <v>0</v>
      </c>
      <c r="AN233" s="284">
        <f>IF($O234,_xll.qDateYears($O233,$O234,DCC_Leg1_Float),0)</f>
        <v>0</v>
      </c>
      <c r="AP233" s="350">
        <f t="shared" si="52"/>
        <v>0</v>
      </c>
      <c r="AQ233" s="375">
        <f>IF(GenType_1a="Fixed",GenRate_1a%*$AL232*AM232,          IF(GenType_1a="Float",$AL232*(_xll.qGetFwdRate($D$18,$O232,$O233,"T",DCC_Leg1_Float)%+GenRate_1a%%)*$AN232,        IF(GenType_1a="bp (Fixed)",GenRate_1a%%*$AM232*$AL232,   IF(GenType_1a="bp (Float)",GenRate_1a%%*$AL232*$AN232,0))))</f>
        <v>0</v>
      </c>
      <c r="AR233" s="561"/>
      <c r="AT233" s="341">
        <f t="shared" si="56"/>
        <v>0</v>
      </c>
      <c r="AV233" s="356"/>
      <c r="AW233" s="122">
        <v>0</v>
      </c>
      <c r="AX233" s="128">
        <f t="shared" si="47"/>
        <v>0</v>
      </c>
      <c r="AY233" s="357">
        <v>0</v>
      </c>
      <c r="AZ233" s="699">
        <f>IF($AW234=0,0,        _xll.qDateNext($AW233,AZ$17,"M",TRUE,Currency2))</f>
        <v>0</v>
      </c>
      <c r="BA233" s="699">
        <f>IF($AW234=0,0,        _xll.qDateNext($AW233,BA$17,"M",TRUE,Currency2))</f>
        <v>0</v>
      </c>
      <c r="BB233" s="699">
        <f>IF($AW234=0,0,        _xll.qDateNext($AW233,BB$17,"M",TRUE,Currency2))</f>
        <v>0</v>
      </c>
      <c r="BC233" s="699">
        <f>IF($AW234=0,0,        _xll.qDateNext($AW233,BC$17,"M",TRUE,Currency2))</f>
        <v>0</v>
      </c>
      <c r="BD233" s="699">
        <f>IF($AW234=0,0,        _xll.qDateNext($AW233,BD$17,"M",TRUE,Currency2))</f>
        <v>0</v>
      </c>
      <c r="BE233" s="699">
        <f>IF($AW234=0,0,        _xll.qDateNext($AW233,BE$17,"M",TRUE,Currency2))</f>
        <v>0</v>
      </c>
      <c r="BF233" s="699">
        <f>IF($AW234=0,0,        _xll.qDateNext($AW233,BF$17,"M",TRUE,Currency2))</f>
        <v>0</v>
      </c>
      <c r="BG233" s="699">
        <f>IF($AW234=0,0,        _xll.qDateNext($AW233,BG$17,"M",TRUE,Currency2))</f>
        <v>0</v>
      </c>
      <c r="BH233" s="703">
        <v>0</v>
      </c>
      <c r="BI233" s="703">
        <v>0</v>
      </c>
      <c r="BJ233" s="703">
        <v>0</v>
      </c>
      <c r="BK233" s="703">
        <v>0</v>
      </c>
      <c r="BL233" s="703">
        <f t="shared" si="53"/>
        <v>0</v>
      </c>
      <c r="BM233" s="703">
        <f t="shared" si="54"/>
        <v>0</v>
      </c>
      <c r="BN233" s="703">
        <v>0</v>
      </c>
      <c r="BO233" s="703">
        <v>0</v>
      </c>
      <c r="BP233" s="685">
        <v>0</v>
      </c>
      <c r="BQ233" s="667"/>
      <c r="BR233" s="670">
        <f>IF(AW234=0,0,             IF(ISNUMBER(BQ233),BQ233,             IF(ISTEXT(BQ233),INDEX(BH233:BO233,MATCH(BQ233,$BH$17:$BO$17,0)),           IF(BP233="INT",_xll.qInterp(AW234,AZ233:BG233,BH233:BO233),       INDEX(BH233:BO233,MATCH(BP233,$BH$17:$BO$17,0))))))</f>
        <v>0</v>
      </c>
      <c r="BS233" s="731">
        <f t="shared" si="48"/>
        <v>0</v>
      </c>
      <c r="BT233" s="406">
        <f t="shared" si="49"/>
        <v>0</v>
      </c>
      <c r="BU233" s="284">
        <f>IF($AW234,_xll.qDateYears($AW233,$AW234,DCC_Leg2_Fixed),0)</f>
        <v>0</v>
      </c>
      <c r="BV233" s="284">
        <f>IF($AW234,_xll.qDateYears($AW233,$AW234,DCC_Leg2_Float),0)</f>
        <v>0</v>
      </c>
      <c r="BX233" s="350">
        <f t="shared" si="55"/>
        <v>0</v>
      </c>
      <c r="BY233" s="375">
        <f>IF(GenType_2a="Fixed",GenRate_2a%*$BT232*BU232,          IF(GenType_2a="Float",$BT232*(_xll.qGetFwdRate($J$18,$AW232,$AW233,"T",DCC_Leg2_Float)%+GenRate_2a%%)*$BV232,        IF(GenType_2a="bp (Fixed)",GenRate_2a%%*$BU232*$BT232,   IF(GenType_2a="bp (Float)",GenRate_2a%%*$BT232*$BV232,0))))</f>
        <v>0</v>
      </c>
      <c r="BZ233" s="561"/>
      <c r="CB233" s="341">
        <f t="shared" ref="CB233:CB296" si="57">SUM(BX233:BZ233)</f>
        <v>0</v>
      </c>
      <c r="CC233" s="563"/>
      <c r="CD233" s="356"/>
      <c r="CE233" s="341">
        <v>0</v>
      </c>
      <c r="CF233" s="563"/>
      <c r="CG233" s="356"/>
    </row>
    <row r="234" spans="15:85">
      <c r="O234" s="122">
        <v>0</v>
      </c>
      <c r="P234" s="128">
        <f t="shared" si="44"/>
        <v>0</v>
      </c>
      <c r="Q234" s="126">
        <v>0</v>
      </c>
      <c r="R234" s="699">
        <f>IF($O235=0,0,        _xll.qDateNext($O234,R$17,"M",TRUE,Currency1))</f>
        <v>0</v>
      </c>
      <c r="S234" s="699">
        <f>IF($O235=0,0,        _xll.qDateNext($O234,S$17,"M",TRUE,Currency1))</f>
        <v>0</v>
      </c>
      <c r="T234" s="699">
        <f>IF($O235=0,0,        _xll.qDateNext($O234,T$17,"M",TRUE,Currency1))</f>
        <v>0</v>
      </c>
      <c r="U234" s="699">
        <f>IF($O235=0,0,        _xll.qDateNext($O234,U$17,"M",TRUE,Currency1))</f>
        <v>0</v>
      </c>
      <c r="V234" s="699">
        <f>IF($O235=0,0,        _xll.qDateNext($O234,V$17,"M",TRUE,Currency1))</f>
        <v>0</v>
      </c>
      <c r="W234" s="699">
        <f>IF($O235=0,0,        _xll.qDateNext($O234,W$17,"M",TRUE,Currency1))</f>
        <v>0</v>
      </c>
      <c r="X234" s="699">
        <f>IF($O235=0,0,        _xll.qDateNext($O234,X$17,"M",TRUE,Currency1))</f>
        <v>0</v>
      </c>
      <c r="Y234" s="699">
        <f>IF($O235=0,0,        _xll.qDateNext($O234,Y$17,"M",TRUE,Currency1))</f>
        <v>0</v>
      </c>
      <c r="Z234" s="703">
        <f>IF($O235=0,0,           IF(FRM,_xll.qGetFwdRate(Z$14,$O234,R234,"T",DCC_Leg1_Float),_xll.qGetFwdRate(Z$14,$O234,$O235,"T",DCC_Leg1_Float)))</f>
        <v>0</v>
      </c>
      <c r="AA234" s="703">
        <f>IF($O235=0,0,           IF(FRM,_xll.qGetFwdRate(AA$14,$O234,S234,"T",DCC_Leg1_Float),_xll.qGetFwdRate(AA$14,$O234,$O235,"T",DCC_Leg1_Float)))</f>
        <v>0</v>
      </c>
      <c r="AB234" s="703">
        <f t="shared" si="45"/>
        <v>0</v>
      </c>
      <c r="AC234" s="703">
        <f>IF($O235=0,0,           IF(FRM,_xll.qGetFwdRate(AC$14,$O234,U234,"T",DCC_Leg1_Float),_xll.qGetFwdRate(AC$14,$O234,$O235,"T",DCC_Leg1_Float)))</f>
        <v>0</v>
      </c>
      <c r="AD234" s="703">
        <f t="shared" si="50"/>
        <v>0</v>
      </c>
      <c r="AE234" s="703">
        <f t="shared" si="51"/>
        <v>0</v>
      </c>
      <c r="AF234" s="703">
        <f>IF($O235=0,0,           IF(FRM,_xll.qGetFwdRate(AF$14,$O234,X234,"T",DCC_Leg1_Float),_xll.qGetFwdRate(AF$14,$O234,$O235,"T",DCC_Leg1_Float)))</f>
        <v>0</v>
      </c>
      <c r="AG234" s="703">
        <f>IF($O235=0,0,           IF(FRM,_xll.qGetFwdRate(AG$14,$O234,Y234,"T",DCC_Leg1_Float),_xll.qGetFwdRate(AG$14,$O234,$O235,"T",DCC_Leg1_Float)))</f>
        <v>0</v>
      </c>
      <c r="AH234" s="685">
        <v>0</v>
      </c>
      <c r="AI234" s="667"/>
      <c r="AJ234" s="670">
        <f>IF(O235=0,0,             IF(ISNUMBER(AI234),AI234,             IF(ISTEXT(AI234),INDEX(Z234:AG234,MATCH(AI234,$Z$17:$AG$17,0)),           IF(AH234="INT",_xll.qInterp(O235,R234:Y234,Z234:AG234),       INDEX(Z234:AG234,MATCH(AH234,$Z$17:$AG$17,0))))))</f>
        <v>0</v>
      </c>
      <c r="AK234" s="732">
        <v>20</v>
      </c>
      <c r="AL234" s="721">
        <f t="shared" si="46"/>
        <v>0</v>
      </c>
      <c r="AM234" s="284">
        <f>IF($O235,_xll.qDateYears($O234,$O235,DCC_Leg1_Fixed),0)</f>
        <v>0</v>
      </c>
      <c r="AN234" s="284">
        <f>IF($O235,_xll.qDateYears($O234,$O235,DCC_Leg1_Float),0)</f>
        <v>0</v>
      </c>
      <c r="AP234" s="350">
        <f t="shared" si="52"/>
        <v>0</v>
      </c>
      <c r="AQ234" s="375">
        <f>IF(GenType_1a="Fixed",GenRate_1a%*$AL233*AM233,          IF(GenType_1a="Float",$AL233*(_xll.qGetFwdRate($D$18,$O233,$O234,"T",DCC_Leg1_Float)%+GenRate_1a%%)*$AN233,        IF(GenType_1a="bp (Fixed)",GenRate_1a%%*$AM233*$AL233,   IF(GenType_1a="bp (Float)",GenRate_1a%%*$AL233*$AN233,0))))</f>
        <v>0</v>
      </c>
      <c r="AR234" s="561"/>
      <c r="AT234" s="341">
        <f t="shared" si="56"/>
        <v>0</v>
      </c>
      <c r="AV234" s="356"/>
      <c r="AW234" s="122">
        <v>0</v>
      </c>
      <c r="AX234" s="128">
        <f t="shared" si="47"/>
        <v>0</v>
      </c>
      <c r="AY234" s="357">
        <v>0</v>
      </c>
      <c r="AZ234" s="699">
        <f>IF($AW235=0,0,        _xll.qDateNext($AW234,AZ$17,"M",TRUE,Currency2))</f>
        <v>0</v>
      </c>
      <c r="BA234" s="699">
        <f>IF($AW235=0,0,        _xll.qDateNext($AW234,BA$17,"M",TRUE,Currency2))</f>
        <v>0</v>
      </c>
      <c r="BB234" s="699">
        <f>IF($AW235=0,0,        _xll.qDateNext($AW234,BB$17,"M",TRUE,Currency2))</f>
        <v>0</v>
      </c>
      <c r="BC234" s="699">
        <f>IF($AW235=0,0,        _xll.qDateNext($AW234,BC$17,"M",TRUE,Currency2))</f>
        <v>0</v>
      </c>
      <c r="BD234" s="699">
        <f>IF($AW235=0,0,        _xll.qDateNext($AW234,BD$17,"M",TRUE,Currency2))</f>
        <v>0</v>
      </c>
      <c r="BE234" s="699">
        <f>IF($AW235=0,0,        _xll.qDateNext($AW234,BE$17,"M",TRUE,Currency2))</f>
        <v>0</v>
      </c>
      <c r="BF234" s="699">
        <f>IF($AW235=0,0,        _xll.qDateNext($AW234,BF$17,"M",TRUE,Currency2))</f>
        <v>0</v>
      </c>
      <c r="BG234" s="699">
        <f>IF($AW235=0,0,        _xll.qDateNext($AW234,BG$17,"M",TRUE,Currency2))</f>
        <v>0</v>
      </c>
      <c r="BH234" s="703">
        <v>0</v>
      </c>
      <c r="BI234" s="703">
        <v>0</v>
      </c>
      <c r="BJ234" s="703">
        <v>0</v>
      </c>
      <c r="BK234" s="703">
        <v>0</v>
      </c>
      <c r="BL234" s="703">
        <f t="shared" si="53"/>
        <v>0</v>
      </c>
      <c r="BM234" s="703">
        <f t="shared" si="54"/>
        <v>0</v>
      </c>
      <c r="BN234" s="703">
        <v>0</v>
      </c>
      <c r="BO234" s="703">
        <v>0</v>
      </c>
      <c r="BP234" s="685">
        <v>0</v>
      </c>
      <c r="BQ234" s="667"/>
      <c r="BR234" s="670">
        <f>IF(AW235=0,0,             IF(ISNUMBER(BQ234),BQ234,             IF(ISTEXT(BQ234),INDEX(BH234:BO234,MATCH(BQ234,$BH$17:$BO$17,0)),           IF(BP234="INT",_xll.qInterp(AW235,AZ234:BG234,BH234:BO234),       INDEX(BH234:BO234,MATCH(BP234,$BH$17:$BO$17,0))))))</f>
        <v>0</v>
      </c>
      <c r="BS234" s="731">
        <f t="shared" si="48"/>
        <v>0</v>
      </c>
      <c r="BT234" s="406">
        <f t="shared" si="49"/>
        <v>0</v>
      </c>
      <c r="BU234" s="284">
        <f>IF($AW235,_xll.qDateYears($AW234,$AW235,DCC_Leg2_Fixed),0)</f>
        <v>0</v>
      </c>
      <c r="BV234" s="284">
        <f>IF($AW235,_xll.qDateYears($AW234,$AW235,DCC_Leg2_Float),0)</f>
        <v>0</v>
      </c>
      <c r="BX234" s="350">
        <f t="shared" si="55"/>
        <v>0</v>
      </c>
      <c r="BY234" s="375">
        <f>IF(GenType_2a="Fixed",GenRate_2a%*$BT233*BU233,          IF(GenType_2a="Float",$BT233*(_xll.qGetFwdRate($J$18,$AW233,$AW234,"T",DCC_Leg2_Float)%+GenRate_2a%%)*$BV233,        IF(GenType_2a="bp (Fixed)",GenRate_2a%%*$BU233*$BT233,   IF(GenType_2a="bp (Float)",GenRate_2a%%*$BT233*$BV233,0))))</f>
        <v>0</v>
      </c>
      <c r="BZ234" s="561"/>
      <c r="CB234" s="341">
        <f t="shared" si="57"/>
        <v>0</v>
      </c>
      <c r="CC234" s="563"/>
      <c r="CD234" s="356"/>
      <c r="CE234" s="341">
        <v>0</v>
      </c>
      <c r="CF234" s="563"/>
      <c r="CG234" s="356"/>
    </row>
    <row r="235" spans="15:85">
      <c r="O235" s="122">
        <v>0</v>
      </c>
      <c r="P235" s="128">
        <f t="shared" si="44"/>
        <v>0</v>
      </c>
      <c r="Q235" s="126">
        <v>0</v>
      </c>
      <c r="R235" s="699">
        <f>IF($O236=0,0,        _xll.qDateNext($O235,R$17,"M",TRUE,Currency1))</f>
        <v>0</v>
      </c>
      <c r="S235" s="699">
        <f>IF($O236=0,0,        _xll.qDateNext($O235,S$17,"M",TRUE,Currency1))</f>
        <v>0</v>
      </c>
      <c r="T235" s="699">
        <f>IF($O236=0,0,        _xll.qDateNext($O235,T$17,"M",TRUE,Currency1))</f>
        <v>0</v>
      </c>
      <c r="U235" s="699">
        <f>IF($O236=0,0,        _xll.qDateNext($O235,U$17,"M",TRUE,Currency1))</f>
        <v>0</v>
      </c>
      <c r="V235" s="699">
        <f>IF($O236=0,0,        _xll.qDateNext($O235,V$17,"M",TRUE,Currency1))</f>
        <v>0</v>
      </c>
      <c r="W235" s="699">
        <f>IF($O236=0,0,        _xll.qDateNext($O235,W$17,"M",TRUE,Currency1))</f>
        <v>0</v>
      </c>
      <c r="X235" s="699">
        <f>IF($O236=0,0,        _xll.qDateNext($O235,X$17,"M",TRUE,Currency1))</f>
        <v>0</v>
      </c>
      <c r="Y235" s="699">
        <f>IF($O236=0,0,        _xll.qDateNext($O235,Y$17,"M",TRUE,Currency1))</f>
        <v>0</v>
      </c>
      <c r="Z235" s="703">
        <f>IF($O236=0,0,           IF(FRM,_xll.qGetFwdRate(Z$14,$O235,R235,"T",DCC_Leg1_Float),_xll.qGetFwdRate(Z$14,$O235,$O236,"T",DCC_Leg1_Float)))</f>
        <v>0</v>
      </c>
      <c r="AA235" s="703">
        <f>IF($O236=0,0,           IF(FRM,_xll.qGetFwdRate(AA$14,$O235,S235,"T",DCC_Leg1_Float),_xll.qGetFwdRate(AA$14,$O235,$O236,"T",DCC_Leg1_Float)))</f>
        <v>0</v>
      </c>
      <c r="AB235" s="703">
        <f t="shared" si="45"/>
        <v>0</v>
      </c>
      <c r="AC235" s="703">
        <f>IF($O236=0,0,           IF(FRM,_xll.qGetFwdRate(AC$14,$O235,U235,"T",DCC_Leg1_Float),_xll.qGetFwdRate(AC$14,$O235,$O236,"T",DCC_Leg1_Float)))</f>
        <v>0</v>
      </c>
      <c r="AD235" s="703">
        <f t="shared" si="50"/>
        <v>0</v>
      </c>
      <c r="AE235" s="703">
        <f t="shared" si="51"/>
        <v>0</v>
      </c>
      <c r="AF235" s="703">
        <f>IF($O236=0,0,           IF(FRM,_xll.qGetFwdRate(AF$14,$O235,X235,"T",DCC_Leg1_Float),_xll.qGetFwdRate(AF$14,$O235,$O236,"T",DCC_Leg1_Float)))</f>
        <v>0</v>
      </c>
      <c r="AG235" s="703">
        <f>IF($O236=0,0,           IF(FRM,_xll.qGetFwdRate(AG$14,$O235,Y235,"T",DCC_Leg1_Float),_xll.qGetFwdRate(AG$14,$O235,$O236,"T",DCC_Leg1_Float)))</f>
        <v>0</v>
      </c>
      <c r="AH235" s="685">
        <v>0</v>
      </c>
      <c r="AI235" s="667"/>
      <c r="AJ235" s="670">
        <f>IF(O236=0,0,             IF(ISNUMBER(AI235),AI235,             IF(ISTEXT(AI235),INDEX(Z235:AG235,MATCH(AI235,$Z$17:$AG$17,0)),           IF(AH235="INT",_xll.qInterp(O236,R235:Y235,Z235:AG235),       INDEX(Z235:AG235,MATCH(AH235,$Z$17:$AG$17,0))))))</f>
        <v>0</v>
      </c>
      <c r="AK235" s="732">
        <v>20</v>
      </c>
      <c r="AL235" s="721">
        <f t="shared" si="46"/>
        <v>0</v>
      </c>
      <c r="AM235" s="284">
        <f>IF($O236,_xll.qDateYears($O235,$O236,DCC_Leg1_Fixed),0)</f>
        <v>0</v>
      </c>
      <c r="AN235" s="284">
        <f>IF($O236,_xll.qDateYears($O235,$O236,DCC_Leg1_Float),0)</f>
        <v>0</v>
      </c>
      <c r="AP235" s="350">
        <f t="shared" si="52"/>
        <v>0</v>
      </c>
      <c r="AQ235" s="375">
        <f>IF(GenType_1a="Fixed",GenRate_1a%*$AL234*AM234,          IF(GenType_1a="Float",$AL234*(_xll.qGetFwdRate($D$18,$O234,$O235,"T",DCC_Leg1_Float)%+GenRate_1a%%)*$AN234,        IF(GenType_1a="bp (Fixed)",GenRate_1a%%*$AM234*$AL234,   IF(GenType_1a="bp (Float)",GenRate_1a%%*$AL234*$AN234,0))))</f>
        <v>0</v>
      </c>
      <c r="AR235" s="561"/>
      <c r="AT235" s="341">
        <f t="shared" si="56"/>
        <v>0</v>
      </c>
      <c r="AV235" s="356"/>
      <c r="AW235" s="122">
        <v>0</v>
      </c>
      <c r="AX235" s="128">
        <f t="shared" si="47"/>
        <v>0</v>
      </c>
      <c r="AY235" s="357">
        <v>0</v>
      </c>
      <c r="AZ235" s="699">
        <f>IF($AW236=0,0,        _xll.qDateNext($AW235,AZ$17,"M",TRUE,Currency2))</f>
        <v>0</v>
      </c>
      <c r="BA235" s="699">
        <f>IF($AW236=0,0,        _xll.qDateNext($AW235,BA$17,"M",TRUE,Currency2))</f>
        <v>0</v>
      </c>
      <c r="BB235" s="699">
        <f>IF($AW236=0,0,        _xll.qDateNext($AW235,BB$17,"M",TRUE,Currency2))</f>
        <v>0</v>
      </c>
      <c r="BC235" s="699">
        <f>IF($AW236=0,0,        _xll.qDateNext($AW235,BC$17,"M",TRUE,Currency2))</f>
        <v>0</v>
      </c>
      <c r="BD235" s="699">
        <f>IF($AW236=0,0,        _xll.qDateNext($AW235,BD$17,"M",TRUE,Currency2))</f>
        <v>0</v>
      </c>
      <c r="BE235" s="699">
        <f>IF($AW236=0,0,        _xll.qDateNext($AW235,BE$17,"M",TRUE,Currency2))</f>
        <v>0</v>
      </c>
      <c r="BF235" s="699">
        <f>IF($AW236=0,0,        _xll.qDateNext($AW235,BF$17,"M",TRUE,Currency2))</f>
        <v>0</v>
      </c>
      <c r="BG235" s="699">
        <f>IF($AW236=0,0,        _xll.qDateNext($AW235,BG$17,"M",TRUE,Currency2))</f>
        <v>0</v>
      </c>
      <c r="BH235" s="703">
        <v>0</v>
      </c>
      <c r="BI235" s="703">
        <v>0</v>
      </c>
      <c r="BJ235" s="703">
        <v>0</v>
      </c>
      <c r="BK235" s="703">
        <v>0</v>
      </c>
      <c r="BL235" s="703">
        <f t="shared" si="53"/>
        <v>0</v>
      </c>
      <c r="BM235" s="703">
        <f t="shared" si="54"/>
        <v>0</v>
      </c>
      <c r="BN235" s="703">
        <v>0</v>
      </c>
      <c r="BO235" s="703">
        <v>0</v>
      </c>
      <c r="BP235" s="685">
        <v>0</v>
      </c>
      <c r="BQ235" s="667"/>
      <c r="BR235" s="670">
        <f>IF(AW236=0,0,             IF(ISNUMBER(BQ235),BQ235,             IF(ISTEXT(BQ235),INDEX(BH235:BO235,MATCH(BQ235,$BH$17:$BO$17,0)),           IF(BP235="INT",_xll.qInterp(AW236,AZ235:BG235,BH235:BO235),       INDEX(BH235:BO235,MATCH(BP235,$BH$17:$BO$17,0))))))</f>
        <v>0</v>
      </c>
      <c r="BS235" s="731">
        <f t="shared" si="48"/>
        <v>0</v>
      </c>
      <c r="BT235" s="406">
        <f t="shared" si="49"/>
        <v>0</v>
      </c>
      <c r="BU235" s="284">
        <f>IF($AW236,_xll.qDateYears($AW235,$AW236,DCC_Leg2_Fixed),0)</f>
        <v>0</v>
      </c>
      <c r="BV235" s="284">
        <f>IF($AW236,_xll.qDateYears($AW235,$AW236,DCC_Leg2_Float),0)</f>
        <v>0</v>
      </c>
      <c r="BX235" s="350">
        <f t="shared" si="55"/>
        <v>0</v>
      </c>
      <c r="BY235" s="375">
        <f>IF(GenType_2a="Fixed",GenRate_2a%*$BT234*BU234,          IF(GenType_2a="Float",$BT234*(_xll.qGetFwdRate($J$18,$AW234,$AW235,"T",DCC_Leg2_Float)%+GenRate_2a%%)*$BV234,        IF(GenType_2a="bp (Fixed)",GenRate_2a%%*$BU234*$BT234,   IF(GenType_2a="bp (Float)",GenRate_2a%%*$BT234*$BV234,0))))</f>
        <v>0</v>
      </c>
      <c r="BZ235" s="561"/>
      <c r="CB235" s="341">
        <f t="shared" si="57"/>
        <v>0</v>
      </c>
      <c r="CC235" s="563"/>
      <c r="CD235" s="356"/>
      <c r="CE235" s="341">
        <v>0</v>
      </c>
      <c r="CF235" s="563"/>
      <c r="CG235" s="356"/>
    </row>
    <row r="236" spans="15:85">
      <c r="O236" s="122">
        <v>0</v>
      </c>
      <c r="P236" s="128">
        <f t="shared" si="44"/>
        <v>0</v>
      </c>
      <c r="Q236" s="126">
        <v>0</v>
      </c>
      <c r="R236" s="699">
        <f>IF($O237=0,0,        _xll.qDateNext($O236,R$17,"M",TRUE,Currency1))</f>
        <v>0</v>
      </c>
      <c r="S236" s="699">
        <f>IF($O237=0,0,        _xll.qDateNext($O236,S$17,"M",TRUE,Currency1))</f>
        <v>0</v>
      </c>
      <c r="T236" s="699">
        <f>IF($O237=0,0,        _xll.qDateNext($O236,T$17,"M",TRUE,Currency1))</f>
        <v>0</v>
      </c>
      <c r="U236" s="699">
        <f>IF($O237=0,0,        _xll.qDateNext($O236,U$17,"M",TRUE,Currency1))</f>
        <v>0</v>
      </c>
      <c r="V236" s="699">
        <f>IF($O237=0,0,        _xll.qDateNext($O236,V$17,"M",TRUE,Currency1))</f>
        <v>0</v>
      </c>
      <c r="W236" s="699">
        <f>IF($O237=0,0,        _xll.qDateNext($O236,W$17,"M",TRUE,Currency1))</f>
        <v>0</v>
      </c>
      <c r="X236" s="699">
        <f>IF($O237=0,0,        _xll.qDateNext($O236,X$17,"M",TRUE,Currency1))</f>
        <v>0</v>
      </c>
      <c r="Y236" s="699">
        <f>IF($O237=0,0,        _xll.qDateNext($O236,Y$17,"M",TRUE,Currency1))</f>
        <v>0</v>
      </c>
      <c r="Z236" s="703">
        <f>IF($O237=0,0,           IF(FRM,_xll.qGetFwdRate(Z$14,$O236,R236,"T",DCC_Leg1_Float),_xll.qGetFwdRate(Z$14,$O236,$O237,"T",DCC_Leg1_Float)))</f>
        <v>0</v>
      </c>
      <c r="AA236" s="703">
        <f>IF($O237=0,0,           IF(FRM,_xll.qGetFwdRate(AA$14,$O236,S236,"T",DCC_Leg1_Float),_xll.qGetFwdRate(AA$14,$O236,$O237,"T",DCC_Leg1_Float)))</f>
        <v>0</v>
      </c>
      <c r="AB236" s="703">
        <f t="shared" si="45"/>
        <v>0</v>
      </c>
      <c r="AC236" s="703">
        <f>IF($O237=0,0,           IF(FRM,_xll.qGetFwdRate(AC$14,$O236,U236,"T",DCC_Leg1_Float),_xll.qGetFwdRate(AC$14,$O236,$O237,"T",DCC_Leg1_Float)))</f>
        <v>0</v>
      </c>
      <c r="AD236" s="703">
        <f t="shared" si="50"/>
        <v>0</v>
      </c>
      <c r="AE236" s="703">
        <f t="shared" si="51"/>
        <v>0</v>
      </c>
      <c r="AF236" s="703">
        <f>IF($O237=0,0,           IF(FRM,_xll.qGetFwdRate(AF$14,$O236,X236,"T",DCC_Leg1_Float),_xll.qGetFwdRate(AF$14,$O236,$O237,"T",DCC_Leg1_Float)))</f>
        <v>0</v>
      </c>
      <c r="AG236" s="703">
        <f>IF($O237=0,0,           IF(FRM,_xll.qGetFwdRate(AG$14,$O236,Y236,"T",DCC_Leg1_Float),_xll.qGetFwdRate(AG$14,$O236,$O237,"T",DCC_Leg1_Float)))</f>
        <v>0</v>
      </c>
      <c r="AH236" s="685">
        <v>0</v>
      </c>
      <c r="AI236" s="667"/>
      <c r="AJ236" s="670">
        <f>IF(O237=0,0,             IF(ISNUMBER(AI236),AI236,             IF(ISTEXT(AI236),INDEX(Z236:AG236,MATCH(AI236,$Z$17:$AG$17,0)),           IF(AH236="INT",_xll.qInterp(O237,R236:Y236,Z236:AG236),       INDEX(Z236:AG236,MATCH(AH236,$Z$17:$AG$17,0))))))</f>
        <v>0</v>
      </c>
      <c r="AK236" s="732">
        <v>20</v>
      </c>
      <c r="AL236" s="721">
        <f t="shared" si="46"/>
        <v>0</v>
      </c>
      <c r="AM236" s="284">
        <f>IF($O237,_xll.qDateYears($O236,$O237,DCC_Leg1_Fixed),0)</f>
        <v>0</v>
      </c>
      <c r="AN236" s="284">
        <f>IF($O237,_xll.qDateYears($O236,$O237,DCC_Leg1_Float),0)</f>
        <v>0</v>
      </c>
      <c r="AP236" s="350">
        <f t="shared" si="52"/>
        <v>0</v>
      </c>
      <c r="AQ236" s="375">
        <f>IF(GenType_1a="Fixed",GenRate_1a%*$AL235*AM235,          IF(GenType_1a="Float",$AL235*(_xll.qGetFwdRate($D$18,$O235,$O236,"T",DCC_Leg1_Float)%+GenRate_1a%%)*$AN235,        IF(GenType_1a="bp (Fixed)",GenRate_1a%%*$AM235*$AL235,   IF(GenType_1a="bp (Float)",GenRate_1a%%*$AL235*$AN235,0))))</f>
        <v>0</v>
      </c>
      <c r="AR236" s="561"/>
      <c r="AT236" s="341">
        <f t="shared" si="56"/>
        <v>0</v>
      </c>
      <c r="AV236" s="356"/>
      <c r="AW236" s="122">
        <v>0</v>
      </c>
      <c r="AX236" s="128">
        <f t="shared" si="47"/>
        <v>0</v>
      </c>
      <c r="AY236" s="357">
        <v>0</v>
      </c>
      <c r="AZ236" s="699">
        <f>IF($AW237=0,0,        _xll.qDateNext($AW236,AZ$17,"M",TRUE,Currency2))</f>
        <v>0</v>
      </c>
      <c r="BA236" s="699">
        <f>IF($AW237=0,0,        _xll.qDateNext($AW236,BA$17,"M",TRUE,Currency2))</f>
        <v>0</v>
      </c>
      <c r="BB236" s="699">
        <f>IF($AW237=0,0,        _xll.qDateNext($AW236,BB$17,"M",TRUE,Currency2))</f>
        <v>0</v>
      </c>
      <c r="BC236" s="699">
        <f>IF($AW237=0,0,        _xll.qDateNext($AW236,BC$17,"M",TRUE,Currency2))</f>
        <v>0</v>
      </c>
      <c r="BD236" s="699">
        <f>IF($AW237=0,0,        _xll.qDateNext($AW236,BD$17,"M",TRUE,Currency2))</f>
        <v>0</v>
      </c>
      <c r="BE236" s="699">
        <f>IF($AW237=0,0,        _xll.qDateNext($AW236,BE$17,"M",TRUE,Currency2))</f>
        <v>0</v>
      </c>
      <c r="BF236" s="699">
        <f>IF($AW237=0,0,        _xll.qDateNext($AW236,BF$17,"M",TRUE,Currency2))</f>
        <v>0</v>
      </c>
      <c r="BG236" s="699">
        <f>IF($AW237=0,0,        _xll.qDateNext($AW236,BG$17,"M",TRUE,Currency2))</f>
        <v>0</v>
      </c>
      <c r="BH236" s="703">
        <v>0</v>
      </c>
      <c r="BI236" s="703">
        <v>0</v>
      </c>
      <c r="BJ236" s="703">
        <v>0</v>
      </c>
      <c r="BK236" s="703">
        <v>0</v>
      </c>
      <c r="BL236" s="703">
        <f t="shared" si="53"/>
        <v>0</v>
      </c>
      <c r="BM236" s="703">
        <f t="shared" si="54"/>
        <v>0</v>
      </c>
      <c r="BN236" s="703">
        <v>0</v>
      </c>
      <c r="BO236" s="703">
        <v>0</v>
      </c>
      <c r="BP236" s="685">
        <v>0</v>
      </c>
      <c r="BQ236" s="667"/>
      <c r="BR236" s="670">
        <f>IF(AW237=0,0,             IF(ISNUMBER(BQ236),BQ236,             IF(ISTEXT(BQ236),INDEX(BH236:BO236,MATCH(BQ236,$BH$17:$BO$17,0)),           IF(BP236="INT",_xll.qInterp(AW237,AZ236:BG236,BH236:BO236),       INDEX(BH236:BO236,MATCH(BP236,$BH$17:$BO$17,0))))))</f>
        <v>0</v>
      </c>
      <c r="BS236" s="731">
        <f t="shared" si="48"/>
        <v>0</v>
      </c>
      <c r="BT236" s="406">
        <f t="shared" si="49"/>
        <v>0</v>
      </c>
      <c r="BU236" s="284">
        <f>IF($AW237,_xll.qDateYears($AW236,$AW237,DCC_Leg2_Fixed),0)</f>
        <v>0</v>
      </c>
      <c r="BV236" s="284">
        <f>IF($AW237,_xll.qDateYears($AW236,$AW237,DCC_Leg2_Float),0)</f>
        <v>0</v>
      </c>
      <c r="BX236" s="350">
        <f t="shared" si="55"/>
        <v>0</v>
      </c>
      <c r="BY236" s="375">
        <f>IF(GenType_2a="Fixed",GenRate_2a%*$BT235*BU235,          IF(GenType_2a="Float",$BT235*(_xll.qGetFwdRate($J$18,$AW235,$AW236,"T",DCC_Leg2_Float)%+GenRate_2a%%)*$BV235,        IF(GenType_2a="bp (Fixed)",GenRate_2a%%*$BU235*$BT235,   IF(GenType_2a="bp (Float)",GenRate_2a%%*$BT235*$BV235,0))))</f>
        <v>0</v>
      </c>
      <c r="BZ236" s="561"/>
      <c r="CB236" s="341">
        <f t="shared" si="57"/>
        <v>0</v>
      </c>
      <c r="CC236" s="563"/>
      <c r="CD236" s="356"/>
      <c r="CE236" s="341">
        <v>0</v>
      </c>
      <c r="CF236" s="563"/>
      <c r="CG236" s="356"/>
    </row>
    <row r="237" spans="15:85">
      <c r="O237" s="122">
        <v>0</v>
      </c>
      <c r="P237" s="128">
        <f t="shared" si="44"/>
        <v>0</v>
      </c>
      <c r="Q237" s="126">
        <v>0</v>
      </c>
      <c r="R237" s="699">
        <f>IF($O238=0,0,        _xll.qDateNext($O237,R$17,"M",TRUE,Currency1))</f>
        <v>0</v>
      </c>
      <c r="S237" s="699">
        <f>IF($O238=0,0,        _xll.qDateNext($O237,S$17,"M",TRUE,Currency1))</f>
        <v>0</v>
      </c>
      <c r="T237" s="699">
        <f>IF($O238=0,0,        _xll.qDateNext($O237,T$17,"M",TRUE,Currency1))</f>
        <v>0</v>
      </c>
      <c r="U237" s="699">
        <f>IF($O238=0,0,        _xll.qDateNext($O237,U$17,"M",TRUE,Currency1))</f>
        <v>0</v>
      </c>
      <c r="V237" s="699">
        <f>IF($O238=0,0,        _xll.qDateNext($O237,V$17,"M",TRUE,Currency1))</f>
        <v>0</v>
      </c>
      <c r="W237" s="699">
        <f>IF($O238=0,0,        _xll.qDateNext($O237,W$17,"M",TRUE,Currency1))</f>
        <v>0</v>
      </c>
      <c r="X237" s="699">
        <f>IF($O238=0,0,        _xll.qDateNext($O237,X$17,"M",TRUE,Currency1))</f>
        <v>0</v>
      </c>
      <c r="Y237" s="699">
        <f>IF($O238=0,0,        _xll.qDateNext($O237,Y$17,"M",TRUE,Currency1))</f>
        <v>0</v>
      </c>
      <c r="Z237" s="703">
        <f>IF($O238=0,0,           IF(FRM,_xll.qGetFwdRate(Z$14,$O237,R237,"T",DCC_Leg1_Float),_xll.qGetFwdRate(Z$14,$O237,$O238,"T",DCC_Leg1_Float)))</f>
        <v>0</v>
      </c>
      <c r="AA237" s="703">
        <f>IF($O238=0,0,           IF(FRM,_xll.qGetFwdRate(AA$14,$O237,S237,"T",DCC_Leg1_Float),_xll.qGetFwdRate(AA$14,$O237,$O238,"T",DCC_Leg1_Float)))</f>
        <v>0</v>
      </c>
      <c r="AB237" s="703">
        <f t="shared" si="45"/>
        <v>0</v>
      </c>
      <c r="AC237" s="703">
        <f>IF($O238=0,0,           IF(FRM,_xll.qGetFwdRate(AC$14,$O237,U237,"T",DCC_Leg1_Float),_xll.qGetFwdRate(AC$14,$O237,$O238,"T",DCC_Leg1_Float)))</f>
        <v>0</v>
      </c>
      <c r="AD237" s="703">
        <f t="shared" si="50"/>
        <v>0</v>
      </c>
      <c r="AE237" s="703">
        <f t="shared" si="51"/>
        <v>0</v>
      </c>
      <c r="AF237" s="703">
        <f>IF($O238=0,0,           IF(FRM,_xll.qGetFwdRate(AF$14,$O237,X237,"T",DCC_Leg1_Float),_xll.qGetFwdRate(AF$14,$O237,$O238,"T",DCC_Leg1_Float)))</f>
        <v>0</v>
      </c>
      <c r="AG237" s="703">
        <f>IF($O238=0,0,           IF(FRM,_xll.qGetFwdRate(AG$14,$O237,Y237,"T",DCC_Leg1_Float),_xll.qGetFwdRate(AG$14,$O237,$O238,"T",DCC_Leg1_Float)))</f>
        <v>0</v>
      </c>
      <c r="AH237" s="685">
        <v>0</v>
      </c>
      <c r="AI237" s="667"/>
      <c r="AJ237" s="670">
        <f>IF(O238=0,0,             IF(ISNUMBER(AI237),AI237,             IF(ISTEXT(AI237),INDEX(Z237:AG237,MATCH(AI237,$Z$17:$AG$17,0)),           IF(AH237="INT",_xll.qInterp(O238,R237:Y237,Z237:AG237),       INDEX(Z237:AG237,MATCH(AH237,$Z$17:$AG$17,0))))))</f>
        <v>0</v>
      </c>
      <c r="AK237" s="732">
        <v>20</v>
      </c>
      <c r="AL237" s="721">
        <f t="shared" si="46"/>
        <v>0</v>
      </c>
      <c r="AM237" s="284">
        <f>IF($O238,_xll.qDateYears($O237,$O238,DCC_Leg1_Fixed),0)</f>
        <v>0</v>
      </c>
      <c r="AN237" s="284">
        <f>IF($O238,_xll.qDateYears($O237,$O238,DCC_Leg1_Float),0)</f>
        <v>0</v>
      </c>
      <c r="AP237" s="350">
        <f t="shared" si="52"/>
        <v>0</v>
      </c>
      <c r="AQ237" s="375">
        <f>IF(GenType_1a="Fixed",GenRate_1a%*$AL236*AM236,          IF(GenType_1a="Float",$AL236*(_xll.qGetFwdRate($D$18,$O236,$O237,"T",DCC_Leg1_Float)%+GenRate_1a%%)*$AN236,        IF(GenType_1a="bp (Fixed)",GenRate_1a%%*$AM236*$AL236,   IF(GenType_1a="bp (Float)",GenRate_1a%%*$AL236*$AN236,0))))</f>
        <v>0</v>
      </c>
      <c r="AR237" s="561"/>
      <c r="AT237" s="341">
        <f t="shared" si="56"/>
        <v>0</v>
      </c>
      <c r="AV237" s="356"/>
      <c r="AW237" s="122">
        <v>0</v>
      </c>
      <c r="AX237" s="128">
        <f t="shared" si="47"/>
        <v>0</v>
      </c>
      <c r="AY237" s="357">
        <v>0</v>
      </c>
      <c r="AZ237" s="699">
        <f>IF($AW238=0,0,        _xll.qDateNext($AW237,AZ$17,"M",TRUE,Currency2))</f>
        <v>0</v>
      </c>
      <c r="BA237" s="699">
        <f>IF($AW238=0,0,        _xll.qDateNext($AW237,BA$17,"M",TRUE,Currency2))</f>
        <v>0</v>
      </c>
      <c r="BB237" s="699">
        <f>IF($AW238=0,0,        _xll.qDateNext($AW237,BB$17,"M",TRUE,Currency2))</f>
        <v>0</v>
      </c>
      <c r="BC237" s="699">
        <f>IF($AW238=0,0,        _xll.qDateNext($AW237,BC$17,"M",TRUE,Currency2))</f>
        <v>0</v>
      </c>
      <c r="BD237" s="699">
        <f>IF($AW238=0,0,        _xll.qDateNext($AW237,BD$17,"M",TRUE,Currency2))</f>
        <v>0</v>
      </c>
      <c r="BE237" s="699">
        <f>IF($AW238=0,0,        _xll.qDateNext($AW237,BE$17,"M",TRUE,Currency2))</f>
        <v>0</v>
      </c>
      <c r="BF237" s="699">
        <f>IF($AW238=0,0,        _xll.qDateNext($AW237,BF$17,"M",TRUE,Currency2))</f>
        <v>0</v>
      </c>
      <c r="BG237" s="699">
        <f>IF($AW238=0,0,        _xll.qDateNext($AW237,BG$17,"M",TRUE,Currency2))</f>
        <v>0</v>
      </c>
      <c r="BH237" s="703">
        <v>0</v>
      </c>
      <c r="BI237" s="703">
        <v>0</v>
      </c>
      <c r="BJ237" s="703">
        <v>0</v>
      </c>
      <c r="BK237" s="703">
        <v>0</v>
      </c>
      <c r="BL237" s="703">
        <f t="shared" si="53"/>
        <v>0</v>
      </c>
      <c r="BM237" s="703">
        <f t="shared" si="54"/>
        <v>0</v>
      </c>
      <c r="BN237" s="703">
        <v>0</v>
      </c>
      <c r="BO237" s="703">
        <v>0</v>
      </c>
      <c r="BP237" s="685">
        <v>0</v>
      </c>
      <c r="BQ237" s="667"/>
      <c r="BR237" s="670">
        <f>IF(AW238=0,0,             IF(ISNUMBER(BQ237),BQ237,             IF(ISTEXT(BQ237),INDEX(BH237:BO237,MATCH(BQ237,$BH$17:$BO$17,0)),           IF(BP237="INT",_xll.qInterp(AW238,AZ237:BG237,BH237:BO237),       INDEX(BH237:BO237,MATCH(BP237,$BH$17:$BO$17,0))))))</f>
        <v>0</v>
      </c>
      <c r="BS237" s="731">
        <f t="shared" si="48"/>
        <v>0</v>
      </c>
      <c r="BT237" s="406">
        <f t="shared" si="49"/>
        <v>0</v>
      </c>
      <c r="BU237" s="284">
        <f>IF($AW238,_xll.qDateYears($AW237,$AW238,DCC_Leg2_Fixed),0)</f>
        <v>0</v>
      </c>
      <c r="BV237" s="284">
        <f>IF($AW238,_xll.qDateYears($AW237,$AW238,DCC_Leg2_Float),0)</f>
        <v>0</v>
      </c>
      <c r="BX237" s="350">
        <f t="shared" si="55"/>
        <v>0</v>
      </c>
      <c r="BY237" s="375">
        <f>IF(GenType_2a="Fixed",GenRate_2a%*$BT236*BU236,          IF(GenType_2a="Float",$BT236*(_xll.qGetFwdRate($J$18,$AW236,$AW237,"T",DCC_Leg2_Float)%+GenRate_2a%%)*$BV236,        IF(GenType_2a="bp (Fixed)",GenRate_2a%%*$BU236*$BT236,   IF(GenType_2a="bp (Float)",GenRate_2a%%*$BT236*$BV236,0))))</f>
        <v>0</v>
      </c>
      <c r="BZ237" s="561"/>
      <c r="CB237" s="341">
        <f t="shared" si="57"/>
        <v>0</v>
      </c>
      <c r="CC237" s="563"/>
      <c r="CD237" s="356"/>
      <c r="CE237" s="341">
        <v>0</v>
      </c>
      <c r="CF237" s="563"/>
      <c r="CG237" s="356"/>
    </row>
    <row r="238" spans="15:85">
      <c r="O238" s="122">
        <v>0</v>
      </c>
      <c r="P238" s="128">
        <f t="shared" si="44"/>
        <v>0</v>
      </c>
      <c r="Q238" s="126">
        <v>0</v>
      </c>
      <c r="R238" s="699">
        <f>IF($O239=0,0,        _xll.qDateNext($O238,R$17,"M",TRUE,Currency1))</f>
        <v>0</v>
      </c>
      <c r="S238" s="699">
        <f>IF($O239=0,0,        _xll.qDateNext($O238,S$17,"M",TRUE,Currency1))</f>
        <v>0</v>
      </c>
      <c r="T238" s="699">
        <f>IF($O239=0,0,        _xll.qDateNext($O238,T$17,"M",TRUE,Currency1))</f>
        <v>0</v>
      </c>
      <c r="U238" s="699">
        <f>IF($O239=0,0,        _xll.qDateNext($O238,U$17,"M",TRUE,Currency1))</f>
        <v>0</v>
      </c>
      <c r="V238" s="699">
        <f>IF($O239=0,0,        _xll.qDateNext($O238,V$17,"M",TRUE,Currency1))</f>
        <v>0</v>
      </c>
      <c r="W238" s="699">
        <f>IF($O239=0,0,        _xll.qDateNext($O238,W$17,"M",TRUE,Currency1))</f>
        <v>0</v>
      </c>
      <c r="X238" s="699">
        <f>IF($O239=0,0,        _xll.qDateNext($O238,X$17,"M",TRUE,Currency1))</f>
        <v>0</v>
      </c>
      <c r="Y238" s="699">
        <f>IF($O239=0,0,        _xll.qDateNext($O238,Y$17,"M",TRUE,Currency1))</f>
        <v>0</v>
      </c>
      <c r="Z238" s="703">
        <f>IF($O239=0,0,           IF(FRM,_xll.qGetFwdRate(Z$14,$O238,R238,"T",DCC_Leg1_Float),_xll.qGetFwdRate(Z$14,$O238,$O239,"T",DCC_Leg1_Float)))</f>
        <v>0</v>
      </c>
      <c r="AA238" s="703">
        <f>IF($O239=0,0,           IF(FRM,_xll.qGetFwdRate(AA$14,$O238,S238,"T",DCC_Leg1_Float),_xll.qGetFwdRate(AA$14,$O238,$O239,"T",DCC_Leg1_Float)))</f>
        <v>0</v>
      </c>
      <c r="AB238" s="703">
        <f t="shared" si="45"/>
        <v>0</v>
      </c>
      <c r="AC238" s="703">
        <f>IF($O239=0,0,           IF(FRM,_xll.qGetFwdRate(AC$14,$O238,U238,"T",DCC_Leg1_Float),_xll.qGetFwdRate(AC$14,$O238,$O239,"T",DCC_Leg1_Float)))</f>
        <v>0</v>
      </c>
      <c r="AD238" s="703">
        <f t="shared" si="50"/>
        <v>0</v>
      </c>
      <c r="AE238" s="703">
        <f t="shared" si="51"/>
        <v>0</v>
      </c>
      <c r="AF238" s="703">
        <f>IF($O239=0,0,           IF(FRM,_xll.qGetFwdRate(AF$14,$O238,X238,"T",DCC_Leg1_Float),_xll.qGetFwdRate(AF$14,$O238,$O239,"T",DCC_Leg1_Float)))</f>
        <v>0</v>
      </c>
      <c r="AG238" s="703">
        <f>IF($O239=0,0,           IF(FRM,_xll.qGetFwdRate(AG$14,$O238,Y238,"T",DCC_Leg1_Float),_xll.qGetFwdRate(AG$14,$O238,$O239,"T",DCC_Leg1_Float)))</f>
        <v>0</v>
      </c>
      <c r="AH238" s="685">
        <v>0</v>
      </c>
      <c r="AI238" s="667"/>
      <c r="AJ238" s="670">
        <f>IF(O239=0,0,             IF(ISNUMBER(AI238),AI238,             IF(ISTEXT(AI238),INDEX(Z238:AG238,MATCH(AI238,$Z$17:$AG$17,0)),           IF(AH238="INT",_xll.qInterp(O239,R238:Y238,Z238:AG238),       INDEX(Z238:AG238,MATCH(AH238,$Z$17:$AG$17,0))))))</f>
        <v>0</v>
      </c>
      <c r="AK238" s="732">
        <v>20</v>
      </c>
      <c r="AL238" s="721">
        <f t="shared" si="46"/>
        <v>0</v>
      </c>
      <c r="AM238" s="284">
        <f>IF($O239,_xll.qDateYears($O238,$O239,DCC_Leg1_Fixed),0)</f>
        <v>0</v>
      </c>
      <c r="AN238" s="284">
        <f>IF($O239,_xll.qDateYears($O238,$O239,DCC_Leg1_Float),0)</f>
        <v>0</v>
      </c>
      <c r="AP238" s="350">
        <f t="shared" si="52"/>
        <v>0</v>
      </c>
      <c r="AQ238" s="375">
        <f>IF(GenType_1a="Fixed",GenRate_1a%*$AL237*AM237,          IF(GenType_1a="Float",$AL237*(_xll.qGetFwdRate($D$18,$O237,$O238,"T",DCC_Leg1_Float)%+GenRate_1a%%)*$AN237,        IF(GenType_1a="bp (Fixed)",GenRate_1a%%*$AM237*$AL237,   IF(GenType_1a="bp (Float)",GenRate_1a%%*$AL237*$AN237,0))))</f>
        <v>0</v>
      </c>
      <c r="AR238" s="561"/>
      <c r="AT238" s="341">
        <f t="shared" si="56"/>
        <v>0</v>
      </c>
      <c r="AV238" s="356"/>
      <c r="AW238" s="122">
        <v>0</v>
      </c>
      <c r="AX238" s="128">
        <f t="shared" si="47"/>
        <v>0</v>
      </c>
      <c r="AY238" s="357">
        <v>0</v>
      </c>
      <c r="AZ238" s="699">
        <f>IF($AW239=0,0,        _xll.qDateNext($AW238,AZ$17,"M",TRUE,Currency2))</f>
        <v>0</v>
      </c>
      <c r="BA238" s="699">
        <f>IF($AW239=0,0,        _xll.qDateNext($AW238,BA$17,"M",TRUE,Currency2))</f>
        <v>0</v>
      </c>
      <c r="BB238" s="699">
        <f>IF($AW239=0,0,        _xll.qDateNext($AW238,BB$17,"M",TRUE,Currency2))</f>
        <v>0</v>
      </c>
      <c r="BC238" s="699">
        <f>IF($AW239=0,0,        _xll.qDateNext($AW238,BC$17,"M",TRUE,Currency2))</f>
        <v>0</v>
      </c>
      <c r="BD238" s="699">
        <f>IF($AW239=0,0,        _xll.qDateNext($AW238,BD$17,"M",TRUE,Currency2))</f>
        <v>0</v>
      </c>
      <c r="BE238" s="699">
        <f>IF($AW239=0,0,        _xll.qDateNext($AW238,BE$17,"M",TRUE,Currency2))</f>
        <v>0</v>
      </c>
      <c r="BF238" s="699">
        <f>IF($AW239=0,0,        _xll.qDateNext($AW238,BF$17,"M",TRUE,Currency2))</f>
        <v>0</v>
      </c>
      <c r="BG238" s="699">
        <f>IF($AW239=0,0,        _xll.qDateNext($AW238,BG$17,"M",TRUE,Currency2))</f>
        <v>0</v>
      </c>
      <c r="BH238" s="703">
        <v>0</v>
      </c>
      <c r="BI238" s="703">
        <v>0</v>
      </c>
      <c r="BJ238" s="703">
        <v>0</v>
      </c>
      <c r="BK238" s="703">
        <v>0</v>
      </c>
      <c r="BL238" s="703">
        <f t="shared" si="53"/>
        <v>0</v>
      </c>
      <c r="BM238" s="703">
        <f t="shared" si="54"/>
        <v>0</v>
      </c>
      <c r="BN238" s="703">
        <v>0</v>
      </c>
      <c r="BO238" s="703">
        <v>0</v>
      </c>
      <c r="BP238" s="685">
        <v>0</v>
      </c>
      <c r="BQ238" s="667"/>
      <c r="BR238" s="670">
        <f>IF(AW239=0,0,             IF(ISNUMBER(BQ238),BQ238,             IF(ISTEXT(BQ238),INDEX(BH238:BO238,MATCH(BQ238,$BH$17:$BO$17,0)),           IF(BP238="INT",_xll.qInterp(AW239,AZ238:BG238,BH238:BO238),       INDEX(BH238:BO238,MATCH(BP238,$BH$17:$BO$17,0))))))</f>
        <v>0</v>
      </c>
      <c r="BS238" s="731">
        <f t="shared" si="48"/>
        <v>0</v>
      </c>
      <c r="BT238" s="406">
        <f t="shared" si="49"/>
        <v>0</v>
      </c>
      <c r="BU238" s="284">
        <f>IF($AW239,_xll.qDateYears($AW238,$AW239,DCC_Leg2_Fixed),0)</f>
        <v>0</v>
      </c>
      <c r="BV238" s="284">
        <f>IF($AW239,_xll.qDateYears($AW238,$AW239,DCC_Leg2_Float),0)</f>
        <v>0</v>
      </c>
      <c r="BX238" s="350">
        <f t="shared" si="55"/>
        <v>0</v>
      </c>
      <c r="BY238" s="375">
        <f>IF(GenType_2a="Fixed",GenRate_2a%*$BT237*BU237,          IF(GenType_2a="Float",$BT237*(_xll.qGetFwdRate($J$18,$AW237,$AW238,"T",DCC_Leg2_Float)%+GenRate_2a%%)*$BV237,        IF(GenType_2a="bp (Fixed)",GenRate_2a%%*$BU237*$BT237,   IF(GenType_2a="bp (Float)",GenRate_2a%%*$BT237*$BV237,0))))</f>
        <v>0</v>
      </c>
      <c r="BZ238" s="561"/>
      <c r="CB238" s="341">
        <f t="shared" si="57"/>
        <v>0</v>
      </c>
      <c r="CC238" s="563"/>
      <c r="CD238" s="356"/>
      <c r="CE238" s="341">
        <v>0</v>
      </c>
      <c r="CF238" s="563"/>
      <c r="CG238" s="356"/>
    </row>
    <row r="239" spans="15:85">
      <c r="O239" s="122">
        <v>0</v>
      </c>
      <c r="P239" s="128">
        <f t="shared" si="44"/>
        <v>0</v>
      </c>
      <c r="Q239" s="126">
        <v>0</v>
      </c>
      <c r="R239" s="699">
        <f>IF($O240=0,0,        _xll.qDateNext($O239,R$17,"M",TRUE,Currency1))</f>
        <v>0</v>
      </c>
      <c r="S239" s="699">
        <f>IF($O240=0,0,        _xll.qDateNext($O239,S$17,"M",TRUE,Currency1))</f>
        <v>0</v>
      </c>
      <c r="T239" s="699">
        <f>IF($O240=0,0,        _xll.qDateNext($O239,T$17,"M",TRUE,Currency1))</f>
        <v>0</v>
      </c>
      <c r="U239" s="699">
        <f>IF($O240=0,0,        _xll.qDateNext($O239,U$17,"M",TRUE,Currency1))</f>
        <v>0</v>
      </c>
      <c r="V239" s="699">
        <f>IF($O240=0,0,        _xll.qDateNext($O239,V$17,"M",TRUE,Currency1))</f>
        <v>0</v>
      </c>
      <c r="W239" s="699">
        <f>IF($O240=0,0,        _xll.qDateNext($O239,W$17,"M",TRUE,Currency1))</f>
        <v>0</v>
      </c>
      <c r="X239" s="699">
        <f>IF($O240=0,0,        _xll.qDateNext($O239,X$17,"M",TRUE,Currency1))</f>
        <v>0</v>
      </c>
      <c r="Y239" s="699">
        <f>IF($O240=0,0,        _xll.qDateNext($O239,Y$17,"M",TRUE,Currency1))</f>
        <v>0</v>
      </c>
      <c r="Z239" s="703">
        <f>IF($O240=0,0,           IF(FRM,_xll.qGetFwdRate(Z$14,$O239,R239,"T",DCC_Leg1_Float),_xll.qGetFwdRate(Z$14,$O239,$O240,"T",DCC_Leg1_Float)))</f>
        <v>0</v>
      </c>
      <c r="AA239" s="703">
        <f>IF($O240=0,0,           IF(FRM,_xll.qGetFwdRate(AA$14,$O239,S239,"T",DCC_Leg1_Float),_xll.qGetFwdRate(AA$14,$O239,$O240,"T",DCC_Leg1_Float)))</f>
        <v>0</v>
      </c>
      <c r="AB239" s="703">
        <f t="shared" si="45"/>
        <v>0</v>
      </c>
      <c r="AC239" s="703">
        <f>IF($O240=0,0,           IF(FRM,_xll.qGetFwdRate(AC$14,$O239,U239,"T",DCC_Leg1_Float),_xll.qGetFwdRate(AC$14,$O239,$O240,"T",DCC_Leg1_Float)))</f>
        <v>0</v>
      </c>
      <c r="AD239" s="703">
        <f t="shared" si="50"/>
        <v>0</v>
      </c>
      <c r="AE239" s="703">
        <f t="shared" si="51"/>
        <v>0</v>
      </c>
      <c r="AF239" s="703">
        <f>IF($O240=0,0,           IF(FRM,_xll.qGetFwdRate(AF$14,$O239,X239,"T",DCC_Leg1_Float),_xll.qGetFwdRate(AF$14,$O239,$O240,"T",DCC_Leg1_Float)))</f>
        <v>0</v>
      </c>
      <c r="AG239" s="703">
        <f>IF($O240=0,0,           IF(FRM,_xll.qGetFwdRate(AG$14,$O239,Y239,"T",DCC_Leg1_Float),_xll.qGetFwdRate(AG$14,$O239,$O240,"T",DCC_Leg1_Float)))</f>
        <v>0</v>
      </c>
      <c r="AH239" s="685">
        <v>0</v>
      </c>
      <c r="AI239" s="667"/>
      <c r="AJ239" s="670">
        <f>IF(O240=0,0,             IF(ISNUMBER(AI239),AI239,             IF(ISTEXT(AI239),INDEX(Z239:AG239,MATCH(AI239,$Z$17:$AG$17,0)),           IF(AH239="INT",_xll.qInterp(O240,R239:Y239,Z239:AG239),       INDEX(Z239:AG239,MATCH(AH239,$Z$17:$AG$17,0))))))</f>
        <v>0</v>
      </c>
      <c r="AK239" s="732">
        <v>20</v>
      </c>
      <c r="AL239" s="721">
        <f t="shared" si="46"/>
        <v>0</v>
      </c>
      <c r="AM239" s="284">
        <f>IF($O240,_xll.qDateYears($O239,$O240,DCC_Leg1_Fixed),0)</f>
        <v>0</v>
      </c>
      <c r="AN239" s="284">
        <f>IF($O240,_xll.qDateYears($O239,$O240,DCC_Leg1_Float),0)</f>
        <v>0</v>
      </c>
      <c r="AP239" s="350">
        <f t="shared" si="52"/>
        <v>0</v>
      </c>
      <c r="AQ239" s="375">
        <f>IF(GenType_1a="Fixed",GenRate_1a%*$AL238*AM238,          IF(GenType_1a="Float",$AL238*(_xll.qGetFwdRate($D$18,$O238,$O239,"T",DCC_Leg1_Float)%+GenRate_1a%%)*$AN238,        IF(GenType_1a="bp (Fixed)",GenRate_1a%%*$AM238*$AL238,   IF(GenType_1a="bp (Float)",GenRate_1a%%*$AL238*$AN238,0))))</f>
        <v>0</v>
      </c>
      <c r="AR239" s="561"/>
      <c r="AT239" s="341">
        <f t="shared" si="56"/>
        <v>0</v>
      </c>
      <c r="AV239" s="356"/>
      <c r="AW239" s="122">
        <v>0</v>
      </c>
      <c r="AX239" s="128">
        <f t="shared" si="47"/>
        <v>0</v>
      </c>
      <c r="AY239" s="357">
        <v>0</v>
      </c>
      <c r="AZ239" s="699">
        <f>IF($AW240=0,0,        _xll.qDateNext($AW239,AZ$17,"M",TRUE,Currency2))</f>
        <v>0</v>
      </c>
      <c r="BA239" s="699">
        <f>IF($AW240=0,0,        _xll.qDateNext($AW239,BA$17,"M",TRUE,Currency2))</f>
        <v>0</v>
      </c>
      <c r="BB239" s="699">
        <f>IF($AW240=0,0,        _xll.qDateNext($AW239,BB$17,"M",TRUE,Currency2))</f>
        <v>0</v>
      </c>
      <c r="BC239" s="699">
        <f>IF($AW240=0,0,        _xll.qDateNext($AW239,BC$17,"M",TRUE,Currency2))</f>
        <v>0</v>
      </c>
      <c r="BD239" s="699">
        <f>IF($AW240=0,0,        _xll.qDateNext($AW239,BD$17,"M",TRUE,Currency2))</f>
        <v>0</v>
      </c>
      <c r="BE239" s="699">
        <f>IF($AW240=0,0,        _xll.qDateNext($AW239,BE$17,"M",TRUE,Currency2))</f>
        <v>0</v>
      </c>
      <c r="BF239" s="699">
        <f>IF($AW240=0,0,        _xll.qDateNext($AW239,BF$17,"M",TRUE,Currency2))</f>
        <v>0</v>
      </c>
      <c r="BG239" s="699">
        <f>IF($AW240=0,0,        _xll.qDateNext($AW239,BG$17,"M",TRUE,Currency2))</f>
        <v>0</v>
      </c>
      <c r="BH239" s="703">
        <v>0</v>
      </c>
      <c r="BI239" s="703">
        <v>0</v>
      </c>
      <c r="BJ239" s="703">
        <v>0</v>
      </c>
      <c r="BK239" s="703">
        <v>0</v>
      </c>
      <c r="BL239" s="703">
        <f t="shared" si="53"/>
        <v>0</v>
      </c>
      <c r="BM239" s="703">
        <f t="shared" si="54"/>
        <v>0</v>
      </c>
      <c r="BN239" s="703">
        <v>0</v>
      </c>
      <c r="BO239" s="703">
        <v>0</v>
      </c>
      <c r="BP239" s="685">
        <v>0</v>
      </c>
      <c r="BQ239" s="667"/>
      <c r="BR239" s="670">
        <f>IF(AW240=0,0,             IF(ISNUMBER(BQ239),BQ239,             IF(ISTEXT(BQ239),INDEX(BH239:BO239,MATCH(BQ239,$BH$17:$BO$17,0)),           IF(BP239="INT",_xll.qInterp(AW240,AZ239:BG239,BH239:BO239),       INDEX(BH239:BO239,MATCH(BP239,$BH$17:$BO$17,0))))))</f>
        <v>0</v>
      </c>
      <c r="BS239" s="731">
        <f t="shared" si="48"/>
        <v>0</v>
      </c>
      <c r="BT239" s="406">
        <f t="shared" si="49"/>
        <v>0</v>
      </c>
      <c r="BU239" s="284">
        <f>IF($AW240,_xll.qDateYears($AW239,$AW240,DCC_Leg2_Fixed),0)</f>
        <v>0</v>
      </c>
      <c r="BV239" s="284">
        <f>IF($AW240,_xll.qDateYears($AW239,$AW240,DCC_Leg2_Float),0)</f>
        <v>0</v>
      </c>
      <c r="BX239" s="350">
        <f t="shared" si="55"/>
        <v>0</v>
      </c>
      <c r="BY239" s="375">
        <f>IF(GenType_2a="Fixed",GenRate_2a%*$BT238*BU238,          IF(GenType_2a="Float",$BT238*(_xll.qGetFwdRate($J$18,$AW238,$AW239,"T",DCC_Leg2_Float)%+GenRate_2a%%)*$BV238,        IF(GenType_2a="bp (Fixed)",GenRate_2a%%*$BU238*$BT238,   IF(GenType_2a="bp (Float)",GenRate_2a%%*$BT238*$BV238,0))))</f>
        <v>0</v>
      </c>
      <c r="BZ239" s="561"/>
      <c r="CB239" s="341">
        <f t="shared" si="57"/>
        <v>0</v>
      </c>
      <c r="CC239" s="563"/>
      <c r="CD239" s="356"/>
      <c r="CE239" s="341">
        <v>0</v>
      </c>
      <c r="CF239" s="563"/>
      <c r="CG239" s="356"/>
    </row>
    <row r="240" spans="15:85">
      <c r="O240" s="122">
        <v>0</v>
      </c>
      <c r="P240" s="128">
        <f t="shared" si="44"/>
        <v>0</v>
      </c>
      <c r="Q240" s="126">
        <v>0</v>
      </c>
      <c r="R240" s="699">
        <f>IF($O241=0,0,        _xll.qDateNext($O240,R$17,"M",TRUE,Currency1))</f>
        <v>0</v>
      </c>
      <c r="S240" s="699">
        <f>IF($O241=0,0,        _xll.qDateNext($O240,S$17,"M",TRUE,Currency1))</f>
        <v>0</v>
      </c>
      <c r="T240" s="699">
        <f>IF($O241=0,0,        _xll.qDateNext($O240,T$17,"M",TRUE,Currency1))</f>
        <v>0</v>
      </c>
      <c r="U240" s="699">
        <f>IF($O241=0,0,        _xll.qDateNext($O240,U$17,"M",TRUE,Currency1))</f>
        <v>0</v>
      </c>
      <c r="V240" s="699">
        <f>IF($O241=0,0,        _xll.qDateNext($O240,V$17,"M",TRUE,Currency1))</f>
        <v>0</v>
      </c>
      <c r="W240" s="699">
        <f>IF($O241=0,0,        _xll.qDateNext($O240,W$17,"M",TRUE,Currency1))</f>
        <v>0</v>
      </c>
      <c r="X240" s="699">
        <f>IF($O241=0,0,        _xll.qDateNext($O240,X$17,"M",TRUE,Currency1))</f>
        <v>0</v>
      </c>
      <c r="Y240" s="699">
        <f>IF($O241=0,0,        _xll.qDateNext($O240,Y$17,"M",TRUE,Currency1))</f>
        <v>0</v>
      </c>
      <c r="Z240" s="703">
        <f>IF($O241=0,0,           IF(FRM,_xll.qGetFwdRate(Z$14,$O240,R240,"T",DCC_Leg1_Float),_xll.qGetFwdRate(Z$14,$O240,$O241,"T",DCC_Leg1_Float)))</f>
        <v>0</v>
      </c>
      <c r="AA240" s="703">
        <f>IF($O241=0,0,           IF(FRM,_xll.qGetFwdRate(AA$14,$O240,S240,"T",DCC_Leg1_Float),_xll.qGetFwdRate(AA$14,$O240,$O241,"T",DCC_Leg1_Float)))</f>
        <v>0</v>
      </c>
      <c r="AB240" s="703">
        <f t="shared" si="45"/>
        <v>0</v>
      </c>
      <c r="AC240" s="703">
        <f>IF($O241=0,0,           IF(FRM,_xll.qGetFwdRate(AC$14,$O240,U240,"T",DCC_Leg1_Float),_xll.qGetFwdRate(AC$14,$O240,$O241,"T",DCC_Leg1_Float)))</f>
        <v>0</v>
      </c>
      <c r="AD240" s="703">
        <f t="shared" si="50"/>
        <v>0</v>
      </c>
      <c r="AE240" s="703">
        <f t="shared" si="51"/>
        <v>0</v>
      </c>
      <c r="AF240" s="703">
        <f>IF($O241=0,0,           IF(FRM,_xll.qGetFwdRate(AF$14,$O240,X240,"T",DCC_Leg1_Float),_xll.qGetFwdRate(AF$14,$O240,$O241,"T",DCC_Leg1_Float)))</f>
        <v>0</v>
      </c>
      <c r="AG240" s="703">
        <f>IF($O241=0,0,           IF(FRM,_xll.qGetFwdRate(AG$14,$O240,Y240,"T",DCC_Leg1_Float),_xll.qGetFwdRate(AG$14,$O240,$O241,"T",DCC_Leg1_Float)))</f>
        <v>0</v>
      </c>
      <c r="AH240" s="685">
        <v>0</v>
      </c>
      <c r="AI240" s="667"/>
      <c r="AJ240" s="670">
        <f>IF(O241=0,0,             IF(ISNUMBER(AI240),AI240,             IF(ISTEXT(AI240),INDEX(Z240:AG240,MATCH(AI240,$Z$17:$AG$17,0)),           IF(AH240="INT",_xll.qInterp(O241,R240:Y240,Z240:AG240),       INDEX(Z240:AG240,MATCH(AH240,$Z$17:$AG$17,0))))))</f>
        <v>0</v>
      </c>
      <c r="AK240" s="732">
        <v>20</v>
      </c>
      <c r="AL240" s="721">
        <f t="shared" si="46"/>
        <v>0</v>
      </c>
      <c r="AM240" s="284">
        <f>IF($O241,_xll.qDateYears($O240,$O241,DCC_Leg1_Fixed),0)</f>
        <v>0</v>
      </c>
      <c r="AN240" s="284">
        <f>IF($O241,_xll.qDateYears($O240,$O241,DCC_Leg1_Float),0)</f>
        <v>0</v>
      </c>
      <c r="AP240" s="350">
        <f t="shared" si="52"/>
        <v>0</v>
      </c>
      <c r="AQ240" s="375">
        <f>IF(GenType_1a="Fixed",GenRate_1a%*$AL239*AM239,          IF(GenType_1a="Float",$AL239*(_xll.qGetFwdRate($D$18,$O239,$O240,"T",DCC_Leg1_Float)%+GenRate_1a%%)*$AN239,        IF(GenType_1a="bp (Fixed)",GenRate_1a%%*$AM239*$AL239,   IF(GenType_1a="bp (Float)",GenRate_1a%%*$AL239*$AN239,0))))</f>
        <v>0</v>
      </c>
      <c r="AR240" s="561"/>
      <c r="AT240" s="341">
        <f t="shared" si="56"/>
        <v>0</v>
      </c>
      <c r="AV240" s="356"/>
      <c r="AW240" s="122">
        <v>0</v>
      </c>
      <c r="AX240" s="128">
        <f t="shared" si="47"/>
        <v>0</v>
      </c>
      <c r="AY240" s="357">
        <v>0</v>
      </c>
      <c r="AZ240" s="699">
        <f>IF($AW241=0,0,        _xll.qDateNext($AW240,AZ$17,"M",TRUE,Currency2))</f>
        <v>0</v>
      </c>
      <c r="BA240" s="699">
        <f>IF($AW241=0,0,        _xll.qDateNext($AW240,BA$17,"M",TRUE,Currency2))</f>
        <v>0</v>
      </c>
      <c r="BB240" s="699">
        <f>IF($AW241=0,0,        _xll.qDateNext($AW240,BB$17,"M",TRUE,Currency2))</f>
        <v>0</v>
      </c>
      <c r="BC240" s="699">
        <f>IF($AW241=0,0,        _xll.qDateNext($AW240,BC$17,"M",TRUE,Currency2))</f>
        <v>0</v>
      </c>
      <c r="BD240" s="699">
        <f>IF($AW241=0,0,        _xll.qDateNext($AW240,BD$17,"M",TRUE,Currency2))</f>
        <v>0</v>
      </c>
      <c r="BE240" s="699">
        <f>IF($AW241=0,0,        _xll.qDateNext($AW240,BE$17,"M",TRUE,Currency2))</f>
        <v>0</v>
      </c>
      <c r="BF240" s="699">
        <f>IF($AW241=0,0,        _xll.qDateNext($AW240,BF$17,"M",TRUE,Currency2))</f>
        <v>0</v>
      </c>
      <c r="BG240" s="699">
        <f>IF($AW241=0,0,        _xll.qDateNext($AW240,BG$17,"M",TRUE,Currency2))</f>
        <v>0</v>
      </c>
      <c r="BH240" s="703">
        <v>0</v>
      </c>
      <c r="BI240" s="703">
        <v>0</v>
      </c>
      <c r="BJ240" s="703">
        <v>0</v>
      </c>
      <c r="BK240" s="703">
        <v>0</v>
      </c>
      <c r="BL240" s="703">
        <f t="shared" si="53"/>
        <v>0</v>
      </c>
      <c r="BM240" s="703">
        <f t="shared" si="54"/>
        <v>0</v>
      </c>
      <c r="BN240" s="703">
        <v>0</v>
      </c>
      <c r="BO240" s="703">
        <v>0</v>
      </c>
      <c r="BP240" s="685">
        <v>0</v>
      </c>
      <c r="BQ240" s="667"/>
      <c r="BR240" s="670">
        <f>IF(AW241=0,0,             IF(ISNUMBER(BQ240),BQ240,             IF(ISTEXT(BQ240),INDEX(BH240:BO240,MATCH(BQ240,$BH$17:$BO$17,0)),           IF(BP240="INT",_xll.qInterp(AW241,AZ240:BG240,BH240:BO240),       INDEX(BH240:BO240,MATCH(BP240,$BH$17:$BO$17,0))))))</f>
        <v>0</v>
      </c>
      <c r="BS240" s="731">
        <f t="shared" si="48"/>
        <v>0</v>
      </c>
      <c r="BT240" s="406">
        <f t="shared" si="49"/>
        <v>0</v>
      </c>
      <c r="BU240" s="284">
        <f>IF($AW241,_xll.qDateYears($AW240,$AW241,DCC_Leg2_Fixed),0)</f>
        <v>0</v>
      </c>
      <c r="BV240" s="284">
        <f>IF($AW241,_xll.qDateYears($AW240,$AW241,DCC_Leg2_Float),0)</f>
        <v>0</v>
      </c>
      <c r="BX240" s="350">
        <f t="shared" si="55"/>
        <v>0</v>
      </c>
      <c r="BY240" s="375">
        <f>IF(GenType_2a="Fixed",GenRate_2a%*$BT239*BU239,          IF(GenType_2a="Float",$BT239*(_xll.qGetFwdRate($J$18,$AW239,$AW240,"T",DCC_Leg2_Float)%+GenRate_2a%%)*$BV239,        IF(GenType_2a="bp (Fixed)",GenRate_2a%%*$BU239*$BT239,   IF(GenType_2a="bp (Float)",GenRate_2a%%*$BT239*$BV239,0))))</f>
        <v>0</v>
      </c>
      <c r="BZ240" s="561"/>
      <c r="CB240" s="341">
        <f t="shared" si="57"/>
        <v>0</v>
      </c>
      <c r="CC240" s="563"/>
      <c r="CD240" s="356"/>
      <c r="CE240" s="341">
        <v>0</v>
      </c>
      <c r="CF240" s="563"/>
      <c r="CG240" s="356"/>
    </row>
    <row r="241" spans="15:85">
      <c r="O241" s="122">
        <v>0</v>
      </c>
      <c r="P241" s="128">
        <f t="shared" si="44"/>
        <v>0</v>
      </c>
      <c r="Q241" s="126">
        <v>0</v>
      </c>
      <c r="R241" s="699">
        <f>IF($O242=0,0,        _xll.qDateNext($O241,R$17,"M",TRUE,Currency1))</f>
        <v>0</v>
      </c>
      <c r="S241" s="699">
        <f>IF($O242=0,0,        _xll.qDateNext($O241,S$17,"M",TRUE,Currency1))</f>
        <v>0</v>
      </c>
      <c r="T241" s="699">
        <f>IF($O242=0,0,        _xll.qDateNext($O241,T$17,"M",TRUE,Currency1))</f>
        <v>0</v>
      </c>
      <c r="U241" s="699">
        <f>IF($O242=0,0,        _xll.qDateNext($O241,U$17,"M",TRUE,Currency1))</f>
        <v>0</v>
      </c>
      <c r="V241" s="699">
        <f>IF($O242=0,0,        _xll.qDateNext($O241,V$17,"M",TRUE,Currency1))</f>
        <v>0</v>
      </c>
      <c r="W241" s="699">
        <f>IF($O242=0,0,        _xll.qDateNext($O241,W$17,"M",TRUE,Currency1))</f>
        <v>0</v>
      </c>
      <c r="X241" s="699">
        <f>IF($O242=0,0,        _xll.qDateNext($O241,X$17,"M",TRUE,Currency1))</f>
        <v>0</v>
      </c>
      <c r="Y241" s="699">
        <f>IF($O242=0,0,        _xll.qDateNext($O241,Y$17,"M",TRUE,Currency1))</f>
        <v>0</v>
      </c>
      <c r="Z241" s="703">
        <f>IF($O242=0,0,           IF(FRM,_xll.qGetFwdRate(Z$14,$O241,R241,"T",DCC_Leg1_Float),_xll.qGetFwdRate(Z$14,$O241,$O242,"T",DCC_Leg1_Float)))</f>
        <v>0</v>
      </c>
      <c r="AA241" s="703">
        <f>IF($O242=0,0,           IF(FRM,_xll.qGetFwdRate(AA$14,$O241,S241,"T",DCC_Leg1_Float),_xll.qGetFwdRate(AA$14,$O241,$O242,"T",DCC_Leg1_Float)))</f>
        <v>0</v>
      </c>
      <c r="AB241" s="703">
        <f t="shared" si="45"/>
        <v>0</v>
      </c>
      <c r="AC241" s="703">
        <f>IF($O242=0,0,           IF(FRM,_xll.qGetFwdRate(AC$14,$O241,U241,"T",DCC_Leg1_Float),_xll.qGetFwdRate(AC$14,$O241,$O242,"T",DCC_Leg1_Float)))</f>
        <v>0</v>
      </c>
      <c r="AD241" s="703">
        <f t="shared" si="50"/>
        <v>0</v>
      </c>
      <c r="AE241" s="703">
        <f t="shared" si="51"/>
        <v>0</v>
      </c>
      <c r="AF241" s="703">
        <f>IF($O242=0,0,           IF(FRM,_xll.qGetFwdRate(AF$14,$O241,X241,"T",DCC_Leg1_Float),_xll.qGetFwdRate(AF$14,$O241,$O242,"T",DCC_Leg1_Float)))</f>
        <v>0</v>
      </c>
      <c r="AG241" s="703">
        <f>IF($O242=0,0,           IF(FRM,_xll.qGetFwdRate(AG$14,$O241,Y241,"T",DCC_Leg1_Float),_xll.qGetFwdRate(AG$14,$O241,$O242,"T",DCC_Leg1_Float)))</f>
        <v>0</v>
      </c>
      <c r="AH241" s="685">
        <v>0</v>
      </c>
      <c r="AI241" s="667"/>
      <c r="AJ241" s="670">
        <f>IF(O242=0,0,             IF(ISNUMBER(AI241),AI241,             IF(ISTEXT(AI241),INDEX(Z241:AG241,MATCH(AI241,$Z$17:$AG$17,0)),           IF(AH241="INT",_xll.qInterp(O242,R241:Y241,Z241:AG241),       INDEX(Z241:AG241,MATCH(AH241,$Z$17:$AG$17,0))))))</f>
        <v>0</v>
      </c>
      <c r="AK241" s="732">
        <v>20</v>
      </c>
      <c r="AL241" s="721">
        <f t="shared" si="46"/>
        <v>0</v>
      </c>
      <c r="AM241" s="284">
        <f>IF($O242,_xll.qDateYears($O241,$O242,DCC_Leg1_Fixed),0)</f>
        <v>0</v>
      </c>
      <c r="AN241" s="284">
        <f>IF($O242,_xll.qDateYears($O241,$O242,DCC_Leg1_Float),0)</f>
        <v>0</v>
      </c>
      <c r="AP241" s="350">
        <f t="shared" si="52"/>
        <v>0</v>
      </c>
      <c r="AQ241" s="375">
        <f>IF(GenType_1a="Fixed",GenRate_1a%*$AL240*AM240,          IF(GenType_1a="Float",$AL240*(_xll.qGetFwdRate($D$18,$O240,$O241,"T",DCC_Leg1_Float)%+GenRate_1a%%)*$AN240,        IF(GenType_1a="bp (Fixed)",GenRate_1a%%*$AM240*$AL240,   IF(GenType_1a="bp (Float)",GenRate_1a%%*$AL240*$AN240,0))))</f>
        <v>0</v>
      </c>
      <c r="AR241" s="561"/>
      <c r="AT241" s="341">
        <f t="shared" si="56"/>
        <v>0</v>
      </c>
      <c r="AV241" s="356"/>
      <c r="AW241" s="122">
        <v>0</v>
      </c>
      <c r="AX241" s="128">
        <f t="shared" si="47"/>
        <v>0</v>
      </c>
      <c r="AY241" s="357">
        <v>0</v>
      </c>
      <c r="AZ241" s="699">
        <f>IF($AW242=0,0,        _xll.qDateNext($AW241,AZ$17,"M",TRUE,Currency2))</f>
        <v>0</v>
      </c>
      <c r="BA241" s="699">
        <f>IF($AW242=0,0,        _xll.qDateNext($AW241,BA$17,"M",TRUE,Currency2))</f>
        <v>0</v>
      </c>
      <c r="BB241" s="699">
        <f>IF($AW242=0,0,        _xll.qDateNext($AW241,BB$17,"M",TRUE,Currency2))</f>
        <v>0</v>
      </c>
      <c r="BC241" s="699">
        <f>IF($AW242=0,0,        _xll.qDateNext($AW241,BC$17,"M",TRUE,Currency2))</f>
        <v>0</v>
      </c>
      <c r="BD241" s="699">
        <f>IF($AW242=0,0,        _xll.qDateNext($AW241,BD$17,"M",TRUE,Currency2))</f>
        <v>0</v>
      </c>
      <c r="BE241" s="699">
        <f>IF($AW242=0,0,        _xll.qDateNext($AW241,BE$17,"M",TRUE,Currency2))</f>
        <v>0</v>
      </c>
      <c r="BF241" s="699">
        <f>IF($AW242=0,0,        _xll.qDateNext($AW241,BF$17,"M",TRUE,Currency2))</f>
        <v>0</v>
      </c>
      <c r="BG241" s="699">
        <f>IF($AW242=0,0,        _xll.qDateNext($AW241,BG$17,"M",TRUE,Currency2))</f>
        <v>0</v>
      </c>
      <c r="BH241" s="703">
        <v>0</v>
      </c>
      <c r="BI241" s="703">
        <v>0</v>
      </c>
      <c r="BJ241" s="703">
        <v>0</v>
      </c>
      <c r="BK241" s="703">
        <v>0</v>
      </c>
      <c r="BL241" s="703">
        <f t="shared" si="53"/>
        <v>0</v>
      </c>
      <c r="BM241" s="703">
        <f t="shared" si="54"/>
        <v>0</v>
      </c>
      <c r="BN241" s="703">
        <v>0</v>
      </c>
      <c r="BO241" s="703">
        <v>0</v>
      </c>
      <c r="BP241" s="685">
        <v>0</v>
      </c>
      <c r="BQ241" s="667"/>
      <c r="BR241" s="670">
        <f>IF(AW242=0,0,             IF(ISNUMBER(BQ241),BQ241,             IF(ISTEXT(BQ241),INDEX(BH241:BO241,MATCH(BQ241,$BH$17:$BO$17,0)),           IF(BP241="INT",_xll.qInterp(AW242,AZ241:BG241,BH241:BO241),       INDEX(BH241:BO241,MATCH(BP241,$BH$17:$BO$17,0))))))</f>
        <v>0</v>
      </c>
      <c r="BS241" s="731">
        <f t="shared" si="48"/>
        <v>0</v>
      </c>
      <c r="BT241" s="406">
        <f t="shared" si="49"/>
        <v>0</v>
      </c>
      <c r="BU241" s="284">
        <f>IF($AW242,_xll.qDateYears($AW241,$AW242,DCC_Leg2_Fixed),0)</f>
        <v>0</v>
      </c>
      <c r="BV241" s="284">
        <f>IF($AW242,_xll.qDateYears($AW241,$AW242,DCC_Leg2_Float),0)</f>
        <v>0</v>
      </c>
      <c r="BX241" s="350">
        <f t="shared" si="55"/>
        <v>0</v>
      </c>
      <c r="BY241" s="375">
        <f>IF(GenType_2a="Fixed",GenRate_2a%*$BT240*BU240,          IF(GenType_2a="Float",$BT240*(_xll.qGetFwdRate($J$18,$AW240,$AW241,"T",DCC_Leg2_Float)%+GenRate_2a%%)*$BV240,        IF(GenType_2a="bp (Fixed)",GenRate_2a%%*$BU240*$BT240,   IF(GenType_2a="bp (Float)",GenRate_2a%%*$BT240*$BV240,0))))</f>
        <v>0</v>
      </c>
      <c r="BZ241" s="561"/>
      <c r="CB241" s="341">
        <f t="shared" si="57"/>
        <v>0</v>
      </c>
      <c r="CC241" s="563"/>
      <c r="CD241" s="356"/>
      <c r="CE241" s="341">
        <v>0</v>
      </c>
      <c r="CF241" s="563"/>
      <c r="CG241" s="356"/>
    </row>
    <row r="242" spans="15:85">
      <c r="O242" s="122">
        <v>0</v>
      </c>
      <c r="P242" s="128">
        <f t="shared" si="44"/>
        <v>0</v>
      </c>
      <c r="Q242" s="126">
        <v>0</v>
      </c>
      <c r="R242" s="699">
        <f>IF($O243=0,0,        _xll.qDateNext($O242,R$17,"M",TRUE,Currency1))</f>
        <v>0</v>
      </c>
      <c r="S242" s="699">
        <f>IF($O243=0,0,        _xll.qDateNext($O242,S$17,"M",TRUE,Currency1))</f>
        <v>0</v>
      </c>
      <c r="T242" s="699">
        <f>IF($O243=0,0,        _xll.qDateNext($O242,T$17,"M",TRUE,Currency1))</f>
        <v>0</v>
      </c>
      <c r="U242" s="699">
        <f>IF($O243=0,0,        _xll.qDateNext($O242,U$17,"M",TRUE,Currency1))</f>
        <v>0</v>
      </c>
      <c r="V242" s="699">
        <f>IF($O243=0,0,        _xll.qDateNext($O242,V$17,"M",TRUE,Currency1))</f>
        <v>0</v>
      </c>
      <c r="W242" s="699">
        <f>IF($O243=0,0,        _xll.qDateNext($O242,W$17,"M",TRUE,Currency1))</f>
        <v>0</v>
      </c>
      <c r="X242" s="699">
        <f>IF($O243=0,0,        _xll.qDateNext($O242,X$17,"M",TRUE,Currency1))</f>
        <v>0</v>
      </c>
      <c r="Y242" s="699">
        <f>IF($O243=0,0,        _xll.qDateNext($O242,Y$17,"M",TRUE,Currency1))</f>
        <v>0</v>
      </c>
      <c r="Z242" s="703">
        <f>IF($O243=0,0,           IF(FRM,_xll.qGetFwdRate(Z$14,$O242,R242,"T",DCC_Leg1_Float),_xll.qGetFwdRate(Z$14,$O242,$O243,"T",DCC_Leg1_Float)))</f>
        <v>0</v>
      </c>
      <c r="AA242" s="703">
        <f>IF($O243=0,0,           IF(FRM,_xll.qGetFwdRate(AA$14,$O242,S242,"T",DCC_Leg1_Float),_xll.qGetFwdRate(AA$14,$O242,$O243,"T",DCC_Leg1_Float)))</f>
        <v>0</v>
      </c>
      <c r="AB242" s="703">
        <f t="shared" si="45"/>
        <v>0</v>
      </c>
      <c r="AC242" s="703">
        <f>IF($O243=0,0,           IF(FRM,_xll.qGetFwdRate(AC$14,$O242,U242,"T",DCC_Leg1_Float),_xll.qGetFwdRate(AC$14,$O242,$O243,"T",DCC_Leg1_Float)))</f>
        <v>0</v>
      </c>
      <c r="AD242" s="703">
        <f t="shared" si="50"/>
        <v>0</v>
      </c>
      <c r="AE242" s="703">
        <f t="shared" si="51"/>
        <v>0</v>
      </c>
      <c r="AF242" s="703">
        <f>IF($O243=0,0,           IF(FRM,_xll.qGetFwdRate(AF$14,$O242,X242,"T",DCC_Leg1_Float),_xll.qGetFwdRate(AF$14,$O242,$O243,"T",DCC_Leg1_Float)))</f>
        <v>0</v>
      </c>
      <c r="AG242" s="703">
        <f>IF($O243=0,0,           IF(FRM,_xll.qGetFwdRate(AG$14,$O242,Y242,"T",DCC_Leg1_Float),_xll.qGetFwdRate(AG$14,$O242,$O243,"T",DCC_Leg1_Float)))</f>
        <v>0</v>
      </c>
      <c r="AH242" s="685">
        <v>0</v>
      </c>
      <c r="AI242" s="667"/>
      <c r="AJ242" s="670">
        <f>IF(O243=0,0,             IF(ISNUMBER(AI242),AI242,             IF(ISTEXT(AI242),INDEX(Z242:AG242,MATCH(AI242,$Z$17:$AG$17,0)),           IF(AH242="INT",_xll.qInterp(O243,R242:Y242,Z242:AG242),       INDEX(Z242:AG242,MATCH(AH242,$Z$17:$AG$17,0))))))</f>
        <v>0</v>
      </c>
      <c r="AK242" s="732">
        <v>20</v>
      </c>
      <c r="AL242" s="721">
        <f t="shared" si="46"/>
        <v>0</v>
      </c>
      <c r="AM242" s="284">
        <f>IF($O243,_xll.qDateYears($O242,$O243,DCC_Leg1_Fixed),0)</f>
        <v>0</v>
      </c>
      <c r="AN242" s="284">
        <f>IF($O243,_xll.qDateYears($O242,$O243,DCC_Leg1_Float),0)</f>
        <v>0</v>
      </c>
      <c r="AP242" s="350">
        <f t="shared" si="52"/>
        <v>0</v>
      </c>
      <c r="AQ242" s="375">
        <f>IF(GenType_1a="Fixed",GenRate_1a%*$AL241*AM241,          IF(GenType_1a="Float",$AL241*(_xll.qGetFwdRate($D$18,$O241,$O242,"T",DCC_Leg1_Float)%+GenRate_1a%%)*$AN241,        IF(GenType_1a="bp (Fixed)",GenRate_1a%%*$AM241*$AL241,   IF(GenType_1a="bp (Float)",GenRate_1a%%*$AL241*$AN241,0))))</f>
        <v>0</v>
      </c>
      <c r="AR242" s="561"/>
      <c r="AT242" s="341">
        <f t="shared" si="56"/>
        <v>0</v>
      </c>
      <c r="AV242" s="356"/>
      <c r="AW242" s="122">
        <v>0</v>
      </c>
      <c r="AX242" s="128">
        <f t="shared" si="47"/>
        <v>0</v>
      </c>
      <c r="AY242" s="357">
        <v>0</v>
      </c>
      <c r="AZ242" s="699">
        <f>IF($AW243=0,0,        _xll.qDateNext($AW242,AZ$17,"M",TRUE,Currency2))</f>
        <v>0</v>
      </c>
      <c r="BA242" s="699">
        <f>IF($AW243=0,0,        _xll.qDateNext($AW242,BA$17,"M",TRUE,Currency2))</f>
        <v>0</v>
      </c>
      <c r="BB242" s="699">
        <f>IF($AW243=0,0,        _xll.qDateNext($AW242,BB$17,"M",TRUE,Currency2))</f>
        <v>0</v>
      </c>
      <c r="BC242" s="699">
        <f>IF($AW243=0,0,        _xll.qDateNext($AW242,BC$17,"M",TRUE,Currency2))</f>
        <v>0</v>
      </c>
      <c r="BD242" s="699">
        <f>IF($AW243=0,0,        _xll.qDateNext($AW242,BD$17,"M",TRUE,Currency2))</f>
        <v>0</v>
      </c>
      <c r="BE242" s="699">
        <f>IF($AW243=0,0,        _xll.qDateNext($AW242,BE$17,"M",TRUE,Currency2))</f>
        <v>0</v>
      </c>
      <c r="BF242" s="699">
        <f>IF($AW243=0,0,        _xll.qDateNext($AW242,BF$17,"M",TRUE,Currency2))</f>
        <v>0</v>
      </c>
      <c r="BG242" s="699">
        <f>IF($AW243=0,0,        _xll.qDateNext($AW242,BG$17,"M",TRUE,Currency2))</f>
        <v>0</v>
      </c>
      <c r="BH242" s="703">
        <v>0</v>
      </c>
      <c r="BI242" s="703">
        <v>0</v>
      </c>
      <c r="BJ242" s="703">
        <v>0</v>
      </c>
      <c r="BK242" s="703">
        <v>0</v>
      </c>
      <c r="BL242" s="703">
        <f t="shared" si="53"/>
        <v>0</v>
      </c>
      <c r="BM242" s="703">
        <f t="shared" si="54"/>
        <v>0</v>
      </c>
      <c r="BN242" s="703">
        <v>0</v>
      </c>
      <c r="BO242" s="703">
        <v>0</v>
      </c>
      <c r="BP242" s="685">
        <v>0</v>
      </c>
      <c r="BQ242" s="667"/>
      <c r="BR242" s="670">
        <f>IF(AW243=0,0,             IF(ISNUMBER(BQ242),BQ242,             IF(ISTEXT(BQ242),INDEX(BH242:BO242,MATCH(BQ242,$BH$17:$BO$17,0)),           IF(BP242="INT",_xll.qInterp(AW243,AZ242:BG242,BH242:BO242),       INDEX(BH242:BO242,MATCH(BP242,$BH$17:$BO$17,0))))))</f>
        <v>0</v>
      </c>
      <c r="BS242" s="731">
        <f t="shared" si="48"/>
        <v>0</v>
      </c>
      <c r="BT242" s="406">
        <f t="shared" si="49"/>
        <v>0</v>
      </c>
      <c r="BU242" s="284">
        <f>IF($AW243,_xll.qDateYears($AW242,$AW243,DCC_Leg2_Fixed),0)</f>
        <v>0</v>
      </c>
      <c r="BV242" s="284">
        <f>IF($AW243,_xll.qDateYears($AW242,$AW243,DCC_Leg2_Float),0)</f>
        <v>0</v>
      </c>
      <c r="BX242" s="350">
        <f t="shared" si="55"/>
        <v>0</v>
      </c>
      <c r="BY242" s="375">
        <f>IF(GenType_2a="Fixed",GenRate_2a%*$BT241*BU241,          IF(GenType_2a="Float",$BT241*(_xll.qGetFwdRate($J$18,$AW241,$AW242,"T",DCC_Leg2_Float)%+GenRate_2a%%)*$BV241,        IF(GenType_2a="bp (Fixed)",GenRate_2a%%*$BU241*$BT241,   IF(GenType_2a="bp (Float)",GenRate_2a%%*$BT241*$BV241,0))))</f>
        <v>0</v>
      </c>
      <c r="BZ242" s="561"/>
      <c r="CB242" s="341">
        <f t="shared" si="57"/>
        <v>0</v>
      </c>
      <c r="CC242" s="563"/>
      <c r="CD242" s="356"/>
      <c r="CE242" s="341">
        <v>0</v>
      </c>
      <c r="CF242" s="563"/>
      <c r="CG242" s="356"/>
    </row>
    <row r="243" spans="15:85">
      <c r="O243" s="122">
        <v>0</v>
      </c>
      <c r="P243" s="128">
        <f t="shared" si="44"/>
        <v>0</v>
      </c>
      <c r="Q243" s="126">
        <v>0</v>
      </c>
      <c r="R243" s="699">
        <f>IF($O244=0,0,        _xll.qDateNext($O243,R$17,"M",TRUE,Currency1))</f>
        <v>0</v>
      </c>
      <c r="S243" s="699">
        <f>IF($O244=0,0,        _xll.qDateNext($O243,S$17,"M",TRUE,Currency1))</f>
        <v>0</v>
      </c>
      <c r="T243" s="699">
        <f>IF($O244=0,0,        _xll.qDateNext($O243,T$17,"M",TRUE,Currency1))</f>
        <v>0</v>
      </c>
      <c r="U243" s="699">
        <f>IF($O244=0,0,        _xll.qDateNext($O243,U$17,"M",TRUE,Currency1))</f>
        <v>0</v>
      </c>
      <c r="V243" s="699">
        <f>IF($O244=0,0,        _xll.qDateNext($O243,V$17,"M",TRUE,Currency1))</f>
        <v>0</v>
      </c>
      <c r="W243" s="699">
        <f>IF($O244=0,0,        _xll.qDateNext($O243,W$17,"M",TRUE,Currency1))</f>
        <v>0</v>
      </c>
      <c r="X243" s="699">
        <f>IF($O244=0,0,        _xll.qDateNext($O243,X$17,"M",TRUE,Currency1))</f>
        <v>0</v>
      </c>
      <c r="Y243" s="699">
        <f>IF($O244=0,0,        _xll.qDateNext($O243,Y$17,"M",TRUE,Currency1))</f>
        <v>0</v>
      </c>
      <c r="Z243" s="703">
        <f>IF($O244=0,0,           IF(FRM,_xll.qGetFwdRate(Z$14,$O243,R243,"T",DCC_Leg1_Float),_xll.qGetFwdRate(Z$14,$O243,$O244,"T",DCC_Leg1_Float)))</f>
        <v>0</v>
      </c>
      <c r="AA243" s="703">
        <f>IF($O244=0,0,           IF(FRM,_xll.qGetFwdRate(AA$14,$O243,S243,"T",DCC_Leg1_Float),_xll.qGetFwdRate(AA$14,$O243,$O244,"T",DCC_Leg1_Float)))</f>
        <v>0</v>
      </c>
      <c r="AB243" s="703">
        <f t="shared" si="45"/>
        <v>0</v>
      </c>
      <c r="AC243" s="703">
        <f>IF($O244=0,0,           IF(FRM,_xll.qGetFwdRate(AC$14,$O243,U243,"T",DCC_Leg1_Float),_xll.qGetFwdRate(AC$14,$O243,$O244,"T",DCC_Leg1_Float)))</f>
        <v>0</v>
      </c>
      <c r="AD243" s="703">
        <f t="shared" si="50"/>
        <v>0</v>
      </c>
      <c r="AE243" s="703">
        <f t="shared" si="51"/>
        <v>0</v>
      </c>
      <c r="AF243" s="703">
        <f>IF($O244=0,0,           IF(FRM,_xll.qGetFwdRate(AF$14,$O243,X243,"T",DCC_Leg1_Float),_xll.qGetFwdRate(AF$14,$O243,$O244,"T",DCC_Leg1_Float)))</f>
        <v>0</v>
      </c>
      <c r="AG243" s="703">
        <f>IF($O244=0,0,           IF(FRM,_xll.qGetFwdRate(AG$14,$O243,Y243,"T",DCC_Leg1_Float),_xll.qGetFwdRate(AG$14,$O243,$O244,"T",DCC_Leg1_Float)))</f>
        <v>0</v>
      </c>
      <c r="AH243" s="685">
        <v>0</v>
      </c>
      <c r="AI243" s="667"/>
      <c r="AJ243" s="670">
        <f>IF(O244=0,0,             IF(ISNUMBER(AI243),AI243,             IF(ISTEXT(AI243),INDEX(Z243:AG243,MATCH(AI243,$Z$17:$AG$17,0)),           IF(AH243="INT",_xll.qInterp(O244,R243:Y243,Z243:AG243),       INDEX(Z243:AG243,MATCH(AH243,$Z$17:$AG$17,0))))))</f>
        <v>0</v>
      </c>
      <c r="AK243" s="732">
        <v>20</v>
      </c>
      <c r="AL243" s="721">
        <f t="shared" si="46"/>
        <v>0</v>
      </c>
      <c r="AM243" s="284">
        <f>IF($O244,_xll.qDateYears($O243,$O244,DCC_Leg1_Fixed),0)</f>
        <v>0</v>
      </c>
      <c r="AN243" s="284">
        <f>IF($O244,_xll.qDateYears($O243,$O244,DCC_Leg1_Float),0)</f>
        <v>0</v>
      </c>
      <c r="AP243" s="350">
        <f t="shared" si="52"/>
        <v>0</v>
      </c>
      <c r="AQ243" s="375">
        <f>IF(GenType_1a="Fixed",GenRate_1a%*$AL242*AM242,          IF(GenType_1a="Float",$AL242*(_xll.qGetFwdRate($D$18,$O242,$O243,"T",DCC_Leg1_Float)%+GenRate_1a%%)*$AN242,        IF(GenType_1a="bp (Fixed)",GenRate_1a%%*$AM242*$AL242,   IF(GenType_1a="bp (Float)",GenRate_1a%%*$AL242*$AN242,0))))</f>
        <v>0</v>
      </c>
      <c r="AR243" s="561"/>
      <c r="AT243" s="341">
        <f t="shared" si="56"/>
        <v>0</v>
      </c>
      <c r="AV243" s="356"/>
      <c r="AW243" s="122">
        <v>0</v>
      </c>
      <c r="AX243" s="128">
        <f t="shared" si="47"/>
        <v>0</v>
      </c>
      <c r="AY243" s="357">
        <v>0</v>
      </c>
      <c r="AZ243" s="699">
        <f>IF($AW244=0,0,        _xll.qDateNext($AW243,AZ$17,"M",TRUE,Currency2))</f>
        <v>0</v>
      </c>
      <c r="BA243" s="699">
        <f>IF($AW244=0,0,        _xll.qDateNext($AW243,BA$17,"M",TRUE,Currency2))</f>
        <v>0</v>
      </c>
      <c r="BB243" s="699">
        <f>IF($AW244=0,0,        _xll.qDateNext($AW243,BB$17,"M",TRUE,Currency2))</f>
        <v>0</v>
      </c>
      <c r="BC243" s="699">
        <f>IF($AW244=0,0,        _xll.qDateNext($AW243,BC$17,"M",TRUE,Currency2))</f>
        <v>0</v>
      </c>
      <c r="BD243" s="699">
        <f>IF($AW244=0,0,        _xll.qDateNext($AW243,BD$17,"M",TRUE,Currency2))</f>
        <v>0</v>
      </c>
      <c r="BE243" s="699">
        <f>IF($AW244=0,0,        _xll.qDateNext($AW243,BE$17,"M",TRUE,Currency2))</f>
        <v>0</v>
      </c>
      <c r="BF243" s="699">
        <f>IF($AW244=0,0,        _xll.qDateNext($AW243,BF$17,"M",TRUE,Currency2))</f>
        <v>0</v>
      </c>
      <c r="BG243" s="699">
        <f>IF($AW244=0,0,        _xll.qDateNext($AW243,BG$17,"M",TRUE,Currency2))</f>
        <v>0</v>
      </c>
      <c r="BH243" s="703">
        <v>0</v>
      </c>
      <c r="BI243" s="703">
        <v>0</v>
      </c>
      <c r="BJ243" s="703">
        <v>0</v>
      </c>
      <c r="BK243" s="703">
        <v>0</v>
      </c>
      <c r="BL243" s="703">
        <f t="shared" si="53"/>
        <v>0</v>
      </c>
      <c r="BM243" s="703">
        <f t="shared" si="54"/>
        <v>0</v>
      </c>
      <c r="BN243" s="703">
        <v>0</v>
      </c>
      <c r="BO243" s="703">
        <v>0</v>
      </c>
      <c r="BP243" s="685">
        <v>0</v>
      </c>
      <c r="BQ243" s="667"/>
      <c r="BR243" s="670">
        <f>IF(AW244=0,0,             IF(ISNUMBER(BQ243),BQ243,             IF(ISTEXT(BQ243),INDEX(BH243:BO243,MATCH(BQ243,$BH$17:$BO$17,0)),           IF(BP243="INT",_xll.qInterp(AW244,AZ243:BG243,BH243:BO243),       INDEX(BH243:BO243,MATCH(BP243,$BH$17:$BO$17,0))))))</f>
        <v>0</v>
      </c>
      <c r="BS243" s="731">
        <f t="shared" si="48"/>
        <v>0</v>
      </c>
      <c r="BT243" s="406">
        <f t="shared" si="49"/>
        <v>0</v>
      </c>
      <c r="BU243" s="284">
        <f>IF($AW244,_xll.qDateYears($AW243,$AW244,DCC_Leg2_Fixed),0)</f>
        <v>0</v>
      </c>
      <c r="BV243" s="284">
        <f>IF($AW244,_xll.qDateYears($AW243,$AW244,DCC_Leg2_Float),0)</f>
        <v>0</v>
      </c>
      <c r="BX243" s="350">
        <f t="shared" si="55"/>
        <v>0</v>
      </c>
      <c r="BY243" s="375">
        <f>IF(GenType_2a="Fixed",GenRate_2a%*$BT242*BU242,          IF(GenType_2a="Float",$BT242*(_xll.qGetFwdRate($J$18,$AW242,$AW243,"T",DCC_Leg2_Float)%+GenRate_2a%%)*$BV242,        IF(GenType_2a="bp (Fixed)",GenRate_2a%%*$BU242*$BT242,   IF(GenType_2a="bp (Float)",GenRate_2a%%*$BT242*$BV242,0))))</f>
        <v>0</v>
      </c>
      <c r="BZ243" s="561"/>
      <c r="CB243" s="341">
        <f t="shared" si="57"/>
        <v>0</v>
      </c>
      <c r="CC243" s="563"/>
      <c r="CD243" s="356"/>
      <c r="CE243" s="341">
        <v>0</v>
      </c>
      <c r="CF243" s="563"/>
      <c r="CG243" s="356"/>
    </row>
    <row r="244" spans="15:85">
      <c r="O244" s="122">
        <v>0</v>
      </c>
      <c r="P244" s="128">
        <f t="shared" si="44"/>
        <v>0</v>
      </c>
      <c r="Q244" s="126">
        <v>0</v>
      </c>
      <c r="R244" s="699">
        <f>IF($O245=0,0,        _xll.qDateNext($O244,R$17,"M",TRUE,Currency1))</f>
        <v>0</v>
      </c>
      <c r="S244" s="699">
        <f>IF($O245=0,0,        _xll.qDateNext($O244,S$17,"M",TRUE,Currency1))</f>
        <v>0</v>
      </c>
      <c r="T244" s="699">
        <f>IF($O245=0,0,        _xll.qDateNext($O244,T$17,"M",TRUE,Currency1))</f>
        <v>0</v>
      </c>
      <c r="U244" s="699">
        <f>IF($O245=0,0,        _xll.qDateNext($O244,U$17,"M",TRUE,Currency1))</f>
        <v>0</v>
      </c>
      <c r="V244" s="699">
        <f>IF($O245=0,0,        _xll.qDateNext($O244,V$17,"M",TRUE,Currency1))</f>
        <v>0</v>
      </c>
      <c r="W244" s="699">
        <f>IF($O245=0,0,        _xll.qDateNext($O244,W$17,"M",TRUE,Currency1))</f>
        <v>0</v>
      </c>
      <c r="X244" s="699">
        <f>IF($O245=0,0,        _xll.qDateNext($O244,X$17,"M",TRUE,Currency1))</f>
        <v>0</v>
      </c>
      <c r="Y244" s="699">
        <f>IF($O245=0,0,        _xll.qDateNext($O244,Y$17,"M",TRUE,Currency1))</f>
        <v>0</v>
      </c>
      <c r="Z244" s="703">
        <f>IF($O245=0,0,           IF(FRM,_xll.qGetFwdRate(Z$14,$O244,R244,"T",DCC_Leg1_Float),_xll.qGetFwdRate(Z$14,$O244,$O245,"T",DCC_Leg1_Float)))</f>
        <v>0</v>
      </c>
      <c r="AA244" s="703">
        <f>IF($O245=0,0,           IF(FRM,_xll.qGetFwdRate(AA$14,$O244,S244,"T",DCC_Leg1_Float),_xll.qGetFwdRate(AA$14,$O244,$O245,"T",DCC_Leg1_Float)))</f>
        <v>0</v>
      </c>
      <c r="AB244" s="703">
        <f t="shared" si="45"/>
        <v>0</v>
      </c>
      <c r="AC244" s="703">
        <f>IF($O245=0,0,           IF(FRM,_xll.qGetFwdRate(AC$14,$O244,U244,"T",DCC_Leg1_Float),_xll.qGetFwdRate(AC$14,$O244,$O245,"T",DCC_Leg1_Float)))</f>
        <v>0</v>
      </c>
      <c r="AD244" s="703">
        <f t="shared" si="50"/>
        <v>0</v>
      </c>
      <c r="AE244" s="703">
        <f t="shared" si="51"/>
        <v>0</v>
      </c>
      <c r="AF244" s="703">
        <f>IF($O245=0,0,           IF(FRM,_xll.qGetFwdRate(AF$14,$O244,X244,"T",DCC_Leg1_Float),_xll.qGetFwdRate(AF$14,$O244,$O245,"T",DCC_Leg1_Float)))</f>
        <v>0</v>
      </c>
      <c r="AG244" s="703">
        <f>IF($O245=0,0,           IF(FRM,_xll.qGetFwdRate(AG$14,$O244,Y244,"T",DCC_Leg1_Float),_xll.qGetFwdRate(AG$14,$O244,$O245,"T",DCC_Leg1_Float)))</f>
        <v>0</v>
      </c>
      <c r="AH244" s="685">
        <v>0</v>
      </c>
      <c r="AI244" s="667"/>
      <c r="AJ244" s="670">
        <f>IF(O245=0,0,             IF(ISNUMBER(AI244),AI244,             IF(ISTEXT(AI244),INDEX(Z244:AG244,MATCH(AI244,$Z$17:$AG$17,0)),           IF(AH244="INT",_xll.qInterp(O245,R244:Y244,Z244:AG244),       INDEX(Z244:AG244,MATCH(AH244,$Z$17:$AG$17,0))))))</f>
        <v>0</v>
      </c>
      <c r="AK244" s="732">
        <v>20</v>
      </c>
      <c r="AL244" s="721">
        <f t="shared" si="46"/>
        <v>0</v>
      </c>
      <c r="AM244" s="284">
        <f>IF($O245,_xll.qDateYears($O244,$O245,DCC_Leg1_Fixed),0)</f>
        <v>0</v>
      </c>
      <c r="AN244" s="284">
        <f>IF($O245,_xll.qDateYears($O244,$O245,DCC_Leg1_Float),0)</f>
        <v>0</v>
      </c>
      <c r="AP244" s="350">
        <f t="shared" si="52"/>
        <v>0</v>
      </c>
      <c r="AQ244" s="375">
        <f>IF(GenType_1a="Fixed",GenRate_1a%*$AL243*AM243,          IF(GenType_1a="Float",$AL243*(_xll.qGetFwdRate($D$18,$O243,$O244,"T",DCC_Leg1_Float)%+GenRate_1a%%)*$AN243,        IF(GenType_1a="bp (Fixed)",GenRate_1a%%*$AM243*$AL243,   IF(GenType_1a="bp (Float)",GenRate_1a%%*$AL243*$AN243,0))))</f>
        <v>0</v>
      </c>
      <c r="AR244" s="561"/>
      <c r="AT244" s="341">
        <f t="shared" si="56"/>
        <v>0</v>
      </c>
      <c r="AV244" s="356"/>
      <c r="AW244" s="122">
        <v>0</v>
      </c>
      <c r="AX244" s="128">
        <f t="shared" si="47"/>
        <v>0</v>
      </c>
      <c r="AY244" s="357">
        <v>0</v>
      </c>
      <c r="AZ244" s="699">
        <f>IF($AW245=0,0,        _xll.qDateNext($AW244,AZ$17,"M",TRUE,Currency2))</f>
        <v>0</v>
      </c>
      <c r="BA244" s="699">
        <f>IF($AW245=0,0,        _xll.qDateNext($AW244,BA$17,"M",TRUE,Currency2))</f>
        <v>0</v>
      </c>
      <c r="BB244" s="699">
        <f>IF($AW245=0,0,        _xll.qDateNext($AW244,BB$17,"M",TRUE,Currency2))</f>
        <v>0</v>
      </c>
      <c r="BC244" s="699">
        <f>IF($AW245=0,0,        _xll.qDateNext($AW244,BC$17,"M",TRUE,Currency2))</f>
        <v>0</v>
      </c>
      <c r="BD244" s="699">
        <f>IF($AW245=0,0,        _xll.qDateNext($AW244,BD$17,"M",TRUE,Currency2))</f>
        <v>0</v>
      </c>
      <c r="BE244" s="699">
        <f>IF($AW245=0,0,        _xll.qDateNext($AW244,BE$17,"M",TRUE,Currency2))</f>
        <v>0</v>
      </c>
      <c r="BF244" s="699">
        <f>IF($AW245=0,0,        _xll.qDateNext($AW244,BF$17,"M",TRUE,Currency2))</f>
        <v>0</v>
      </c>
      <c r="BG244" s="699">
        <f>IF($AW245=0,0,        _xll.qDateNext($AW244,BG$17,"M",TRUE,Currency2))</f>
        <v>0</v>
      </c>
      <c r="BH244" s="703">
        <v>0</v>
      </c>
      <c r="BI244" s="703">
        <v>0</v>
      </c>
      <c r="BJ244" s="703">
        <v>0</v>
      </c>
      <c r="BK244" s="703">
        <v>0</v>
      </c>
      <c r="BL244" s="703">
        <f t="shared" si="53"/>
        <v>0</v>
      </c>
      <c r="BM244" s="703">
        <f t="shared" si="54"/>
        <v>0</v>
      </c>
      <c r="BN244" s="703">
        <v>0</v>
      </c>
      <c r="BO244" s="703">
        <v>0</v>
      </c>
      <c r="BP244" s="685">
        <v>0</v>
      </c>
      <c r="BQ244" s="667"/>
      <c r="BR244" s="670">
        <f>IF(AW245=0,0,             IF(ISNUMBER(BQ244),BQ244,             IF(ISTEXT(BQ244),INDEX(BH244:BO244,MATCH(BQ244,$BH$17:$BO$17,0)),           IF(BP244="INT",_xll.qInterp(AW245,AZ244:BG244,BH244:BO244),       INDEX(BH244:BO244,MATCH(BP244,$BH$17:$BO$17,0))))))</f>
        <v>0</v>
      </c>
      <c r="BS244" s="731">
        <f t="shared" si="48"/>
        <v>0</v>
      </c>
      <c r="BT244" s="406">
        <f t="shared" si="49"/>
        <v>0</v>
      </c>
      <c r="BU244" s="284">
        <f>IF($AW245,_xll.qDateYears($AW244,$AW245,DCC_Leg2_Fixed),0)</f>
        <v>0</v>
      </c>
      <c r="BV244" s="284">
        <f>IF($AW245,_xll.qDateYears($AW244,$AW245,DCC_Leg2_Float),0)</f>
        <v>0</v>
      </c>
      <c r="BX244" s="350">
        <f t="shared" si="55"/>
        <v>0</v>
      </c>
      <c r="BY244" s="375">
        <f>IF(GenType_2a="Fixed",GenRate_2a%*$BT243*BU243,          IF(GenType_2a="Float",$BT243*(_xll.qGetFwdRate($J$18,$AW243,$AW244,"T",DCC_Leg2_Float)%+GenRate_2a%%)*$BV243,        IF(GenType_2a="bp (Fixed)",GenRate_2a%%*$BU243*$BT243,   IF(GenType_2a="bp (Float)",GenRate_2a%%*$BT243*$BV243,0))))</f>
        <v>0</v>
      </c>
      <c r="BZ244" s="561"/>
      <c r="CB244" s="341">
        <f t="shared" si="57"/>
        <v>0</v>
      </c>
      <c r="CC244" s="563"/>
      <c r="CD244" s="356"/>
      <c r="CE244" s="341">
        <v>0</v>
      </c>
      <c r="CF244" s="563"/>
      <c r="CG244" s="356"/>
    </row>
    <row r="245" spans="15:85">
      <c r="O245" s="122">
        <v>0</v>
      </c>
      <c r="P245" s="128">
        <f t="shared" si="44"/>
        <v>0</v>
      </c>
      <c r="Q245" s="126">
        <v>0</v>
      </c>
      <c r="R245" s="699">
        <f>IF($O246=0,0,        _xll.qDateNext($O245,R$17,"M",TRUE,Currency1))</f>
        <v>0</v>
      </c>
      <c r="S245" s="699">
        <f>IF($O246=0,0,        _xll.qDateNext($O245,S$17,"M",TRUE,Currency1))</f>
        <v>0</v>
      </c>
      <c r="T245" s="699">
        <f>IF($O246=0,0,        _xll.qDateNext($O245,T$17,"M",TRUE,Currency1))</f>
        <v>0</v>
      </c>
      <c r="U245" s="699">
        <f>IF($O246=0,0,        _xll.qDateNext($O245,U$17,"M",TRUE,Currency1))</f>
        <v>0</v>
      </c>
      <c r="V245" s="699">
        <f>IF($O246=0,0,        _xll.qDateNext($O245,V$17,"M",TRUE,Currency1))</f>
        <v>0</v>
      </c>
      <c r="W245" s="699">
        <f>IF($O246=0,0,        _xll.qDateNext($O245,W$17,"M",TRUE,Currency1))</f>
        <v>0</v>
      </c>
      <c r="X245" s="699">
        <f>IF($O246=0,0,        _xll.qDateNext($O245,X$17,"M",TRUE,Currency1))</f>
        <v>0</v>
      </c>
      <c r="Y245" s="699">
        <f>IF($O246=0,0,        _xll.qDateNext($O245,Y$17,"M",TRUE,Currency1))</f>
        <v>0</v>
      </c>
      <c r="Z245" s="703">
        <f>IF($O246=0,0,           IF(FRM,_xll.qGetFwdRate(Z$14,$O245,R245,"T",DCC_Leg1_Float),_xll.qGetFwdRate(Z$14,$O245,$O246,"T",DCC_Leg1_Float)))</f>
        <v>0</v>
      </c>
      <c r="AA245" s="703">
        <f>IF($O246=0,0,           IF(FRM,_xll.qGetFwdRate(AA$14,$O245,S245,"T",DCC_Leg1_Float),_xll.qGetFwdRate(AA$14,$O245,$O246,"T",DCC_Leg1_Float)))</f>
        <v>0</v>
      </c>
      <c r="AB245" s="703">
        <f t="shared" si="45"/>
        <v>0</v>
      </c>
      <c r="AC245" s="703">
        <f>IF($O246=0,0,           IF(FRM,_xll.qGetFwdRate(AC$14,$O245,U245,"T",DCC_Leg1_Float),_xll.qGetFwdRate(AC$14,$O245,$O246,"T",DCC_Leg1_Float)))</f>
        <v>0</v>
      </c>
      <c r="AD245" s="703">
        <f t="shared" si="50"/>
        <v>0</v>
      </c>
      <c r="AE245" s="703">
        <f t="shared" si="51"/>
        <v>0</v>
      </c>
      <c r="AF245" s="703">
        <f>IF($O246=0,0,           IF(FRM,_xll.qGetFwdRate(AF$14,$O245,X245,"T",DCC_Leg1_Float),_xll.qGetFwdRate(AF$14,$O245,$O246,"T",DCC_Leg1_Float)))</f>
        <v>0</v>
      </c>
      <c r="AG245" s="703">
        <f>IF($O246=0,0,           IF(FRM,_xll.qGetFwdRate(AG$14,$O245,Y245,"T",DCC_Leg1_Float),_xll.qGetFwdRate(AG$14,$O245,$O246,"T",DCC_Leg1_Float)))</f>
        <v>0</v>
      </c>
      <c r="AH245" s="685">
        <v>0</v>
      </c>
      <c r="AI245" s="667"/>
      <c r="AJ245" s="670">
        <f>IF(O246=0,0,             IF(ISNUMBER(AI245),AI245,             IF(ISTEXT(AI245),INDEX(Z245:AG245,MATCH(AI245,$Z$17:$AG$17,0)),           IF(AH245="INT",_xll.qInterp(O246,R245:Y245,Z245:AG245),       INDEX(Z245:AG245,MATCH(AH245,$Z$17:$AG$17,0))))))</f>
        <v>0</v>
      </c>
      <c r="AK245" s="732">
        <v>20</v>
      </c>
      <c r="AL245" s="721">
        <f t="shared" si="46"/>
        <v>0</v>
      </c>
      <c r="AM245" s="284">
        <f>IF($O246,_xll.qDateYears($O245,$O246,DCC_Leg1_Fixed),0)</f>
        <v>0</v>
      </c>
      <c r="AN245" s="284">
        <f>IF($O246,_xll.qDateYears($O245,$O246,DCC_Leg1_Float),0)</f>
        <v>0</v>
      </c>
      <c r="AP245" s="350">
        <f t="shared" si="52"/>
        <v>0</v>
      </c>
      <c r="AQ245" s="375">
        <f>IF(GenType_1a="Fixed",GenRate_1a%*$AL244*AM244,          IF(GenType_1a="Float",$AL244*(_xll.qGetFwdRate($D$18,$O244,$O245,"T",DCC_Leg1_Float)%+GenRate_1a%%)*$AN244,        IF(GenType_1a="bp (Fixed)",GenRate_1a%%*$AM244*$AL244,   IF(GenType_1a="bp (Float)",GenRate_1a%%*$AL244*$AN244,0))))</f>
        <v>0</v>
      </c>
      <c r="AR245" s="561"/>
      <c r="AT245" s="341">
        <f t="shared" si="56"/>
        <v>0</v>
      </c>
      <c r="AV245" s="356"/>
      <c r="AW245" s="122">
        <v>0</v>
      </c>
      <c r="AX245" s="128">
        <f t="shared" si="47"/>
        <v>0</v>
      </c>
      <c r="AY245" s="357">
        <v>0</v>
      </c>
      <c r="AZ245" s="699">
        <f>IF($AW246=0,0,        _xll.qDateNext($AW245,AZ$17,"M",TRUE,Currency2))</f>
        <v>0</v>
      </c>
      <c r="BA245" s="699">
        <f>IF($AW246=0,0,        _xll.qDateNext($AW245,BA$17,"M",TRUE,Currency2))</f>
        <v>0</v>
      </c>
      <c r="BB245" s="699">
        <f>IF($AW246=0,0,        _xll.qDateNext($AW245,BB$17,"M",TRUE,Currency2))</f>
        <v>0</v>
      </c>
      <c r="BC245" s="699">
        <f>IF($AW246=0,0,        _xll.qDateNext($AW245,BC$17,"M",TRUE,Currency2))</f>
        <v>0</v>
      </c>
      <c r="BD245" s="699">
        <f>IF($AW246=0,0,        _xll.qDateNext($AW245,BD$17,"M",TRUE,Currency2))</f>
        <v>0</v>
      </c>
      <c r="BE245" s="699">
        <f>IF($AW246=0,0,        _xll.qDateNext($AW245,BE$17,"M",TRUE,Currency2))</f>
        <v>0</v>
      </c>
      <c r="BF245" s="699">
        <f>IF($AW246=0,0,        _xll.qDateNext($AW245,BF$17,"M",TRUE,Currency2))</f>
        <v>0</v>
      </c>
      <c r="BG245" s="699">
        <f>IF($AW246=0,0,        _xll.qDateNext($AW245,BG$17,"M",TRUE,Currency2))</f>
        <v>0</v>
      </c>
      <c r="BH245" s="703">
        <v>0</v>
      </c>
      <c r="BI245" s="703">
        <v>0</v>
      </c>
      <c r="BJ245" s="703">
        <v>0</v>
      </c>
      <c r="BK245" s="703">
        <v>0</v>
      </c>
      <c r="BL245" s="703">
        <f t="shared" si="53"/>
        <v>0</v>
      </c>
      <c r="BM245" s="703">
        <f t="shared" si="54"/>
        <v>0</v>
      </c>
      <c r="BN245" s="703">
        <v>0</v>
      </c>
      <c r="BO245" s="703">
        <v>0</v>
      </c>
      <c r="BP245" s="685">
        <v>0</v>
      </c>
      <c r="BQ245" s="667"/>
      <c r="BR245" s="670">
        <f>IF(AW246=0,0,             IF(ISNUMBER(BQ245),BQ245,             IF(ISTEXT(BQ245),INDEX(BH245:BO245,MATCH(BQ245,$BH$17:$BO$17,0)),           IF(BP245="INT",_xll.qInterp(AW246,AZ245:BG245,BH245:BO245),       INDEX(BH245:BO245,MATCH(BP245,$BH$17:$BO$17,0))))))</f>
        <v>0</v>
      </c>
      <c r="BS245" s="731">
        <f t="shared" si="48"/>
        <v>0</v>
      </c>
      <c r="BT245" s="406">
        <f t="shared" si="49"/>
        <v>0</v>
      </c>
      <c r="BU245" s="284">
        <f>IF($AW246,_xll.qDateYears($AW245,$AW246,DCC_Leg2_Fixed),0)</f>
        <v>0</v>
      </c>
      <c r="BV245" s="284">
        <f>IF($AW246,_xll.qDateYears($AW245,$AW246,DCC_Leg2_Float),0)</f>
        <v>0</v>
      </c>
      <c r="BX245" s="350">
        <f t="shared" si="55"/>
        <v>0</v>
      </c>
      <c r="BY245" s="375">
        <f>IF(GenType_2a="Fixed",GenRate_2a%*$BT244*BU244,          IF(GenType_2a="Float",$BT244*(_xll.qGetFwdRate($J$18,$AW244,$AW245,"T",DCC_Leg2_Float)%+GenRate_2a%%)*$BV244,        IF(GenType_2a="bp (Fixed)",GenRate_2a%%*$BU244*$BT244,   IF(GenType_2a="bp (Float)",GenRate_2a%%*$BT244*$BV244,0))))</f>
        <v>0</v>
      </c>
      <c r="BZ245" s="561"/>
      <c r="CB245" s="341">
        <f t="shared" si="57"/>
        <v>0</v>
      </c>
      <c r="CC245" s="563"/>
      <c r="CD245" s="356"/>
      <c r="CE245" s="341">
        <v>0</v>
      </c>
      <c r="CF245" s="563"/>
      <c r="CG245" s="356"/>
    </row>
    <row r="246" spans="15:85">
      <c r="O246" s="122">
        <v>0</v>
      </c>
      <c r="P246" s="128">
        <f t="shared" si="44"/>
        <v>0</v>
      </c>
      <c r="Q246" s="126">
        <v>0</v>
      </c>
      <c r="R246" s="699">
        <f>IF($O247=0,0,        _xll.qDateNext($O246,R$17,"M",TRUE,Currency1))</f>
        <v>0</v>
      </c>
      <c r="S246" s="699">
        <f>IF($O247=0,0,        _xll.qDateNext($O246,S$17,"M",TRUE,Currency1))</f>
        <v>0</v>
      </c>
      <c r="T246" s="699">
        <f>IF($O247=0,0,        _xll.qDateNext($O246,T$17,"M",TRUE,Currency1))</f>
        <v>0</v>
      </c>
      <c r="U246" s="699">
        <f>IF($O247=0,0,        _xll.qDateNext($O246,U$17,"M",TRUE,Currency1))</f>
        <v>0</v>
      </c>
      <c r="V246" s="699">
        <f>IF($O247=0,0,        _xll.qDateNext($O246,V$17,"M",TRUE,Currency1))</f>
        <v>0</v>
      </c>
      <c r="W246" s="699">
        <f>IF($O247=0,0,        _xll.qDateNext($O246,W$17,"M",TRUE,Currency1))</f>
        <v>0</v>
      </c>
      <c r="X246" s="699">
        <f>IF($O247=0,0,        _xll.qDateNext($O246,X$17,"M",TRUE,Currency1))</f>
        <v>0</v>
      </c>
      <c r="Y246" s="699">
        <f>IF($O247=0,0,        _xll.qDateNext($O246,Y$17,"M",TRUE,Currency1))</f>
        <v>0</v>
      </c>
      <c r="Z246" s="703">
        <f>IF($O247=0,0,           IF(FRM,_xll.qGetFwdRate(Z$14,$O246,R246,"T",DCC_Leg1_Float),_xll.qGetFwdRate(Z$14,$O246,$O247,"T",DCC_Leg1_Float)))</f>
        <v>0</v>
      </c>
      <c r="AA246" s="703">
        <f>IF($O247=0,0,           IF(FRM,_xll.qGetFwdRate(AA$14,$O246,S246,"T",DCC_Leg1_Float),_xll.qGetFwdRate(AA$14,$O246,$O247,"T",DCC_Leg1_Float)))</f>
        <v>0</v>
      </c>
      <c r="AB246" s="703">
        <f t="shared" si="45"/>
        <v>0</v>
      </c>
      <c r="AC246" s="703">
        <f>IF($O247=0,0,           IF(FRM,_xll.qGetFwdRate(AC$14,$O246,U246,"T",DCC_Leg1_Float),_xll.qGetFwdRate(AC$14,$O246,$O247,"T",DCC_Leg1_Float)))</f>
        <v>0</v>
      </c>
      <c r="AD246" s="703">
        <f t="shared" si="50"/>
        <v>0</v>
      </c>
      <c r="AE246" s="703">
        <f t="shared" si="51"/>
        <v>0</v>
      </c>
      <c r="AF246" s="703">
        <f>IF($O247=0,0,           IF(FRM,_xll.qGetFwdRate(AF$14,$O246,X246,"T",DCC_Leg1_Float),_xll.qGetFwdRate(AF$14,$O246,$O247,"T",DCC_Leg1_Float)))</f>
        <v>0</v>
      </c>
      <c r="AG246" s="703">
        <f>IF($O247=0,0,           IF(FRM,_xll.qGetFwdRate(AG$14,$O246,Y246,"T",DCC_Leg1_Float),_xll.qGetFwdRate(AG$14,$O246,$O247,"T",DCC_Leg1_Float)))</f>
        <v>0</v>
      </c>
      <c r="AH246" s="685">
        <v>0</v>
      </c>
      <c r="AI246" s="667"/>
      <c r="AJ246" s="670">
        <f>IF(O247=0,0,             IF(ISNUMBER(AI246),AI246,             IF(ISTEXT(AI246),INDEX(Z246:AG246,MATCH(AI246,$Z$17:$AG$17,0)),           IF(AH246="INT",_xll.qInterp(O247,R246:Y246,Z246:AG246),       INDEX(Z246:AG246,MATCH(AH246,$Z$17:$AG$17,0))))))</f>
        <v>0</v>
      </c>
      <c r="AK246" s="732">
        <v>20</v>
      </c>
      <c r="AL246" s="721">
        <f t="shared" si="46"/>
        <v>0</v>
      </c>
      <c r="AM246" s="284">
        <f>IF($O247,_xll.qDateYears($O246,$O247,DCC_Leg1_Fixed),0)</f>
        <v>0</v>
      </c>
      <c r="AN246" s="284">
        <f>IF($O247,_xll.qDateYears($O246,$O247,DCC_Leg1_Float),0)</f>
        <v>0</v>
      </c>
      <c r="AP246" s="350">
        <f t="shared" si="52"/>
        <v>0</v>
      </c>
      <c r="AQ246" s="375">
        <f>IF(GenType_1a="Fixed",GenRate_1a%*$AL245*AM245,          IF(GenType_1a="Float",$AL245*(_xll.qGetFwdRate($D$18,$O245,$O246,"T",DCC_Leg1_Float)%+GenRate_1a%%)*$AN245,        IF(GenType_1a="bp (Fixed)",GenRate_1a%%*$AM245*$AL245,   IF(GenType_1a="bp (Float)",GenRate_1a%%*$AL245*$AN245,0))))</f>
        <v>0</v>
      </c>
      <c r="AR246" s="561"/>
      <c r="AT246" s="341">
        <f t="shared" si="56"/>
        <v>0</v>
      </c>
      <c r="AV246" s="356"/>
      <c r="AW246" s="122">
        <v>0</v>
      </c>
      <c r="AX246" s="128">
        <f t="shared" si="47"/>
        <v>0</v>
      </c>
      <c r="AY246" s="357">
        <v>0</v>
      </c>
      <c r="AZ246" s="699">
        <f>IF($AW247=0,0,        _xll.qDateNext($AW246,AZ$17,"M",TRUE,Currency2))</f>
        <v>0</v>
      </c>
      <c r="BA246" s="699">
        <f>IF($AW247=0,0,        _xll.qDateNext($AW246,BA$17,"M",TRUE,Currency2))</f>
        <v>0</v>
      </c>
      <c r="BB246" s="699">
        <f>IF($AW247=0,0,        _xll.qDateNext($AW246,BB$17,"M",TRUE,Currency2))</f>
        <v>0</v>
      </c>
      <c r="BC246" s="699">
        <f>IF($AW247=0,0,        _xll.qDateNext($AW246,BC$17,"M",TRUE,Currency2))</f>
        <v>0</v>
      </c>
      <c r="BD246" s="699">
        <f>IF($AW247=0,0,        _xll.qDateNext($AW246,BD$17,"M",TRUE,Currency2))</f>
        <v>0</v>
      </c>
      <c r="BE246" s="699">
        <f>IF($AW247=0,0,        _xll.qDateNext($AW246,BE$17,"M",TRUE,Currency2))</f>
        <v>0</v>
      </c>
      <c r="BF246" s="699">
        <f>IF($AW247=0,0,        _xll.qDateNext($AW246,BF$17,"M",TRUE,Currency2))</f>
        <v>0</v>
      </c>
      <c r="BG246" s="699">
        <f>IF($AW247=0,0,        _xll.qDateNext($AW246,BG$17,"M",TRUE,Currency2))</f>
        <v>0</v>
      </c>
      <c r="BH246" s="703">
        <v>0</v>
      </c>
      <c r="BI246" s="703">
        <v>0</v>
      </c>
      <c r="BJ246" s="703">
        <v>0</v>
      </c>
      <c r="BK246" s="703">
        <v>0</v>
      </c>
      <c r="BL246" s="703">
        <f t="shared" si="53"/>
        <v>0</v>
      </c>
      <c r="BM246" s="703">
        <f t="shared" si="54"/>
        <v>0</v>
      </c>
      <c r="BN246" s="703">
        <v>0</v>
      </c>
      <c r="BO246" s="703">
        <v>0</v>
      </c>
      <c r="BP246" s="685">
        <v>0</v>
      </c>
      <c r="BQ246" s="667"/>
      <c r="BR246" s="670">
        <f>IF(AW247=0,0,             IF(ISNUMBER(BQ246),BQ246,             IF(ISTEXT(BQ246),INDEX(BH246:BO246,MATCH(BQ246,$BH$17:$BO$17,0)),           IF(BP246="INT",_xll.qInterp(AW247,AZ246:BG246,BH246:BO246),       INDEX(BH246:BO246,MATCH(BP246,$BH$17:$BO$17,0))))))</f>
        <v>0</v>
      </c>
      <c r="BS246" s="731">
        <f t="shared" si="48"/>
        <v>0</v>
      </c>
      <c r="BT246" s="406">
        <f t="shared" si="49"/>
        <v>0</v>
      </c>
      <c r="BU246" s="284">
        <f>IF($AW247,_xll.qDateYears($AW246,$AW247,DCC_Leg2_Fixed),0)</f>
        <v>0</v>
      </c>
      <c r="BV246" s="284">
        <f>IF($AW247,_xll.qDateYears($AW246,$AW247,DCC_Leg2_Float),0)</f>
        <v>0</v>
      </c>
      <c r="BX246" s="350">
        <f t="shared" si="55"/>
        <v>0</v>
      </c>
      <c r="BY246" s="375">
        <f>IF(GenType_2a="Fixed",GenRate_2a%*$BT245*BU245,          IF(GenType_2a="Float",$BT245*(_xll.qGetFwdRate($J$18,$AW245,$AW246,"T",DCC_Leg2_Float)%+GenRate_2a%%)*$BV245,        IF(GenType_2a="bp (Fixed)",GenRate_2a%%*$BU245*$BT245,   IF(GenType_2a="bp (Float)",GenRate_2a%%*$BT245*$BV245,0))))</f>
        <v>0</v>
      </c>
      <c r="BZ246" s="561"/>
      <c r="CB246" s="341">
        <f t="shared" si="57"/>
        <v>0</v>
      </c>
      <c r="CC246" s="563"/>
      <c r="CD246" s="356"/>
      <c r="CE246" s="341">
        <v>0</v>
      </c>
      <c r="CF246" s="563"/>
      <c r="CG246" s="356"/>
    </row>
    <row r="247" spans="15:85">
      <c r="O247" s="122">
        <v>0</v>
      </c>
      <c r="P247" s="128">
        <f t="shared" si="44"/>
        <v>0</v>
      </c>
      <c r="Q247" s="126">
        <v>0</v>
      </c>
      <c r="R247" s="699">
        <f>IF($O248=0,0,        _xll.qDateNext($O247,R$17,"M",TRUE,Currency1))</f>
        <v>0</v>
      </c>
      <c r="S247" s="699">
        <f>IF($O248=0,0,        _xll.qDateNext($O247,S$17,"M",TRUE,Currency1))</f>
        <v>0</v>
      </c>
      <c r="T247" s="699">
        <f>IF($O248=0,0,        _xll.qDateNext($O247,T$17,"M",TRUE,Currency1))</f>
        <v>0</v>
      </c>
      <c r="U247" s="699">
        <f>IF($O248=0,0,        _xll.qDateNext($O247,U$17,"M",TRUE,Currency1))</f>
        <v>0</v>
      </c>
      <c r="V247" s="699">
        <f>IF($O248=0,0,        _xll.qDateNext($O247,V$17,"M",TRUE,Currency1))</f>
        <v>0</v>
      </c>
      <c r="W247" s="699">
        <f>IF($O248=0,0,        _xll.qDateNext($O247,W$17,"M",TRUE,Currency1))</f>
        <v>0</v>
      </c>
      <c r="X247" s="699">
        <f>IF($O248=0,0,        _xll.qDateNext($O247,X$17,"M",TRUE,Currency1))</f>
        <v>0</v>
      </c>
      <c r="Y247" s="699">
        <f>IF($O248=0,0,        _xll.qDateNext($O247,Y$17,"M",TRUE,Currency1))</f>
        <v>0</v>
      </c>
      <c r="Z247" s="703">
        <f>IF($O248=0,0,           IF(FRM,_xll.qGetFwdRate(Z$14,$O247,R247,"T",DCC_Leg1_Float),_xll.qGetFwdRate(Z$14,$O247,$O248,"T",DCC_Leg1_Float)))</f>
        <v>0</v>
      </c>
      <c r="AA247" s="703">
        <f>IF($O248=0,0,           IF(FRM,_xll.qGetFwdRate(AA$14,$O247,S247,"T",DCC_Leg1_Float),_xll.qGetFwdRate(AA$14,$O247,$O248,"T",DCC_Leg1_Float)))</f>
        <v>0</v>
      </c>
      <c r="AB247" s="703">
        <f t="shared" si="45"/>
        <v>0</v>
      </c>
      <c r="AC247" s="703">
        <f>IF($O248=0,0,           IF(FRM,_xll.qGetFwdRate(AC$14,$O247,U247,"T",DCC_Leg1_Float),_xll.qGetFwdRate(AC$14,$O247,$O248,"T",DCC_Leg1_Float)))</f>
        <v>0</v>
      </c>
      <c r="AD247" s="703">
        <f t="shared" si="50"/>
        <v>0</v>
      </c>
      <c r="AE247" s="703">
        <f t="shared" si="51"/>
        <v>0</v>
      </c>
      <c r="AF247" s="703">
        <f>IF($O248=0,0,           IF(FRM,_xll.qGetFwdRate(AF$14,$O247,X247,"T",DCC_Leg1_Float),_xll.qGetFwdRate(AF$14,$O247,$O248,"T",DCC_Leg1_Float)))</f>
        <v>0</v>
      </c>
      <c r="AG247" s="703">
        <f>IF($O248=0,0,           IF(FRM,_xll.qGetFwdRate(AG$14,$O247,Y247,"T",DCC_Leg1_Float),_xll.qGetFwdRate(AG$14,$O247,$O248,"T",DCC_Leg1_Float)))</f>
        <v>0</v>
      </c>
      <c r="AH247" s="685">
        <v>0</v>
      </c>
      <c r="AI247" s="667"/>
      <c r="AJ247" s="670">
        <f>IF(O248=0,0,             IF(ISNUMBER(AI247),AI247,             IF(ISTEXT(AI247),INDEX(Z247:AG247,MATCH(AI247,$Z$17:$AG$17,0)),           IF(AH247="INT",_xll.qInterp(O248,R247:Y247,Z247:AG247),       INDEX(Z247:AG247,MATCH(AH247,$Z$17:$AG$17,0))))))</f>
        <v>0</v>
      </c>
      <c r="AK247" s="732">
        <v>20</v>
      </c>
      <c r="AL247" s="721">
        <f t="shared" si="46"/>
        <v>0</v>
      </c>
      <c r="AM247" s="284">
        <f>IF($O248,_xll.qDateYears($O247,$O248,DCC_Leg1_Fixed),0)</f>
        <v>0</v>
      </c>
      <c r="AN247" s="284">
        <f>IF($O248,_xll.qDateYears($O247,$O248,DCC_Leg1_Float),0)</f>
        <v>0</v>
      </c>
      <c r="AP247" s="350">
        <f t="shared" si="52"/>
        <v>0</v>
      </c>
      <c r="AQ247" s="375">
        <f>IF(GenType_1a="Fixed",GenRate_1a%*$AL246*AM246,          IF(GenType_1a="Float",$AL246*(_xll.qGetFwdRate($D$18,$O246,$O247,"T",DCC_Leg1_Float)%+GenRate_1a%%)*$AN246,        IF(GenType_1a="bp (Fixed)",GenRate_1a%%*$AM246*$AL246,   IF(GenType_1a="bp (Float)",GenRate_1a%%*$AL246*$AN246,0))))</f>
        <v>0</v>
      </c>
      <c r="AR247" s="561"/>
      <c r="AT247" s="341">
        <f t="shared" si="56"/>
        <v>0</v>
      </c>
      <c r="AV247" s="356"/>
      <c r="AW247" s="122">
        <v>0</v>
      </c>
      <c r="AX247" s="128">
        <f t="shared" si="47"/>
        <v>0</v>
      </c>
      <c r="AY247" s="357">
        <v>0</v>
      </c>
      <c r="AZ247" s="699">
        <f>IF($AW248=0,0,        _xll.qDateNext($AW247,AZ$17,"M",TRUE,Currency2))</f>
        <v>0</v>
      </c>
      <c r="BA247" s="699">
        <f>IF($AW248=0,0,        _xll.qDateNext($AW247,BA$17,"M",TRUE,Currency2))</f>
        <v>0</v>
      </c>
      <c r="BB247" s="699">
        <f>IF($AW248=0,0,        _xll.qDateNext($AW247,BB$17,"M",TRUE,Currency2))</f>
        <v>0</v>
      </c>
      <c r="BC247" s="699">
        <f>IF($AW248=0,0,        _xll.qDateNext($AW247,BC$17,"M",TRUE,Currency2))</f>
        <v>0</v>
      </c>
      <c r="BD247" s="699">
        <f>IF($AW248=0,0,        _xll.qDateNext($AW247,BD$17,"M",TRUE,Currency2))</f>
        <v>0</v>
      </c>
      <c r="BE247" s="699">
        <f>IF($AW248=0,0,        _xll.qDateNext($AW247,BE$17,"M",TRUE,Currency2))</f>
        <v>0</v>
      </c>
      <c r="BF247" s="699">
        <f>IF($AW248=0,0,        _xll.qDateNext($AW247,BF$17,"M",TRUE,Currency2))</f>
        <v>0</v>
      </c>
      <c r="BG247" s="699">
        <f>IF($AW248=0,0,        _xll.qDateNext($AW247,BG$17,"M",TRUE,Currency2))</f>
        <v>0</v>
      </c>
      <c r="BH247" s="703">
        <v>0</v>
      </c>
      <c r="BI247" s="703">
        <v>0</v>
      </c>
      <c r="BJ247" s="703">
        <v>0</v>
      </c>
      <c r="BK247" s="703">
        <v>0</v>
      </c>
      <c r="BL247" s="703">
        <f t="shared" si="53"/>
        <v>0</v>
      </c>
      <c r="BM247" s="703">
        <f t="shared" si="54"/>
        <v>0</v>
      </c>
      <c r="BN247" s="703">
        <v>0</v>
      </c>
      <c r="BO247" s="703">
        <v>0</v>
      </c>
      <c r="BP247" s="685">
        <v>0</v>
      </c>
      <c r="BQ247" s="667"/>
      <c r="BR247" s="670">
        <f>IF(AW248=0,0,             IF(ISNUMBER(BQ247),BQ247,             IF(ISTEXT(BQ247),INDEX(BH247:BO247,MATCH(BQ247,$BH$17:$BO$17,0)),           IF(BP247="INT",_xll.qInterp(AW248,AZ247:BG247,BH247:BO247),       INDEX(BH247:BO247,MATCH(BP247,$BH$17:$BO$17,0))))))</f>
        <v>0</v>
      </c>
      <c r="BS247" s="731">
        <f t="shared" si="48"/>
        <v>0</v>
      </c>
      <c r="BT247" s="406">
        <f t="shared" si="49"/>
        <v>0</v>
      </c>
      <c r="BU247" s="284">
        <f>IF($AW248,_xll.qDateYears($AW247,$AW248,DCC_Leg2_Fixed),0)</f>
        <v>0</v>
      </c>
      <c r="BV247" s="284">
        <f>IF($AW248,_xll.qDateYears($AW247,$AW248,DCC_Leg2_Float),0)</f>
        <v>0</v>
      </c>
      <c r="BX247" s="350">
        <f t="shared" si="55"/>
        <v>0</v>
      </c>
      <c r="BY247" s="375">
        <f>IF(GenType_2a="Fixed",GenRate_2a%*$BT246*BU246,          IF(GenType_2a="Float",$BT246*(_xll.qGetFwdRate($J$18,$AW246,$AW247,"T",DCC_Leg2_Float)%+GenRate_2a%%)*$BV246,        IF(GenType_2a="bp (Fixed)",GenRate_2a%%*$BU246*$BT246,   IF(GenType_2a="bp (Float)",GenRate_2a%%*$BT246*$BV246,0))))</f>
        <v>0</v>
      </c>
      <c r="BZ247" s="561"/>
      <c r="CB247" s="341">
        <f t="shared" si="57"/>
        <v>0</v>
      </c>
      <c r="CC247" s="563"/>
      <c r="CD247" s="356"/>
      <c r="CE247" s="341">
        <v>0</v>
      </c>
      <c r="CF247" s="563"/>
      <c r="CG247" s="356"/>
    </row>
    <row r="248" spans="15:85">
      <c r="O248" s="122">
        <v>0</v>
      </c>
      <c r="P248" s="128">
        <f t="shared" si="44"/>
        <v>0</v>
      </c>
      <c r="Q248" s="126">
        <v>0</v>
      </c>
      <c r="R248" s="699">
        <f>IF($O249=0,0,        _xll.qDateNext($O248,R$17,"M",TRUE,Currency1))</f>
        <v>0</v>
      </c>
      <c r="S248" s="699">
        <f>IF($O249=0,0,        _xll.qDateNext($O248,S$17,"M",TRUE,Currency1))</f>
        <v>0</v>
      </c>
      <c r="T248" s="699">
        <f>IF($O249=0,0,        _xll.qDateNext($O248,T$17,"M",TRUE,Currency1))</f>
        <v>0</v>
      </c>
      <c r="U248" s="699">
        <f>IF($O249=0,0,        _xll.qDateNext($O248,U$17,"M",TRUE,Currency1))</f>
        <v>0</v>
      </c>
      <c r="V248" s="699">
        <f>IF($O249=0,0,        _xll.qDateNext($O248,V$17,"M",TRUE,Currency1))</f>
        <v>0</v>
      </c>
      <c r="W248" s="699">
        <f>IF($O249=0,0,        _xll.qDateNext($O248,W$17,"M",TRUE,Currency1))</f>
        <v>0</v>
      </c>
      <c r="X248" s="699">
        <f>IF($O249=0,0,        _xll.qDateNext($O248,X$17,"M",TRUE,Currency1))</f>
        <v>0</v>
      </c>
      <c r="Y248" s="699">
        <f>IF($O249=0,0,        _xll.qDateNext($O248,Y$17,"M",TRUE,Currency1))</f>
        <v>0</v>
      </c>
      <c r="Z248" s="703">
        <f>IF($O249=0,0,           IF(FRM,_xll.qGetFwdRate(Z$14,$O248,R248,"T",DCC_Leg1_Float),_xll.qGetFwdRate(Z$14,$O248,$O249,"T",DCC_Leg1_Float)))</f>
        <v>0</v>
      </c>
      <c r="AA248" s="703">
        <f>IF($O249=0,0,           IF(FRM,_xll.qGetFwdRate(AA$14,$O248,S248,"T",DCC_Leg1_Float),_xll.qGetFwdRate(AA$14,$O248,$O249,"T",DCC_Leg1_Float)))</f>
        <v>0</v>
      </c>
      <c r="AB248" s="703">
        <f t="shared" si="45"/>
        <v>0</v>
      </c>
      <c r="AC248" s="703">
        <f>IF($O249=0,0,           IF(FRM,_xll.qGetFwdRate(AC$14,$O248,U248,"T",DCC_Leg1_Float),_xll.qGetFwdRate(AC$14,$O248,$O249,"T",DCC_Leg1_Float)))</f>
        <v>0</v>
      </c>
      <c r="AD248" s="703">
        <f t="shared" si="50"/>
        <v>0</v>
      </c>
      <c r="AE248" s="703">
        <f t="shared" si="51"/>
        <v>0</v>
      </c>
      <c r="AF248" s="703">
        <f>IF($O249=0,0,           IF(FRM,_xll.qGetFwdRate(AF$14,$O248,X248,"T",DCC_Leg1_Float),_xll.qGetFwdRate(AF$14,$O248,$O249,"T",DCC_Leg1_Float)))</f>
        <v>0</v>
      </c>
      <c r="AG248" s="703">
        <f>IF($O249=0,0,           IF(FRM,_xll.qGetFwdRate(AG$14,$O248,Y248,"T",DCC_Leg1_Float),_xll.qGetFwdRate(AG$14,$O248,$O249,"T",DCC_Leg1_Float)))</f>
        <v>0</v>
      </c>
      <c r="AH248" s="685">
        <v>0</v>
      </c>
      <c r="AI248" s="667"/>
      <c r="AJ248" s="670">
        <f>IF(O249=0,0,             IF(ISNUMBER(AI248),AI248,             IF(ISTEXT(AI248),INDEX(Z248:AG248,MATCH(AI248,$Z$17:$AG$17,0)),           IF(AH248="INT",_xll.qInterp(O249,R248:Y248,Z248:AG248),       INDEX(Z248:AG248,MATCH(AH248,$Z$17:$AG$17,0))))))</f>
        <v>0</v>
      </c>
      <c r="AK248" s="732">
        <v>20</v>
      </c>
      <c r="AL248" s="721">
        <f t="shared" si="46"/>
        <v>0</v>
      </c>
      <c r="AM248" s="284">
        <f>IF($O249,_xll.qDateYears($O248,$O249,DCC_Leg1_Fixed),0)</f>
        <v>0</v>
      </c>
      <c r="AN248" s="284">
        <f>IF($O249,_xll.qDateYears($O248,$O249,DCC_Leg1_Float),0)</f>
        <v>0</v>
      </c>
      <c r="AP248" s="350">
        <f t="shared" si="52"/>
        <v>0</v>
      </c>
      <c r="AQ248" s="375">
        <f>IF(GenType_1a="Fixed",GenRate_1a%*$AL247*AM247,          IF(GenType_1a="Float",$AL247*(_xll.qGetFwdRate($D$18,$O247,$O248,"T",DCC_Leg1_Float)%+GenRate_1a%%)*$AN247,        IF(GenType_1a="bp (Fixed)",GenRate_1a%%*$AM247*$AL247,   IF(GenType_1a="bp (Float)",GenRate_1a%%*$AL247*$AN247,0))))</f>
        <v>0</v>
      </c>
      <c r="AR248" s="561"/>
      <c r="AT248" s="341">
        <f t="shared" si="56"/>
        <v>0</v>
      </c>
      <c r="AV248" s="356"/>
      <c r="AW248" s="122">
        <v>0</v>
      </c>
      <c r="AX248" s="128">
        <f t="shared" si="47"/>
        <v>0</v>
      </c>
      <c r="AY248" s="357">
        <v>0</v>
      </c>
      <c r="AZ248" s="699">
        <f>IF($AW249=0,0,        _xll.qDateNext($AW248,AZ$17,"M",TRUE,Currency2))</f>
        <v>0</v>
      </c>
      <c r="BA248" s="699">
        <f>IF($AW249=0,0,        _xll.qDateNext($AW248,BA$17,"M",TRUE,Currency2))</f>
        <v>0</v>
      </c>
      <c r="BB248" s="699">
        <f>IF($AW249=0,0,        _xll.qDateNext($AW248,BB$17,"M",TRUE,Currency2))</f>
        <v>0</v>
      </c>
      <c r="BC248" s="699">
        <f>IF($AW249=0,0,        _xll.qDateNext($AW248,BC$17,"M",TRUE,Currency2))</f>
        <v>0</v>
      </c>
      <c r="BD248" s="699">
        <f>IF($AW249=0,0,        _xll.qDateNext($AW248,BD$17,"M",TRUE,Currency2))</f>
        <v>0</v>
      </c>
      <c r="BE248" s="699">
        <f>IF($AW249=0,0,        _xll.qDateNext($AW248,BE$17,"M",TRUE,Currency2))</f>
        <v>0</v>
      </c>
      <c r="BF248" s="699">
        <f>IF($AW249=0,0,        _xll.qDateNext($AW248,BF$17,"M",TRUE,Currency2))</f>
        <v>0</v>
      </c>
      <c r="BG248" s="699">
        <f>IF($AW249=0,0,        _xll.qDateNext($AW248,BG$17,"M",TRUE,Currency2))</f>
        <v>0</v>
      </c>
      <c r="BH248" s="703">
        <v>0</v>
      </c>
      <c r="BI248" s="703">
        <v>0</v>
      </c>
      <c r="BJ248" s="703">
        <v>0</v>
      </c>
      <c r="BK248" s="703">
        <v>0</v>
      </c>
      <c r="BL248" s="703">
        <f t="shared" si="53"/>
        <v>0</v>
      </c>
      <c r="BM248" s="703">
        <f t="shared" si="54"/>
        <v>0</v>
      </c>
      <c r="BN248" s="703">
        <v>0</v>
      </c>
      <c r="BO248" s="703">
        <v>0</v>
      </c>
      <c r="BP248" s="685">
        <v>0</v>
      </c>
      <c r="BQ248" s="667"/>
      <c r="BR248" s="670">
        <f>IF(AW249=0,0,             IF(ISNUMBER(BQ248),BQ248,             IF(ISTEXT(BQ248),INDEX(BH248:BO248,MATCH(BQ248,$BH$17:$BO$17,0)),           IF(BP248="INT",_xll.qInterp(AW249,AZ248:BG248,BH248:BO248),       INDEX(BH248:BO248,MATCH(BP248,$BH$17:$BO$17,0))))))</f>
        <v>0</v>
      </c>
      <c r="BS248" s="731">
        <f t="shared" si="48"/>
        <v>0</v>
      </c>
      <c r="BT248" s="406">
        <f t="shared" si="49"/>
        <v>0</v>
      </c>
      <c r="BU248" s="284">
        <f>IF($AW249,_xll.qDateYears($AW248,$AW249,DCC_Leg2_Fixed),0)</f>
        <v>0</v>
      </c>
      <c r="BV248" s="284">
        <f>IF($AW249,_xll.qDateYears($AW248,$AW249,DCC_Leg2_Float),0)</f>
        <v>0</v>
      </c>
      <c r="BX248" s="350">
        <f t="shared" si="55"/>
        <v>0</v>
      </c>
      <c r="BY248" s="375">
        <f>IF(GenType_2a="Fixed",GenRate_2a%*$BT247*BU247,          IF(GenType_2a="Float",$BT247*(_xll.qGetFwdRate($J$18,$AW247,$AW248,"T",DCC_Leg2_Float)%+GenRate_2a%%)*$BV247,        IF(GenType_2a="bp (Fixed)",GenRate_2a%%*$BU247*$BT247,   IF(GenType_2a="bp (Float)",GenRate_2a%%*$BT247*$BV247,0))))</f>
        <v>0</v>
      </c>
      <c r="BZ248" s="561"/>
      <c r="CB248" s="341">
        <f t="shared" si="57"/>
        <v>0</v>
      </c>
      <c r="CC248" s="563"/>
      <c r="CD248" s="356"/>
      <c r="CE248" s="341">
        <v>0</v>
      </c>
      <c r="CF248" s="563"/>
      <c r="CG248" s="356"/>
    </row>
    <row r="249" spans="15:85">
      <c r="O249" s="122">
        <v>0</v>
      </c>
      <c r="P249" s="128">
        <f t="shared" si="44"/>
        <v>0</v>
      </c>
      <c r="Q249" s="126">
        <v>0</v>
      </c>
      <c r="R249" s="699">
        <f>IF($O250=0,0,        _xll.qDateNext($O249,R$17,"M",TRUE,Currency1))</f>
        <v>0</v>
      </c>
      <c r="S249" s="699">
        <f>IF($O250=0,0,        _xll.qDateNext($O249,S$17,"M",TRUE,Currency1))</f>
        <v>0</v>
      </c>
      <c r="T249" s="699">
        <f>IF($O250=0,0,        _xll.qDateNext($O249,T$17,"M",TRUE,Currency1))</f>
        <v>0</v>
      </c>
      <c r="U249" s="699">
        <f>IF($O250=0,0,        _xll.qDateNext($O249,U$17,"M",TRUE,Currency1))</f>
        <v>0</v>
      </c>
      <c r="V249" s="699">
        <f>IF($O250=0,0,        _xll.qDateNext($O249,V$17,"M",TRUE,Currency1))</f>
        <v>0</v>
      </c>
      <c r="W249" s="699">
        <f>IF($O250=0,0,        _xll.qDateNext($O249,W$17,"M",TRUE,Currency1))</f>
        <v>0</v>
      </c>
      <c r="X249" s="699">
        <f>IF($O250=0,0,        _xll.qDateNext($O249,X$17,"M",TRUE,Currency1))</f>
        <v>0</v>
      </c>
      <c r="Y249" s="699">
        <f>IF($O250=0,0,        _xll.qDateNext($O249,Y$17,"M",TRUE,Currency1))</f>
        <v>0</v>
      </c>
      <c r="Z249" s="703">
        <f>IF($O250=0,0,           IF(FRM,_xll.qGetFwdRate(Z$14,$O249,R249,"T",DCC_Leg1_Float),_xll.qGetFwdRate(Z$14,$O249,$O250,"T",DCC_Leg1_Float)))</f>
        <v>0</v>
      </c>
      <c r="AA249" s="703">
        <f>IF($O250=0,0,           IF(FRM,_xll.qGetFwdRate(AA$14,$O249,S249,"T",DCC_Leg1_Float),_xll.qGetFwdRate(AA$14,$O249,$O250,"T",DCC_Leg1_Float)))</f>
        <v>0</v>
      </c>
      <c r="AB249" s="703">
        <f t="shared" si="45"/>
        <v>0</v>
      </c>
      <c r="AC249" s="703">
        <f>IF($O250=0,0,           IF(FRM,_xll.qGetFwdRate(AC$14,$O249,U249,"T",DCC_Leg1_Float),_xll.qGetFwdRate(AC$14,$O249,$O250,"T",DCC_Leg1_Float)))</f>
        <v>0</v>
      </c>
      <c r="AD249" s="703">
        <f t="shared" si="50"/>
        <v>0</v>
      </c>
      <c r="AE249" s="703">
        <f t="shared" si="51"/>
        <v>0</v>
      </c>
      <c r="AF249" s="703">
        <f>IF($O250=0,0,           IF(FRM,_xll.qGetFwdRate(AF$14,$O249,X249,"T",DCC_Leg1_Float),_xll.qGetFwdRate(AF$14,$O249,$O250,"T",DCC_Leg1_Float)))</f>
        <v>0</v>
      </c>
      <c r="AG249" s="703">
        <f>IF($O250=0,0,           IF(FRM,_xll.qGetFwdRate(AG$14,$O249,Y249,"T",DCC_Leg1_Float),_xll.qGetFwdRate(AG$14,$O249,$O250,"T",DCC_Leg1_Float)))</f>
        <v>0</v>
      </c>
      <c r="AH249" s="685">
        <v>0</v>
      </c>
      <c r="AI249" s="667"/>
      <c r="AJ249" s="670">
        <f>IF(O250=0,0,             IF(ISNUMBER(AI249),AI249,             IF(ISTEXT(AI249),INDEX(Z249:AG249,MATCH(AI249,$Z$17:$AG$17,0)),           IF(AH249="INT",_xll.qInterp(O250,R249:Y249,Z249:AG249),       INDEX(Z249:AG249,MATCH(AH249,$Z$17:$AG$17,0))))))</f>
        <v>0</v>
      </c>
      <c r="AK249" s="732">
        <v>20</v>
      </c>
      <c r="AL249" s="721">
        <f t="shared" si="46"/>
        <v>0</v>
      </c>
      <c r="AM249" s="284">
        <f>IF($O250,_xll.qDateYears($O249,$O250,DCC_Leg1_Fixed),0)</f>
        <v>0</v>
      </c>
      <c r="AN249" s="284">
        <f>IF($O250,_xll.qDateYears($O249,$O250,DCC_Leg1_Float),0)</f>
        <v>0</v>
      </c>
      <c r="AP249" s="350">
        <f t="shared" si="52"/>
        <v>0</v>
      </c>
      <c r="AQ249" s="375">
        <f>IF(GenType_1a="Fixed",GenRate_1a%*$AL248*AM248,          IF(GenType_1a="Float",$AL248*(_xll.qGetFwdRate($D$18,$O248,$O249,"T",DCC_Leg1_Float)%+GenRate_1a%%)*$AN248,        IF(GenType_1a="bp (Fixed)",GenRate_1a%%*$AM248*$AL248,   IF(GenType_1a="bp (Float)",GenRate_1a%%*$AL248*$AN248,0))))</f>
        <v>0</v>
      </c>
      <c r="AR249" s="561"/>
      <c r="AT249" s="341">
        <f t="shared" si="56"/>
        <v>0</v>
      </c>
      <c r="AV249" s="356"/>
      <c r="AW249" s="122">
        <v>0</v>
      </c>
      <c r="AX249" s="128">
        <f t="shared" si="47"/>
        <v>0</v>
      </c>
      <c r="AY249" s="357">
        <v>0</v>
      </c>
      <c r="AZ249" s="699">
        <f>IF($AW250=0,0,        _xll.qDateNext($AW249,AZ$17,"M",TRUE,Currency2))</f>
        <v>0</v>
      </c>
      <c r="BA249" s="699">
        <f>IF($AW250=0,0,        _xll.qDateNext($AW249,BA$17,"M",TRUE,Currency2))</f>
        <v>0</v>
      </c>
      <c r="BB249" s="699">
        <f>IF($AW250=0,0,        _xll.qDateNext($AW249,BB$17,"M",TRUE,Currency2))</f>
        <v>0</v>
      </c>
      <c r="BC249" s="699">
        <f>IF($AW250=0,0,        _xll.qDateNext($AW249,BC$17,"M",TRUE,Currency2))</f>
        <v>0</v>
      </c>
      <c r="BD249" s="699">
        <f>IF($AW250=0,0,        _xll.qDateNext($AW249,BD$17,"M",TRUE,Currency2))</f>
        <v>0</v>
      </c>
      <c r="BE249" s="699">
        <f>IF($AW250=0,0,        _xll.qDateNext($AW249,BE$17,"M",TRUE,Currency2))</f>
        <v>0</v>
      </c>
      <c r="BF249" s="699">
        <f>IF($AW250=0,0,        _xll.qDateNext($AW249,BF$17,"M",TRUE,Currency2))</f>
        <v>0</v>
      </c>
      <c r="BG249" s="699">
        <f>IF($AW250=0,0,        _xll.qDateNext($AW249,BG$17,"M",TRUE,Currency2))</f>
        <v>0</v>
      </c>
      <c r="BH249" s="703">
        <v>0</v>
      </c>
      <c r="BI249" s="703">
        <v>0</v>
      </c>
      <c r="BJ249" s="703">
        <v>0</v>
      </c>
      <c r="BK249" s="703">
        <v>0</v>
      </c>
      <c r="BL249" s="703">
        <f t="shared" si="53"/>
        <v>0</v>
      </c>
      <c r="BM249" s="703">
        <f t="shared" si="54"/>
        <v>0</v>
      </c>
      <c r="BN249" s="703">
        <v>0</v>
      </c>
      <c r="BO249" s="703">
        <v>0</v>
      </c>
      <c r="BP249" s="685">
        <v>0</v>
      </c>
      <c r="BQ249" s="667"/>
      <c r="BR249" s="670">
        <f>IF(AW250=0,0,             IF(ISNUMBER(BQ249),BQ249,             IF(ISTEXT(BQ249),INDEX(BH249:BO249,MATCH(BQ249,$BH$17:$BO$17,0)),           IF(BP249="INT",_xll.qInterp(AW250,AZ249:BG249,BH249:BO249),       INDEX(BH249:BO249,MATCH(BP249,$BH$17:$BO$17,0))))))</f>
        <v>0</v>
      </c>
      <c r="BS249" s="731">
        <f t="shared" si="48"/>
        <v>0</v>
      </c>
      <c r="BT249" s="406">
        <f t="shared" si="49"/>
        <v>0</v>
      </c>
      <c r="BU249" s="284">
        <f>IF($AW250,_xll.qDateYears($AW249,$AW250,DCC_Leg2_Fixed),0)</f>
        <v>0</v>
      </c>
      <c r="BV249" s="284">
        <f>IF($AW250,_xll.qDateYears($AW249,$AW250,DCC_Leg2_Float),0)</f>
        <v>0</v>
      </c>
      <c r="BX249" s="350">
        <f t="shared" si="55"/>
        <v>0</v>
      </c>
      <c r="BY249" s="375">
        <f>IF(GenType_2a="Fixed",GenRate_2a%*$BT248*BU248,          IF(GenType_2a="Float",$BT248*(_xll.qGetFwdRate($J$18,$AW248,$AW249,"T",DCC_Leg2_Float)%+GenRate_2a%%)*$BV248,        IF(GenType_2a="bp (Fixed)",GenRate_2a%%*$BU248*$BT248,   IF(GenType_2a="bp (Float)",GenRate_2a%%*$BT248*$BV248,0))))</f>
        <v>0</v>
      </c>
      <c r="BZ249" s="561"/>
      <c r="CB249" s="341">
        <f t="shared" si="57"/>
        <v>0</v>
      </c>
      <c r="CC249" s="563"/>
      <c r="CD249" s="356"/>
      <c r="CE249" s="341">
        <v>0</v>
      </c>
      <c r="CF249" s="563"/>
      <c r="CG249" s="356"/>
    </row>
    <row r="250" spans="15:85">
      <c r="O250" s="122">
        <v>0</v>
      </c>
      <c r="P250" s="128">
        <f t="shared" si="44"/>
        <v>0</v>
      </c>
      <c r="Q250" s="126">
        <v>0</v>
      </c>
      <c r="R250" s="699">
        <f>IF($O251=0,0,        _xll.qDateNext($O250,R$17,"M",TRUE,Currency1))</f>
        <v>0</v>
      </c>
      <c r="S250" s="699">
        <f>IF($O251=0,0,        _xll.qDateNext($O250,S$17,"M",TRUE,Currency1))</f>
        <v>0</v>
      </c>
      <c r="T250" s="699">
        <f>IF($O251=0,0,        _xll.qDateNext($O250,T$17,"M",TRUE,Currency1))</f>
        <v>0</v>
      </c>
      <c r="U250" s="699">
        <f>IF($O251=0,0,        _xll.qDateNext($O250,U$17,"M",TRUE,Currency1))</f>
        <v>0</v>
      </c>
      <c r="V250" s="699">
        <f>IF($O251=0,0,        _xll.qDateNext($O250,V$17,"M",TRUE,Currency1))</f>
        <v>0</v>
      </c>
      <c r="W250" s="699">
        <f>IF($O251=0,0,        _xll.qDateNext($O250,W$17,"M",TRUE,Currency1))</f>
        <v>0</v>
      </c>
      <c r="X250" s="699">
        <f>IF($O251=0,0,        _xll.qDateNext($O250,X$17,"M",TRUE,Currency1))</f>
        <v>0</v>
      </c>
      <c r="Y250" s="699">
        <f>IF($O251=0,0,        _xll.qDateNext($O250,Y$17,"M",TRUE,Currency1))</f>
        <v>0</v>
      </c>
      <c r="Z250" s="703">
        <f>IF($O251=0,0,           IF(FRM,_xll.qGetFwdRate(Z$14,$O250,R250,"T",DCC_Leg1_Float),_xll.qGetFwdRate(Z$14,$O250,$O251,"T",DCC_Leg1_Float)))</f>
        <v>0</v>
      </c>
      <c r="AA250" s="703">
        <f>IF($O251=0,0,           IF(FRM,_xll.qGetFwdRate(AA$14,$O250,S250,"T",DCC_Leg1_Float),_xll.qGetFwdRate(AA$14,$O250,$O251,"T",DCC_Leg1_Float)))</f>
        <v>0</v>
      </c>
      <c r="AB250" s="703">
        <f t="shared" si="45"/>
        <v>0</v>
      </c>
      <c r="AC250" s="703">
        <f>IF($O251=0,0,           IF(FRM,_xll.qGetFwdRate(AC$14,$O250,U250,"T",DCC_Leg1_Float),_xll.qGetFwdRate(AC$14,$O250,$O251,"T",DCC_Leg1_Float)))</f>
        <v>0</v>
      </c>
      <c r="AD250" s="703">
        <f t="shared" si="50"/>
        <v>0</v>
      </c>
      <c r="AE250" s="703">
        <f t="shared" si="51"/>
        <v>0</v>
      </c>
      <c r="AF250" s="703">
        <f>IF($O251=0,0,           IF(FRM,_xll.qGetFwdRate(AF$14,$O250,X250,"T",DCC_Leg1_Float),_xll.qGetFwdRate(AF$14,$O250,$O251,"T",DCC_Leg1_Float)))</f>
        <v>0</v>
      </c>
      <c r="AG250" s="703">
        <f>IF($O251=0,0,           IF(FRM,_xll.qGetFwdRate(AG$14,$O250,Y250,"T",DCC_Leg1_Float),_xll.qGetFwdRate(AG$14,$O250,$O251,"T",DCC_Leg1_Float)))</f>
        <v>0</v>
      </c>
      <c r="AH250" s="685">
        <v>0</v>
      </c>
      <c r="AI250" s="667"/>
      <c r="AJ250" s="670">
        <f>IF(O251=0,0,             IF(ISNUMBER(AI250),AI250,             IF(ISTEXT(AI250),INDEX(Z250:AG250,MATCH(AI250,$Z$17:$AG$17,0)),           IF(AH250="INT",_xll.qInterp(O251,R250:Y250,Z250:AG250),       INDEX(Z250:AG250,MATCH(AH250,$Z$17:$AG$17,0))))))</f>
        <v>0</v>
      </c>
      <c r="AK250" s="732">
        <v>20</v>
      </c>
      <c r="AL250" s="721">
        <f t="shared" si="46"/>
        <v>0</v>
      </c>
      <c r="AM250" s="284">
        <f>IF($O251,_xll.qDateYears($O250,$O251,DCC_Leg1_Fixed),0)</f>
        <v>0</v>
      </c>
      <c r="AN250" s="284">
        <f>IF($O251,_xll.qDateYears($O250,$O251,DCC_Leg1_Float),0)</f>
        <v>0</v>
      </c>
      <c r="AP250" s="350">
        <f t="shared" si="52"/>
        <v>0</v>
      </c>
      <c r="AQ250" s="375">
        <f>IF(GenType_1a="Fixed",GenRate_1a%*$AL249*AM249,          IF(GenType_1a="Float",$AL249*(_xll.qGetFwdRate($D$18,$O249,$O250,"T",DCC_Leg1_Float)%+GenRate_1a%%)*$AN249,        IF(GenType_1a="bp (Fixed)",GenRate_1a%%*$AM249*$AL249,   IF(GenType_1a="bp (Float)",GenRate_1a%%*$AL249*$AN249,0))))</f>
        <v>0</v>
      </c>
      <c r="AR250" s="561"/>
      <c r="AT250" s="341">
        <f t="shared" si="56"/>
        <v>0</v>
      </c>
      <c r="AV250" s="356"/>
      <c r="AW250" s="122">
        <v>0</v>
      </c>
      <c r="AX250" s="128">
        <f t="shared" si="47"/>
        <v>0</v>
      </c>
      <c r="AY250" s="357">
        <v>0</v>
      </c>
      <c r="AZ250" s="699">
        <f>IF($AW251=0,0,        _xll.qDateNext($AW250,AZ$17,"M",TRUE,Currency2))</f>
        <v>0</v>
      </c>
      <c r="BA250" s="699">
        <f>IF($AW251=0,0,        _xll.qDateNext($AW250,BA$17,"M",TRUE,Currency2))</f>
        <v>0</v>
      </c>
      <c r="BB250" s="699">
        <f>IF($AW251=0,0,        _xll.qDateNext($AW250,BB$17,"M",TRUE,Currency2))</f>
        <v>0</v>
      </c>
      <c r="BC250" s="699">
        <f>IF($AW251=0,0,        _xll.qDateNext($AW250,BC$17,"M",TRUE,Currency2))</f>
        <v>0</v>
      </c>
      <c r="BD250" s="699">
        <f>IF($AW251=0,0,        _xll.qDateNext($AW250,BD$17,"M",TRUE,Currency2))</f>
        <v>0</v>
      </c>
      <c r="BE250" s="699">
        <f>IF($AW251=0,0,        _xll.qDateNext($AW250,BE$17,"M",TRUE,Currency2))</f>
        <v>0</v>
      </c>
      <c r="BF250" s="699">
        <f>IF($AW251=0,0,        _xll.qDateNext($AW250,BF$17,"M",TRUE,Currency2))</f>
        <v>0</v>
      </c>
      <c r="BG250" s="699">
        <f>IF($AW251=0,0,        _xll.qDateNext($AW250,BG$17,"M",TRUE,Currency2))</f>
        <v>0</v>
      </c>
      <c r="BH250" s="703">
        <v>0</v>
      </c>
      <c r="BI250" s="703">
        <v>0</v>
      </c>
      <c r="BJ250" s="703">
        <v>0</v>
      </c>
      <c r="BK250" s="703">
        <v>0</v>
      </c>
      <c r="BL250" s="703">
        <f t="shared" si="53"/>
        <v>0</v>
      </c>
      <c r="BM250" s="703">
        <f t="shared" si="54"/>
        <v>0</v>
      </c>
      <c r="BN250" s="703">
        <v>0</v>
      </c>
      <c r="BO250" s="703">
        <v>0</v>
      </c>
      <c r="BP250" s="685">
        <v>0</v>
      </c>
      <c r="BQ250" s="667"/>
      <c r="BR250" s="670">
        <f>IF(AW251=0,0,             IF(ISNUMBER(BQ250),BQ250,             IF(ISTEXT(BQ250),INDEX(BH250:BO250,MATCH(BQ250,$BH$17:$BO$17,0)),           IF(BP250="INT",_xll.qInterp(AW251,AZ250:BG250,BH250:BO250),       INDEX(BH250:BO250,MATCH(BP250,$BH$17:$BO$17,0))))))</f>
        <v>0</v>
      </c>
      <c r="BS250" s="731">
        <f t="shared" si="48"/>
        <v>0</v>
      </c>
      <c r="BT250" s="406">
        <f t="shared" si="49"/>
        <v>0</v>
      </c>
      <c r="BU250" s="284">
        <f>IF($AW251,_xll.qDateYears($AW250,$AW251,DCC_Leg2_Fixed),0)</f>
        <v>0</v>
      </c>
      <c r="BV250" s="284">
        <f>IF($AW251,_xll.qDateYears($AW250,$AW251,DCC_Leg2_Float),0)</f>
        <v>0</v>
      </c>
      <c r="BX250" s="350">
        <f t="shared" si="55"/>
        <v>0</v>
      </c>
      <c r="BY250" s="375">
        <f>IF(GenType_2a="Fixed",GenRate_2a%*$BT249*BU249,          IF(GenType_2a="Float",$BT249*(_xll.qGetFwdRate($J$18,$AW249,$AW250,"T",DCC_Leg2_Float)%+GenRate_2a%%)*$BV249,        IF(GenType_2a="bp (Fixed)",GenRate_2a%%*$BU249*$BT249,   IF(GenType_2a="bp (Float)",GenRate_2a%%*$BT249*$BV249,0))))</f>
        <v>0</v>
      </c>
      <c r="BZ250" s="561"/>
      <c r="CB250" s="341">
        <f t="shared" si="57"/>
        <v>0</v>
      </c>
      <c r="CC250" s="563"/>
      <c r="CD250" s="356"/>
      <c r="CE250" s="341">
        <v>0</v>
      </c>
      <c r="CF250" s="563"/>
      <c r="CG250" s="356"/>
    </row>
    <row r="251" spans="15:85">
      <c r="O251" s="122">
        <v>0</v>
      </c>
      <c r="P251" s="128">
        <f t="shared" si="44"/>
        <v>0</v>
      </c>
      <c r="Q251" s="126">
        <v>0</v>
      </c>
      <c r="R251" s="699">
        <f>IF($O252=0,0,        _xll.qDateNext($O251,R$17,"M",TRUE,Currency1))</f>
        <v>0</v>
      </c>
      <c r="S251" s="699">
        <f>IF($O252=0,0,        _xll.qDateNext($O251,S$17,"M",TRUE,Currency1))</f>
        <v>0</v>
      </c>
      <c r="T251" s="699">
        <f>IF($O252=0,0,        _xll.qDateNext($O251,T$17,"M",TRUE,Currency1))</f>
        <v>0</v>
      </c>
      <c r="U251" s="699">
        <f>IF($O252=0,0,        _xll.qDateNext($O251,U$17,"M",TRUE,Currency1))</f>
        <v>0</v>
      </c>
      <c r="V251" s="699">
        <f>IF($O252=0,0,        _xll.qDateNext($O251,V$17,"M",TRUE,Currency1))</f>
        <v>0</v>
      </c>
      <c r="W251" s="699">
        <f>IF($O252=0,0,        _xll.qDateNext($O251,W$17,"M",TRUE,Currency1))</f>
        <v>0</v>
      </c>
      <c r="X251" s="699">
        <f>IF($O252=0,0,        _xll.qDateNext($O251,X$17,"M",TRUE,Currency1))</f>
        <v>0</v>
      </c>
      <c r="Y251" s="699">
        <f>IF($O252=0,0,        _xll.qDateNext($O251,Y$17,"M",TRUE,Currency1))</f>
        <v>0</v>
      </c>
      <c r="Z251" s="703">
        <f>IF($O252=0,0,           IF(FRM,_xll.qGetFwdRate(Z$14,$O251,R251,"T",DCC_Leg1_Float),_xll.qGetFwdRate(Z$14,$O251,$O252,"T",DCC_Leg1_Float)))</f>
        <v>0</v>
      </c>
      <c r="AA251" s="703">
        <f>IF($O252=0,0,           IF(FRM,_xll.qGetFwdRate(AA$14,$O251,S251,"T",DCC_Leg1_Float),_xll.qGetFwdRate(AA$14,$O251,$O252,"T",DCC_Leg1_Float)))</f>
        <v>0</v>
      </c>
      <c r="AB251" s="703">
        <f t="shared" si="45"/>
        <v>0</v>
      </c>
      <c r="AC251" s="703">
        <f>IF($O252=0,0,           IF(FRM,_xll.qGetFwdRate(AC$14,$O251,U251,"T",DCC_Leg1_Float),_xll.qGetFwdRate(AC$14,$O251,$O252,"T",DCC_Leg1_Float)))</f>
        <v>0</v>
      </c>
      <c r="AD251" s="703">
        <f t="shared" si="50"/>
        <v>0</v>
      </c>
      <c r="AE251" s="703">
        <f t="shared" si="51"/>
        <v>0</v>
      </c>
      <c r="AF251" s="703">
        <f>IF($O252=0,0,           IF(FRM,_xll.qGetFwdRate(AF$14,$O251,X251,"T",DCC_Leg1_Float),_xll.qGetFwdRate(AF$14,$O251,$O252,"T",DCC_Leg1_Float)))</f>
        <v>0</v>
      </c>
      <c r="AG251" s="703">
        <f>IF($O252=0,0,           IF(FRM,_xll.qGetFwdRate(AG$14,$O251,Y251,"T",DCC_Leg1_Float),_xll.qGetFwdRate(AG$14,$O251,$O252,"T",DCC_Leg1_Float)))</f>
        <v>0</v>
      </c>
      <c r="AH251" s="685">
        <v>0</v>
      </c>
      <c r="AI251" s="667"/>
      <c r="AJ251" s="670">
        <f>IF(O252=0,0,             IF(ISNUMBER(AI251),AI251,             IF(ISTEXT(AI251),INDEX(Z251:AG251,MATCH(AI251,$Z$17:$AG$17,0)),           IF(AH251="INT",_xll.qInterp(O252,R251:Y251,Z251:AG251),       INDEX(Z251:AG251,MATCH(AH251,$Z$17:$AG$17,0))))))</f>
        <v>0</v>
      </c>
      <c r="AK251" s="732">
        <v>20</v>
      </c>
      <c r="AL251" s="721">
        <f t="shared" si="46"/>
        <v>0</v>
      </c>
      <c r="AM251" s="284">
        <f>IF($O252,_xll.qDateYears($O251,$O252,DCC_Leg1_Fixed),0)</f>
        <v>0</v>
      </c>
      <c r="AN251" s="284">
        <f>IF($O252,_xll.qDateYears($O251,$O252,DCC_Leg1_Float),0)</f>
        <v>0</v>
      </c>
      <c r="AP251" s="350">
        <f t="shared" si="52"/>
        <v>0</v>
      </c>
      <c r="AQ251" s="375">
        <f>IF(GenType_1a="Fixed",GenRate_1a%*$AL250*AM250,          IF(GenType_1a="Float",$AL250*(_xll.qGetFwdRate($D$18,$O250,$O251,"T",DCC_Leg1_Float)%+GenRate_1a%%)*$AN250,        IF(GenType_1a="bp (Fixed)",GenRate_1a%%*$AM250*$AL250,   IF(GenType_1a="bp (Float)",GenRate_1a%%*$AL250*$AN250,0))))</f>
        <v>0</v>
      </c>
      <c r="AR251" s="561"/>
      <c r="AT251" s="341">
        <f t="shared" si="56"/>
        <v>0</v>
      </c>
      <c r="AV251" s="356"/>
      <c r="AW251" s="122">
        <v>0</v>
      </c>
      <c r="AX251" s="128">
        <f t="shared" si="47"/>
        <v>0</v>
      </c>
      <c r="AY251" s="357">
        <v>0</v>
      </c>
      <c r="AZ251" s="699">
        <f>IF($AW252=0,0,        _xll.qDateNext($AW251,AZ$17,"M",TRUE,Currency2))</f>
        <v>0</v>
      </c>
      <c r="BA251" s="699">
        <f>IF($AW252=0,0,        _xll.qDateNext($AW251,BA$17,"M",TRUE,Currency2))</f>
        <v>0</v>
      </c>
      <c r="BB251" s="699">
        <f>IF($AW252=0,0,        _xll.qDateNext($AW251,BB$17,"M",TRUE,Currency2))</f>
        <v>0</v>
      </c>
      <c r="BC251" s="699">
        <f>IF($AW252=0,0,        _xll.qDateNext($AW251,BC$17,"M",TRUE,Currency2))</f>
        <v>0</v>
      </c>
      <c r="BD251" s="699">
        <f>IF($AW252=0,0,        _xll.qDateNext($AW251,BD$17,"M",TRUE,Currency2))</f>
        <v>0</v>
      </c>
      <c r="BE251" s="699">
        <f>IF($AW252=0,0,        _xll.qDateNext($AW251,BE$17,"M",TRUE,Currency2))</f>
        <v>0</v>
      </c>
      <c r="BF251" s="699">
        <f>IF($AW252=0,0,        _xll.qDateNext($AW251,BF$17,"M",TRUE,Currency2))</f>
        <v>0</v>
      </c>
      <c r="BG251" s="699">
        <f>IF($AW252=0,0,        _xll.qDateNext($AW251,BG$17,"M",TRUE,Currency2))</f>
        <v>0</v>
      </c>
      <c r="BH251" s="703">
        <v>0</v>
      </c>
      <c r="BI251" s="703">
        <v>0</v>
      </c>
      <c r="BJ251" s="703">
        <v>0</v>
      </c>
      <c r="BK251" s="703">
        <v>0</v>
      </c>
      <c r="BL251" s="703">
        <f t="shared" si="53"/>
        <v>0</v>
      </c>
      <c r="BM251" s="703">
        <f t="shared" si="54"/>
        <v>0</v>
      </c>
      <c r="BN251" s="703">
        <v>0</v>
      </c>
      <c r="BO251" s="703">
        <v>0</v>
      </c>
      <c r="BP251" s="685">
        <v>0</v>
      </c>
      <c r="BQ251" s="667"/>
      <c r="BR251" s="670">
        <f>IF(AW252=0,0,             IF(ISNUMBER(BQ251),BQ251,             IF(ISTEXT(BQ251),INDEX(BH251:BO251,MATCH(BQ251,$BH$17:$BO$17,0)),           IF(BP251="INT",_xll.qInterp(AW252,AZ251:BG251,BH251:BO251),       INDEX(BH251:BO251,MATCH(BP251,$BH$17:$BO$17,0))))))</f>
        <v>0</v>
      </c>
      <c r="BS251" s="731">
        <f t="shared" si="48"/>
        <v>0</v>
      </c>
      <c r="BT251" s="406">
        <f t="shared" si="49"/>
        <v>0</v>
      </c>
      <c r="BU251" s="284">
        <f>IF($AW252,_xll.qDateYears($AW251,$AW252,DCC_Leg2_Fixed),0)</f>
        <v>0</v>
      </c>
      <c r="BV251" s="284">
        <f>IF($AW252,_xll.qDateYears($AW251,$AW252,DCC_Leg2_Float),0)</f>
        <v>0</v>
      </c>
      <c r="BX251" s="350">
        <f t="shared" si="55"/>
        <v>0</v>
      </c>
      <c r="BY251" s="375">
        <f>IF(GenType_2a="Fixed",GenRate_2a%*$BT250*BU250,          IF(GenType_2a="Float",$BT250*(_xll.qGetFwdRate($J$18,$AW250,$AW251,"T",DCC_Leg2_Float)%+GenRate_2a%%)*$BV250,        IF(GenType_2a="bp (Fixed)",GenRate_2a%%*$BU250*$BT250,   IF(GenType_2a="bp (Float)",GenRate_2a%%*$BT250*$BV250,0))))</f>
        <v>0</v>
      </c>
      <c r="BZ251" s="561"/>
      <c r="CB251" s="341">
        <f t="shared" si="57"/>
        <v>0</v>
      </c>
      <c r="CC251" s="563"/>
      <c r="CD251" s="356"/>
      <c r="CE251" s="341">
        <v>0</v>
      </c>
      <c r="CF251" s="563"/>
      <c r="CG251" s="356"/>
    </row>
    <row r="252" spans="15:85">
      <c r="O252" s="122">
        <v>0</v>
      </c>
      <c r="P252" s="128">
        <f t="shared" si="44"/>
        <v>0</v>
      </c>
      <c r="Q252" s="126">
        <v>0</v>
      </c>
      <c r="R252" s="699">
        <f>IF($O253=0,0,        _xll.qDateNext($O252,R$17,"M",TRUE,Currency1))</f>
        <v>0</v>
      </c>
      <c r="S252" s="699">
        <f>IF($O253=0,0,        _xll.qDateNext($O252,S$17,"M",TRUE,Currency1))</f>
        <v>0</v>
      </c>
      <c r="T252" s="699">
        <f>IF($O253=0,0,        _xll.qDateNext($O252,T$17,"M",TRUE,Currency1))</f>
        <v>0</v>
      </c>
      <c r="U252" s="699">
        <f>IF($O253=0,0,        _xll.qDateNext($O252,U$17,"M",TRUE,Currency1))</f>
        <v>0</v>
      </c>
      <c r="V252" s="699">
        <f>IF($O253=0,0,        _xll.qDateNext($O252,V$17,"M",TRUE,Currency1))</f>
        <v>0</v>
      </c>
      <c r="W252" s="699">
        <f>IF($O253=0,0,        _xll.qDateNext($O252,W$17,"M",TRUE,Currency1))</f>
        <v>0</v>
      </c>
      <c r="X252" s="699">
        <f>IF($O253=0,0,        _xll.qDateNext($O252,X$17,"M",TRUE,Currency1))</f>
        <v>0</v>
      </c>
      <c r="Y252" s="699">
        <f>IF($O253=0,0,        _xll.qDateNext($O252,Y$17,"M",TRUE,Currency1))</f>
        <v>0</v>
      </c>
      <c r="Z252" s="703">
        <f>IF($O253=0,0,           IF(FRM,_xll.qGetFwdRate(Z$14,$O252,R252,"T",DCC_Leg1_Float),_xll.qGetFwdRate(Z$14,$O252,$O253,"T",DCC_Leg1_Float)))</f>
        <v>0</v>
      </c>
      <c r="AA252" s="703">
        <f>IF($O253=0,0,           IF(FRM,_xll.qGetFwdRate(AA$14,$O252,S252,"T",DCC_Leg1_Float),_xll.qGetFwdRate(AA$14,$O252,$O253,"T",DCC_Leg1_Float)))</f>
        <v>0</v>
      </c>
      <c r="AB252" s="703">
        <f t="shared" si="45"/>
        <v>0</v>
      </c>
      <c r="AC252" s="703">
        <f>IF($O253=0,0,           IF(FRM,_xll.qGetFwdRate(AC$14,$O252,U252,"T",DCC_Leg1_Float),_xll.qGetFwdRate(AC$14,$O252,$O253,"T",DCC_Leg1_Float)))</f>
        <v>0</v>
      </c>
      <c r="AD252" s="703">
        <f t="shared" si="50"/>
        <v>0</v>
      </c>
      <c r="AE252" s="703">
        <f t="shared" si="51"/>
        <v>0</v>
      </c>
      <c r="AF252" s="703">
        <f>IF($O253=0,0,           IF(FRM,_xll.qGetFwdRate(AF$14,$O252,X252,"T",DCC_Leg1_Float),_xll.qGetFwdRate(AF$14,$O252,$O253,"T",DCC_Leg1_Float)))</f>
        <v>0</v>
      </c>
      <c r="AG252" s="703">
        <f>IF($O253=0,0,           IF(FRM,_xll.qGetFwdRate(AG$14,$O252,Y252,"T",DCC_Leg1_Float),_xll.qGetFwdRate(AG$14,$O252,$O253,"T",DCC_Leg1_Float)))</f>
        <v>0</v>
      </c>
      <c r="AH252" s="685">
        <v>0</v>
      </c>
      <c r="AI252" s="667"/>
      <c r="AJ252" s="670">
        <f>IF(O253=0,0,             IF(ISNUMBER(AI252),AI252,             IF(ISTEXT(AI252),INDEX(Z252:AG252,MATCH(AI252,$Z$17:$AG$17,0)),           IF(AH252="INT",_xll.qInterp(O253,R252:Y252,Z252:AG252),       INDEX(Z252:AG252,MATCH(AH252,$Z$17:$AG$17,0))))))</f>
        <v>0</v>
      </c>
      <c r="AK252" s="732">
        <v>20</v>
      </c>
      <c r="AL252" s="721">
        <f t="shared" si="46"/>
        <v>0</v>
      </c>
      <c r="AM252" s="284">
        <f>IF($O253,_xll.qDateYears($O252,$O253,DCC_Leg1_Fixed),0)</f>
        <v>0</v>
      </c>
      <c r="AN252" s="284">
        <f>IF($O253,_xll.qDateYears($O252,$O253,DCC_Leg1_Float),0)</f>
        <v>0</v>
      </c>
      <c r="AP252" s="350">
        <f t="shared" si="52"/>
        <v>0</v>
      </c>
      <c r="AQ252" s="375">
        <f>IF(GenType_1a="Fixed",GenRate_1a%*$AL251*AM251,          IF(GenType_1a="Float",$AL251*(_xll.qGetFwdRate($D$18,$O251,$O252,"T",DCC_Leg1_Float)%+GenRate_1a%%)*$AN251,        IF(GenType_1a="bp (Fixed)",GenRate_1a%%*$AM251*$AL251,   IF(GenType_1a="bp (Float)",GenRate_1a%%*$AL251*$AN251,0))))</f>
        <v>0</v>
      </c>
      <c r="AR252" s="561"/>
      <c r="AT252" s="341">
        <f t="shared" si="56"/>
        <v>0</v>
      </c>
      <c r="AV252" s="356"/>
      <c r="AW252" s="122">
        <v>0</v>
      </c>
      <c r="AX252" s="128">
        <f t="shared" si="47"/>
        <v>0</v>
      </c>
      <c r="AY252" s="357">
        <v>0</v>
      </c>
      <c r="AZ252" s="699">
        <f>IF($AW253=0,0,        _xll.qDateNext($AW252,AZ$17,"M",TRUE,Currency2))</f>
        <v>0</v>
      </c>
      <c r="BA252" s="699">
        <f>IF($AW253=0,0,        _xll.qDateNext($AW252,BA$17,"M",TRUE,Currency2))</f>
        <v>0</v>
      </c>
      <c r="BB252" s="699">
        <f>IF($AW253=0,0,        _xll.qDateNext($AW252,BB$17,"M",TRUE,Currency2))</f>
        <v>0</v>
      </c>
      <c r="BC252" s="699">
        <f>IF($AW253=0,0,        _xll.qDateNext($AW252,BC$17,"M",TRUE,Currency2))</f>
        <v>0</v>
      </c>
      <c r="BD252" s="699">
        <f>IF($AW253=0,0,        _xll.qDateNext($AW252,BD$17,"M",TRUE,Currency2))</f>
        <v>0</v>
      </c>
      <c r="BE252" s="699">
        <f>IF($AW253=0,0,        _xll.qDateNext($AW252,BE$17,"M",TRUE,Currency2))</f>
        <v>0</v>
      </c>
      <c r="BF252" s="699">
        <f>IF($AW253=0,0,        _xll.qDateNext($AW252,BF$17,"M",TRUE,Currency2))</f>
        <v>0</v>
      </c>
      <c r="BG252" s="699">
        <f>IF($AW253=0,0,        _xll.qDateNext($AW252,BG$17,"M",TRUE,Currency2))</f>
        <v>0</v>
      </c>
      <c r="BH252" s="703">
        <v>0</v>
      </c>
      <c r="BI252" s="703">
        <v>0</v>
      </c>
      <c r="BJ252" s="703">
        <v>0</v>
      </c>
      <c r="BK252" s="703">
        <v>0</v>
      </c>
      <c r="BL252" s="703">
        <f t="shared" si="53"/>
        <v>0</v>
      </c>
      <c r="BM252" s="703">
        <f t="shared" si="54"/>
        <v>0</v>
      </c>
      <c r="BN252" s="703">
        <v>0</v>
      </c>
      <c r="BO252" s="703">
        <v>0</v>
      </c>
      <c r="BP252" s="685">
        <v>0</v>
      </c>
      <c r="BQ252" s="667"/>
      <c r="BR252" s="670">
        <f>IF(AW253=0,0,             IF(ISNUMBER(BQ252),BQ252,             IF(ISTEXT(BQ252),INDEX(BH252:BO252,MATCH(BQ252,$BH$17:$BO$17,0)),           IF(BP252="INT",_xll.qInterp(AW253,AZ252:BG252,BH252:BO252),       INDEX(BH252:BO252,MATCH(BP252,$BH$17:$BO$17,0))))))</f>
        <v>0</v>
      </c>
      <c r="BS252" s="731">
        <f t="shared" si="48"/>
        <v>0</v>
      </c>
      <c r="BT252" s="406">
        <f t="shared" si="49"/>
        <v>0</v>
      </c>
      <c r="BU252" s="284">
        <f>IF($AW253,_xll.qDateYears($AW252,$AW253,DCC_Leg2_Fixed),0)</f>
        <v>0</v>
      </c>
      <c r="BV252" s="284">
        <f>IF($AW253,_xll.qDateYears($AW252,$AW253,DCC_Leg2_Float),0)</f>
        <v>0</v>
      </c>
      <c r="BX252" s="350">
        <f t="shared" si="55"/>
        <v>0</v>
      </c>
      <c r="BY252" s="375">
        <f>IF(GenType_2a="Fixed",GenRate_2a%*$BT251*BU251,          IF(GenType_2a="Float",$BT251*(_xll.qGetFwdRate($J$18,$AW251,$AW252,"T",DCC_Leg2_Float)%+GenRate_2a%%)*$BV251,        IF(GenType_2a="bp (Fixed)",GenRate_2a%%*$BU251*$BT251,   IF(GenType_2a="bp (Float)",GenRate_2a%%*$BT251*$BV251,0))))</f>
        <v>0</v>
      </c>
      <c r="BZ252" s="561"/>
      <c r="CB252" s="341">
        <f t="shared" si="57"/>
        <v>0</v>
      </c>
      <c r="CC252" s="563"/>
      <c r="CD252" s="356"/>
      <c r="CE252" s="341">
        <v>0</v>
      </c>
      <c r="CF252" s="563"/>
      <c r="CG252" s="356"/>
    </row>
    <row r="253" spans="15:85">
      <c r="O253" s="122">
        <v>0</v>
      </c>
      <c r="P253" s="128">
        <f t="shared" si="44"/>
        <v>0</v>
      </c>
      <c r="Q253" s="126">
        <v>0</v>
      </c>
      <c r="R253" s="699">
        <f>IF($O254=0,0,        _xll.qDateNext($O253,R$17,"M",TRUE,Currency1))</f>
        <v>0</v>
      </c>
      <c r="S253" s="699">
        <f>IF($O254=0,0,        _xll.qDateNext($O253,S$17,"M",TRUE,Currency1))</f>
        <v>0</v>
      </c>
      <c r="T253" s="699">
        <f>IF($O254=0,0,        _xll.qDateNext($O253,T$17,"M",TRUE,Currency1))</f>
        <v>0</v>
      </c>
      <c r="U253" s="699">
        <f>IF($O254=0,0,        _xll.qDateNext($O253,U$17,"M",TRUE,Currency1))</f>
        <v>0</v>
      </c>
      <c r="V253" s="699">
        <f>IF($O254=0,0,        _xll.qDateNext($O253,V$17,"M",TRUE,Currency1))</f>
        <v>0</v>
      </c>
      <c r="W253" s="699">
        <f>IF($O254=0,0,        _xll.qDateNext($O253,W$17,"M",TRUE,Currency1))</f>
        <v>0</v>
      </c>
      <c r="X253" s="699">
        <f>IF($O254=0,0,        _xll.qDateNext($O253,X$17,"M",TRUE,Currency1))</f>
        <v>0</v>
      </c>
      <c r="Y253" s="699">
        <f>IF($O254=0,0,        _xll.qDateNext($O253,Y$17,"M",TRUE,Currency1))</f>
        <v>0</v>
      </c>
      <c r="Z253" s="703">
        <f>IF($O254=0,0,           IF(FRM,_xll.qGetFwdRate(Z$14,$O253,R253,"T",DCC_Leg1_Float),_xll.qGetFwdRate(Z$14,$O253,$O254,"T",DCC_Leg1_Float)))</f>
        <v>0</v>
      </c>
      <c r="AA253" s="703">
        <f>IF($O254=0,0,           IF(FRM,_xll.qGetFwdRate(AA$14,$O253,S253,"T",DCC_Leg1_Float),_xll.qGetFwdRate(AA$14,$O253,$O254,"T",DCC_Leg1_Float)))</f>
        <v>0</v>
      </c>
      <c r="AB253" s="703">
        <f t="shared" si="45"/>
        <v>0</v>
      </c>
      <c r="AC253" s="703">
        <f>IF($O254=0,0,           IF(FRM,_xll.qGetFwdRate(AC$14,$O253,U253,"T",DCC_Leg1_Float),_xll.qGetFwdRate(AC$14,$O253,$O254,"T",DCC_Leg1_Float)))</f>
        <v>0</v>
      </c>
      <c r="AD253" s="703">
        <f t="shared" si="50"/>
        <v>0</v>
      </c>
      <c r="AE253" s="703">
        <f t="shared" si="51"/>
        <v>0</v>
      </c>
      <c r="AF253" s="703">
        <f>IF($O254=0,0,           IF(FRM,_xll.qGetFwdRate(AF$14,$O253,X253,"T",DCC_Leg1_Float),_xll.qGetFwdRate(AF$14,$O253,$O254,"T",DCC_Leg1_Float)))</f>
        <v>0</v>
      </c>
      <c r="AG253" s="703">
        <f>IF($O254=0,0,           IF(FRM,_xll.qGetFwdRate(AG$14,$O253,Y253,"T",DCC_Leg1_Float),_xll.qGetFwdRate(AG$14,$O253,$O254,"T",DCC_Leg1_Float)))</f>
        <v>0</v>
      </c>
      <c r="AH253" s="685">
        <v>0</v>
      </c>
      <c r="AI253" s="667"/>
      <c r="AJ253" s="670">
        <f>IF(O254=0,0,             IF(ISNUMBER(AI253),AI253,             IF(ISTEXT(AI253),INDEX(Z253:AG253,MATCH(AI253,$Z$17:$AG$17,0)),           IF(AH253="INT",_xll.qInterp(O254,R253:Y253,Z253:AG253),       INDEX(Z253:AG253,MATCH(AH253,$Z$17:$AG$17,0))))))</f>
        <v>0</v>
      </c>
      <c r="AK253" s="732">
        <v>20</v>
      </c>
      <c r="AL253" s="721">
        <f t="shared" si="46"/>
        <v>0</v>
      </c>
      <c r="AM253" s="284">
        <f>IF($O254,_xll.qDateYears($O253,$O254,DCC_Leg1_Fixed),0)</f>
        <v>0</v>
      </c>
      <c r="AN253" s="284">
        <f>IF($O254,_xll.qDateYears($O253,$O254,DCC_Leg1_Float),0)</f>
        <v>0</v>
      </c>
      <c r="AP253" s="350">
        <f t="shared" si="52"/>
        <v>0</v>
      </c>
      <c r="AQ253" s="375">
        <f>IF(GenType_1a="Fixed",GenRate_1a%*$AL252*AM252,          IF(GenType_1a="Float",$AL252*(_xll.qGetFwdRate($D$18,$O252,$O253,"T",DCC_Leg1_Float)%+GenRate_1a%%)*$AN252,        IF(GenType_1a="bp (Fixed)",GenRate_1a%%*$AM252*$AL252,   IF(GenType_1a="bp (Float)",GenRate_1a%%*$AL252*$AN252,0))))</f>
        <v>0</v>
      </c>
      <c r="AR253" s="561"/>
      <c r="AT253" s="341">
        <f t="shared" si="56"/>
        <v>0</v>
      </c>
      <c r="AV253" s="356"/>
      <c r="AW253" s="122">
        <v>0</v>
      </c>
      <c r="AX253" s="128">
        <f t="shared" si="47"/>
        <v>0</v>
      </c>
      <c r="AY253" s="357">
        <v>0</v>
      </c>
      <c r="AZ253" s="699">
        <f>IF($AW254=0,0,        _xll.qDateNext($AW253,AZ$17,"M",TRUE,Currency2))</f>
        <v>0</v>
      </c>
      <c r="BA253" s="699">
        <f>IF($AW254=0,0,        _xll.qDateNext($AW253,BA$17,"M",TRUE,Currency2))</f>
        <v>0</v>
      </c>
      <c r="BB253" s="699">
        <f>IF($AW254=0,0,        _xll.qDateNext($AW253,BB$17,"M",TRUE,Currency2))</f>
        <v>0</v>
      </c>
      <c r="BC253" s="699">
        <f>IF($AW254=0,0,        _xll.qDateNext($AW253,BC$17,"M",TRUE,Currency2))</f>
        <v>0</v>
      </c>
      <c r="BD253" s="699">
        <f>IF($AW254=0,0,        _xll.qDateNext($AW253,BD$17,"M",TRUE,Currency2))</f>
        <v>0</v>
      </c>
      <c r="BE253" s="699">
        <f>IF($AW254=0,0,        _xll.qDateNext($AW253,BE$17,"M",TRUE,Currency2))</f>
        <v>0</v>
      </c>
      <c r="BF253" s="699">
        <f>IF($AW254=0,0,        _xll.qDateNext($AW253,BF$17,"M",TRUE,Currency2))</f>
        <v>0</v>
      </c>
      <c r="BG253" s="699">
        <f>IF($AW254=0,0,        _xll.qDateNext($AW253,BG$17,"M",TRUE,Currency2))</f>
        <v>0</v>
      </c>
      <c r="BH253" s="703">
        <v>0</v>
      </c>
      <c r="BI253" s="703">
        <v>0</v>
      </c>
      <c r="BJ253" s="703">
        <v>0</v>
      </c>
      <c r="BK253" s="703">
        <v>0</v>
      </c>
      <c r="BL253" s="703">
        <f t="shared" si="53"/>
        <v>0</v>
      </c>
      <c r="BM253" s="703">
        <f t="shared" si="54"/>
        <v>0</v>
      </c>
      <c r="BN253" s="703">
        <v>0</v>
      </c>
      <c r="BO253" s="703">
        <v>0</v>
      </c>
      <c r="BP253" s="685">
        <v>0</v>
      </c>
      <c r="BQ253" s="667"/>
      <c r="BR253" s="670">
        <f>IF(AW254=0,0,             IF(ISNUMBER(BQ253),BQ253,             IF(ISTEXT(BQ253),INDEX(BH253:BO253,MATCH(BQ253,$BH$17:$BO$17,0)),           IF(BP253="INT",_xll.qInterp(AW254,AZ253:BG253,BH253:BO253),       INDEX(BH253:BO253,MATCH(BP253,$BH$17:$BO$17,0))))))</f>
        <v>0</v>
      </c>
      <c r="BS253" s="731">
        <f t="shared" si="48"/>
        <v>0</v>
      </c>
      <c r="BT253" s="406">
        <f t="shared" si="49"/>
        <v>0</v>
      </c>
      <c r="BU253" s="284">
        <f>IF($AW254,_xll.qDateYears($AW253,$AW254,DCC_Leg2_Fixed),0)</f>
        <v>0</v>
      </c>
      <c r="BV253" s="284">
        <f>IF($AW254,_xll.qDateYears($AW253,$AW254,DCC_Leg2_Float),0)</f>
        <v>0</v>
      </c>
      <c r="BX253" s="350">
        <f t="shared" si="55"/>
        <v>0</v>
      </c>
      <c r="BY253" s="375">
        <f>IF(GenType_2a="Fixed",GenRate_2a%*$BT252*BU252,          IF(GenType_2a="Float",$BT252*(_xll.qGetFwdRate($J$18,$AW252,$AW253,"T",DCC_Leg2_Float)%+GenRate_2a%%)*$BV252,        IF(GenType_2a="bp (Fixed)",GenRate_2a%%*$BU252*$BT252,   IF(GenType_2a="bp (Float)",GenRate_2a%%*$BT252*$BV252,0))))</f>
        <v>0</v>
      </c>
      <c r="BZ253" s="561"/>
      <c r="CB253" s="341">
        <f t="shared" si="57"/>
        <v>0</v>
      </c>
      <c r="CC253" s="563"/>
      <c r="CD253" s="356"/>
      <c r="CE253" s="341">
        <v>0</v>
      </c>
      <c r="CF253" s="563"/>
      <c r="CG253" s="356"/>
    </row>
    <row r="254" spans="15:85">
      <c r="O254" s="122">
        <v>0</v>
      </c>
      <c r="P254" s="128">
        <f t="shared" si="44"/>
        <v>0</v>
      </c>
      <c r="Q254" s="126">
        <v>0</v>
      </c>
      <c r="R254" s="699">
        <f>IF($O255=0,0,        _xll.qDateNext($O254,R$17,"M",TRUE,Currency1))</f>
        <v>0</v>
      </c>
      <c r="S254" s="699">
        <f>IF($O255=0,0,        _xll.qDateNext($O254,S$17,"M",TRUE,Currency1))</f>
        <v>0</v>
      </c>
      <c r="T254" s="699">
        <f>IF($O255=0,0,        _xll.qDateNext($O254,T$17,"M",TRUE,Currency1))</f>
        <v>0</v>
      </c>
      <c r="U254" s="699">
        <f>IF($O255=0,0,        _xll.qDateNext($O254,U$17,"M",TRUE,Currency1))</f>
        <v>0</v>
      </c>
      <c r="V254" s="699">
        <f>IF($O255=0,0,        _xll.qDateNext($O254,V$17,"M",TRUE,Currency1))</f>
        <v>0</v>
      </c>
      <c r="W254" s="699">
        <f>IF($O255=0,0,        _xll.qDateNext($O254,W$17,"M",TRUE,Currency1))</f>
        <v>0</v>
      </c>
      <c r="X254" s="699">
        <f>IF($O255=0,0,        _xll.qDateNext($O254,X$17,"M",TRUE,Currency1))</f>
        <v>0</v>
      </c>
      <c r="Y254" s="699">
        <f>IF($O255=0,0,        _xll.qDateNext($O254,Y$17,"M",TRUE,Currency1))</f>
        <v>0</v>
      </c>
      <c r="Z254" s="703">
        <f>IF($O255=0,0,           IF(FRM,_xll.qGetFwdRate(Z$14,$O254,R254,"T",DCC_Leg1_Float),_xll.qGetFwdRate(Z$14,$O254,$O255,"T",DCC_Leg1_Float)))</f>
        <v>0</v>
      </c>
      <c r="AA254" s="703">
        <f>IF($O255=0,0,           IF(FRM,_xll.qGetFwdRate(AA$14,$O254,S254,"T",DCC_Leg1_Float),_xll.qGetFwdRate(AA$14,$O254,$O255,"T",DCC_Leg1_Float)))</f>
        <v>0</v>
      </c>
      <c r="AB254" s="703">
        <f t="shared" si="45"/>
        <v>0</v>
      </c>
      <c r="AC254" s="703">
        <f>IF($O255=0,0,           IF(FRM,_xll.qGetFwdRate(AC$14,$O254,U254,"T",DCC_Leg1_Float),_xll.qGetFwdRate(AC$14,$O254,$O255,"T",DCC_Leg1_Float)))</f>
        <v>0</v>
      </c>
      <c r="AD254" s="703">
        <f t="shared" si="50"/>
        <v>0</v>
      </c>
      <c r="AE254" s="703">
        <f t="shared" si="51"/>
        <v>0</v>
      </c>
      <c r="AF254" s="703">
        <f>IF($O255=0,0,           IF(FRM,_xll.qGetFwdRate(AF$14,$O254,X254,"T",DCC_Leg1_Float),_xll.qGetFwdRate(AF$14,$O254,$O255,"T",DCC_Leg1_Float)))</f>
        <v>0</v>
      </c>
      <c r="AG254" s="703">
        <f>IF($O255=0,0,           IF(FRM,_xll.qGetFwdRate(AG$14,$O254,Y254,"T",DCC_Leg1_Float),_xll.qGetFwdRate(AG$14,$O254,$O255,"T",DCC_Leg1_Float)))</f>
        <v>0</v>
      </c>
      <c r="AH254" s="685">
        <v>0</v>
      </c>
      <c r="AI254" s="667"/>
      <c r="AJ254" s="670">
        <f>IF(O255=0,0,             IF(ISNUMBER(AI254),AI254,             IF(ISTEXT(AI254),INDEX(Z254:AG254,MATCH(AI254,$Z$17:$AG$17,0)),           IF(AH254="INT",_xll.qInterp(O255,R254:Y254,Z254:AG254),       INDEX(Z254:AG254,MATCH(AH254,$Z$17:$AG$17,0))))))</f>
        <v>0</v>
      </c>
      <c r="AK254" s="732">
        <v>20</v>
      </c>
      <c r="AL254" s="721">
        <f t="shared" si="46"/>
        <v>0</v>
      </c>
      <c r="AM254" s="284">
        <f>IF($O255,_xll.qDateYears($O254,$O255,DCC_Leg1_Fixed),0)</f>
        <v>0</v>
      </c>
      <c r="AN254" s="284">
        <f>IF($O255,_xll.qDateYears($O254,$O255,DCC_Leg1_Float),0)</f>
        <v>0</v>
      </c>
      <c r="AP254" s="350">
        <f t="shared" si="52"/>
        <v>0</v>
      </c>
      <c r="AQ254" s="375">
        <f>IF(GenType_1a="Fixed",GenRate_1a%*$AL253*AM253,          IF(GenType_1a="Float",$AL253*(_xll.qGetFwdRate($D$18,$O253,$O254,"T",DCC_Leg1_Float)%+GenRate_1a%%)*$AN253,        IF(GenType_1a="bp (Fixed)",GenRate_1a%%*$AM253*$AL253,   IF(GenType_1a="bp (Float)",GenRate_1a%%*$AL253*$AN253,0))))</f>
        <v>0</v>
      </c>
      <c r="AR254" s="561"/>
      <c r="AT254" s="341">
        <f t="shared" si="56"/>
        <v>0</v>
      </c>
      <c r="AV254" s="356"/>
      <c r="AW254" s="122">
        <v>0</v>
      </c>
      <c r="AX254" s="128">
        <f t="shared" si="47"/>
        <v>0</v>
      </c>
      <c r="AY254" s="357">
        <v>0</v>
      </c>
      <c r="AZ254" s="699">
        <f>IF($AW255=0,0,        _xll.qDateNext($AW254,AZ$17,"M",TRUE,Currency2))</f>
        <v>0</v>
      </c>
      <c r="BA254" s="699">
        <f>IF($AW255=0,0,        _xll.qDateNext($AW254,BA$17,"M",TRUE,Currency2))</f>
        <v>0</v>
      </c>
      <c r="BB254" s="699">
        <f>IF($AW255=0,0,        _xll.qDateNext($AW254,BB$17,"M",TRUE,Currency2))</f>
        <v>0</v>
      </c>
      <c r="BC254" s="699">
        <f>IF($AW255=0,0,        _xll.qDateNext($AW254,BC$17,"M",TRUE,Currency2))</f>
        <v>0</v>
      </c>
      <c r="BD254" s="699">
        <f>IF($AW255=0,0,        _xll.qDateNext($AW254,BD$17,"M",TRUE,Currency2))</f>
        <v>0</v>
      </c>
      <c r="BE254" s="699">
        <f>IF($AW255=0,0,        _xll.qDateNext($AW254,BE$17,"M",TRUE,Currency2))</f>
        <v>0</v>
      </c>
      <c r="BF254" s="699">
        <f>IF($AW255=0,0,        _xll.qDateNext($AW254,BF$17,"M",TRUE,Currency2))</f>
        <v>0</v>
      </c>
      <c r="BG254" s="699">
        <f>IF($AW255=0,0,        _xll.qDateNext($AW254,BG$17,"M",TRUE,Currency2))</f>
        <v>0</v>
      </c>
      <c r="BH254" s="703">
        <v>0</v>
      </c>
      <c r="BI254" s="703">
        <v>0</v>
      </c>
      <c r="BJ254" s="703">
        <v>0</v>
      </c>
      <c r="BK254" s="703">
        <v>0</v>
      </c>
      <c r="BL254" s="703">
        <f t="shared" si="53"/>
        <v>0</v>
      </c>
      <c r="BM254" s="703">
        <f t="shared" si="54"/>
        <v>0</v>
      </c>
      <c r="BN254" s="703">
        <v>0</v>
      </c>
      <c r="BO254" s="703">
        <v>0</v>
      </c>
      <c r="BP254" s="685">
        <v>0</v>
      </c>
      <c r="BQ254" s="667"/>
      <c r="BR254" s="670">
        <f>IF(AW255=0,0,             IF(ISNUMBER(BQ254),BQ254,             IF(ISTEXT(BQ254),INDEX(BH254:BO254,MATCH(BQ254,$BH$17:$BO$17,0)),           IF(BP254="INT",_xll.qInterp(AW255,AZ254:BG254,BH254:BO254),       INDEX(BH254:BO254,MATCH(BP254,$BH$17:$BO$17,0))))))</f>
        <v>0</v>
      </c>
      <c r="BS254" s="731">
        <f t="shared" si="48"/>
        <v>0</v>
      </c>
      <c r="BT254" s="406">
        <f t="shared" si="49"/>
        <v>0</v>
      </c>
      <c r="BU254" s="284">
        <f>IF($AW255,_xll.qDateYears($AW254,$AW255,DCC_Leg2_Fixed),0)</f>
        <v>0</v>
      </c>
      <c r="BV254" s="284">
        <f>IF($AW255,_xll.qDateYears($AW254,$AW255,DCC_Leg2_Float),0)</f>
        <v>0</v>
      </c>
      <c r="BX254" s="350">
        <f t="shared" si="55"/>
        <v>0</v>
      </c>
      <c r="BY254" s="375">
        <f>IF(GenType_2a="Fixed",GenRate_2a%*$BT253*BU253,          IF(GenType_2a="Float",$BT253*(_xll.qGetFwdRate($J$18,$AW253,$AW254,"T",DCC_Leg2_Float)%+GenRate_2a%%)*$BV253,        IF(GenType_2a="bp (Fixed)",GenRate_2a%%*$BU253*$BT253,   IF(GenType_2a="bp (Float)",GenRate_2a%%*$BT253*$BV253,0))))</f>
        <v>0</v>
      </c>
      <c r="BZ254" s="561"/>
      <c r="CB254" s="341">
        <f t="shared" si="57"/>
        <v>0</v>
      </c>
      <c r="CC254" s="563"/>
      <c r="CD254" s="356"/>
      <c r="CE254" s="341">
        <v>0</v>
      </c>
      <c r="CF254" s="563"/>
      <c r="CG254" s="356"/>
    </row>
    <row r="255" spans="15:85">
      <c r="O255" s="122">
        <v>0</v>
      </c>
      <c r="P255" s="128">
        <f t="shared" si="44"/>
        <v>0</v>
      </c>
      <c r="Q255" s="126">
        <v>0</v>
      </c>
      <c r="R255" s="699">
        <f>IF($O256=0,0,        _xll.qDateNext($O255,R$17,"M",TRUE,Currency1))</f>
        <v>0</v>
      </c>
      <c r="S255" s="699">
        <f>IF($O256=0,0,        _xll.qDateNext($O255,S$17,"M",TRUE,Currency1))</f>
        <v>0</v>
      </c>
      <c r="T255" s="699">
        <f>IF($O256=0,0,        _xll.qDateNext($O255,T$17,"M",TRUE,Currency1))</f>
        <v>0</v>
      </c>
      <c r="U255" s="699">
        <f>IF($O256=0,0,        _xll.qDateNext($O255,U$17,"M",TRUE,Currency1))</f>
        <v>0</v>
      </c>
      <c r="V255" s="699">
        <f>IF($O256=0,0,        _xll.qDateNext($O255,V$17,"M",TRUE,Currency1))</f>
        <v>0</v>
      </c>
      <c r="W255" s="699">
        <f>IF($O256=0,0,        _xll.qDateNext($O255,W$17,"M",TRUE,Currency1))</f>
        <v>0</v>
      </c>
      <c r="X255" s="699">
        <f>IF($O256=0,0,        _xll.qDateNext($O255,X$17,"M",TRUE,Currency1))</f>
        <v>0</v>
      </c>
      <c r="Y255" s="699">
        <f>IF($O256=0,0,        _xll.qDateNext($O255,Y$17,"M",TRUE,Currency1))</f>
        <v>0</v>
      </c>
      <c r="Z255" s="703">
        <f>IF($O256=0,0,           IF(FRM,_xll.qGetFwdRate(Z$14,$O255,R255,"T",DCC_Leg1_Float),_xll.qGetFwdRate(Z$14,$O255,$O256,"T",DCC_Leg1_Float)))</f>
        <v>0</v>
      </c>
      <c r="AA255" s="703">
        <f>IF($O256=0,0,           IF(FRM,_xll.qGetFwdRate(AA$14,$O255,S255,"T",DCC_Leg1_Float),_xll.qGetFwdRate(AA$14,$O255,$O256,"T",DCC_Leg1_Float)))</f>
        <v>0</v>
      </c>
      <c r="AB255" s="703">
        <f t="shared" si="45"/>
        <v>0</v>
      </c>
      <c r="AC255" s="703">
        <f>IF($O256=0,0,           IF(FRM,_xll.qGetFwdRate(AC$14,$O255,U255,"T",DCC_Leg1_Float),_xll.qGetFwdRate(AC$14,$O255,$O256,"T",DCC_Leg1_Float)))</f>
        <v>0</v>
      </c>
      <c r="AD255" s="703">
        <f t="shared" si="50"/>
        <v>0</v>
      </c>
      <c r="AE255" s="703">
        <f t="shared" si="51"/>
        <v>0</v>
      </c>
      <c r="AF255" s="703">
        <f>IF($O256=0,0,           IF(FRM,_xll.qGetFwdRate(AF$14,$O255,X255,"T",DCC_Leg1_Float),_xll.qGetFwdRate(AF$14,$O255,$O256,"T",DCC_Leg1_Float)))</f>
        <v>0</v>
      </c>
      <c r="AG255" s="703">
        <f>IF($O256=0,0,           IF(FRM,_xll.qGetFwdRate(AG$14,$O255,Y255,"T",DCC_Leg1_Float),_xll.qGetFwdRate(AG$14,$O255,$O256,"T",DCC_Leg1_Float)))</f>
        <v>0</v>
      </c>
      <c r="AH255" s="685">
        <v>0</v>
      </c>
      <c r="AI255" s="667"/>
      <c r="AJ255" s="670">
        <f>IF(O256=0,0,             IF(ISNUMBER(AI255),AI255,             IF(ISTEXT(AI255),INDEX(Z255:AG255,MATCH(AI255,$Z$17:$AG$17,0)),           IF(AH255="INT",_xll.qInterp(O256,R255:Y255,Z255:AG255),       INDEX(Z255:AG255,MATCH(AH255,$Z$17:$AG$17,0))))))</f>
        <v>0</v>
      </c>
      <c r="AK255" s="732">
        <v>20</v>
      </c>
      <c r="AL255" s="721">
        <f t="shared" si="46"/>
        <v>0</v>
      </c>
      <c r="AM255" s="284">
        <f>IF($O256,_xll.qDateYears($O255,$O256,DCC_Leg1_Fixed),0)</f>
        <v>0</v>
      </c>
      <c r="AN255" s="284">
        <f>IF($O256,_xll.qDateYears($O255,$O256,DCC_Leg1_Float),0)</f>
        <v>0</v>
      </c>
      <c r="AP255" s="350">
        <f t="shared" si="52"/>
        <v>0</v>
      </c>
      <c r="AQ255" s="375">
        <f>IF(GenType_1a="Fixed",GenRate_1a%*$AL254*AM254,          IF(GenType_1a="Float",$AL254*(_xll.qGetFwdRate($D$18,$O254,$O255,"T",DCC_Leg1_Float)%+GenRate_1a%%)*$AN254,        IF(GenType_1a="bp (Fixed)",GenRate_1a%%*$AM254*$AL254,   IF(GenType_1a="bp (Float)",GenRate_1a%%*$AL254*$AN254,0))))</f>
        <v>0</v>
      </c>
      <c r="AR255" s="561"/>
      <c r="AT255" s="341">
        <f t="shared" si="56"/>
        <v>0</v>
      </c>
      <c r="AV255" s="356"/>
      <c r="AW255" s="122">
        <v>0</v>
      </c>
      <c r="AX255" s="128">
        <f t="shared" si="47"/>
        <v>0</v>
      </c>
      <c r="AY255" s="357">
        <v>0</v>
      </c>
      <c r="AZ255" s="699">
        <f>IF($AW256=0,0,        _xll.qDateNext($AW255,AZ$17,"M",TRUE,Currency2))</f>
        <v>0</v>
      </c>
      <c r="BA255" s="699">
        <f>IF($AW256=0,0,        _xll.qDateNext($AW255,BA$17,"M",TRUE,Currency2))</f>
        <v>0</v>
      </c>
      <c r="BB255" s="699">
        <f>IF($AW256=0,0,        _xll.qDateNext($AW255,BB$17,"M",TRUE,Currency2))</f>
        <v>0</v>
      </c>
      <c r="BC255" s="699">
        <f>IF($AW256=0,0,        _xll.qDateNext($AW255,BC$17,"M",TRUE,Currency2))</f>
        <v>0</v>
      </c>
      <c r="BD255" s="699">
        <f>IF($AW256=0,0,        _xll.qDateNext($AW255,BD$17,"M",TRUE,Currency2))</f>
        <v>0</v>
      </c>
      <c r="BE255" s="699">
        <f>IF($AW256=0,0,        _xll.qDateNext($AW255,BE$17,"M",TRUE,Currency2))</f>
        <v>0</v>
      </c>
      <c r="BF255" s="699">
        <f>IF($AW256=0,0,        _xll.qDateNext($AW255,BF$17,"M",TRUE,Currency2))</f>
        <v>0</v>
      </c>
      <c r="BG255" s="699">
        <f>IF($AW256=0,0,        _xll.qDateNext($AW255,BG$17,"M",TRUE,Currency2))</f>
        <v>0</v>
      </c>
      <c r="BH255" s="703">
        <v>0</v>
      </c>
      <c r="BI255" s="703">
        <v>0</v>
      </c>
      <c r="BJ255" s="703">
        <v>0</v>
      </c>
      <c r="BK255" s="703">
        <v>0</v>
      </c>
      <c r="BL255" s="703">
        <f t="shared" si="53"/>
        <v>0</v>
      </c>
      <c r="BM255" s="703">
        <f t="shared" si="54"/>
        <v>0</v>
      </c>
      <c r="BN255" s="703">
        <v>0</v>
      </c>
      <c r="BO255" s="703">
        <v>0</v>
      </c>
      <c r="BP255" s="685">
        <v>0</v>
      </c>
      <c r="BQ255" s="667"/>
      <c r="BR255" s="670">
        <f>IF(AW256=0,0,             IF(ISNUMBER(BQ255),BQ255,             IF(ISTEXT(BQ255),INDEX(BH255:BO255,MATCH(BQ255,$BH$17:$BO$17,0)),           IF(BP255="INT",_xll.qInterp(AW256,AZ255:BG255,BH255:BO255),       INDEX(BH255:BO255,MATCH(BP255,$BH$17:$BO$17,0))))))</f>
        <v>0</v>
      </c>
      <c r="BS255" s="731">
        <f t="shared" si="48"/>
        <v>0</v>
      </c>
      <c r="BT255" s="406">
        <f t="shared" si="49"/>
        <v>0</v>
      </c>
      <c r="BU255" s="284">
        <f>IF($AW256,_xll.qDateYears($AW255,$AW256,DCC_Leg2_Fixed),0)</f>
        <v>0</v>
      </c>
      <c r="BV255" s="284">
        <f>IF($AW256,_xll.qDateYears($AW255,$AW256,DCC_Leg2_Float),0)</f>
        <v>0</v>
      </c>
      <c r="BX255" s="350">
        <f t="shared" si="55"/>
        <v>0</v>
      </c>
      <c r="BY255" s="375">
        <f>IF(GenType_2a="Fixed",GenRate_2a%*$BT254*BU254,          IF(GenType_2a="Float",$BT254*(_xll.qGetFwdRate($J$18,$AW254,$AW255,"T",DCC_Leg2_Float)%+GenRate_2a%%)*$BV254,        IF(GenType_2a="bp (Fixed)",GenRate_2a%%*$BU254*$BT254,   IF(GenType_2a="bp (Float)",GenRate_2a%%*$BT254*$BV254,0))))</f>
        <v>0</v>
      </c>
      <c r="BZ255" s="561"/>
      <c r="CB255" s="341">
        <f t="shared" si="57"/>
        <v>0</v>
      </c>
      <c r="CC255" s="563"/>
      <c r="CD255" s="356"/>
      <c r="CE255" s="341">
        <v>0</v>
      </c>
      <c r="CF255" s="563"/>
      <c r="CG255" s="356"/>
    </row>
    <row r="256" spans="15:85">
      <c r="O256" s="122">
        <v>0</v>
      </c>
      <c r="P256" s="128">
        <f t="shared" si="44"/>
        <v>0</v>
      </c>
      <c r="Q256" s="126">
        <v>0</v>
      </c>
      <c r="R256" s="699">
        <f>IF($O257=0,0,        _xll.qDateNext($O256,R$17,"M",TRUE,Currency1))</f>
        <v>0</v>
      </c>
      <c r="S256" s="699">
        <f>IF($O257=0,0,        _xll.qDateNext($O256,S$17,"M",TRUE,Currency1))</f>
        <v>0</v>
      </c>
      <c r="T256" s="699">
        <f>IF($O257=0,0,        _xll.qDateNext($O256,T$17,"M",TRUE,Currency1))</f>
        <v>0</v>
      </c>
      <c r="U256" s="699">
        <f>IF($O257=0,0,        _xll.qDateNext($O256,U$17,"M",TRUE,Currency1))</f>
        <v>0</v>
      </c>
      <c r="V256" s="699">
        <f>IF($O257=0,0,        _xll.qDateNext($O256,V$17,"M",TRUE,Currency1))</f>
        <v>0</v>
      </c>
      <c r="W256" s="699">
        <f>IF($O257=0,0,        _xll.qDateNext($O256,W$17,"M",TRUE,Currency1))</f>
        <v>0</v>
      </c>
      <c r="X256" s="699">
        <f>IF($O257=0,0,        _xll.qDateNext($O256,X$17,"M",TRUE,Currency1))</f>
        <v>0</v>
      </c>
      <c r="Y256" s="699">
        <f>IF($O257=0,0,        _xll.qDateNext($O256,Y$17,"M",TRUE,Currency1))</f>
        <v>0</v>
      </c>
      <c r="Z256" s="703">
        <f>IF($O257=0,0,           IF(FRM,_xll.qGetFwdRate(Z$14,$O256,R256,"T",DCC_Leg1_Float),_xll.qGetFwdRate(Z$14,$O256,$O257,"T",DCC_Leg1_Float)))</f>
        <v>0</v>
      </c>
      <c r="AA256" s="703">
        <f>IF($O257=0,0,           IF(FRM,_xll.qGetFwdRate(AA$14,$O256,S256,"T",DCC_Leg1_Float),_xll.qGetFwdRate(AA$14,$O256,$O257,"T",DCC_Leg1_Float)))</f>
        <v>0</v>
      </c>
      <c r="AB256" s="703">
        <f t="shared" si="45"/>
        <v>0</v>
      </c>
      <c r="AC256" s="703">
        <f>IF($O257=0,0,           IF(FRM,_xll.qGetFwdRate(AC$14,$O256,U256,"T",DCC_Leg1_Float),_xll.qGetFwdRate(AC$14,$O256,$O257,"T",DCC_Leg1_Float)))</f>
        <v>0</v>
      </c>
      <c r="AD256" s="703">
        <f t="shared" si="50"/>
        <v>0</v>
      </c>
      <c r="AE256" s="703">
        <f t="shared" si="51"/>
        <v>0</v>
      </c>
      <c r="AF256" s="703">
        <f>IF($O257=0,0,           IF(FRM,_xll.qGetFwdRate(AF$14,$O256,X256,"T",DCC_Leg1_Float),_xll.qGetFwdRate(AF$14,$O256,$O257,"T",DCC_Leg1_Float)))</f>
        <v>0</v>
      </c>
      <c r="AG256" s="703">
        <f>IF($O257=0,0,           IF(FRM,_xll.qGetFwdRate(AG$14,$O256,Y256,"T",DCC_Leg1_Float),_xll.qGetFwdRate(AG$14,$O256,$O257,"T",DCC_Leg1_Float)))</f>
        <v>0</v>
      </c>
      <c r="AH256" s="685">
        <v>0</v>
      </c>
      <c r="AI256" s="667"/>
      <c r="AJ256" s="670">
        <f>IF(O257=0,0,             IF(ISNUMBER(AI256),AI256,             IF(ISTEXT(AI256),INDEX(Z256:AG256,MATCH(AI256,$Z$17:$AG$17,0)),           IF(AH256="INT",_xll.qInterp(O257,R256:Y256,Z256:AG256),       INDEX(Z256:AG256,MATCH(AH256,$Z$17:$AG$17,0))))))</f>
        <v>0</v>
      </c>
      <c r="AK256" s="732">
        <v>20</v>
      </c>
      <c r="AL256" s="721">
        <f t="shared" si="46"/>
        <v>0</v>
      </c>
      <c r="AM256" s="284">
        <f>IF($O257,_xll.qDateYears($O256,$O257,DCC_Leg1_Fixed),0)</f>
        <v>0</v>
      </c>
      <c r="AN256" s="284">
        <f>IF($O257,_xll.qDateYears($O256,$O257,DCC_Leg1_Float),0)</f>
        <v>0</v>
      </c>
      <c r="AP256" s="350">
        <f t="shared" si="52"/>
        <v>0</v>
      </c>
      <c r="AQ256" s="375">
        <f>IF(GenType_1a="Fixed",GenRate_1a%*$AL255*AM255,          IF(GenType_1a="Float",$AL255*(_xll.qGetFwdRate($D$18,$O255,$O256,"T",DCC_Leg1_Float)%+GenRate_1a%%)*$AN255,        IF(GenType_1a="bp (Fixed)",GenRate_1a%%*$AM255*$AL255,   IF(GenType_1a="bp (Float)",GenRate_1a%%*$AL255*$AN255,0))))</f>
        <v>0</v>
      </c>
      <c r="AR256" s="561"/>
      <c r="AT256" s="341">
        <f t="shared" si="56"/>
        <v>0</v>
      </c>
      <c r="AV256" s="356"/>
      <c r="AW256" s="122">
        <v>0</v>
      </c>
      <c r="AX256" s="128">
        <f t="shared" si="47"/>
        <v>0</v>
      </c>
      <c r="AY256" s="357">
        <v>0</v>
      </c>
      <c r="AZ256" s="699">
        <f>IF($AW257=0,0,        _xll.qDateNext($AW256,AZ$17,"M",TRUE,Currency2))</f>
        <v>0</v>
      </c>
      <c r="BA256" s="699">
        <f>IF($AW257=0,0,        _xll.qDateNext($AW256,BA$17,"M",TRUE,Currency2))</f>
        <v>0</v>
      </c>
      <c r="BB256" s="699">
        <f>IF($AW257=0,0,        _xll.qDateNext($AW256,BB$17,"M",TRUE,Currency2))</f>
        <v>0</v>
      </c>
      <c r="BC256" s="699">
        <f>IF($AW257=0,0,        _xll.qDateNext($AW256,BC$17,"M",TRUE,Currency2))</f>
        <v>0</v>
      </c>
      <c r="BD256" s="699">
        <f>IF($AW257=0,0,        _xll.qDateNext($AW256,BD$17,"M",TRUE,Currency2))</f>
        <v>0</v>
      </c>
      <c r="BE256" s="699">
        <f>IF($AW257=0,0,        _xll.qDateNext($AW256,BE$17,"M",TRUE,Currency2))</f>
        <v>0</v>
      </c>
      <c r="BF256" s="699">
        <f>IF($AW257=0,0,        _xll.qDateNext($AW256,BF$17,"M",TRUE,Currency2))</f>
        <v>0</v>
      </c>
      <c r="BG256" s="699">
        <f>IF($AW257=0,0,        _xll.qDateNext($AW256,BG$17,"M",TRUE,Currency2))</f>
        <v>0</v>
      </c>
      <c r="BH256" s="703">
        <v>0</v>
      </c>
      <c r="BI256" s="703">
        <v>0</v>
      </c>
      <c r="BJ256" s="703">
        <v>0</v>
      </c>
      <c r="BK256" s="703">
        <v>0</v>
      </c>
      <c r="BL256" s="703">
        <f t="shared" si="53"/>
        <v>0</v>
      </c>
      <c r="BM256" s="703">
        <f t="shared" si="54"/>
        <v>0</v>
      </c>
      <c r="BN256" s="703">
        <v>0</v>
      </c>
      <c r="BO256" s="703">
        <v>0</v>
      </c>
      <c r="BP256" s="685">
        <v>0</v>
      </c>
      <c r="BQ256" s="667"/>
      <c r="BR256" s="670">
        <f>IF(AW257=0,0,             IF(ISNUMBER(BQ256),BQ256,             IF(ISTEXT(BQ256),INDEX(BH256:BO256,MATCH(BQ256,$BH$17:$BO$17,0)),           IF(BP256="INT",_xll.qInterp(AW257,AZ256:BG256,BH256:BO256),       INDEX(BH256:BO256,MATCH(BP256,$BH$17:$BO$17,0))))))</f>
        <v>0</v>
      </c>
      <c r="BS256" s="731">
        <f t="shared" si="48"/>
        <v>0</v>
      </c>
      <c r="BT256" s="406">
        <f t="shared" si="49"/>
        <v>0</v>
      </c>
      <c r="BU256" s="284">
        <f>IF($AW257,_xll.qDateYears($AW256,$AW257,DCC_Leg2_Fixed),0)</f>
        <v>0</v>
      </c>
      <c r="BV256" s="284">
        <f>IF($AW257,_xll.qDateYears($AW256,$AW257,DCC_Leg2_Float),0)</f>
        <v>0</v>
      </c>
      <c r="BX256" s="350">
        <f t="shared" si="55"/>
        <v>0</v>
      </c>
      <c r="BY256" s="375">
        <f>IF(GenType_2a="Fixed",GenRate_2a%*$BT255*BU255,          IF(GenType_2a="Float",$BT255*(_xll.qGetFwdRate($J$18,$AW255,$AW256,"T",DCC_Leg2_Float)%+GenRate_2a%%)*$BV255,        IF(GenType_2a="bp (Fixed)",GenRate_2a%%*$BU255*$BT255,   IF(GenType_2a="bp (Float)",GenRate_2a%%*$BT255*$BV255,0))))</f>
        <v>0</v>
      </c>
      <c r="BZ256" s="561"/>
      <c r="CB256" s="341">
        <f t="shared" si="57"/>
        <v>0</v>
      </c>
      <c r="CC256" s="563"/>
      <c r="CD256" s="356"/>
      <c r="CE256" s="341">
        <v>0</v>
      </c>
      <c r="CF256" s="563"/>
      <c r="CG256" s="356"/>
    </row>
    <row r="257" spans="15:85">
      <c r="O257" s="122">
        <v>0</v>
      </c>
      <c r="P257" s="128">
        <f t="shared" si="44"/>
        <v>0</v>
      </c>
      <c r="Q257" s="126">
        <v>0</v>
      </c>
      <c r="R257" s="699">
        <f>IF($O258=0,0,        _xll.qDateNext($O257,R$17,"M",TRUE,Currency1))</f>
        <v>0</v>
      </c>
      <c r="S257" s="699">
        <f>IF($O258=0,0,        _xll.qDateNext($O257,S$17,"M",TRUE,Currency1))</f>
        <v>0</v>
      </c>
      <c r="T257" s="699">
        <f>IF($O258=0,0,        _xll.qDateNext($O257,T$17,"M",TRUE,Currency1))</f>
        <v>0</v>
      </c>
      <c r="U257" s="699">
        <f>IF($O258=0,0,        _xll.qDateNext($O257,U$17,"M",TRUE,Currency1))</f>
        <v>0</v>
      </c>
      <c r="V257" s="699">
        <f>IF($O258=0,0,        _xll.qDateNext($O257,V$17,"M",TRUE,Currency1))</f>
        <v>0</v>
      </c>
      <c r="W257" s="699">
        <f>IF($O258=0,0,        _xll.qDateNext($O257,W$17,"M",TRUE,Currency1))</f>
        <v>0</v>
      </c>
      <c r="X257" s="699">
        <f>IF($O258=0,0,        _xll.qDateNext($O257,X$17,"M",TRUE,Currency1))</f>
        <v>0</v>
      </c>
      <c r="Y257" s="699">
        <f>IF($O258=0,0,        _xll.qDateNext($O257,Y$17,"M",TRUE,Currency1))</f>
        <v>0</v>
      </c>
      <c r="Z257" s="703">
        <f>IF($O258=0,0,           IF(FRM,_xll.qGetFwdRate(Z$14,$O257,R257,"T",DCC_Leg1_Float),_xll.qGetFwdRate(Z$14,$O257,$O258,"T",DCC_Leg1_Float)))</f>
        <v>0</v>
      </c>
      <c r="AA257" s="703">
        <f>IF($O258=0,0,           IF(FRM,_xll.qGetFwdRate(AA$14,$O257,S257,"T",DCC_Leg1_Float),_xll.qGetFwdRate(AA$14,$O257,$O258,"T",DCC_Leg1_Float)))</f>
        <v>0</v>
      </c>
      <c r="AB257" s="703">
        <f t="shared" si="45"/>
        <v>0</v>
      </c>
      <c r="AC257" s="703">
        <f>IF($O258=0,0,           IF(FRM,_xll.qGetFwdRate(AC$14,$O257,U257,"T",DCC_Leg1_Float),_xll.qGetFwdRate(AC$14,$O257,$O258,"T",DCC_Leg1_Float)))</f>
        <v>0</v>
      </c>
      <c r="AD257" s="703">
        <f t="shared" si="50"/>
        <v>0</v>
      </c>
      <c r="AE257" s="703">
        <f t="shared" si="51"/>
        <v>0</v>
      </c>
      <c r="AF257" s="703">
        <f>IF($O258=0,0,           IF(FRM,_xll.qGetFwdRate(AF$14,$O257,X257,"T",DCC_Leg1_Float),_xll.qGetFwdRate(AF$14,$O257,$O258,"T",DCC_Leg1_Float)))</f>
        <v>0</v>
      </c>
      <c r="AG257" s="703">
        <f>IF($O258=0,0,           IF(FRM,_xll.qGetFwdRate(AG$14,$O257,Y257,"T",DCC_Leg1_Float),_xll.qGetFwdRate(AG$14,$O257,$O258,"T",DCC_Leg1_Float)))</f>
        <v>0</v>
      </c>
      <c r="AH257" s="685">
        <v>0</v>
      </c>
      <c r="AI257" s="667"/>
      <c r="AJ257" s="670">
        <f>IF(O258=0,0,             IF(ISNUMBER(AI257),AI257,             IF(ISTEXT(AI257),INDEX(Z257:AG257,MATCH(AI257,$Z$17:$AG$17,0)),           IF(AH257="INT",_xll.qInterp(O258,R257:Y257,Z257:AG257),       INDEX(Z257:AG257,MATCH(AH257,$Z$17:$AG$17,0))))))</f>
        <v>0</v>
      </c>
      <c r="AK257" s="732">
        <v>20</v>
      </c>
      <c r="AL257" s="721">
        <f t="shared" si="46"/>
        <v>0</v>
      </c>
      <c r="AM257" s="284">
        <f>IF($O258,_xll.qDateYears($O257,$O258,DCC_Leg1_Fixed),0)</f>
        <v>0</v>
      </c>
      <c r="AN257" s="284">
        <f>IF($O258,_xll.qDateYears($O257,$O258,DCC_Leg1_Float),0)</f>
        <v>0</v>
      </c>
      <c r="AP257" s="350">
        <f t="shared" si="52"/>
        <v>0</v>
      </c>
      <c r="AQ257" s="375">
        <f>IF(GenType_1a="Fixed",GenRate_1a%*$AL256*AM256,          IF(GenType_1a="Float",$AL256*(_xll.qGetFwdRate($D$18,$O256,$O257,"T",DCC_Leg1_Float)%+GenRate_1a%%)*$AN256,        IF(GenType_1a="bp (Fixed)",GenRate_1a%%*$AM256*$AL256,   IF(GenType_1a="bp (Float)",GenRate_1a%%*$AL256*$AN256,0))))</f>
        <v>0</v>
      </c>
      <c r="AR257" s="561"/>
      <c r="AT257" s="341">
        <f t="shared" si="56"/>
        <v>0</v>
      </c>
      <c r="AV257" s="356"/>
      <c r="AW257" s="122">
        <v>0</v>
      </c>
      <c r="AX257" s="128">
        <f t="shared" si="47"/>
        <v>0</v>
      </c>
      <c r="AY257" s="357">
        <v>0</v>
      </c>
      <c r="AZ257" s="699">
        <f>IF($AW258=0,0,        _xll.qDateNext($AW257,AZ$17,"M",TRUE,Currency2))</f>
        <v>0</v>
      </c>
      <c r="BA257" s="699">
        <f>IF($AW258=0,0,        _xll.qDateNext($AW257,BA$17,"M",TRUE,Currency2))</f>
        <v>0</v>
      </c>
      <c r="BB257" s="699">
        <f>IF($AW258=0,0,        _xll.qDateNext($AW257,BB$17,"M",TRUE,Currency2))</f>
        <v>0</v>
      </c>
      <c r="BC257" s="699">
        <f>IF($AW258=0,0,        _xll.qDateNext($AW257,BC$17,"M",TRUE,Currency2))</f>
        <v>0</v>
      </c>
      <c r="BD257" s="699">
        <f>IF($AW258=0,0,        _xll.qDateNext($AW257,BD$17,"M",TRUE,Currency2))</f>
        <v>0</v>
      </c>
      <c r="BE257" s="699">
        <f>IF($AW258=0,0,        _xll.qDateNext($AW257,BE$17,"M",TRUE,Currency2))</f>
        <v>0</v>
      </c>
      <c r="BF257" s="699">
        <f>IF($AW258=0,0,        _xll.qDateNext($AW257,BF$17,"M",TRUE,Currency2))</f>
        <v>0</v>
      </c>
      <c r="BG257" s="699">
        <f>IF($AW258=0,0,        _xll.qDateNext($AW257,BG$17,"M",TRUE,Currency2))</f>
        <v>0</v>
      </c>
      <c r="BH257" s="703">
        <v>0</v>
      </c>
      <c r="BI257" s="703">
        <v>0</v>
      </c>
      <c r="BJ257" s="703">
        <v>0</v>
      </c>
      <c r="BK257" s="703">
        <v>0</v>
      </c>
      <c r="BL257" s="703">
        <f t="shared" si="53"/>
        <v>0</v>
      </c>
      <c r="BM257" s="703">
        <f t="shared" si="54"/>
        <v>0</v>
      </c>
      <c r="BN257" s="703">
        <v>0</v>
      </c>
      <c r="BO257" s="703">
        <v>0</v>
      </c>
      <c r="BP257" s="685">
        <v>0</v>
      </c>
      <c r="BQ257" s="667"/>
      <c r="BR257" s="670">
        <f>IF(AW258=0,0,             IF(ISNUMBER(BQ257),BQ257,             IF(ISTEXT(BQ257),INDEX(BH257:BO257,MATCH(BQ257,$BH$17:$BO$17,0)),           IF(BP257="INT",_xll.qInterp(AW258,AZ257:BG257,BH257:BO257),       INDEX(BH257:BO257,MATCH(BP257,$BH$17:$BO$17,0))))))</f>
        <v>0</v>
      </c>
      <c r="BS257" s="731">
        <f t="shared" si="48"/>
        <v>0</v>
      </c>
      <c r="BT257" s="406">
        <f t="shared" si="49"/>
        <v>0</v>
      </c>
      <c r="BU257" s="284">
        <f>IF($AW258,_xll.qDateYears($AW257,$AW258,DCC_Leg2_Fixed),0)</f>
        <v>0</v>
      </c>
      <c r="BV257" s="284">
        <f>IF($AW258,_xll.qDateYears($AW257,$AW258,DCC_Leg2_Float),0)</f>
        <v>0</v>
      </c>
      <c r="BX257" s="350">
        <f t="shared" si="55"/>
        <v>0</v>
      </c>
      <c r="BY257" s="375">
        <f>IF(GenType_2a="Fixed",GenRate_2a%*$BT256*BU256,          IF(GenType_2a="Float",$BT256*(_xll.qGetFwdRate($J$18,$AW256,$AW257,"T",DCC_Leg2_Float)%+GenRate_2a%%)*$BV256,        IF(GenType_2a="bp (Fixed)",GenRate_2a%%*$BU256*$BT256,   IF(GenType_2a="bp (Float)",GenRate_2a%%*$BT256*$BV256,0))))</f>
        <v>0</v>
      </c>
      <c r="BZ257" s="561"/>
      <c r="CB257" s="341">
        <f t="shared" si="57"/>
        <v>0</v>
      </c>
      <c r="CC257" s="563"/>
      <c r="CD257" s="356"/>
      <c r="CE257" s="341">
        <v>0</v>
      </c>
      <c r="CF257" s="563"/>
      <c r="CG257" s="356"/>
    </row>
    <row r="258" spans="15:85">
      <c r="O258" s="122">
        <v>0</v>
      </c>
      <c r="P258" s="128">
        <f t="shared" si="44"/>
        <v>0</v>
      </c>
      <c r="Q258" s="126">
        <v>0</v>
      </c>
      <c r="R258" s="699">
        <f>IF($O259=0,0,        _xll.qDateNext($O258,R$17,"M",TRUE,Currency1))</f>
        <v>0</v>
      </c>
      <c r="S258" s="699">
        <f>IF($O259=0,0,        _xll.qDateNext($O258,S$17,"M",TRUE,Currency1))</f>
        <v>0</v>
      </c>
      <c r="T258" s="699">
        <f>IF($O259=0,0,        _xll.qDateNext($O258,T$17,"M",TRUE,Currency1))</f>
        <v>0</v>
      </c>
      <c r="U258" s="699">
        <f>IF($O259=0,0,        _xll.qDateNext($O258,U$17,"M",TRUE,Currency1))</f>
        <v>0</v>
      </c>
      <c r="V258" s="699">
        <f>IF($O259=0,0,        _xll.qDateNext($O258,V$17,"M",TRUE,Currency1))</f>
        <v>0</v>
      </c>
      <c r="W258" s="699">
        <f>IF($O259=0,0,        _xll.qDateNext($O258,W$17,"M",TRUE,Currency1))</f>
        <v>0</v>
      </c>
      <c r="X258" s="699">
        <f>IF($O259=0,0,        _xll.qDateNext($O258,X$17,"M",TRUE,Currency1))</f>
        <v>0</v>
      </c>
      <c r="Y258" s="699">
        <f>IF($O259=0,0,        _xll.qDateNext($O258,Y$17,"M",TRUE,Currency1))</f>
        <v>0</v>
      </c>
      <c r="Z258" s="703">
        <f>IF($O259=0,0,           IF(FRM,_xll.qGetFwdRate(Z$14,$O258,R258,"T",DCC_Leg1_Float),_xll.qGetFwdRate(Z$14,$O258,$O259,"T",DCC_Leg1_Float)))</f>
        <v>0</v>
      </c>
      <c r="AA258" s="703">
        <f>IF($O259=0,0,           IF(FRM,_xll.qGetFwdRate(AA$14,$O258,S258,"T",DCC_Leg1_Float),_xll.qGetFwdRate(AA$14,$O258,$O259,"T",DCC_Leg1_Float)))</f>
        <v>0</v>
      </c>
      <c r="AB258" s="703">
        <f t="shared" si="45"/>
        <v>0</v>
      </c>
      <c r="AC258" s="703">
        <f>IF($O259=0,0,           IF(FRM,_xll.qGetFwdRate(AC$14,$O258,U258,"T",DCC_Leg1_Float),_xll.qGetFwdRate(AC$14,$O258,$O259,"T",DCC_Leg1_Float)))</f>
        <v>0</v>
      </c>
      <c r="AD258" s="703">
        <f t="shared" si="50"/>
        <v>0</v>
      </c>
      <c r="AE258" s="703">
        <f t="shared" si="51"/>
        <v>0</v>
      </c>
      <c r="AF258" s="703">
        <f>IF($O259=0,0,           IF(FRM,_xll.qGetFwdRate(AF$14,$O258,X258,"T",DCC_Leg1_Float),_xll.qGetFwdRate(AF$14,$O258,$O259,"T",DCC_Leg1_Float)))</f>
        <v>0</v>
      </c>
      <c r="AG258" s="703">
        <f>IF($O259=0,0,           IF(FRM,_xll.qGetFwdRate(AG$14,$O258,Y258,"T",DCC_Leg1_Float),_xll.qGetFwdRate(AG$14,$O258,$O259,"T",DCC_Leg1_Float)))</f>
        <v>0</v>
      </c>
      <c r="AH258" s="685">
        <v>0</v>
      </c>
      <c r="AI258" s="667"/>
      <c r="AJ258" s="670">
        <f>IF(O259=0,0,             IF(ISNUMBER(AI258),AI258,             IF(ISTEXT(AI258),INDEX(Z258:AG258,MATCH(AI258,$Z$17:$AG$17,0)),           IF(AH258="INT",_xll.qInterp(O259,R258:Y258,Z258:AG258),       INDEX(Z258:AG258,MATCH(AH258,$Z$17:$AG$17,0))))))</f>
        <v>0</v>
      </c>
      <c r="AK258" s="732">
        <v>20</v>
      </c>
      <c r="AL258" s="721">
        <f t="shared" si="46"/>
        <v>0</v>
      </c>
      <c r="AM258" s="284">
        <f>IF($O259,_xll.qDateYears($O258,$O259,DCC_Leg1_Fixed),0)</f>
        <v>0</v>
      </c>
      <c r="AN258" s="284">
        <f>IF($O259,_xll.qDateYears($O258,$O259,DCC_Leg1_Float),0)</f>
        <v>0</v>
      </c>
      <c r="AP258" s="350">
        <f t="shared" si="52"/>
        <v>0</v>
      </c>
      <c r="AQ258" s="375">
        <f>IF(GenType_1a="Fixed",GenRate_1a%*$AL257*AM257,          IF(GenType_1a="Float",$AL257*(_xll.qGetFwdRate($D$18,$O257,$O258,"T",DCC_Leg1_Float)%+GenRate_1a%%)*$AN257,        IF(GenType_1a="bp (Fixed)",GenRate_1a%%*$AM257*$AL257,   IF(GenType_1a="bp (Float)",GenRate_1a%%*$AL257*$AN257,0))))</f>
        <v>0</v>
      </c>
      <c r="AR258" s="561"/>
      <c r="AT258" s="341">
        <f t="shared" si="56"/>
        <v>0</v>
      </c>
      <c r="AV258" s="356"/>
      <c r="AW258" s="122">
        <v>0</v>
      </c>
      <c r="AX258" s="128">
        <f t="shared" si="47"/>
        <v>0</v>
      </c>
      <c r="AY258" s="357">
        <v>0</v>
      </c>
      <c r="AZ258" s="699">
        <f>IF($AW259=0,0,        _xll.qDateNext($AW258,AZ$17,"M",TRUE,Currency2))</f>
        <v>0</v>
      </c>
      <c r="BA258" s="699">
        <f>IF($AW259=0,0,        _xll.qDateNext($AW258,BA$17,"M",TRUE,Currency2))</f>
        <v>0</v>
      </c>
      <c r="BB258" s="699">
        <f>IF($AW259=0,0,        _xll.qDateNext($AW258,BB$17,"M",TRUE,Currency2))</f>
        <v>0</v>
      </c>
      <c r="BC258" s="699">
        <f>IF($AW259=0,0,        _xll.qDateNext($AW258,BC$17,"M",TRUE,Currency2))</f>
        <v>0</v>
      </c>
      <c r="BD258" s="699">
        <f>IF($AW259=0,0,        _xll.qDateNext($AW258,BD$17,"M",TRUE,Currency2))</f>
        <v>0</v>
      </c>
      <c r="BE258" s="699">
        <f>IF($AW259=0,0,        _xll.qDateNext($AW258,BE$17,"M",TRUE,Currency2))</f>
        <v>0</v>
      </c>
      <c r="BF258" s="699">
        <f>IF($AW259=0,0,        _xll.qDateNext($AW258,BF$17,"M",TRUE,Currency2))</f>
        <v>0</v>
      </c>
      <c r="BG258" s="699">
        <f>IF($AW259=0,0,        _xll.qDateNext($AW258,BG$17,"M",TRUE,Currency2))</f>
        <v>0</v>
      </c>
      <c r="BH258" s="703">
        <v>0</v>
      </c>
      <c r="BI258" s="703">
        <v>0</v>
      </c>
      <c r="BJ258" s="703">
        <v>0</v>
      </c>
      <c r="BK258" s="703">
        <v>0</v>
      </c>
      <c r="BL258" s="703">
        <f t="shared" si="53"/>
        <v>0</v>
      </c>
      <c r="BM258" s="703">
        <f t="shared" si="54"/>
        <v>0</v>
      </c>
      <c r="BN258" s="703">
        <v>0</v>
      </c>
      <c r="BO258" s="703">
        <v>0</v>
      </c>
      <c r="BP258" s="685">
        <v>0</v>
      </c>
      <c r="BQ258" s="667"/>
      <c r="BR258" s="670">
        <f>IF(AW259=0,0,             IF(ISNUMBER(BQ258),BQ258,             IF(ISTEXT(BQ258),INDEX(BH258:BO258,MATCH(BQ258,$BH$17:$BO$17,0)),           IF(BP258="INT",_xll.qInterp(AW259,AZ258:BG258,BH258:BO258),       INDEX(BH258:BO258,MATCH(BP258,$BH$17:$BO$17,0))))))</f>
        <v>0</v>
      </c>
      <c r="BS258" s="731">
        <f t="shared" si="48"/>
        <v>0</v>
      </c>
      <c r="BT258" s="406">
        <f t="shared" si="49"/>
        <v>0</v>
      </c>
      <c r="BU258" s="284">
        <f>IF($AW259,_xll.qDateYears($AW258,$AW259,DCC_Leg2_Fixed),0)</f>
        <v>0</v>
      </c>
      <c r="BV258" s="284">
        <f>IF($AW259,_xll.qDateYears($AW258,$AW259,DCC_Leg2_Float),0)</f>
        <v>0</v>
      </c>
      <c r="BX258" s="350">
        <f t="shared" si="55"/>
        <v>0</v>
      </c>
      <c r="BY258" s="375">
        <f>IF(GenType_2a="Fixed",GenRate_2a%*$BT257*BU257,          IF(GenType_2a="Float",$BT257*(_xll.qGetFwdRate($J$18,$AW257,$AW258,"T",DCC_Leg2_Float)%+GenRate_2a%%)*$BV257,        IF(GenType_2a="bp (Fixed)",GenRate_2a%%*$BU257*$BT257,   IF(GenType_2a="bp (Float)",GenRate_2a%%*$BT257*$BV257,0))))</f>
        <v>0</v>
      </c>
      <c r="BZ258" s="561"/>
      <c r="CB258" s="341">
        <f t="shared" si="57"/>
        <v>0</v>
      </c>
      <c r="CC258" s="563"/>
      <c r="CD258" s="356"/>
      <c r="CE258" s="341">
        <v>0</v>
      </c>
      <c r="CF258" s="563"/>
      <c r="CG258" s="356"/>
    </row>
    <row r="259" spans="15:85">
      <c r="O259" s="122">
        <v>0</v>
      </c>
      <c r="P259" s="128">
        <f t="shared" si="44"/>
        <v>0</v>
      </c>
      <c r="Q259" s="126">
        <v>0</v>
      </c>
      <c r="R259" s="699">
        <f>IF($O260=0,0,        _xll.qDateNext($O259,R$17,"M",TRUE,Currency1))</f>
        <v>0</v>
      </c>
      <c r="S259" s="699">
        <f>IF($O260=0,0,        _xll.qDateNext($O259,S$17,"M",TRUE,Currency1))</f>
        <v>0</v>
      </c>
      <c r="T259" s="699">
        <f>IF($O260=0,0,        _xll.qDateNext($O259,T$17,"M",TRUE,Currency1))</f>
        <v>0</v>
      </c>
      <c r="U259" s="699">
        <f>IF($O260=0,0,        _xll.qDateNext($O259,U$17,"M",TRUE,Currency1))</f>
        <v>0</v>
      </c>
      <c r="V259" s="699">
        <f>IF($O260=0,0,        _xll.qDateNext($O259,V$17,"M",TRUE,Currency1))</f>
        <v>0</v>
      </c>
      <c r="W259" s="699">
        <f>IF($O260=0,0,        _xll.qDateNext($O259,W$17,"M",TRUE,Currency1))</f>
        <v>0</v>
      </c>
      <c r="X259" s="699">
        <f>IF($O260=0,0,        _xll.qDateNext($O259,X$17,"M",TRUE,Currency1))</f>
        <v>0</v>
      </c>
      <c r="Y259" s="699">
        <f>IF($O260=0,0,        _xll.qDateNext($O259,Y$17,"M",TRUE,Currency1))</f>
        <v>0</v>
      </c>
      <c r="Z259" s="703">
        <f>IF($O260=0,0,           IF(FRM,_xll.qGetFwdRate(Z$14,$O259,R259,"T",DCC_Leg1_Float),_xll.qGetFwdRate(Z$14,$O259,$O260,"T",DCC_Leg1_Float)))</f>
        <v>0</v>
      </c>
      <c r="AA259" s="703">
        <f>IF($O260=0,0,           IF(FRM,_xll.qGetFwdRate(AA$14,$O259,S259,"T",DCC_Leg1_Float),_xll.qGetFwdRate(AA$14,$O259,$O260,"T",DCC_Leg1_Float)))</f>
        <v>0</v>
      </c>
      <c r="AB259" s="703">
        <f t="shared" si="45"/>
        <v>0</v>
      </c>
      <c r="AC259" s="703">
        <f>IF($O260=0,0,           IF(FRM,_xll.qGetFwdRate(AC$14,$O259,U259,"T",DCC_Leg1_Float),_xll.qGetFwdRate(AC$14,$O259,$O260,"T",DCC_Leg1_Float)))</f>
        <v>0</v>
      </c>
      <c r="AD259" s="703">
        <f t="shared" si="50"/>
        <v>0</v>
      </c>
      <c r="AE259" s="703">
        <f t="shared" si="51"/>
        <v>0</v>
      </c>
      <c r="AF259" s="703">
        <f>IF($O260=0,0,           IF(FRM,_xll.qGetFwdRate(AF$14,$O259,X259,"T",DCC_Leg1_Float),_xll.qGetFwdRate(AF$14,$O259,$O260,"T",DCC_Leg1_Float)))</f>
        <v>0</v>
      </c>
      <c r="AG259" s="703">
        <f>IF($O260=0,0,           IF(FRM,_xll.qGetFwdRate(AG$14,$O259,Y259,"T",DCC_Leg1_Float),_xll.qGetFwdRate(AG$14,$O259,$O260,"T",DCC_Leg1_Float)))</f>
        <v>0</v>
      </c>
      <c r="AH259" s="685">
        <v>0</v>
      </c>
      <c r="AI259" s="667"/>
      <c r="AJ259" s="670">
        <f>IF(O260=0,0,             IF(ISNUMBER(AI259),AI259,             IF(ISTEXT(AI259),INDEX(Z259:AG259,MATCH(AI259,$Z$17:$AG$17,0)),           IF(AH259="INT",_xll.qInterp(O260,R259:Y259,Z259:AG259),       INDEX(Z259:AG259,MATCH(AH259,$Z$17:$AG$17,0))))))</f>
        <v>0</v>
      </c>
      <c r="AK259" s="732">
        <v>20</v>
      </c>
      <c r="AL259" s="721">
        <f t="shared" si="46"/>
        <v>0</v>
      </c>
      <c r="AM259" s="284">
        <f>IF($O260,_xll.qDateYears($O259,$O260,DCC_Leg1_Fixed),0)</f>
        <v>0</v>
      </c>
      <c r="AN259" s="284">
        <f>IF($O260,_xll.qDateYears($O259,$O260,DCC_Leg1_Float),0)</f>
        <v>0</v>
      </c>
      <c r="AP259" s="350">
        <f t="shared" si="52"/>
        <v>0</v>
      </c>
      <c r="AQ259" s="375">
        <f>IF(GenType_1a="Fixed",GenRate_1a%*$AL258*AM258,          IF(GenType_1a="Float",$AL258*(_xll.qGetFwdRate($D$18,$O258,$O259,"T",DCC_Leg1_Float)%+GenRate_1a%%)*$AN258,        IF(GenType_1a="bp (Fixed)",GenRate_1a%%*$AM258*$AL258,   IF(GenType_1a="bp (Float)",GenRate_1a%%*$AL258*$AN258,0))))</f>
        <v>0</v>
      </c>
      <c r="AR259" s="561"/>
      <c r="AT259" s="341">
        <f t="shared" si="56"/>
        <v>0</v>
      </c>
      <c r="AV259" s="356"/>
      <c r="AW259" s="122">
        <v>0</v>
      </c>
      <c r="AX259" s="128">
        <f t="shared" si="47"/>
        <v>0</v>
      </c>
      <c r="AY259" s="357">
        <v>0</v>
      </c>
      <c r="AZ259" s="699">
        <f>IF($AW260=0,0,        _xll.qDateNext($AW259,AZ$17,"M",TRUE,Currency2))</f>
        <v>0</v>
      </c>
      <c r="BA259" s="699">
        <f>IF($AW260=0,0,        _xll.qDateNext($AW259,BA$17,"M",TRUE,Currency2))</f>
        <v>0</v>
      </c>
      <c r="BB259" s="699">
        <f>IF($AW260=0,0,        _xll.qDateNext($AW259,BB$17,"M",TRUE,Currency2))</f>
        <v>0</v>
      </c>
      <c r="BC259" s="699">
        <f>IF($AW260=0,0,        _xll.qDateNext($AW259,BC$17,"M",TRUE,Currency2))</f>
        <v>0</v>
      </c>
      <c r="BD259" s="699">
        <f>IF($AW260=0,0,        _xll.qDateNext($AW259,BD$17,"M",TRUE,Currency2))</f>
        <v>0</v>
      </c>
      <c r="BE259" s="699">
        <f>IF($AW260=0,0,        _xll.qDateNext($AW259,BE$17,"M",TRUE,Currency2))</f>
        <v>0</v>
      </c>
      <c r="BF259" s="699">
        <f>IF($AW260=0,0,        _xll.qDateNext($AW259,BF$17,"M",TRUE,Currency2))</f>
        <v>0</v>
      </c>
      <c r="BG259" s="699">
        <f>IF($AW260=0,0,        _xll.qDateNext($AW259,BG$17,"M",TRUE,Currency2))</f>
        <v>0</v>
      </c>
      <c r="BH259" s="703">
        <v>0</v>
      </c>
      <c r="BI259" s="703">
        <v>0</v>
      </c>
      <c r="BJ259" s="703">
        <v>0</v>
      </c>
      <c r="BK259" s="703">
        <v>0</v>
      </c>
      <c r="BL259" s="703">
        <f t="shared" si="53"/>
        <v>0</v>
      </c>
      <c r="BM259" s="703">
        <f t="shared" si="54"/>
        <v>0</v>
      </c>
      <c r="BN259" s="703">
        <v>0</v>
      </c>
      <c r="BO259" s="703">
        <v>0</v>
      </c>
      <c r="BP259" s="685">
        <v>0</v>
      </c>
      <c r="BQ259" s="667"/>
      <c r="BR259" s="670">
        <f>IF(AW260=0,0,             IF(ISNUMBER(BQ259),BQ259,             IF(ISTEXT(BQ259),INDEX(BH259:BO259,MATCH(BQ259,$BH$17:$BO$17,0)),           IF(BP259="INT",_xll.qInterp(AW260,AZ259:BG259,BH259:BO259),       INDEX(BH259:BO259,MATCH(BP259,$BH$17:$BO$17,0))))))</f>
        <v>0</v>
      </c>
      <c r="BS259" s="731">
        <f t="shared" si="48"/>
        <v>0</v>
      </c>
      <c r="BT259" s="406">
        <f t="shared" si="49"/>
        <v>0</v>
      </c>
      <c r="BU259" s="284">
        <f>IF($AW260,_xll.qDateYears($AW259,$AW260,DCC_Leg2_Fixed),0)</f>
        <v>0</v>
      </c>
      <c r="BV259" s="284">
        <f>IF($AW260,_xll.qDateYears($AW259,$AW260,DCC_Leg2_Float),0)</f>
        <v>0</v>
      </c>
      <c r="BX259" s="350">
        <f t="shared" si="55"/>
        <v>0</v>
      </c>
      <c r="BY259" s="375">
        <f>IF(GenType_2a="Fixed",GenRate_2a%*$BT258*BU258,          IF(GenType_2a="Float",$BT258*(_xll.qGetFwdRate($J$18,$AW258,$AW259,"T",DCC_Leg2_Float)%+GenRate_2a%%)*$BV258,        IF(GenType_2a="bp (Fixed)",GenRate_2a%%*$BU258*$BT258,   IF(GenType_2a="bp (Float)",GenRate_2a%%*$BT258*$BV258,0))))</f>
        <v>0</v>
      </c>
      <c r="BZ259" s="561"/>
      <c r="CB259" s="341">
        <f t="shared" si="57"/>
        <v>0</v>
      </c>
      <c r="CC259" s="563"/>
      <c r="CD259" s="356"/>
      <c r="CE259" s="341">
        <v>0</v>
      </c>
      <c r="CF259" s="563"/>
      <c r="CG259" s="356"/>
    </row>
    <row r="260" spans="15:85">
      <c r="O260" s="122">
        <v>0</v>
      </c>
      <c r="P260" s="128">
        <f t="shared" si="44"/>
        <v>0</v>
      </c>
      <c r="Q260" s="126">
        <v>0</v>
      </c>
      <c r="R260" s="699">
        <f>IF($O261=0,0,        _xll.qDateNext($O260,R$17,"M",TRUE,Currency1))</f>
        <v>0</v>
      </c>
      <c r="S260" s="699">
        <f>IF($O261=0,0,        _xll.qDateNext($O260,S$17,"M",TRUE,Currency1))</f>
        <v>0</v>
      </c>
      <c r="T260" s="699">
        <f>IF($O261=0,0,        _xll.qDateNext($O260,T$17,"M",TRUE,Currency1))</f>
        <v>0</v>
      </c>
      <c r="U260" s="699">
        <f>IF($O261=0,0,        _xll.qDateNext($O260,U$17,"M",TRUE,Currency1))</f>
        <v>0</v>
      </c>
      <c r="V260" s="699">
        <f>IF($O261=0,0,        _xll.qDateNext($O260,V$17,"M",TRUE,Currency1))</f>
        <v>0</v>
      </c>
      <c r="W260" s="699">
        <f>IF($O261=0,0,        _xll.qDateNext($O260,W$17,"M",TRUE,Currency1))</f>
        <v>0</v>
      </c>
      <c r="X260" s="699">
        <f>IF($O261=0,0,        _xll.qDateNext($O260,X$17,"M",TRUE,Currency1))</f>
        <v>0</v>
      </c>
      <c r="Y260" s="699">
        <f>IF($O261=0,0,        _xll.qDateNext($O260,Y$17,"M",TRUE,Currency1))</f>
        <v>0</v>
      </c>
      <c r="Z260" s="703">
        <f>IF($O261=0,0,           IF(FRM,_xll.qGetFwdRate(Z$14,$O260,R260,"T",DCC_Leg1_Float),_xll.qGetFwdRate(Z$14,$O260,$O261,"T",DCC_Leg1_Float)))</f>
        <v>0</v>
      </c>
      <c r="AA260" s="703">
        <f>IF($O261=0,0,           IF(FRM,_xll.qGetFwdRate(AA$14,$O260,S260,"T",DCC_Leg1_Float),_xll.qGetFwdRate(AA$14,$O260,$O261,"T",DCC_Leg1_Float)))</f>
        <v>0</v>
      </c>
      <c r="AB260" s="703">
        <f t="shared" si="45"/>
        <v>0</v>
      </c>
      <c r="AC260" s="703">
        <f>IF($O261=0,0,           IF(FRM,_xll.qGetFwdRate(AC$14,$O260,U260,"T",DCC_Leg1_Float),_xll.qGetFwdRate(AC$14,$O260,$O261,"T",DCC_Leg1_Float)))</f>
        <v>0</v>
      </c>
      <c r="AD260" s="703">
        <f t="shared" si="50"/>
        <v>0</v>
      </c>
      <c r="AE260" s="703">
        <f t="shared" si="51"/>
        <v>0</v>
      </c>
      <c r="AF260" s="703">
        <f>IF($O261=0,0,           IF(FRM,_xll.qGetFwdRate(AF$14,$O260,X260,"T",DCC_Leg1_Float),_xll.qGetFwdRate(AF$14,$O260,$O261,"T",DCC_Leg1_Float)))</f>
        <v>0</v>
      </c>
      <c r="AG260" s="703">
        <f>IF($O261=0,0,           IF(FRM,_xll.qGetFwdRate(AG$14,$O260,Y260,"T",DCC_Leg1_Float),_xll.qGetFwdRate(AG$14,$O260,$O261,"T",DCC_Leg1_Float)))</f>
        <v>0</v>
      </c>
      <c r="AH260" s="685">
        <v>0</v>
      </c>
      <c r="AI260" s="667"/>
      <c r="AJ260" s="670">
        <f>IF(O261=0,0,             IF(ISNUMBER(AI260),AI260,             IF(ISTEXT(AI260),INDEX(Z260:AG260,MATCH(AI260,$Z$17:$AG$17,0)),           IF(AH260="INT",_xll.qInterp(O261,R260:Y260,Z260:AG260),       INDEX(Z260:AG260,MATCH(AH260,$Z$17:$AG$17,0))))))</f>
        <v>0</v>
      </c>
      <c r="AK260" s="732">
        <v>20</v>
      </c>
      <c r="AL260" s="721">
        <f t="shared" si="46"/>
        <v>0</v>
      </c>
      <c r="AM260" s="284">
        <f>IF($O261,_xll.qDateYears($O260,$O261,DCC_Leg1_Fixed),0)</f>
        <v>0</v>
      </c>
      <c r="AN260" s="284">
        <f>IF($O261,_xll.qDateYears($O260,$O261,DCC_Leg1_Float),0)</f>
        <v>0</v>
      </c>
      <c r="AP260" s="350">
        <f t="shared" si="52"/>
        <v>0</v>
      </c>
      <c r="AQ260" s="375">
        <f>IF(GenType_1a="Fixed",GenRate_1a%*$AL259*AM259,          IF(GenType_1a="Float",$AL259*(_xll.qGetFwdRate($D$18,$O259,$O260,"T",DCC_Leg1_Float)%+GenRate_1a%%)*$AN259,        IF(GenType_1a="bp (Fixed)",GenRate_1a%%*$AM259*$AL259,   IF(GenType_1a="bp (Float)",GenRate_1a%%*$AL259*$AN259,0))))</f>
        <v>0</v>
      </c>
      <c r="AR260" s="561"/>
      <c r="AT260" s="341">
        <f t="shared" si="56"/>
        <v>0</v>
      </c>
      <c r="AV260" s="356"/>
      <c r="AW260" s="122">
        <v>0</v>
      </c>
      <c r="AX260" s="128">
        <f t="shared" si="47"/>
        <v>0</v>
      </c>
      <c r="AY260" s="357">
        <v>0</v>
      </c>
      <c r="AZ260" s="699">
        <f>IF($AW261=0,0,        _xll.qDateNext($AW260,AZ$17,"M",TRUE,Currency2))</f>
        <v>0</v>
      </c>
      <c r="BA260" s="699">
        <f>IF($AW261=0,0,        _xll.qDateNext($AW260,BA$17,"M",TRUE,Currency2))</f>
        <v>0</v>
      </c>
      <c r="BB260" s="699">
        <f>IF($AW261=0,0,        _xll.qDateNext($AW260,BB$17,"M",TRUE,Currency2))</f>
        <v>0</v>
      </c>
      <c r="BC260" s="699">
        <f>IF($AW261=0,0,        _xll.qDateNext($AW260,BC$17,"M",TRUE,Currency2))</f>
        <v>0</v>
      </c>
      <c r="BD260" s="699">
        <f>IF($AW261=0,0,        _xll.qDateNext($AW260,BD$17,"M",TRUE,Currency2))</f>
        <v>0</v>
      </c>
      <c r="BE260" s="699">
        <f>IF($AW261=0,0,        _xll.qDateNext($AW260,BE$17,"M",TRUE,Currency2))</f>
        <v>0</v>
      </c>
      <c r="BF260" s="699">
        <f>IF($AW261=0,0,        _xll.qDateNext($AW260,BF$17,"M",TRUE,Currency2))</f>
        <v>0</v>
      </c>
      <c r="BG260" s="699">
        <f>IF($AW261=0,0,        _xll.qDateNext($AW260,BG$17,"M",TRUE,Currency2))</f>
        <v>0</v>
      </c>
      <c r="BH260" s="703">
        <v>0</v>
      </c>
      <c r="BI260" s="703">
        <v>0</v>
      </c>
      <c r="BJ260" s="703">
        <v>0</v>
      </c>
      <c r="BK260" s="703">
        <v>0</v>
      </c>
      <c r="BL260" s="703">
        <f t="shared" si="53"/>
        <v>0</v>
      </c>
      <c r="BM260" s="703">
        <f t="shared" si="54"/>
        <v>0</v>
      </c>
      <c r="BN260" s="703">
        <v>0</v>
      </c>
      <c r="BO260" s="703">
        <v>0</v>
      </c>
      <c r="BP260" s="685">
        <v>0</v>
      </c>
      <c r="BQ260" s="667"/>
      <c r="BR260" s="670">
        <f>IF(AW261=0,0,             IF(ISNUMBER(BQ260),BQ260,             IF(ISTEXT(BQ260),INDEX(BH260:BO260,MATCH(BQ260,$BH$17:$BO$17,0)),           IF(BP260="INT",_xll.qInterp(AW261,AZ260:BG260,BH260:BO260),       INDEX(BH260:BO260,MATCH(BP260,$BH$17:$BO$17,0))))))</f>
        <v>0</v>
      </c>
      <c r="BS260" s="731">
        <f t="shared" si="48"/>
        <v>0</v>
      </c>
      <c r="BT260" s="406">
        <f t="shared" si="49"/>
        <v>0</v>
      </c>
      <c r="BU260" s="284">
        <f>IF($AW261,_xll.qDateYears($AW260,$AW261,DCC_Leg2_Fixed),0)</f>
        <v>0</v>
      </c>
      <c r="BV260" s="284">
        <f>IF($AW261,_xll.qDateYears($AW260,$AW261,DCC_Leg2_Float),0)</f>
        <v>0</v>
      </c>
      <c r="BX260" s="350">
        <f t="shared" si="55"/>
        <v>0</v>
      </c>
      <c r="BY260" s="375">
        <f>IF(GenType_2a="Fixed",GenRate_2a%*$BT259*BU259,          IF(GenType_2a="Float",$BT259*(_xll.qGetFwdRate($J$18,$AW259,$AW260,"T",DCC_Leg2_Float)%+GenRate_2a%%)*$BV259,        IF(GenType_2a="bp (Fixed)",GenRate_2a%%*$BU259*$BT259,   IF(GenType_2a="bp (Float)",GenRate_2a%%*$BT259*$BV259,0))))</f>
        <v>0</v>
      </c>
      <c r="BZ260" s="561"/>
      <c r="CB260" s="341">
        <f t="shared" si="57"/>
        <v>0</v>
      </c>
      <c r="CC260" s="563"/>
      <c r="CD260" s="356"/>
      <c r="CE260" s="341">
        <v>0</v>
      </c>
      <c r="CF260" s="563"/>
      <c r="CG260" s="356"/>
    </row>
    <row r="261" spans="15:85">
      <c r="O261" s="122">
        <v>0</v>
      </c>
      <c r="P261" s="128">
        <f t="shared" si="44"/>
        <v>0</v>
      </c>
      <c r="Q261" s="126">
        <v>0</v>
      </c>
      <c r="R261" s="699">
        <f>IF($O262=0,0,        _xll.qDateNext($O261,R$17,"M",TRUE,Currency1))</f>
        <v>0</v>
      </c>
      <c r="S261" s="699">
        <f>IF($O262=0,0,        _xll.qDateNext($O261,S$17,"M",TRUE,Currency1))</f>
        <v>0</v>
      </c>
      <c r="T261" s="699">
        <f>IF($O262=0,0,        _xll.qDateNext($O261,T$17,"M",TRUE,Currency1))</f>
        <v>0</v>
      </c>
      <c r="U261" s="699">
        <f>IF($O262=0,0,        _xll.qDateNext($O261,U$17,"M",TRUE,Currency1))</f>
        <v>0</v>
      </c>
      <c r="V261" s="699">
        <f>IF($O262=0,0,        _xll.qDateNext($O261,V$17,"M",TRUE,Currency1))</f>
        <v>0</v>
      </c>
      <c r="W261" s="699">
        <f>IF($O262=0,0,        _xll.qDateNext($O261,W$17,"M",TRUE,Currency1))</f>
        <v>0</v>
      </c>
      <c r="X261" s="699">
        <f>IF($O262=0,0,        _xll.qDateNext($O261,X$17,"M",TRUE,Currency1))</f>
        <v>0</v>
      </c>
      <c r="Y261" s="699">
        <f>IF($O262=0,0,        _xll.qDateNext($O261,Y$17,"M",TRUE,Currency1))</f>
        <v>0</v>
      </c>
      <c r="Z261" s="703">
        <f>IF($O262=0,0,           IF(FRM,_xll.qGetFwdRate(Z$14,$O261,R261,"T",DCC_Leg1_Float),_xll.qGetFwdRate(Z$14,$O261,$O262,"T",DCC_Leg1_Float)))</f>
        <v>0</v>
      </c>
      <c r="AA261" s="703">
        <f>IF($O262=0,0,           IF(FRM,_xll.qGetFwdRate(AA$14,$O261,S261,"T",DCC_Leg1_Float),_xll.qGetFwdRate(AA$14,$O261,$O262,"T",DCC_Leg1_Float)))</f>
        <v>0</v>
      </c>
      <c r="AB261" s="703">
        <f t="shared" si="45"/>
        <v>0</v>
      </c>
      <c r="AC261" s="703">
        <f>IF($O262=0,0,           IF(FRM,_xll.qGetFwdRate(AC$14,$O261,U261,"T",DCC_Leg1_Float),_xll.qGetFwdRate(AC$14,$O261,$O262,"T",DCC_Leg1_Float)))</f>
        <v>0</v>
      </c>
      <c r="AD261" s="703">
        <f t="shared" si="50"/>
        <v>0</v>
      </c>
      <c r="AE261" s="703">
        <f t="shared" si="51"/>
        <v>0</v>
      </c>
      <c r="AF261" s="703">
        <f>IF($O262=0,0,           IF(FRM,_xll.qGetFwdRate(AF$14,$O261,X261,"T",DCC_Leg1_Float),_xll.qGetFwdRate(AF$14,$O261,$O262,"T",DCC_Leg1_Float)))</f>
        <v>0</v>
      </c>
      <c r="AG261" s="703">
        <f>IF($O262=0,0,           IF(FRM,_xll.qGetFwdRate(AG$14,$O261,Y261,"T",DCC_Leg1_Float),_xll.qGetFwdRate(AG$14,$O261,$O262,"T",DCC_Leg1_Float)))</f>
        <v>0</v>
      </c>
      <c r="AH261" s="685">
        <v>0</v>
      </c>
      <c r="AI261" s="667"/>
      <c r="AJ261" s="670">
        <f>IF(O262=0,0,             IF(ISNUMBER(AI261),AI261,             IF(ISTEXT(AI261),INDEX(Z261:AG261,MATCH(AI261,$Z$17:$AG$17,0)),           IF(AH261="INT",_xll.qInterp(O262,R261:Y261,Z261:AG261),       INDEX(Z261:AG261,MATCH(AH261,$Z$17:$AG$17,0))))))</f>
        <v>0</v>
      </c>
      <c r="AK261" s="732">
        <v>20</v>
      </c>
      <c r="AL261" s="721">
        <f t="shared" si="46"/>
        <v>0</v>
      </c>
      <c r="AM261" s="284">
        <f>IF($O262,_xll.qDateYears($O261,$O262,DCC_Leg1_Fixed),0)</f>
        <v>0</v>
      </c>
      <c r="AN261" s="284">
        <f>IF($O262,_xll.qDateYears($O261,$O262,DCC_Leg1_Float),0)</f>
        <v>0</v>
      </c>
      <c r="AP261" s="350">
        <f t="shared" si="52"/>
        <v>0</v>
      </c>
      <c r="AQ261" s="375">
        <f>IF(GenType_1a="Fixed",GenRate_1a%*$AL260*AM260,          IF(GenType_1a="Float",$AL260*(_xll.qGetFwdRate($D$18,$O260,$O261,"T",DCC_Leg1_Float)%+GenRate_1a%%)*$AN260,        IF(GenType_1a="bp (Fixed)",GenRate_1a%%*$AM260*$AL260,   IF(GenType_1a="bp (Float)",GenRate_1a%%*$AL260*$AN260,0))))</f>
        <v>0</v>
      </c>
      <c r="AR261" s="561"/>
      <c r="AT261" s="341">
        <f t="shared" si="56"/>
        <v>0</v>
      </c>
      <c r="AV261" s="356"/>
      <c r="AW261" s="122">
        <v>0</v>
      </c>
      <c r="AX261" s="128">
        <f t="shared" si="47"/>
        <v>0</v>
      </c>
      <c r="AY261" s="357">
        <v>0</v>
      </c>
      <c r="AZ261" s="699">
        <f>IF($AW262=0,0,        _xll.qDateNext($AW261,AZ$17,"M",TRUE,Currency2))</f>
        <v>0</v>
      </c>
      <c r="BA261" s="699">
        <f>IF($AW262=0,0,        _xll.qDateNext($AW261,BA$17,"M",TRUE,Currency2))</f>
        <v>0</v>
      </c>
      <c r="BB261" s="699">
        <f>IF($AW262=0,0,        _xll.qDateNext($AW261,BB$17,"M",TRUE,Currency2))</f>
        <v>0</v>
      </c>
      <c r="BC261" s="699">
        <f>IF($AW262=0,0,        _xll.qDateNext($AW261,BC$17,"M",TRUE,Currency2))</f>
        <v>0</v>
      </c>
      <c r="BD261" s="699">
        <f>IF($AW262=0,0,        _xll.qDateNext($AW261,BD$17,"M",TRUE,Currency2))</f>
        <v>0</v>
      </c>
      <c r="BE261" s="699">
        <f>IF($AW262=0,0,        _xll.qDateNext($AW261,BE$17,"M",TRUE,Currency2))</f>
        <v>0</v>
      </c>
      <c r="BF261" s="699">
        <f>IF($AW262=0,0,        _xll.qDateNext($AW261,BF$17,"M",TRUE,Currency2))</f>
        <v>0</v>
      </c>
      <c r="BG261" s="699">
        <f>IF($AW262=0,0,        _xll.qDateNext($AW261,BG$17,"M",TRUE,Currency2))</f>
        <v>0</v>
      </c>
      <c r="BH261" s="703">
        <v>0</v>
      </c>
      <c r="BI261" s="703">
        <v>0</v>
      </c>
      <c r="BJ261" s="703">
        <v>0</v>
      </c>
      <c r="BK261" s="703">
        <v>0</v>
      </c>
      <c r="BL261" s="703">
        <f t="shared" si="53"/>
        <v>0</v>
      </c>
      <c r="BM261" s="703">
        <f t="shared" si="54"/>
        <v>0</v>
      </c>
      <c r="BN261" s="703">
        <v>0</v>
      </c>
      <c r="BO261" s="703">
        <v>0</v>
      </c>
      <c r="BP261" s="685">
        <v>0</v>
      </c>
      <c r="BQ261" s="667"/>
      <c r="BR261" s="670">
        <f>IF(AW262=0,0,             IF(ISNUMBER(BQ261),BQ261,             IF(ISTEXT(BQ261),INDEX(BH261:BO261,MATCH(BQ261,$BH$17:$BO$17,0)),           IF(BP261="INT",_xll.qInterp(AW262,AZ261:BG261,BH261:BO261),       INDEX(BH261:BO261,MATCH(BP261,$BH$17:$BO$17,0))))))</f>
        <v>0</v>
      </c>
      <c r="BS261" s="731">
        <f t="shared" si="48"/>
        <v>0</v>
      </c>
      <c r="BT261" s="406">
        <f t="shared" si="49"/>
        <v>0</v>
      </c>
      <c r="BU261" s="284">
        <f>IF($AW262,_xll.qDateYears($AW261,$AW262,DCC_Leg2_Fixed),0)</f>
        <v>0</v>
      </c>
      <c r="BV261" s="284">
        <f>IF($AW262,_xll.qDateYears($AW261,$AW262,DCC_Leg2_Float),0)</f>
        <v>0</v>
      </c>
      <c r="BX261" s="350">
        <f t="shared" si="55"/>
        <v>0</v>
      </c>
      <c r="BY261" s="375">
        <f>IF(GenType_2a="Fixed",GenRate_2a%*$BT260*BU260,          IF(GenType_2a="Float",$BT260*(_xll.qGetFwdRate($J$18,$AW260,$AW261,"T",DCC_Leg2_Float)%+GenRate_2a%%)*$BV260,        IF(GenType_2a="bp (Fixed)",GenRate_2a%%*$BU260*$BT260,   IF(GenType_2a="bp (Float)",GenRate_2a%%*$BT260*$BV260,0))))</f>
        <v>0</v>
      </c>
      <c r="BZ261" s="561"/>
      <c r="CB261" s="341">
        <f t="shared" si="57"/>
        <v>0</v>
      </c>
      <c r="CC261" s="563"/>
      <c r="CD261" s="356"/>
      <c r="CE261" s="341">
        <v>0</v>
      </c>
      <c r="CF261" s="563"/>
      <c r="CG261" s="356"/>
    </row>
    <row r="262" spans="15:85">
      <c r="O262" s="122">
        <v>0</v>
      </c>
      <c r="P262" s="128">
        <f t="shared" si="44"/>
        <v>0</v>
      </c>
      <c r="Q262" s="126">
        <v>0</v>
      </c>
      <c r="R262" s="699">
        <f>IF($O263=0,0,        _xll.qDateNext($O262,R$17,"M",TRUE,Currency1))</f>
        <v>0</v>
      </c>
      <c r="S262" s="699">
        <f>IF($O263=0,0,        _xll.qDateNext($O262,S$17,"M",TRUE,Currency1))</f>
        <v>0</v>
      </c>
      <c r="T262" s="699">
        <f>IF($O263=0,0,        _xll.qDateNext($O262,T$17,"M",TRUE,Currency1))</f>
        <v>0</v>
      </c>
      <c r="U262" s="699">
        <f>IF($O263=0,0,        _xll.qDateNext($O262,U$17,"M",TRUE,Currency1))</f>
        <v>0</v>
      </c>
      <c r="V262" s="699">
        <f>IF($O263=0,0,        _xll.qDateNext($O262,V$17,"M",TRUE,Currency1))</f>
        <v>0</v>
      </c>
      <c r="W262" s="699">
        <f>IF($O263=0,0,        _xll.qDateNext($O262,W$17,"M",TRUE,Currency1))</f>
        <v>0</v>
      </c>
      <c r="X262" s="699">
        <f>IF($O263=0,0,        _xll.qDateNext($O262,X$17,"M",TRUE,Currency1))</f>
        <v>0</v>
      </c>
      <c r="Y262" s="699">
        <f>IF($O263=0,0,        _xll.qDateNext($O262,Y$17,"M",TRUE,Currency1))</f>
        <v>0</v>
      </c>
      <c r="Z262" s="703">
        <f>IF($O263=0,0,           IF(FRM,_xll.qGetFwdRate(Z$14,$O262,R262,"T",DCC_Leg1_Float),_xll.qGetFwdRate(Z$14,$O262,$O263,"T",DCC_Leg1_Float)))</f>
        <v>0</v>
      </c>
      <c r="AA262" s="703">
        <f>IF($O263=0,0,           IF(FRM,_xll.qGetFwdRate(AA$14,$O262,S262,"T",DCC_Leg1_Float),_xll.qGetFwdRate(AA$14,$O262,$O263,"T",DCC_Leg1_Float)))</f>
        <v>0</v>
      </c>
      <c r="AB262" s="703">
        <f t="shared" si="45"/>
        <v>0</v>
      </c>
      <c r="AC262" s="703">
        <f>IF($O263=0,0,           IF(FRM,_xll.qGetFwdRate(AC$14,$O262,U262,"T",DCC_Leg1_Float),_xll.qGetFwdRate(AC$14,$O262,$O263,"T",DCC_Leg1_Float)))</f>
        <v>0</v>
      </c>
      <c r="AD262" s="703">
        <f t="shared" si="50"/>
        <v>0</v>
      </c>
      <c r="AE262" s="703">
        <f t="shared" si="51"/>
        <v>0</v>
      </c>
      <c r="AF262" s="703">
        <f>IF($O263=0,0,           IF(FRM,_xll.qGetFwdRate(AF$14,$O262,X262,"T",DCC_Leg1_Float),_xll.qGetFwdRate(AF$14,$O262,$O263,"T",DCC_Leg1_Float)))</f>
        <v>0</v>
      </c>
      <c r="AG262" s="703">
        <f>IF($O263=0,0,           IF(FRM,_xll.qGetFwdRate(AG$14,$O262,Y262,"T",DCC_Leg1_Float),_xll.qGetFwdRate(AG$14,$O262,$O263,"T",DCC_Leg1_Float)))</f>
        <v>0</v>
      </c>
      <c r="AH262" s="685">
        <v>0</v>
      </c>
      <c r="AI262" s="667"/>
      <c r="AJ262" s="670">
        <f>IF(O263=0,0,             IF(ISNUMBER(AI262),AI262,             IF(ISTEXT(AI262),INDEX(Z262:AG262,MATCH(AI262,$Z$17:$AG$17,0)),           IF(AH262="INT",_xll.qInterp(O263,R262:Y262,Z262:AG262),       INDEX(Z262:AG262,MATCH(AH262,$Z$17:$AG$17,0))))))</f>
        <v>0</v>
      </c>
      <c r="AK262" s="732">
        <v>20</v>
      </c>
      <c r="AL262" s="721">
        <f t="shared" si="46"/>
        <v>0</v>
      </c>
      <c r="AM262" s="284">
        <f>IF($O263,_xll.qDateYears($O262,$O263,DCC_Leg1_Fixed),0)</f>
        <v>0</v>
      </c>
      <c r="AN262" s="284">
        <f>IF($O263,_xll.qDateYears($O262,$O263,DCC_Leg1_Float),0)</f>
        <v>0</v>
      </c>
      <c r="AP262" s="350">
        <f t="shared" si="52"/>
        <v>0</v>
      </c>
      <c r="AQ262" s="375">
        <f>IF(GenType_1a="Fixed",GenRate_1a%*$AL261*AM261,          IF(GenType_1a="Float",$AL261*(_xll.qGetFwdRate($D$18,$O261,$O262,"T",DCC_Leg1_Float)%+GenRate_1a%%)*$AN261,        IF(GenType_1a="bp (Fixed)",GenRate_1a%%*$AM261*$AL261,   IF(GenType_1a="bp (Float)",GenRate_1a%%*$AL261*$AN261,0))))</f>
        <v>0</v>
      </c>
      <c r="AR262" s="561"/>
      <c r="AT262" s="341">
        <f t="shared" si="56"/>
        <v>0</v>
      </c>
      <c r="AV262" s="356"/>
      <c r="AW262" s="122">
        <v>0</v>
      </c>
      <c r="AX262" s="128">
        <f t="shared" si="47"/>
        <v>0</v>
      </c>
      <c r="AY262" s="357">
        <v>0</v>
      </c>
      <c r="AZ262" s="699">
        <f>IF($AW263=0,0,        _xll.qDateNext($AW262,AZ$17,"M",TRUE,Currency2))</f>
        <v>0</v>
      </c>
      <c r="BA262" s="699">
        <f>IF($AW263=0,0,        _xll.qDateNext($AW262,BA$17,"M",TRUE,Currency2))</f>
        <v>0</v>
      </c>
      <c r="BB262" s="699">
        <f>IF($AW263=0,0,        _xll.qDateNext($AW262,BB$17,"M",TRUE,Currency2))</f>
        <v>0</v>
      </c>
      <c r="BC262" s="699">
        <f>IF($AW263=0,0,        _xll.qDateNext($AW262,BC$17,"M",TRUE,Currency2))</f>
        <v>0</v>
      </c>
      <c r="BD262" s="699">
        <f>IF($AW263=0,0,        _xll.qDateNext($AW262,BD$17,"M",TRUE,Currency2))</f>
        <v>0</v>
      </c>
      <c r="BE262" s="699">
        <f>IF($AW263=0,0,        _xll.qDateNext($AW262,BE$17,"M",TRUE,Currency2))</f>
        <v>0</v>
      </c>
      <c r="BF262" s="699">
        <f>IF($AW263=0,0,        _xll.qDateNext($AW262,BF$17,"M",TRUE,Currency2))</f>
        <v>0</v>
      </c>
      <c r="BG262" s="699">
        <f>IF($AW263=0,0,        _xll.qDateNext($AW262,BG$17,"M",TRUE,Currency2))</f>
        <v>0</v>
      </c>
      <c r="BH262" s="703">
        <v>0</v>
      </c>
      <c r="BI262" s="703">
        <v>0</v>
      </c>
      <c r="BJ262" s="703">
        <v>0</v>
      </c>
      <c r="BK262" s="703">
        <v>0</v>
      </c>
      <c r="BL262" s="703">
        <f t="shared" si="53"/>
        <v>0</v>
      </c>
      <c r="BM262" s="703">
        <f t="shared" si="54"/>
        <v>0</v>
      </c>
      <c r="BN262" s="703">
        <v>0</v>
      </c>
      <c r="BO262" s="703">
        <v>0</v>
      </c>
      <c r="BP262" s="685">
        <v>0</v>
      </c>
      <c r="BQ262" s="667"/>
      <c r="BR262" s="670">
        <f>IF(AW263=0,0,             IF(ISNUMBER(BQ262),BQ262,             IF(ISTEXT(BQ262),INDEX(BH262:BO262,MATCH(BQ262,$BH$17:$BO$17,0)),           IF(BP262="INT",_xll.qInterp(AW263,AZ262:BG262,BH262:BO262),       INDEX(BH262:BO262,MATCH(BP262,$BH$17:$BO$17,0))))))</f>
        <v>0</v>
      </c>
      <c r="BS262" s="731">
        <f t="shared" si="48"/>
        <v>0</v>
      </c>
      <c r="BT262" s="406">
        <f t="shared" si="49"/>
        <v>0</v>
      </c>
      <c r="BU262" s="284">
        <f>IF($AW263,_xll.qDateYears($AW262,$AW263,DCC_Leg2_Fixed),0)</f>
        <v>0</v>
      </c>
      <c r="BV262" s="284">
        <f>IF($AW263,_xll.qDateYears($AW262,$AW263,DCC_Leg2_Float),0)</f>
        <v>0</v>
      </c>
      <c r="BX262" s="350">
        <f t="shared" si="55"/>
        <v>0</v>
      </c>
      <c r="BY262" s="375">
        <f>IF(GenType_2a="Fixed",GenRate_2a%*$BT261*BU261,          IF(GenType_2a="Float",$BT261*(_xll.qGetFwdRate($J$18,$AW261,$AW262,"T",DCC_Leg2_Float)%+GenRate_2a%%)*$BV261,        IF(GenType_2a="bp (Fixed)",GenRate_2a%%*$BU261*$BT261,   IF(GenType_2a="bp (Float)",GenRate_2a%%*$BT261*$BV261,0))))</f>
        <v>0</v>
      </c>
      <c r="BZ262" s="561"/>
      <c r="CB262" s="341">
        <f t="shared" si="57"/>
        <v>0</v>
      </c>
      <c r="CC262" s="563"/>
      <c r="CD262" s="356"/>
      <c r="CE262" s="341">
        <v>0</v>
      </c>
      <c r="CF262" s="563"/>
      <c r="CG262" s="356"/>
    </row>
    <row r="263" spans="15:85">
      <c r="O263" s="122">
        <v>0</v>
      </c>
      <c r="P263" s="128">
        <f t="shared" si="44"/>
        <v>0</v>
      </c>
      <c r="Q263" s="126">
        <v>0</v>
      </c>
      <c r="R263" s="699">
        <f>IF($O264=0,0,        _xll.qDateNext($O263,R$17,"M",TRUE,Currency1))</f>
        <v>0</v>
      </c>
      <c r="S263" s="699">
        <f>IF($O264=0,0,        _xll.qDateNext($O263,S$17,"M",TRUE,Currency1))</f>
        <v>0</v>
      </c>
      <c r="T263" s="699">
        <f>IF($O264=0,0,        _xll.qDateNext($O263,T$17,"M",TRUE,Currency1))</f>
        <v>0</v>
      </c>
      <c r="U263" s="699">
        <f>IF($O264=0,0,        _xll.qDateNext($O263,U$17,"M",TRUE,Currency1))</f>
        <v>0</v>
      </c>
      <c r="V263" s="699">
        <f>IF($O264=0,0,        _xll.qDateNext($O263,V$17,"M",TRUE,Currency1))</f>
        <v>0</v>
      </c>
      <c r="W263" s="699">
        <f>IF($O264=0,0,        _xll.qDateNext($O263,W$17,"M",TRUE,Currency1))</f>
        <v>0</v>
      </c>
      <c r="X263" s="699">
        <f>IF($O264=0,0,        _xll.qDateNext($O263,X$17,"M",TRUE,Currency1))</f>
        <v>0</v>
      </c>
      <c r="Y263" s="699">
        <f>IF($O264=0,0,        _xll.qDateNext($O263,Y$17,"M",TRUE,Currency1))</f>
        <v>0</v>
      </c>
      <c r="Z263" s="703">
        <f>IF($O264=0,0,           IF(FRM,_xll.qGetFwdRate(Z$14,$O263,R263,"T",DCC_Leg1_Float),_xll.qGetFwdRate(Z$14,$O263,$O264,"T",DCC_Leg1_Float)))</f>
        <v>0</v>
      </c>
      <c r="AA263" s="703">
        <f>IF($O264=0,0,           IF(FRM,_xll.qGetFwdRate(AA$14,$O263,S263,"T",DCC_Leg1_Float),_xll.qGetFwdRate(AA$14,$O263,$O264,"T",DCC_Leg1_Float)))</f>
        <v>0</v>
      </c>
      <c r="AB263" s="703">
        <f t="shared" si="45"/>
        <v>0</v>
      </c>
      <c r="AC263" s="703">
        <f>IF($O264=0,0,           IF(FRM,_xll.qGetFwdRate(AC$14,$O263,U263,"T",DCC_Leg1_Float),_xll.qGetFwdRate(AC$14,$O263,$O264,"T",DCC_Leg1_Float)))</f>
        <v>0</v>
      </c>
      <c r="AD263" s="703">
        <f t="shared" si="50"/>
        <v>0</v>
      </c>
      <c r="AE263" s="703">
        <f t="shared" si="51"/>
        <v>0</v>
      </c>
      <c r="AF263" s="703">
        <f>IF($O264=0,0,           IF(FRM,_xll.qGetFwdRate(AF$14,$O263,X263,"T",DCC_Leg1_Float),_xll.qGetFwdRate(AF$14,$O263,$O264,"T",DCC_Leg1_Float)))</f>
        <v>0</v>
      </c>
      <c r="AG263" s="703">
        <f>IF($O264=0,0,           IF(FRM,_xll.qGetFwdRate(AG$14,$O263,Y263,"T",DCC_Leg1_Float),_xll.qGetFwdRate(AG$14,$O263,$O264,"T",DCC_Leg1_Float)))</f>
        <v>0</v>
      </c>
      <c r="AH263" s="685">
        <v>0</v>
      </c>
      <c r="AI263" s="667"/>
      <c r="AJ263" s="670">
        <f>IF(O264=0,0,             IF(ISNUMBER(AI263),AI263,             IF(ISTEXT(AI263),INDEX(Z263:AG263,MATCH(AI263,$Z$17:$AG$17,0)),           IF(AH263="INT",_xll.qInterp(O264,R263:Y263,Z263:AG263),       INDEX(Z263:AG263,MATCH(AH263,$Z$17:$AG$17,0))))))</f>
        <v>0</v>
      </c>
      <c r="AK263" s="732">
        <v>20</v>
      </c>
      <c r="AL263" s="721">
        <f t="shared" si="46"/>
        <v>0</v>
      </c>
      <c r="AM263" s="284">
        <f>IF($O264,_xll.qDateYears($O263,$O264,DCC_Leg1_Fixed),0)</f>
        <v>0</v>
      </c>
      <c r="AN263" s="284">
        <f>IF($O264,_xll.qDateYears($O263,$O264,DCC_Leg1_Float),0)</f>
        <v>0</v>
      </c>
      <c r="AP263" s="350">
        <f t="shared" si="52"/>
        <v>0</v>
      </c>
      <c r="AQ263" s="375">
        <f>IF(GenType_1a="Fixed",GenRate_1a%*$AL262*AM262,          IF(GenType_1a="Float",$AL262*(_xll.qGetFwdRate($D$18,$O262,$O263,"T",DCC_Leg1_Float)%+GenRate_1a%%)*$AN262,        IF(GenType_1a="bp (Fixed)",GenRate_1a%%*$AM262*$AL262,   IF(GenType_1a="bp (Float)",GenRate_1a%%*$AL262*$AN262,0))))</f>
        <v>0</v>
      </c>
      <c r="AR263" s="561"/>
      <c r="AT263" s="341">
        <f t="shared" si="56"/>
        <v>0</v>
      </c>
      <c r="AV263" s="356"/>
      <c r="AW263" s="122">
        <v>0</v>
      </c>
      <c r="AX263" s="128">
        <f t="shared" si="47"/>
        <v>0</v>
      </c>
      <c r="AY263" s="357">
        <v>0</v>
      </c>
      <c r="AZ263" s="699">
        <f>IF($AW264=0,0,        _xll.qDateNext($AW263,AZ$17,"M",TRUE,Currency2))</f>
        <v>0</v>
      </c>
      <c r="BA263" s="699">
        <f>IF($AW264=0,0,        _xll.qDateNext($AW263,BA$17,"M",TRUE,Currency2))</f>
        <v>0</v>
      </c>
      <c r="BB263" s="699">
        <f>IF($AW264=0,0,        _xll.qDateNext($AW263,BB$17,"M",TRUE,Currency2))</f>
        <v>0</v>
      </c>
      <c r="BC263" s="699">
        <f>IF($AW264=0,0,        _xll.qDateNext($AW263,BC$17,"M",TRUE,Currency2))</f>
        <v>0</v>
      </c>
      <c r="BD263" s="699">
        <f>IF($AW264=0,0,        _xll.qDateNext($AW263,BD$17,"M",TRUE,Currency2))</f>
        <v>0</v>
      </c>
      <c r="BE263" s="699">
        <f>IF($AW264=0,0,        _xll.qDateNext($AW263,BE$17,"M",TRUE,Currency2))</f>
        <v>0</v>
      </c>
      <c r="BF263" s="699">
        <f>IF($AW264=0,0,        _xll.qDateNext($AW263,BF$17,"M",TRUE,Currency2))</f>
        <v>0</v>
      </c>
      <c r="BG263" s="699">
        <f>IF($AW264=0,0,        _xll.qDateNext($AW263,BG$17,"M",TRUE,Currency2))</f>
        <v>0</v>
      </c>
      <c r="BH263" s="703">
        <v>0</v>
      </c>
      <c r="BI263" s="703">
        <v>0</v>
      </c>
      <c r="BJ263" s="703">
        <v>0</v>
      </c>
      <c r="BK263" s="703">
        <v>0</v>
      </c>
      <c r="BL263" s="703">
        <f t="shared" si="53"/>
        <v>0</v>
      </c>
      <c r="BM263" s="703">
        <f t="shared" si="54"/>
        <v>0</v>
      </c>
      <c r="BN263" s="703">
        <v>0</v>
      </c>
      <c r="BO263" s="703">
        <v>0</v>
      </c>
      <c r="BP263" s="685">
        <v>0</v>
      </c>
      <c r="BQ263" s="667"/>
      <c r="BR263" s="670">
        <f>IF(AW264=0,0,             IF(ISNUMBER(BQ263),BQ263,             IF(ISTEXT(BQ263),INDEX(BH263:BO263,MATCH(BQ263,$BH$17:$BO$17,0)),           IF(BP263="INT",_xll.qInterp(AW264,AZ263:BG263,BH263:BO263),       INDEX(BH263:BO263,MATCH(BP263,$BH$17:$BO$17,0))))))</f>
        <v>0</v>
      </c>
      <c r="BS263" s="731">
        <f t="shared" si="48"/>
        <v>0</v>
      </c>
      <c r="BT263" s="406">
        <f t="shared" si="49"/>
        <v>0</v>
      </c>
      <c r="BU263" s="284">
        <f>IF($AW264,_xll.qDateYears($AW263,$AW264,DCC_Leg2_Fixed),0)</f>
        <v>0</v>
      </c>
      <c r="BV263" s="284">
        <f>IF($AW264,_xll.qDateYears($AW263,$AW264,DCC_Leg2_Float),0)</f>
        <v>0</v>
      </c>
      <c r="BX263" s="350">
        <f t="shared" si="55"/>
        <v>0</v>
      </c>
      <c r="BY263" s="375">
        <f>IF(GenType_2a="Fixed",GenRate_2a%*$BT262*BU262,          IF(GenType_2a="Float",$BT262*(_xll.qGetFwdRate($J$18,$AW262,$AW263,"T",DCC_Leg2_Float)%+GenRate_2a%%)*$BV262,        IF(GenType_2a="bp (Fixed)",GenRate_2a%%*$BU262*$BT262,   IF(GenType_2a="bp (Float)",GenRate_2a%%*$BT262*$BV262,0))))</f>
        <v>0</v>
      </c>
      <c r="BZ263" s="561"/>
      <c r="CB263" s="341">
        <f t="shared" si="57"/>
        <v>0</v>
      </c>
      <c r="CC263" s="563"/>
      <c r="CD263" s="356"/>
      <c r="CE263" s="341">
        <v>0</v>
      </c>
      <c r="CF263" s="563"/>
      <c r="CG263" s="356"/>
    </row>
    <row r="264" spans="15:85">
      <c r="O264" s="122">
        <v>0</v>
      </c>
      <c r="P264" s="128">
        <f t="shared" si="44"/>
        <v>0</v>
      </c>
      <c r="Q264" s="126">
        <v>0</v>
      </c>
      <c r="R264" s="699">
        <f>IF($O265=0,0,        _xll.qDateNext($O264,R$17,"M",TRUE,Currency1))</f>
        <v>0</v>
      </c>
      <c r="S264" s="699">
        <f>IF($O265=0,0,        _xll.qDateNext($O264,S$17,"M",TRUE,Currency1))</f>
        <v>0</v>
      </c>
      <c r="T264" s="699">
        <f>IF($O265=0,0,        _xll.qDateNext($O264,T$17,"M",TRUE,Currency1))</f>
        <v>0</v>
      </c>
      <c r="U264" s="699">
        <f>IF($O265=0,0,        _xll.qDateNext($O264,U$17,"M",TRUE,Currency1))</f>
        <v>0</v>
      </c>
      <c r="V264" s="699">
        <f>IF($O265=0,0,        _xll.qDateNext($O264,V$17,"M",TRUE,Currency1))</f>
        <v>0</v>
      </c>
      <c r="W264" s="699">
        <f>IF($O265=0,0,        _xll.qDateNext($O264,W$17,"M",TRUE,Currency1))</f>
        <v>0</v>
      </c>
      <c r="X264" s="699">
        <f>IF($O265=0,0,        _xll.qDateNext($O264,X$17,"M",TRUE,Currency1))</f>
        <v>0</v>
      </c>
      <c r="Y264" s="699">
        <f>IF($O265=0,0,        _xll.qDateNext($O264,Y$17,"M",TRUE,Currency1))</f>
        <v>0</v>
      </c>
      <c r="Z264" s="703">
        <f>IF($O265=0,0,           IF(FRM,_xll.qGetFwdRate(Z$14,$O264,R264,"T",DCC_Leg1_Float),_xll.qGetFwdRate(Z$14,$O264,$O265,"T",DCC_Leg1_Float)))</f>
        <v>0</v>
      </c>
      <c r="AA264" s="703">
        <f>IF($O265=0,0,           IF(FRM,_xll.qGetFwdRate(AA$14,$O264,S264,"T",DCC_Leg1_Float),_xll.qGetFwdRate(AA$14,$O264,$O265,"T",DCC_Leg1_Float)))</f>
        <v>0</v>
      </c>
      <c r="AB264" s="703">
        <f t="shared" si="45"/>
        <v>0</v>
      </c>
      <c r="AC264" s="703">
        <f>IF($O265=0,0,           IF(FRM,_xll.qGetFwdRate(AC$14,$O264,U264,"T",DCC_Leg1_Float),_xll.qGetFwdRate(AC$14,$O264,$O265,"T",DCC_Leg1_Float)))</f>
        <v>0</v>
      </c>
      <c r="AD264" s="703">
        <f t="shared" si="50"/>
        <v>0</v>
      </c>
      <c r="AE264" s="703">
        <f t="shared" si="51"/>
        <v>0</v>
      </c>
      <c r="AF264" s="703">
        <f>IF($O265=0,0,           IF(FRM,_xll.qGetFwdRate(AF$14,$O264,X264,"T",DCC_Leg1_Float),_xll.qGetFwdRate(AF$14,$O264,$O265,"T",DCC_Leg1_Float)))</f>
        <v>0</v>
      </c>
      <c r="AG264" s="703">
        <f>IF($O265=0,0,           IF(FRM,_xll.qGetFwdRate(AG$14,$O264,Y264,"T",DCC_Leg1_Float),_xll.qGetFwdRate(AG$14,$O264,$O265,"T",DCC_Leg1_Float)))</f>
        <v>0</v>
      </c>
      <c r="AH264" s="685">
        <v>0</v>
      </c>
      <c r="AI264" s="667"/>
      <c r="AJ264" s="670">
        <f>IF(O265=0,0,             IF(ISNUMBER(AI264),AI264,             IF(ISTEXT(AI264),INDEX(Z264:AG264,MATCH(AI264,$Z$17:$AG$17,0)),           IF(AH264="INT",_xll.qInterp(O265,R264:Y264,Z264:AG264),       INDEX(Z264:AG264,MATCH(AH264,$Z$17:$AG$17,0))))))</f>
        <v>0</v>
      </c>
      <c r="AK264" s="732">
        <v>20</v>
      </c>
      <c r="AL264" s="721">
        <f t="shared" si="46"/>
        <v>0</v>
      </c>
      <c r="AM264" s="284">
        <f>IF($O265,_xll.qDateYears($O264,$O265,DCC_Leg1_Fixed),0)</f>
        <v>0</v>
      </c>
      <c r="AN264" s="284">
        <f>IF($O265,_xll.qDateYears($O264,$O265,DCC_Leg1_Float),0)</f>
        <v>0</v>
      </c>
      <c r="AP264" s="350">
        <f t="shared" si="52"/>
        <v>0</v>
      </c>
      <c r="AQ264" s="375">
        <f>IF(GenType_1a="Fixed",GenRate_1a%*$AL263*AM263,          IF(GenType_1a="Float",$AL263*(_xll.qGetFwdRate($D$18,$O263,$O264,"T",DCC_Leg1_Float)%+GenRate_1a%%)*$AN263,        IF(GenType_1a="bp (Fixed)",GenRate_1a%%*$AM263*$AL263,   IF(GenType_1a="bp (Float)",GenRate_1a%%*$AL263*$AN263,0))))</f>
        <v>0</v>
      </c>
      <c r="AR264" s="561"/>
      <c r="AT264" s="341">
        <f t="shared" si="56"/>
        <v>0</v>
      </c>
      <c r="AV264" s="356"/>
      <c r="AW264" s="122">
        <v>0</v>
      </c>
      <c r="AX264" s="128">
        <f t="shared" si="47"/>
        <v>0</v>
      </c>
      <c r="AY264" s="357">
        <v>0</v>
      </c>
      <c r="AZ264" s="699">
        <f>IF($AW265=0,0,        _xll.qDateNext($AW264,AZ$17,"M",TRUE,Currency2))</f>
        <v>0</v>
      </c>
      <c r="BA264" s="699">
        <f>IF($AW265=0,0,        _xll.qDateNext($AW264,BA$17,"M",TRUE,Currency2))</f>
        <v>0</v>
      </c>
      <c r="BB264" s="699">
        <f>IF($AW265=0,0,        _xll.qDateNext($AW264,BB$17,"M",TRUE,Currency2))</f>
        <v>0</v>
      </c>
      <c r="BC264" s="699">
        <f>IF($AW265=0,0,        _xll.qDateNext($AW264,BC$17,"M",TRUE,Currency2))</f>
        <v>0</v>
      </c>
      <c r="BD264" s="699">
        <f>IF($AW265=0,0,        _xll.qDateNext($AW264,BD$17,"M",TRUE,Currency2))</f>
        <v>0</v>
      </c>
      <c r="BE264" s="699">
        <f>IF($AW265=0,0,        _xll.qDateNext($AW264,BE$17,"M",TRUE,Currency2))</f>
        <v>0</v>
      </c>
      <c r="BF264" s="699">
        <f>IF($AW265=0,0,        _xll.qDateNext($AW264,BF$17,"M",TRUE,Currency2))</f>
        <v>0</v>
      </c>
      <c r="BG264" s="699">
        <f>IF($AW265=0,0,        _xll.qDateNext($AW264,BG$17,"M",TRUE,Currency2))</f>
        <v>0</v>
      </c>
      <c r="BH264" s="703">
        <v>0</v>
      </c>
      <c r="BI264" s="703">
        <v>0</v>
      </c>
      <c r="BJ264" s="703">
        <v>0</v>
      </c>
      <c r="BK264" s="703">
        <v>0</v>
      </c>
      <c r="BL264" s="703">
        <f t="shared" si="53"/>
        <v>0</v>
      </c>
      <c r="BM264" s="703">
        <f t="shared" si="54"/>
        <v>0</v>
      </c>
      <c r="BN264" s="703">
        <v>0</v>
      </c>
      <c r="BO264" s="703">
        <v>0</v>
      </c>
      <c r="BP264" s="685">
        <v>0</v>
      </c>
      <c r="BQ264" s="667"/>
      <c r="BR264" s="670">
        <f>IF(AW265=0,0,             IF(ISNUMBER(BQ264),BQ264,             IF(ISTEXT(BQ264),INDEX(BH264:BO264,MATCH(BQ264,$BH$17:$BO$17,0)),           IF(BP264="INT",_xll.qInterp(AW265,AZ264:BG264,BH264:BO264),       INDEX(BH264:BO264,MATCH(BP264,$BH$17:$BO$17,0))))))</f>
        <v>0</v>
      </c>
      <c r="BS264" s="731">
        <f t="shared" si="48"/>
        <v>0</v>
      </c>
      <c r="BT264" s="406">
        <f t="shared" si="49"/>
        <v>0</v>
      </c>
      <c r="BU264" s="284">
        <f>IF($AW265,_xll.qDateYears($AW264,$AW265,DCC_Leg2_Fixed),0)</f>
        <v>0</v>
      </c>
      <c r="BV264" s="284">
        <f>IF($AW265,_xll.qDateYears($AW264,$AW265,DCC_Leg2_Float),0)</f>
        <v>0</v>
      </c>
      <c r="BX264" s="350">
        <f t="shared" si="55"/>
        <v>0</v>
      </c>
      <c r="BY264" s="375">
        <f>IF(GenType_2a="Fixed",GenRate_2a%*$BT263*BU263,          IF(GenType_2a="Float",$BT263*(_xll.qGetFwdRate($J$18,$AW263,$AW264,"T",DCC_Leg2_Float)%+GenRate_2a%%)*$BV263,        IF(GenType_2a="bp (Fixed)",GenRate_2a%%*$BU263*$BT263,   IF(GenType_2a="bp (Float)",GenRate_2a%%*$BT263*$BV263,0))))</f>
        <v>0</v>
      </c>
      <c r="BZ264" s="561"/>
      <c r="CB264" s="341">
        <f t="shared" si="57"/>
        <v>0</v>
      </c>
      <c r="CC264" s="563"/>
      <c r="CD264" s="356"/>
      <c r="CE264" s="341">
        <v>0</v>
      </c>
      <c r="CF264" s="563"/>
      <c r="CG264" s="356"/>
    </row>
    <row r="265" spans="15:85">
      <c r="O265" s="122">
        <v>0</v>
      </c>
      <c r="P265" s="128">
        <f t="shared" si="44"/>
        <v>0</v>
      </c>
      <c r="Q265" s="126">
        <v>0</v>
      </c>
      <c r="R265" s="699">
        <f>IF($O266=0,0,        _xll.qDateNext($O265,R$17,"M",TRUE,Currency1))</f>
        <v>0</v>
      </c>
      <c r="S265" s="699">
        <f>IF($O266=0,0,        _xll.qDateNext($O265,S$17,"M",TRUE,Currency1))</f>
        <v>0</v>
      </c>
      <c r="T265" s="699">
        <f>IF($O266=0,0,        _xll.qDateNext($O265,T$17,"M",TRUE,Currency1))</f>
        <v>0</v>
      </c>
      <c r="U265" s="699">
        <f>IF($O266=0,0,        _xll.qDateNext($O265,U$17,"M",TRUE,Currency1))</f>
        <v>0</v>
      </c>
      <c r="V265" s="699">
        <f>IF($O266=0,0,        _xll.qDateNext($O265,V$17,"M",TRUE,Currency1))</f>
        <v>0</v>
      </c>
      <c r="W265" s="699">
        <f>IF($O266=0,0,        _xll.qDateNext($O265,W$17,"M",TRUE,Currency1))</f>
        <v>0</v>
      </c>
      <c r="X265" s="699">
        <f>IF($O266=0,0,        _xll.qDateNext($O265,X$17,"M",TRUE,Currency1))</f>
        <v>0</v>
      </c>
      <c r="Y265" s="699">
        <f>IF($O266=0,0,        _xll.qDateNext($O265,Y$17,"M",TRUE,Currency1))</f>
        <v>0</v>
      </c>
      <c r="Z265" s="703">
        <f>IF($O266=0,0,           IF(FRM,_xll.qGetFwdRate(Z$14,$O265,R265,"T",DCC_Leg1_Float),_xll.qGetFwdRate(Z$14,$O265,$O266,"T",DCC_Leg1_Float)))</f>
        <v>0</v>
      </c>
      <c r="AA265" s="703">
        <f>IF($O266=0,0,           IF(FRM,_xll.qGetFwdRate(AA$14,$O265,S265,"T",DCC_Leg1_Float),_xll.qGetFwdRate(AA$14,$O265,$O266,"T",DCC_Leg1_Float)))</f>
        <v>0</v>
      </c>
      <c r="AB265" s="703">
        <f t="shared" si="45"/>
        <v>0</v>
      </c>
      <c r="AC265" s="703">
        <f>IF($O266=0,0,           IF(FRM,_xll.qGetFwdRate(AC$14,$O265,U265,"T",DCC_Leg1_Float),_xll.qGetFwdRate(AC$14,$O265,$O266,"T",DCC_Leg1_Float)))</f>
        <v>0</v>
      </c>
      <c r="AD265" s="703">
        <f t="shared" si="50"/>
        <v>0</v>
      </c>
      <c r="AE265" s="703">
        <f t="shared" si="51"/>
        <v>0</v>
      </c>
      <c r="AF265" s="703">
        <f>IF($O266=0,0,           IF(FRM,_xll.qGetFwdRate(AF$14,$O265,X265,"T",DCC_Leg1_Float),_xll.qGetFwdRate(AF$14,$O265,$O266,"T",DCC_Leg1_Float)))</f>
        <v>0</v>
      </c>
      <c r="AG265" s="703">
        <f>IF($O266=0,0,           IF(FRM,_xll.qGetFwdRate(AG$14,$O265,Y265,"T",DCC_Leg1_Float),_xll.qGetFwdRate(AG$14,$O265,$O266,"T",DCC_Leg1_Float)))</f>
        <v>0</v>
      </c>
      <c r="AH265" s="685">
        <v>0</v>
      </c>
      <c r="AI265" s="667"/>
      <c r="AJ265" s="670">
        <f>IF(O266=0,0,             IF(ISNUMBER(AI265),AI265,             IF(ISTEXT(AI265),INDEX(Z265:AG265,MATCH(AI265,$Z$17:$AG$17,0)),           IF(AH265="INT",_xll.qInterp(O266,R265:Y265,Z265:AG265),       INDEX(Z265:AG265,MATCH(AH265,$Z$17:$AG$17,0))))))</f>
        <v>0</v>
      </c>
      <c r="AK265" s="732">
        <v>20</v>
      </c>
      <c r="AL265" s="721">
        <f t="shared" si="46"/>
        <v>0</v>
      </c>
      <c r="AM265" s="284">
        <f>IF($O266,_xll.qDateYears($O265,$O266,DCC_Leg1_Fixed),0)</f>
        <v>0</v>
      </c>
      <c r="AN265" s="284">
        <f>IF($O266,_xll.qDateYears($O265,$O266,DCC_Leg1_Float),0)</f>
        <v>0</v>
      </c>
      <c r="AP265" s="350">
        <f t="shared" si="52"/>
        <v>0</v>
      </c>
      <c r="AQ265" s="375">
        <f>IF(GenType_1a="Fixed",GenRate_1a%*$AL264*AM264,          IF(GenType_1a="Float",$AL264*(_xll.qGetFwdRate($D$18,$O264,$O265,"T",DCC_Leg1_Float)%+GenRate_1a%%)*$AN264,        IF(GenType_1a="bp (Fixed)",GenRate_1a%%*$AM264*$AL264,   IF(GenType_1a="bp (Float)",GenRate_1a%%*$AL264*$AN264,0))))</f>
        <v>0</v>
      </c>
      <c r="AR265" s="561"/>
      <c r="AT265" s="341">
        <f t="shared" si="56"/>
        <v>0</v>
      </c>
      <c r="AV265" s="356"/>
      <c r="AW265" s="122">
        <v>0</v>
      </c>
      <c r="AX265" s="128">
        <f t="shared" si="47"/>
        <v>0</v>
      </c>
      <c r="AY265" s="357">
        <v>0</v>
      </c>
      <c r="AZ265" s="699">
        <f>IF($AW266=0,0,        _xll.qDateNext($AW265,AZ$17,"M",TRUE,Currency2))</f>
        <v>0</v>
      </c>
      <c r="BA265" s="699">
        <f>IF($AW266=0,0,        _xll.qDateNext($AW265,BA$17,"M",TRUE,Currency2))</f>
        <v>0</v>
      </c>
      <c r="BB265" s="699">
        <f>IF($AW266=0,0,        _xll.qDateNext($AW265,BB$17,"M",TRUE,Currency2))</f>
        <v>0</v>
      </c>
      <c r="BC265" s="699">
        <f>IF($AW266=0,0,        _xll.qDateNext($AW265,BC$17,"M",TRUE,Currency2))</f>
        <v>0</v>
      </c>
      <c r="BD265" s="699">
        <f>IF($AW266=0,0,        _xll.qDateNext($AW265,BD$17,"M",TRUE,Currency2))</f>
        <v>0</v>
      </c>
      <c r="BE265" s="699">
        <f>IF($AW266=0,0,        _xll.qDateNext($AW265,BE$17,"M",TRUE,Currency2))</f>
        <v>0</v>
      </c>
      <c r="BF265" s="699">
        <f>IF($AW266=0,0,        _xll.qDateNext($AW265,BF$17,"M",TRUE,Currency2))</f>
        <v>0</v>
      </c>
      <c r="BG265" s="699">
        <f>IF($AW266=0,0,        _xll.qDateNext($AW265,BG$17,"M",TRUE,Currency2))</f>
        <v>0</v>
      </c>
      <c r="BH265" s="703">
        <v>0</v>
      </c>
      <c r="BI265" s="703">
        <v>0</v>
      </c>
      <c r="BJ265" s="703">
        <v>0</v>
      </c>
      <c r="BK265" s="703">
        <v>0</v>
      </c>
      <c r="BL265" s="703">
        <f t="shared" si="53"/>
        <v>0</v>
      </c>
      <c r="BM265" s="703">
        <f t="shared" si="54"/>
        <v>0</v>
      </c>
      <c r="BN265" s="703">
        <v>0</v>
      </c>
      <c r="BO265" s="703">
        <v>0</v>
      </c>
      <c r="BP265" s="685">
        <v>0</v>
      </c>
      <c r="BQ265" s="667"/>
      <c r="BR265" s="670">
        <f>IF(AW266=0,0,             IF(ISNUMBER(BQ265),BQ265,             IF(ISTEXT(BQ265),INDEX(BH265:BO265,MATCH(BQ265,$BH$17:$BO$17,0)),           IF(BP265="INT",_xll.qInterp(AW266,AZ265:BG265,BH265:BO265),       INDEX(BH265:BO265,MATCH(BP265,$BH$17:$BO$17,0))))))</f>
        <v>0</v>
      </c>
      <c r="BS265" s="731">
        <f t="shared" si="48"/>
        <v>0</v>
      </c>
      <c r="BT265" s="406">
        <f t="shared" si="49"/>
        <v>0</v>
      </c>
      <c r="BU265" s="284">
        <f>IF($AW266,_xll.qDateYears($AW265,$AW266,DCC_Leg2_Fixed),0)</f>
        <v>0</v>
      </c>
      <c r="BV265" s="284">
        <f>IF($AW266,_xll.qDateYears($AW265,$AW266,DCC_Leg2_Float),0)</f>
        <v>0</v>
      </c>
      <c r="BX265" s="350">
        <f t="shared" si="55"/>
        <v>0</v>
      </c>
      <c r="BY265" s="375">
        <f>IF(GenType_2a="Fixed",GenRate_2a%*$BT264*BU264,          IF(GenType_2a="Float",$BT264*(_xll.qGetFwdRate($J$18,$AW264,$AW265,"T",DCC_Leg2_Float)%+GenRate_2a%%)*$BV264,        IF(GenType_2a="bp (Fixed)",GenRate_2a%%*$BU264*$BT264,   IF(GenType_2a="bp (Float)",GenRate_2a%%*$BT264*$BV264,0))))</f>
        <v>0</v>
      </c>
      <c r="BZ265" s="561"/>
      <c r="CB265" s="341">
        <f t="shared" si="57"/>
        <v>0</v>
      </c>
      <c r="CC265" s="563"/>
      <c r="CD265" s="356"/>
      <c r="CE265" s="341">
        <v>0</v>
      </c>
      <c r="CF265" s="563"/>
      <c r="CG265" s="356"/>
    </row>
    <row r="266" spans="15:85">
      <c r="O266" s="122">
        <v>0</v>
      </c>
      <c r="P266" s="128">
        <f t="shared" si="44"/>
        <v>0</v>
      </c>
      <c r="Q266" s="126">
        <v>0</v>
      </c>
      <c r="R266" s="699">
        <f>IF($O267=0,0,        _xll.qDateNext($O266,R$17,"M",TRUE,Currency1))</f>
        <v>0</v>
      </c>
      <c r="S266" s="699">
        <f>IF($O267=0,0,        _xll.qDateNext($O266,S$17,"M",TRUE,Currency1))</f>
        <v>0</v>
      </c>
      <c r="T266" s="699">
        <f>IF($O267=0,0,        _xll.qDateNext($O266,T$17,"M",TRUE,Currency1))</f>
        <v>0</v>
      </c>
      <c r="U266" s="699">
        <f>IF($O267=0,0,        _xll.qDateNext($O266,U$17,"M",TRUE,Currency1))</f>
        <v>0</v>
      </c>
      <c r="V266" s="699">
        <f>IF($O267=0,0,        _xll.qDateNext($O266,V$17,"M",TRUE,Currency1))</f>
        <v>0</v>
      </c>
      <c r="W266" s="699">
        <f>IF($O267=0,0,        _xll.qDateNext($O266,W$17,"M",TRUE,Currency1))</f>
        <v>0</v>
      </c>
      <c r="X266" s="699">
        <f>IF($O267=0,0,        _xll.qDateNext($O266,X$17,"M",TRUE,Currency1))</f>
        <v>0</v>
      </c>
      <c r="Y266" s="699">
        <f>IF($O267=0,0,        _xll.qDateNext($O266,Y$17,"M",TRUE,Currency1))</f>
        <v>0</v>
      </c>
      <c r="Z266" s="703">
        <f>IF($O267=0,0,           IF(FRM,_xll.qGetFwdRate(Z$14,$O266,R266,"T",DCC_Leg1_Float),_xll.qGetFwdRate(Z$14,$O266,$O267,"T",DCC_Leg1_Float)))</f>
        <v>0</v>
      </c>
      <c r="AA266" s="703">
        <f>IF($O267=0,0,           IF(FRM,_xll.qGetFwdRate(AA$14,$O266,S266,"T",DCC_Leg1_Float),_xll.qGetFwdRate(AA$14,$O266,$O267,"T",DCC_Leg1_Float)))</f>
        <v>0</v>
      </c>
      <c r="AB266" s="703">
        <f t="shared" si="45"/>
        <v>0</v>
      </c>
      <c r="AC266" s="703">
        <f>IF($O267=0,0,           IF(FRM,_xll.qGetFwdRate(AC$14,$O266,U266,"T",DCC_Leg1_Float),_xll.qGetFwdRate(AC$14,$O266,$O267,"T",DCC_Leg1_Float)))</f>
        <v>0</v>
      </c>
      <c r="AD266" s="703">
        <f t="shared" si="50"/>
        <v>0</v>
      </c>
      <c r="AE266" s="703">
        <f t="shared" si="51"/>
        <v>0</v>
      </c>
      <c r="AF266" s="703">
        <f>IF($O267=0,0,           IF(FRM,_xll.qGetFwdRate(AF$14,$O266,X266,"T",DCC_Leg1_Float),_xll.qGetFwdRate(AF$14,$O266,$O267,"T",DCC_Leg1_Float)))</f>
        <v>0</v>
      </c>
      <c r="AG266" s="703">
        <f>IF($O267=0,0,           IF(FRM,_xll.qGetFwdRate(AG$14,$O266,Y266,"T",DCC_Leg1_Float),_xll.qGetFwdRate(AG$14,$O266,$O267,"T",DCC_Leg1_Float)))</f>
        <v>0</v>
      </c>
      <c r="AH266" s="685">
        <v>0</v>
      </c>
      <c r="AI266" s="667"/>
      <c r="AJ266" s="670">
        <f>IF(O267=0,0,             IF(ISNUMBER(AI266),AI266,             IF(ISTEXT(AI266),INDEX(Z266:AG266,MATCH(AI266,$Z$17:$AG$17,0)),           IF(AH266="INT",_xll.qInterp(O267,R266:Y266,Z266:AG266),       INDEX(Z266:AG266,MATCH(AH266,$Z$17:$AG$17,0))))))</f>
        <v>0</v>
      </c>
      <c r="AK266" s="732">
        <v>20</v>
      </c>
      <c r="AL266" s="721">
        <f t="shared" si="46"/>
        <v>0</v>
      </c>
      <c r="AM266" s="284">
        <f>IF($O267,_xll.qDateYears($O266,$O267,DCC_Leg1_Fixed),0)</f>
        <v>0</v>
      </c>
      <c r="AN266" s="284">
        <f>IF($O267,_xll.qDateYears($O266,$O267,DCC_Leg1_Float),0)</f>
        <v>0</v>
      </c>
      <c r="AP266" s="350">
        <f t="shared" si="52"/>
        <v>0</v>
      </c>
      <c r="AQ266" s="375">
        <f>IF(GenType_1a="Fixed",GenRate_1a%*$AL265*AM265,          IF(GenType_1a="Float",$AL265*(_xll.qGetFwdRate($D$18,$O265,$O266,"T",DCC_Leg1_Float)%+GenRate_1a%%)*$AN265,        IF(GenType_1a="bp (Fixed)",GenRate_1a%%*$AM265*$AL265,   IF(GenType_1a="bp (Float)",GenRate_1a%%*$AL265*$AN265,0))))</f>
        <v>0</v>
      </c>
      <c r="AR266" s="561"/>
      <c r="AT266" s="341">
        <f t="shared" si="56"/>
        <v>0</v>
      </c>
      <c r="AV266" s="356"/>
      <c r="AW266" s="122">
        <v>0</v>
      </c>
      <c r="AX266" s="128">
        <f t="shared" si="47"/>
        <v>0</v>
      </c>
      <c r="AY266" s="357">
        <v>0</v>
      </c>
      <c r="AZ266" s="699">
        <f>IF($AW267=0,0,        _xll.qDateNext($AW266,AZ$17,"M",TRUE,Currency2))</f>
        <v>0</v>
      </c>
      <c r="BA266" s="699">
        <f>IF($AW267=0,0,        _xll.qDateNext($AW266,BA$17,"M",TRUE,Currency2))</f>
        <v>0</v>
      </c>
      <c r="BB266" s="699">
        <f>IF($AW267=0,0,        _xll.qDateNext($AW266,BB$17,"M",TRUE,Currency2))</f>
        <v>0</v>
      </c>
      <c r="BC266" s="699">
        <f>IF($AW267=0,0,        _xll.qDateNext($AW266,BC$17,"M",TRUE,Currency2))</f>
        <v>0</v>
      </c>
      <c r="BD266" s="699">
        <f>IF($AW267=0,0,        _xll.qDateNext($AW266,BD$17,"M",TRUE,Currency2))</f>
        <v>0</v>
      </c>
      <c r="BE266" s="699">
        <f>IF($AW267=0,0,        _xll.qDateNext($AW266,BE$17,"M",TRUE,Currency2))</f>
        <v>0</v>
      </c>
      <c r="BF266" s="699">
        <f>IF($AW267=0,0,        _xll.qDateNext($AW266,BF$17,"M",TRUE,Currency2))</f>
        <v>0</v>
      </c>
      <c r="BG266" s="699">
        <f>IF($AW267=0,0,        _xll.qDateNext($AW266,BG$17,"M",TRUE,Currency2))</f>
        <v>0</v>
      </c>
      <c r="BH266" s="703">
        <v>0</v>
      </c>
      <c r="BI266" s="703">
        <v>0</v>
      </c>
      <c r="BJ266" s="703">
        <v>0</v>
      </c>
      <c r="BK266" s="703">
        <v>0</v>
      </c>
      <c r="BL266" s="703">
        <f t="shared" si="53"/>
        <v>0</v>
      </c>
      <c r="BM266" s="703">
        <f t="shared" si="54"/>
        <v>0</v>
      </c>
      <c r="BN266" s="703">
        <v>0</v>
      </c>
      <c r="BO266" s="703">
        <v>0</v>
      </c>
      <c r="BP266" s="685">
        <v>0</v>
      </c>
      <c r="BQ266" s="667"/>
      <c r="BR266" s="670">
        <f>IF(AW267=0,0,             IF(ISNUMBER(BQ266),BQ266,             IF(ISTEXT(BQ266),INDEX(BH266:BO266,MATCH(BQ266,$BH$17:$BO$17,0)),           IF(BP266="INT",_xll.qInterp(AW267,AZ266:BG266,BH266:BO266),       INDEX(BH266:BO266,MATCH(BP266,$BH$17:$BO$17,0))))))</f>
        <v>0</v>
      </c>
      <c r="BS266" s="731">
        <f t="shared" si="48"/>
        <v>0</v>
      </c>
      <c r="BT266" s="406">
        <f t="shared" si="49"/>
        <v>0</v>
      </c>
      <c r="BU266" s="284">
        <f>IF($AW267,_xll.qDateYears($AW266,$AW267,DCC_Leg2_Fixed),0)</f>
        <v>0</v>
      </c>
      <c r="BV266" s="284">
        <f>IF($AW267,_xll.qDateYears($AW266,$AW267,DCC_Leg2_Float),0)</f>
        <v>0</v>
      </c>
      <c r="BX266" s="350">
        <f t="shared" si="55"/>
        <v>0</v>
      </c>
      <c r="BY266" s="375">
        <f>IF(GenType_2a="Fixed",GenRate_2a%*$BT265*BU265,          IF(GenType_2a="Float",$BT265*(_xll.qGetFwdRate($J$18,$AW265,$AW266,"T",DCC_Leg2_Float)%+GenRate_2a%%)*$BV265,        IF(GenType_2a="bp (Fixed)",GenRate_2a%%*$BU265*$BT265,   IF(GenType_2a="bp (Float)",GenRate_2a%%*$BT265*$BV265,0))))</f>
        <v>0</v>
      </c>
      <c r="BZ266" s="561"/>
      <c r="CB266" s="341">
        <f t="shared" si="57"/>
        <v>0</v>
      </c>
      <c r="CC266" s="563"/>
      <c r="CD266" s="356"/>
      <c r="CE266" s="341">
        <v>0</v>
      </c>
      <c r="CF266" s="563"/>
      <c r="CG266" s="356"/>
    </row>
    <row r="267" spans="15:85">
      <c r="O267" s="122">
        <v>0</v>
      </c>
      <c r="P267" s="128">
        <f t="shared" si="44"/>
        <v>0</v>
      </c>
      <c r="Q267" s="126">
        <v>0</v>
      </c>
      <c r="R267" s="699">
        <f>IF($O268=0,0,        _xll.qDateNext($O267,R$17,"M",TRUE,Currency1))</f>
        <v>0</v>
      </c>
      <c r="S267" s="699">
        <f>IF($O268=0,0,        _xll.qDateNext($O267,S$17,"M",TRUE,Currency1))</f>
        <v>0</v>
      </c>
      <c r="T267" s="699">
        <f>IF($O268=0,0,        _xll.qDateNext($O267,T$17,"M",TRUE,Currency1))</f>
        <v>0</v>
      </c>
      <c r="U267" s="699">
        <f>IF($O268=0,0,        _xll.qDateNext($O267,U$17,"M",TRUE,Currency1))</f>
        <v>0</v>
      </c>
      <c r="V267" s="699">
        <f>IF($O268=0,0,        _xll.qDateNext($O267,V$17,"M",TRUE,Currency1))</f>
        <v>0</v>
      </c>
      <c r="W267" s="699">
        <f>IF($O268=0,0,        _xll.qDateNext($O267,W$17,"M",TRUE,Currency1))</f>
        <v>0</v>
      </c>
      <c r="X267" s="699">
        <f>IF($O268=0,0,        _xll.qDateNext($O267,X$17,"M",TRUE,Currency1))</f>
        <v>0</v>
      </c>
      <c r="Y267" s="699">
        <f>IF($O268=0,0,        _xll.qDateNext($O267,Y$17,"M",TRUE,Currency1))</f>
        <v>0</v>
      </c>
      <c r="Z267" s="703">
        <f>IF($O268=0,0,           IF(FRM,_xll.qGetFwdRate(Z$14,$O267,R267,"T",DCC_Leg1_Float),_xll.qGetFwdRate(Z$14,$O267,$O268,"T",DCC_Leg1_Float)))</f>
        <v>0</v>
      </c>
      <c r="AA267" s="703">
        <f>IF($O268=0,0,           IF(FRM,_xll.qGetFwdRate(AA$14,$O267,S267,"T",DCC_Leg1_Float),_xll.qGetFwdRate(AA$14,$O267,$O268,"T",DCC_Leg1_Float)))</f>
        <v>0</v>
      </c>
      <c r="AB267" s="703">
        <f t="shared" si="45"/>
        <v>0</v>
      </c>
      <c r="AC267" s="703">
        <f>IF($O268=0,0,           IF(FRM,_xll.qGetFwdRate(AC$14,$O267,U267,"T",DCC_Leg1_Float),_xll.qGetFwdRate(AC$14,$O267,$O268,"T",DCC_Leg1_Float)))</f>
        <v>0</v>
      </c>
      <c r="AD267" s="703">
        <f t="shared" si="50"/>
        <v>0</v>
      </c>
      <c r="AE267" s="703">
        <f t="shared" si="51"/>
        <v>0</v>
      </c>
      <c r="AF267" s="703">
        <f>IF($O268=0,0,           IF(FRM,_xll.qGetFwdRate(AF$14,$O267,X267,"T",DCC_Leg1_Float),_xll.qGetFwdRate(AF$14,$O267,$O268,"T",DCC_Leg1_Float)))</f>
        <v>0</v>
      </c>
      <c r="AG267" s="703">
        <f>IF($O268=0,0,           IF(FRM,_xll.qGetFwdRate(AG$14,$O267,Y267,"T",DCC_Leg1_Float),_xll.qGetFwdRate(AG$14,$O267,$O268,"T",DCC_Leg1_Float)))</f>
        <v>0</v>
      </c>
      <c r="AH267" s="685">
        <v>0</v>
      </c>
      <c r="AI267" s="667"/>
      <c r="AJ267" s="670">
        <f>IF(O268=0,0,             IF(ISNUMBER(AI267),AI267,             IF(ISTEXT(AI267),INDEX(Z267:AG267,MATCH(AI267,$Z$17:$AG$17,0)),           IF(AH267="INT",_xll.qInterp(O268,R267:Y267,Z267:AG267),       INDEX(Z267:AG267,MATCH(AH267,$Z$17:$AG$17,0))))))</f>
        <v>0</v>
      </c>
      <c r="AK267" s="732">
        <v>20</v>
      </c>
      <c r="AL267" s="721">
        <f t="shared" si="46"/>
        <v>0</v>
      </c>
      <c r="AM267" s="284">
        <f>IF($O268,_xll.qDateYears($O267,$O268,DCC_Leg1_Fixed),0)</f>
        <v>0</v>
      </c>
      <c r="AN267" s="284">
        <f>IF($O268,_xll.qDateYears($O267,$O268,DCC_Leg1_Float),0)</f>
        <v>0</v>
      </c>
      <c r="AP267" s="350">
        <f t="shared" si="52"/>
        <v>0</v>
      </c>
      <c r="AQ267" s="375">
        <f>IF(GenType_1a="Fixed",GenRate_1a%*$AL266*AM266,          IF(GenType_1a="Float",$AL266*(_xll.qGetFwdRate($D$18,$O266,$O267,"T",DCC_Leg1_Float)%+GenRate_1a%%)*$AN266,        IF(GenType_1a="bp (Fixed)",GenRate_1a%%*$AM266*$AL266,   IF(GenType_1a="bp (Float)",GenRate_1a%%*$AL266*$AN266,0))))</f>
        <v>0</v>
      </c>
      <c r="AR267" s="561"/>
      <c r="AT267" s="341">
        <f t="shared" si="56"/>
        <v>0</v>
      </c>
      <c r="AV267" s="356"/>
      <c r="AW267" s="122">
        <v>0</v>
      </c>
      <c r="AX267" s="128">
        <f t="shared" si="47"/>
        <v>0</v>
      </c>
      <c r="AY267" s="357">
        <v>0</v>
      </c>
      <c r="AZ267" s="699">
        <f>IF($AW268=0,0,        _xll.qDateNext($AW267,AZ$17,"M",TRUE,Currency2))</f>
        <v>0</v>
      </c>
      <c r="BA267" s="699">
        <f>IF($AW268=0,0,        _xll.qDateNext($AW267,BA$17,"M",TRUE,Currency2))</f>
        <v>0</v>
      </c>
      <c r="BB267" s="699">
        <f>IF($AW268=0,0,        _xll.qDateNext($AW267,BB$17,"M",TRUE,Currency2))</f>
        <v>0</v>
      </c>
      <c r="BC267" s="699">
        <f>IF($AW268=0,0,        _xll.qDateNext($AW267,BC$17,"M",TRUE,Currency2))</f>
        <v>0</v>
      </c>
      <c r="BD267" s="699">
        <f>IF($AW268=0,0,        _xll.qDateNext($AW267,BD$17,"M",TRUE,Currency2))</f>
        <v>0</v>
      </c>
      <c r="BE267" s="699">
        <f>IF($AW268=0,0,        _xll.qDateNext($AW267,BE$17,"M",TRUE,Currency2))</f>
        <v>0</v>
      </c>
      <c r="BF267" s="699">
        <f>IF($AW268=0,0,        _xll.qDateNext($AW267,BF$17,"M",TRUE,Currency2))</f>
        <v>0</v>
      </c>
      <c r="BG267" s="699">
        <f>IF($AW268=0,0,        _xll.qDateNext($AW267,BG$17,"M",TRUE,Currency2))</f>
        <v>0</v>
      </c>
      <c r="BH267" s="703">
        <v>0</v>
      </c>
      <c r="BI267" s="703">
        <v>0</v>
      </c>
      <c r="BJ267" s="703">
        <v>0</v>
      </c>
      <c r="BK267" s="703">
        <v>0</v>
      </c>
      <c r="BL267" s="703">
        <f t="shared" si="53"/>
        <v>0</v>
      </c>
      <c r="BM267" s="703">
        <f t="shared" si="54"/>
        <v>0</v>
      </c>
      <c r="BN267" s="703">
        <v>0</v>
      </c>
      <c r="BO267" s="703">
        <v>0</v>
      </c>
      <c r="BP267" s="685">
        <v>0</v>
      </c>
      <c r="BQ267" s="667"/>
      <c r="BR267" s="670">
        <f>IF(AW268=0,0,             IF(ISNUMBER(BQ267),BQ267,             IF(ISTEXT(BQ267),INDEX(BH267:BO267,MATCH(BQ267,$BH$17:$BO$17,0)),           IF(BP267="INT",_xll.qInterp(AW268,AZ267:BG267,BH267:BO267),       INDEX(BH267:BO267,MATCH(BP267,$BH$17:$BO$17,0))))))</f>
        <v>0</v>
      </c>
      <c r="BS267" s="731">
        <f t="shared" si="48"/>
        <v>0</v>
      </c>
      <c r="BT267" s="406">
        <f t="shared" si="49"/>
        <v>0</v>
      </c>
      <c r="BU267" s="284">
        <f>IF($AW268,_xll.qDateYears($AW267,$AW268,DCC_Leg2_Fixed),0)</f>
        <v>0</v>
      </c>
      <c r="BV267" s="284">
        <f>IF($AW268,_xll.qDateYears($AW267,$AW268,DCC_Leg2_Float),0)</f>
        <v>0</v>
      </c>
      <c r="BX267" s="350">
        <f t="shared" si="55"/>
        <v>0</v>
      </c>
      <c r="BY267" s="375">
        <f>IF(GenType_2a="Fixed",GenRate_2a%*$BT266*BU266,          IF(GenType_2a="Float",$BT266*(_xll.qGetFwdRate($J$18,$AW266,$AW267,"T",DCC_Leg2_Float)%+GenRate_2a%%)*$BV266,        IF(GenType_2a="bp (Fixed)",GenRate_2a%%*$BU266*$BT266,   IF(GenType_2a="bp (Float)",GenRate_2a%%*$BT266*$BV266,0))))</f>
        <v>0</v>
      </c>
      <c r="BZ267" s="561"/>
      <c r="CB267" s="341">
        <f t="shared" si="57"/>
        <v>0</v>
      </c>
      <c r="CC267" s="563"/>
      <c r="CD267" s="356"/>
      <c r="CE267" s="341">
        <v>0</v>
      </c>
      <c r="CF267" s="563"/>
      <c r="CG267" s="356"/>
    </row>
    <row r="268" spans="15:85">
      <c r="O268" s="122">
        <v>0</v>
      </c>
      <c r="P268" s="128">
        <f t="shared" si="44"/>
        <v>0</v>
      </c>
      <c r="Q268" s="126">
        <v>0</v>
      </c>
      <c r="R268" s="699">
        <f>IF($O269=0,0,        _xll.qDateNext($O268,R$17,"M",TRUE,Currency1))</f>
        <v>0</v>
      </c>
      <c r="S268" s="699">
        <f>IF($O269=0,0,        _xll.qDateNext($O268,S$17,"M",TRUE,Currency1))</f>
        <v>0</v>
      </c>
      <c r="T268" s="699">
        <f>IF($O269=0,0,        _xll.qDateNext($O268,T$17,"M",TRUE,Currency1))</f>
        <v>0</v>
      </c>
      <c r="U268" s="699">
        <f>IF($O269=0,0,        _xll.qDateNext($O268,U$17,"M",TRUE,Currency1))</f>
        <v>0</v>
      </c>
      <c r="V268" s="699">
        <f>IF($O269=0,0,        _xll.qDateNext($O268,V$17,"M",TRUE,Currency1))</f>
        <v>0</v>
      </c>
      <c r="W268" s="699">
        <f>IF($O269=0,0,        _xll.qDateNext($O268,W$17,"M",TRUE,Currency1))</f>
        <v>0</v>
      </c>
      <c r="X268" s="699">
        <f>IF($O269=0,0,        _xll.qDateNext($O268,X$17,"M",TRUE,Currency1))</f>
        <v>0</v>
      </c>
      <c r="Y268" s="699">
        <f>IF($O269=0,0,        _xll.qDateNext($O268,Y$17,"M",TRUE,Currency1))</f>
        <v>0</v>
      </c>
      <c r="Z268" s="703">
        <f>IF($O269=0,0,           IF(FRM,_xll.qGetFwdRate(Z$14,$O268,R268,"T",DCC_Leg1_Float),_xll.qGetFwdRate(Z$14,$O268,$O269,"T",DCC_Leg1_Float)))</f>
        <v>0</v>
      </c>
      <c r="AA268" s="703">
        <f>IF($O269=0,0,           IF(FRM,_xll.qGetFwdRate(AA$14,$O268,S268,"T",DCC_Leg1_Float),_xll.qGetFwdRate(AA$14,$O268,$O269,"T",DCC_Leg1_Float)))</f>
        <v>0</v>
      </c>
      <c r="AB268" s="703">
        <f t="shared" si="45"/>
        <v>0</v>
      </c>
      <c r="AC268" s="703">
        <f>IF($O269=0,0,           IF(FRM,_xll.qGetFwdRate(AC$14,$O268,U268,"T",DCC_Leg1_Float),_xll.qGetFwdRate(AC$14,$O268,$O269,"T",DCC_Leg1_Float)))</f>
        <v>0</v>
      </c>
      <c r="AD268" s="703">
        <f t="shared" si="50"/>
        <v>0</v>
      </c>
      <c r="AE268" s="703">
        <f t="shared" si="51"/>
        <v>0</v>
      </c>
      <c r="AF268" s="703">
        <f>IF($O269=0,0,           IF(FRM,_xll.qGetFwdRate(AF$14,$O268,X268,"T",DCC_Leg1_Float),_xll.qGetFwdRate(AF$14,$O268,$O269,"T",DCC_Leg1_Float)))</f>
        <v>0</v>
      </c>
      <c r="AG268" s="703">
        <f>IF($O269=0,0,           IF(FRM,_xll.qGetFwdRate(AG$14,$O268,Y268,"T",DCC_Leg1_Float),_xll.qGetFwdRate(AG$14,$O268,$O269,"T",DCC_Leg1_Float)))</f>
        <v>0</v>
      </c>
      <c r="AH268" s="685">
        <v>0</v>
      </c>
      <c r="AI268" s="667"/>
      <c r="AJ268" s="670">
        <f>IF(O269=0,0,             IF(ISNUMBER(AI268),AI268,             IF(ISTEXT(AI268),INDEX(Z268:AG268,MATCH(AI268,$Z$17:$AG$17,0)),           IF(AH268="INT",_xll.qInterp(O269,R268:Y268,Z268:AG268),       INDEX(Z268:AG268,MATCH(AH268,$Z$17:$AG$17,0))))))</f>
        <v>0</v>
      </c>
      <c r="AK268" s="732">
        <v>20</v>
      </c>
      <c r="AL268" s="721">
        <f t="shared" si="46"/>
        <v>0</v>
      </c>
      <c r="AM268" s="284">
        <f>IF($O269,_xll.qDateYears($O268,$O269,DCC_Leg1_Fixed),0)</f>
        <v>0</v>
      </c>
      <c r="AN268" s="284">
        <f>IF($O269,_xll.qDateYears($O268,$O269,DCC_Leg1_Float),0)</f>
        <v>0</v>
      </c>
      <c r="AP268" s="350">
        <f t="shared" si="52"/>
        <v>0</v>
      </c>
      <c r="AQ268" s="375">
        <f>IF(GenType_1a="Fixed",GenRate_1a%*$AL267*AM267,          IF(GenType_1a="Float",$AL267*(_xll.qGetFwdRate($D$18,$O267,$O268,"T",DCC_Leg1_Float)%+GenRate_1a%%)*$AN267,        IF(GenType_1a="bp (Fixed)",GenRate_1a%%*$AM267*$AL267,   IF(GenType_1a="bp (Float)",GenRate_1a%%*$AL267*$AN267,0))))</f>
        <v>0</v>
      </c>
      <c r="AR268" s="561"/>
      <c r="AT268" s="341">
        <f t="shared" si="56"/>
        <v>0</v>
      </c>
      <c r="AV268" s="356"/>
      <c r="AW268" s="122">
        <v>0</v>
      </c>
      <c r="AX268" s="128">
        <f t="shared" si="47"/>
        <v>0</v>
      </c>
      <c r="AY268" s="357">
        <v>0</v>
      </c>
      <c r="AZ268" s="699">
        <f>IF($AW269=0,0,        _xll.qDateNext($AW268,AZ$17,"M",TRUE,Currency2))</f>
        <v>0</v>
      </c>
      <c r="BA268" s="699">
        <f>IF($AW269=0,0,        _xll.qDateNext($AW268,BA$17,"M",TRUE,Currency2))</f>
        <v>0</v>
      </c>
      <c r="BB268" s="699">
        <f>IF($AW269=0,0,        _xll.qDateNext($AW268,BB$17,"M",TRUE,Currency2))</f>
        <v>0</v>
      </c>
      <c r="BC268" s="699">
        <f>IF($AW269=0,0,        _xll.qDateNext($AW268,BC$17,"M",TRUE,Currency2))</f>
        <v>0</v>
      </c>
      <c r="BD268" s="699">
        <f>IF($AW269=0,0,        _xll.qDateNext($AW268,BD$17,"M",TRUE,Currency2))</f>
        <v>0</v>
      </c>
      <c r="BE268" s="699">
        <f>IF($AW269=0,0,        _xll.qDateNext($AW268,BE$17,"M",TRUE,Currency2))</f>
        <v>0</v>
      </c>
      <c r="BF268" s="699">
        <f>IF($AW269=0,0,        _xll.qDateNext($AW268,BF$17,"M",TRUE,Currency2))</f>
        <v>0</v>
      </c>
      <c r="BG268" s="699">
        <f>IF($AW269=0,0,        _xll.qDateNext($AW268,BG$17,"M",TRUE,Currency2))</f>
        <v>0</v>
      </c>
      <c r="BH268" s="703">
        <v>0</v>
      </c>
      <c r="BI268" s="703">
        <v>0</v>
      </c>
      <c r="BJ268" s="703">
        <v>0</v>
      </c>
      <c r="BK268" s="703">
        <v>0</v>
      </c>
      <c r="BL268" s="703">
        <f t="shared" si="53"/>
        <v>0</v>
      </c>
      <c r="BM268" s="703">
        <f t="shared" si="54"/>
        <v>0</v>
      </c>
      <c r="BN268" s="703">
        <v>0</v>
      </c>
      <c r="BO268" s="703">
        <v>0</v>
      </c>
      <c r="BP268" s="685">
        <v>0</v>
      </c>
      <c r="BQ268" s="667"/>
      <c r="BR268" s="670">
        <f>IF(AW269=0,0,             IF(ISNUMBER(BQ268),BQ268,             IF(ISTEXT(BQ268),INDEX(BH268:BO268,MATCH(BQ268,$BH$17:$BO$17,0)),           IF(BP268="INT",_xll.qInterp(AW269,AZ268:BG268,BH268:BO268),       INDEX(BH268:BO268,MATCH(BP268,$BH$17:$BO$17,0))))))</f>
        <v>0</v>
      </c>
      <c r="BS268" s="731">
        <f t="shared" si="48"/>
        <v>0</v>
      </c>
      <c r="BT268" s="406">
        <f t="shared" si="49"/>
        <v>0</v>
      </c>
      <c r="BU268" s="284">
        <f>IF($AW269,_xll.qDateYears($AW268,$AW269,DCC_Leg2_Fixed),0)</f>
        <v>0</v>
      </c>
      <c r="BV268" s="284">
        <f>IF($AW269,_xll.qDateYears($AW268,$AW269,DCC_Leg2_Float),0)</f>
        <v>0</v>
      </c>
      <c r="BX268" s="350">
        <f t="shared" si="55"/>
        <v>0</v>
      </c>
      <c r="BY268" s="375">
        <f>IF(GenType_2a="Fixed",GenRate_2a%*$BT267*BU267,          IF(GenType_2a="Float",$BT267*(_xll.qGetFwdRate($J$18,$AW267,$AW268,"T",DCC_Leg2_Float)%+GenRate_2a%%)*$BV267,        IF(GenType_2a="bp (Fixed)",GenRate_2a%%*$BU267*$BT267,   IF(GenType_2a="bp (Float)",GenRate_2a%%*$BT267*$BV267,0))))</f>
        <v>0</v>
      </c>
      <c r="BZ268" s="561"/>
      <c r="CB268" s="341">
        <f t="shared" si="57"/>
        <v>0</v>
      </c>
      <c r="CC268" s="563"/>
      <c r="CD268" s="356"/>
      <c r="CE268" s="341">
        <v>0</v>
      </c>
      <c r="CF268" s="563"/>
      <c r="CG268" s="356"/>
    </row>
    <row r="269" spans="15:85">
      <c r="O269" s="122">
        <v>0</v>
      </c>
      <c r="P269" s="128">
        <f t="shared" si="44"/>
        <v>0</v>
      </c>
      <c r="Q269" s="126">
        <v>0</v>
      </c>
      <c r="R269" s="699">
        <f>IF($O270=0,0,        _xll.qDateNext($O269,R$17,"M",TRUE,Currency1))</f>
        <v>0</v>
      </c>
      <c r="S269" s="699">
        <f>IF($O270=0,0,        _xll.qDateNext($O269,S$17,"M",TRUE,Currency1))</f>
        <v>0</v>
      </c>
      <c r="T269" s="699">
        <f>IF($O270=0,0,        _xll.qDateNext($O269,T$17,"M",TRUE,Currency1))</f>
        <v>0</v>
      </c>
      <c r="U269" s="699">
        <f>IF($O270=0,0,        _xll.qDateNext($O269,U$17,"M",TRUE,Currency1))</f>
        <v>0</v>
      </c>
      <c r="V269" s="699">
        <f>IF($O270=0,0,        _xll.qDateNext($O269,V$17,"M",TRUE,Currency1))</f>
        <v>0</v>
      </c>
      <c r="W269" s="699">
        <f>IF($O270=0,0,        _xll.qDateNext($O269,W$17,"M",TRUE,Currency1))</f>
        <v>0</v>
      </c>
      <c r="X269" s="699">
        <f>IF($O270=0,0,        _xll.qDateNext($O269,X$17,"M",TRUE,Currency1))</f>
        <v>0</v>
      </c>
      <c r="Y269" s="699">
        <f>IF($O270=0,0,        _xll.qDateNext($O269,Y$17,"M",TRUE,Currency1))</f>
        <v>0</v>
      </c>
      <c r="Z269" s="703">
        <f>IF($O270=0,0,           IF(FRM,_xll.qGetFwdRate(Z$14,$O269,R269,"T",DCC_Leg1_Float),_xll.qGetFwdRate(Z$14,$O269,$O270,"T",DCC_Leg1_Float)))</f>
        <v>0</v>
      </c>
      <c r="AA269" s="703">
        <f>IF($O270=0,0,           IF(FRM,_xll.qGetFwdRate(AA$14,$O269,S269,"T",DCC_Leg1_Float),_xll.qGetFwdRate(AA$14,$O269,$O270,"T",DCC_Leg1_Float)))</f>
        <v>0</v>
      </c>
      <c r="AB269" s="703">
        <f t="shared" si="45"/>
        <v>0</v>
      </c>
      <c r="AC269" s="703">
        <f>IF($O270=0,0,           IF(FRM,_xll.qGetFwdRate(AC$14,$O269,U269,"T",DCC_Leg1_Float),_xll.qGetFwdRate(AC$14,$O269,$O270,"T",DCC_Leg1_Float)))</f>
        <v>0</v>
      </c>
      <c r="AD269" s="703">
        <f t="shared" si="50"/>
        <v>0</v>
      </c>
      <c r="AE269" s="703">
        <f t="shared" si="51"/>
        <v>0</v>
      </c>
      <c r="AF269" s="703">
        <f>IF($O270=0,0,           IF(FRM,_xll.qGetFwdRate(AF$14,$O269,X269,"T",DCC_Leg1_Float),_xll.qGetFwdRate(AF$14,$O269,$O270,"T",DCC_Leg1_Float)))</f>
        <v>0</v>
      </c>
      <c r="AG269" s="703">
        <f>IF($O270=0,0,           IF(FRM,_xll.qGetFwdRate(AG$14,$O269,Y269,"T",DCC_Leg1_Float),_xll.qGetFwdRate(AG$14,$O269,$O270,"T",DCC_Leg1_Float)))</f>
        <v>0</v>
      </c>
      <c r="AH269" s="685">
        <v>0</v>
      </c>
      <c r="AI269" s="667"/>
      <c r="AJ269" s="670">
        <f>IF(O270=0,0,             IF(ISNUMBER(AI269),AI269,             IF(ISTEXT(AI269),INDEX(Z269:AG269,MATCH(AI269,$Z$17:$AG$17,0)),           IF(AH269="INT",_xll.qInterp(O270,R269:Y269,Z269:AG269),       INDEX(Z269:AG269,MATCH(AH269,$Z$17:$AG$17,0))))))</f>
        <v>0</v>
      </c>
      <c r="AK269" s="732">
        <v>20</v>
      </c>
      <c r="AL269" s="721">
        <f t="shared" si="46"/>
        <v>0</v>
      </c>
      <c r="AM269" s="284">
        <f>IF($O270,_xll.qDateYears($O269,$O270,DCC_Leg1_Fixed),0)</f>
        <v>0</v>
      </c>
      <c r="AN269" s="284">
        <f>IF($O270,_xll.qDateYears($O269,$O270,DCC_Leg1_Float),0)</f>
        <v>0</v>
      </c>
      <c r="AP269" s="350">
        <f t="shared" si="52"/>
        <v>0</v>
      </c>
      <c r="AQ269" s="375">
        <f>IF(GenType_1a="Fixed",GenRate_1a%*$AL268*AM268,          IF(GenType_1a="Float",$AL268*(_xll.qGetFwdRate($D$18,$O268,$O269,"T",DCC_Leg1_Float)%+GenRate_1a%%)*$AN268,        IF(GenType_1a="bp (Fixed)",GenRate_1a%%*$AM268*$AL268,   IF(GenType_1a="bp (Float)",GenRate_1a%%*$AL268*$AN268,0))))</f>
        <v>0</v>
      </c>
      <c r="AR269" s="561"/>
      <c r="AT269" s="341">
        <f t="shared" si="56"/>
        <v>0</v>
      </c>
      <c r="AV269" s="356"/>
      <c r="AW269" s="122">
        <v>0</v>
      </c>
      <c r="AX269" s="128">
        <f t="shared" si="47"/>
        <v>0</v>
      </c>
      <c r="AY269" s="357">
        <v>0</v>
      </c>
      <c r="AZ269" s="699">
        <f>IF($AW270=0,0,        _xll.qDateNext($AW269,AZ$17,"M",TRUE,Currency2))</f>
        <v>0</v>
      </c>
      <c r="BA269" s="699">
        <f>IF($AW270=0,0,        _xll.qDateNext($AW269,BA$17,"M",TRUE,Currency2))</f>
        <v>0</v>
      </c>
      <c r="BB269" s="699">
        <f>IF($AW270=0,0,        _xll.qDateNext($AW269,BB$17,"M",TRUE,Currency2))</f>
        <v>0</v>
      </c>
      <c r="BC269" s="699">
        <f>IF($AW270=0,0,        _xll.qDateNext($AW269,BC$17,"M",TRUE,Currency2))</f>
        <v>0</v>
      </c>
      <c r="BD269" s="699">
        <f>IF($AW270=0,0,        _xll.qDateNext($AW269,BD$17,"M",TRUE,Currency2))</f>
        <v>0</v>
      </c>
      <c r="BE269" s="699">
        <f>IF($AW270=0,0,        _xll.qDateNext($AW269,BE$17,"M",TRUE,Currency2))</f>
        <v>0</v>
      </c>
      <c r="BF269" s="699">
        <f>IF($AW270=0,0,        _xll.qDateNext($AW269,BF$17,"M",TRUE,Currency2))</f>
        <v>0</v>
      </c>
      <c r="BG269" s="699">
        <f>IF($AW270=0,0,        _xll.qDateNext($AW269,BG$17,"M",TRUE,Currency2))</f>
        <v>0</v>
      </c>
      <c r="BH269" s="703">
        <v>0</v>
      </c>
      <c r="BI269" s="703">
        <v>0</v>
      </c>
      <c r="BJ269" s="703">
        <v>0</v>
      </c>
      <c r="BK269" s="703">
        <v>0</v>
      </c>
      <c r="BL269" s="703">
        <f t="shared" si="53"/>
        <v>0</v>
      </c>
      <c r="BM269" s="703">
        <f t="shared" si="54"/>
        <v>0</v>
      </c>
      <c r="BN269" s="703">
        <v>0</v>
      </c>
      <c r="BO269" s="703">
        <v>0</v>
      </c>
      <c r="BP269" s="685">
        <v>0</v>
      </c>
      <c r="BQ269" s="667"/>
      <c r="BR269" s="670">
        <f>IF(AW270=0,0,             IF(ISNUMBER(BQ269),BQ269,             IF(ISTEXT(BQ269),INDEX(BH269:BO269,MATCH(BQ269,$BH$17:$BO$17,0)),           IF(BP269="INT",_xll.qInterp(AW270,AZ269:BG269,BH269:BO269),       INDEX(BH269:BO269,MATCH(BP269,$BH$17:$BO$17,0))))))</f>
        <v>0</v>
      </c>
      <c r="BS269" s="731">
        <f t="shared" si="48"/>
        <v>0</v>
      </c>
      <c r="BT269" s="406">
        <f t="shared" si="49"/>
        <v>0</v>
      </c>
      <c r="BU269" s="284">
        <f>IF($AW270,_xll.qDateYears($AW269,$AW270,DCC_Leg2_Fixed),0)</f>
        <v>0</v>
      </c>
      <c r="BV269" s="284">
        <f>IF($AW270,_xll.qDateYears($AW269,$AW270,DCC_Leg2_Float),0)</f>
        <v>0</v>
      </c>
      <c r="BX269" s="350">
        <f t="shared" si="55"/>
        <v>0</v>
      </c>
      <c r="BY269" s="375">
        <f>IF(GenType_2a="Fixed",GenRate_2a%*$BT268*BU268,          IF(GenType_2a="Float",$BT268*(_xll.qGetFwdRate($J$18,$AW268,$AW269,"T",DCC_Leg2_Float)%+GenRate_2a%%)*$BV268,        IF(GenType_2a="bp (Fixed)",GenRate_2a%%*$BU268*$BT268,   IF(GenType_2a="bp (Float)",GenRate_2a%%*$BT268*$BV268,0))))</f>
        <v>0</v>
      </c>
      <c r="BZ269" s="561"/>
      <c r="CB269" s="341">
        <f t="shared" si="57"/>
        <v>0</v>
      </c>
      <c r="CC269" s="563"/>
      <c r="CD269" s="356"/>
      <c r="CE269" s="341">
        <v>0</v>
      </c>
      <c r="CF269" s="563"/>
      <c r="CG269" s="356"/>
    </row>
    <row r="270" spans="15:85">
      <c r="O270" s="122">
        <v>0</v>
      </c>
      <c r="P270" s="128">
        <f t="shared" si="44"/>
        <v>0</v>
      </c>
      <c r="Q270" s="126">
        <v>0</v>
      </c>
      <c r="R270" s="699">
        <f>IF($O271=0,0,        _xll.qDateNext($O270,R$17,"M",TRUE,Currency1))</f>
        <v>0</v>
      </c>
      <c r="S270" s="699">
        <f>IF($O271=0,0,        _xll.qDateNext($O270,S$17,"M",TRUE,Currency1))</f>
        <v>0</v>
      </c>
      <c r="T270" s="699">
        <f>IF($O271=0,0,        _xll.qDateNext($O270,T$17,"M",TRUE,Currency1))</f>
        <v>0</v>
      </c>
      <c r="U270" s="699">
        <f>IF($O271=0,0,        _xll.qDateNext($O270,U$17,"M",TRUE,Currency1))</f>
        <v>0</v>
      </c>
      <c r="V270" s="699">
        <f>IF($O271=0,0,        _xll.qDateNext($O270,V$17,"M",TRUE,Currency1))</f>
        <v>0</v>
      </c>
      <c r="W270" s="699">
        <f>IF($O271=0,0,        _xll.qDateNext($O270,W$17,"M",TRUE,Currency1))</f>
        <v>0</v>
      </c>
      <c r="X270" s="699">
        <f>IF($O271=0,0,        _xll.qDateNext($O270,X$17,"M",TRUE,Currency1))</f>
        <v>0</v>
      </c>
      <c r="Y270" s="699">
        <f>IF($O271=0,0,        _xll.qDateNext($O270,Y$17,"M",TRUE,Currency1))</f>
        <v>0</v>
      </c>
      <c r="Z270" s="703">
        <f>IF($O271=0,0,           IF(FRM,_xll.qGetFwdRate(Z$14,$O270,R270,"T",DCC_Leg1_Float),_xll.qGetFwdRate(Z$14,$O270,$O271,"T",DCC_Leg1_Float)))</f>
        <v>0</v>
      </c>
      <c r="AA270" s="703">
        <f>IF($O271=0,0,           IF(FRM,_xll.qGetFwdRate(AA$14,$O270,S270,"T",DCC_Leg1_Float),_xll.qGetFwdRate(AA$14,$O270,$O271,"T",DCC_Leg1_Float)))</f>
        <v>0</v>
      </c>
      <c r="AB270" s="703">
        <f t="shared" si="45"/>
        <v>0</v>
      </c>
      <c r="AC270" s="703">
        <f>IF($O271=0,0,           IF(FRM,_xll.qGetFwdRate(AC$14,$O270,U270,"T",DCC_Leg1_Float),_xll.qGetFwdRate(AC$14,$O270,$O271,"T",DCC_Leg1_Float)))</f>
        <v>0</v>
      </c>
      <c r="AD270" s="703">
        <f t="shared" si="50"/>
        <v>0</v>
      </c>
      <c r="AE270" s="703">
        <f t="shared" si="51"/>
        <v>0</v>
      </c>
      <c r="AF270" s="703">
        <f>IF($O271=0,0,           IF(FRM,_xll.qGetFwdRate(AF$14,$O270,X270,"T",DCC_Leg1_Float),_xll.qGetFwdRate(AF$14,$O270,$O271,"T",DCC_Leg1_Float)))</f>
        <v>0</v>
      </c>
      <c r="AG270" s="703">
        <f>IF($O271=0,0,           IF(FRM,_xll.qGetFwdRate(AG$14,$O270,Y270,"T",DCC_Leg1_Float),_xll.qGetFwdRate(AG$14,$O270,$O271,"T",DCC_Leg1_Float)))</f>
        <v>0</v>
      </c>
      <c r="AH270" s="685">
        <v>0</v>
      </c>
      <c r="AI270" s="667"/>
      <c r="AJ270" s="670">
        <f>IF(O271=0,0,             IF(ISNUMBER(AI270),AI270,             IF(ISTEXT(AI270),INDEX(Z270:AG270,MATCH(AI270,$Z$17:$AG$17,0)),           IF(AH270="INT",_xll.qInterp(O271,R270:Y270,Z270:AG270),       INDEX(Z270:AG270,MATCH(AH270,$Z$17:$AG$17,0))))))</f>
        <v>0</v>
      </c>
      <c r="AK270" s="732">
        <v>20</v>
      </c>
      <c r="AL270" s="721">
        <f t="shared" si="46"/>
        <v>0</v>
      </c>
      <c r="AM270" s="284">
        <f>IF($O271,_xll.qDateYears($O270,$O271,DCC_Leg1_Fixed),0)</f>
        <v>0</v>
      </c>
      <c r="AN270" s="284">
        <f>IF($O271,_xll.qDateYears($O270,$O271,DCC_Leg1_Float),0)</f>
        <v>0</v>
      </c>
      <c r="AP270" s="350">
        <f t="shared" si="52"/>
        <v>0</v>
      </c>
      <c r="AQ270" s="375">
        <f>IF(GenType_1a="Fixed",GenRate_1a%*$AL269*AM269,          IF(GenType_1a="Float",$AL269*(_xll.qGetFwdRate($D$18,$O269,$O270,"T",DCC_Leg1_Float)%+GenRate_1a%%)*$AN269,        IF(GenType_1a="bp (Fixed)",GenRate_1a%%*$AM269*$AL269,   IF(GenType_1a="bp (Float)",GenRate_1a%%*$AL269*$AN269,0))))</f>
        <v>0</v>
      </c>
      <c r="AR270" s="561"/>
      <c r="AT270" s="341">
        <f t="shared" si="56"/>
        <v>0</v>
      </c>
      <c r="AV270" s="356"/>
      <c r="AW270" s="122">
        <v>0</v>
      </c>
      <c r="AX270" s="128">
        <f t="shared" si="47"/>
        <v>0</v>
      </c>
      <c r="AY270" s="357">
        <v>0</v>
      </c>
      <c r="AZ270" s="699">
        <f>IF($AW271=0,0,        _xll.qDateNext($AW270,AZ$17,"M",TRUE,Currency2))</f>
        <v>0</v>
      </c>
      <c r="BA270" s="699">
        <f>IF($AW271=0,0,        _xll.qDateNext($AW270,BA$17,"M",TRUE,Currency2))</f>
        <v>0</v>
      </c>
      <c r="BB270" s="699">
        <f>IF($AW271=0,0,        _xll.qDateNext($AW270,BB$17,"M",TRUE,Currency2))</f>
        <v>0</v>
      </c>
      <c r="BC270" s="699">
        <f>IF($AW271=0,0,        _xll.qDateNext($AW270,BC$17,"M",TRUE,Currency2))</f>
        <v>0</v>
      </c>
      <c r="BD270" s="699">
        <f>IF($AW271=0,0,        _xll.qDateNext($AW270,BD$17,"M",TRUE,Currency2))</f>
        <v>0</v>
      </c>
      <c r="BE270" s="699">
        <f>IF($AW271=0,0,        _xll.qDateNext($AW270,BE$17,"M",TRUE,Currency2))</f>
        <v>0</v>
      </c>
      <c r="BF270" s="699">
        <f>IF($AW271=0,0,        _xll.qDateNext($AW270,BF$17,"M",TRUE,Currency2))</f>
        <v>0</v>
      </c>
      <c r="BG270" s="699">
        <f>IF($AW271=0,0,        _xll.qDateNext($AW270,BG$17,"M",TRUE,Currency2))</f>
        <v>0</v>
      </c>
      <c r="BH270" s="703">
        <v>0</v>
      </c>
      <c r="BI270" s="703">
        <v>0</v>
      </c>
      <c r="BJ270" s="703">
        <v>0</v>
      </c>
      <c r="BK270" s="703">
        <v>0</v>
      </c>
      <c r="BL270" s="703">
        <f t="shared" si="53"/>
        <v>0</v>
      </c>
      <c r="BM270" s="703">
        <f t="shared" si="54"/>
        <v>0</v>
      </c>
      <c r="BN270" s="703">
        <v>0</v>
      </c>
      <c r="BO270" s="703">
        <v>0</v>
      </c>
      <c r="BP270" s="685">
        <v>0</v>
      </c>
      <c r="BQ270" s="667"/>
      <c r="BR270" s="670">
        <f>IF(AW271=0,0,             IF(ISNUMBER(BQ270),BQ270,             IF(ISTEXT(BQ270),INDEX(BH270:BO270,MATCH(BQ270,$BH$17:$BO$17,0)),           IF(BP270="INT",_xll.qInterp(AW271,AZ270:BG270,BH270:BO270),       INDEX(BH270:BO270,MATCH(BP270,$BH$17:$BO$17,0))))))</f>
        <v>0</v>
      </c>
      <c r="BS270" s="731">
        <f t="shared" si="48"/>
        <v>0</v>
      </c>
      <c r="BT270" s="406">
        <f t="shared" si="49"/>
        <v>0</v>
      </c>
      <c r="BU270" s="284">
        <f>IF($AW271,_xll.qDateYears($AW270,$AW271,DCC_Leg2_Fixed),0)</f>
        <v>0</v>
      </c>
      <c r="BV270" s="284">
        <f>IF($AW271,_xll.qDateYears($AW270,$AW271,DCC_Leg2_Float),0)</f>
        <v>0</v>
      </c>
      <c r="BX270" s="350">
        <f t="shared" si="55"/>
        <v>0</v>
      </c>
      <c r="BY270" s="375">
        <f>IF(GenType_2a="Fixed",GenRate_2a%*$BT269*BU269,          IF(GenType_2a="Float",$BT269*(_xll.qGetFwdRate($J$18,$AW269,$AW270,"T",DCC_Leg2_Float)%+GenRate_2a%%)*$BV269,        IF(GenType_2a="bp (Fixed)",GenRate_2a%%*$BU269*$BT269,   IF(GenType_2a="bp (Float)",GenRate_2a%%*$BT269*$BV269,0))))</f>
        <v>0</v>
      </c>
      <c r="BZ270" s="561"/>
      <c r="CB270" s="341">
        <f t="shared" si="57"/>
        <v>0</v>
      </c>
      <c r="CC270" s="563"/>
      <c r="CD270" s="356"/>
      <c r="CE270" s="341">
        <v>0</v>
      </c>
      <c r="CF270" s="563"/>
      <c r="CG270" s="356"/>
    </row>
    <row r="271" spans="15:85">
      <c r="O271" s="122">
        <v>0</v>
      </c>
      <c r="P271" s="128">
        <f t="shared" si="44"/>
        <v>0</v>
      </c>
      <c r="Q271" s="126">
        <v>0</v>
      </c>
      <c r="R271" s="699">
        <f>IF($O272=0,0,        _xll.qDateNext($O271,R$17,"M",TRUE,Currency1))</f>
        <v>0</v>
      </c>
      <c r="S271" s="699">
        <f>IF($O272=0,0,        _xll.qDateNext($O271,S$17,"M",TRUE,Currency1))</f>
        <v>0</v>
      </c>
      <c r="T271" s="699">
        <f>IF($O272=0,0,        _xll.qDateNext($O271,T$17,"M",TRUE,Currency1))</f>
        <v>0</v>
      </c>
      <c r="U271" s="699">
        <f>IF($O272=0,0,        _xll.qDateNext($O271,U$17,"M",TRUE,Currency1))</f>
        <v>0</v>
      </c>
      <c r="V271" s="699">
        <f>IF($O272=0,0,        _xll.qDateNext($O271,V$17,"M",TRUE,Currency1))</f>
        <v>0</v>
      </c>
      <c r="W271" s="699">
        <f>IF($O272=0,0,        _xll.qDateNext($O271,W$17,"M",TRUE,Currency1))</f>
        <v>0</v>
      </c>
      <c r="X271" s="699">
        <f>IF($O272=0,0,        _xll.qDateNext($O271,X$17,"M",TRUE,Currency1))</f>
        <v>0</v>
      </c>
      <c r="Y271" s="699">
        <f>IF($O272=0,0,        _xll.qDateNext($O271,Y$17,"M",TRUE,Currency1))</f>
        <v>0</v>
      </c>
      <c r="Z271" s="703">
        <f>IF($O272=0,0,           IF(FRM,_xll.qGetFwdRate(Z$14,$O271,R271,"T",DCC_Leg1_Float),_xll.qGetFwdRate(Z$14,$O271,$O272,"T",DCC_Leg1_Float)))</f>
        <v>0</v>
      </c>
      <c r="AA271" s="703">
        <f>IF($O272=0,0,           IF(FRM,_xll.qGetFwdRate(AA$14,$O271,S271,"T",DCC_Leg1_Float),_xll.qGetFwdRate(AA$14,$O271,$O272,"T",DCC_Leg1_Float)))</f>
        <v>0</v>
      </c>
      <c r="AB271" s="703">
        <f t="shared" si="45"/>
        <v>0</v>
      </c>
      <c r="AC271" s="703">
        <f>IF($O272=0,0,           IF(FRM,_xll.qGetFwdRate(AC$14,$O271,U271,"T",DCC_Leg1_Float),_xll.qGetFwdRate(AC$14,$O271,$O272,"T",DCC_Leg1_Float)))</f>
        <v>0</v>
      </c>
      <c r="AD271" s="703">
        <f t="shared" si="50"/>
        <v>0</v>
      </c>
      <c r="AE271" s="703">
        <f t="shared" si="51"/>
        <v>0</v>
      </c>
      <c r="AF271" s="703">
        <f>IF($O272=0,0,           IF(FRM,_xll.qGetFwdRate(AF$14,$O271,X271,"T",DCC_Leg1_Float),_xll.qGetFwdRate(AF$14,$O271,$O272,"T",DCC_Leg1_Float)))</f>
        <v>0</v>
      </c>
      <c r="AG271" s="703">
        <f>IF($O272=0,0,           IF(FRM,_xll.qGetFwdRate(AG$14,$O271,Y271,"T",DCC_Leg1_Float),_xll.qGetFwdRate(AG$14,$O271,$O272,"T",DCC_Leg1_Float)))</f>
        <v>0</v>
      </c>
      <c r="AH271" s="685">
        <v>0</v>
      </c>
      <c r="AI271" s="667"/>
      <c r="AJ271" s="670">
        <f>IF(O272=0,0,             IF(ISNUMBER(AI271),AI271,             IF(ISTEXT(AI271),INDEX(Z271:AG271,MATCH(AI271,$Z$17:$AG$17,0)),           IF(AH271="INT",_xll.qInterp(O272,R271:Y271,Z271:AG271),       INDEX(Z271:AG271,MATCH(AH271,$Z$17:$AG$17,0))))))</f>
        <v>0</v>
      </c>
      <c r="AK271" s="732">
        <v>20</v>
      </c>
      <c r="AL271" s="721">
        <f t="shared" si="46"/>
        <v>0</v>
      </c>
      <c r="AM271" s="284">
        <f>IF($O272,_xll.qDateYears($O271,$O272,DCC_Leg1_Fixed),0)</f>
        <v>0</v>
      </c>
      <c r="AN271" s="284">
        <f>IF($O272,_xll.qDateYears($O271,$O272,DCC_Leg1_Float),0)</f>
        <v>0</v>
      </c>
      <c r="AP271" s="350">
        <f t="shared" si="52"/>
        <v>0</v>
      </c>
      <c r="AQ271" s="375">
        <f>IF(GenType_1a="Fixed",GenRate_1a%*$AL270*AM270,          IF(GenType_1a="Float",$AL270*(_xll.qGetFwdRate($D$18,$O270,$O271,"T",DCC_Leg1_Float)%+GenRate_1a%%)*$AN270,        IF(GenType_1a="bp (Fixed)",GenRate_1a%%*$AM270*$AL270,   IF(GenType_1a="bp (Float)",GenRate_1a%%*$AL270*$AN270,0))))</f>
        <v>0</v>
      </c>
      <c r="AR271" s="561"/>
      <c r="AT271" s="341">
        <f t="shared" si="56"/>
        <v>0</v>
      </c>
      <c r="AV271" s="356"/>
      <c r="AW271" s="122">
        <v>0</v>
      </c>
      <c r="AX271" s="128">
        <f t="shared" si="47"/>
        <v>0</v>
      </c>
      <c r="AY271" s="357">
        <v>0</v>
      </c>
      <c r="AZ271" s="699">
        <f>IF($AW272=0,0,        _xll.qDateNext($AW271,AZ$17,"M",TRUE,Currency2))</f>
        <v>0</v>
      </c>
      <c r="BA271" s="699">
        <f>IF($AW272=0,0,        _xll.qDateNext($AW271,BA$17,"M",TRUE,Currency2))</f>
        <v>0</v>
      </c>
      <c r="BB271" s="699">
        <f>IF($AW272=0,0,        _xll.qDateNext($AW271,BB$17,"M",TRUE,Currency2))</f>
        <v>0</v>
      </c>
      <c r="BC271" s="699">
        <f>IF($AW272=0,0,        _xll.qDateNext($AW271,BC$17,"M",TRUE,Currency2))</f>
        <v>0</v>
      </c>
      <c r="BD271" s="699">
        <f>IF($AW272=0,0,        _xll.qDateNext($AW271,BD$17,"M",TRUE,Currency2))</f>
        <v>0</v>
      </c>
      <c r="BE271" s="699">
        <f>IF($AW272=0,0,        _xll.qDateNext($AW271,BE$17,"M",TRUE,Currency2))</f>
        <v>0</v>
      </c>
      <c r="BF271" s="699">
        <f>IF($AW272=0,0,        _xll.qDateNext($AW271,BF$17,"M",TRUE,Currency2))</f>
        <v>0</v>
      </c>
      <c r="BG271" s="699">
        <f>IF($AW272=0,0,        _xll.qDateNext($AW271,BG$17,"M",TRUE,Currency2))</f>
        <v>0</v>
      </c>
      <c r="BH271" s="703">
        <v>0</v>
      </c>
      <c r="BI271" s="703">
        <v>0</v>
      </c>
      <c r="BJ271" s="703">
        <v>0</v>
      </c>
      <c r="BK271" s="703">
        <v>0</v>
      </c>
      <c r="BL271" s="703">
        <f t="shared" si="53"/>
        <v>0</v>
      </c>
      <c r="BM271" s="703">
        <f t="shared" si="54"/>
        <v>0</v>
      </c>
      <c r="BN271" s="703">
        <v>0</v>
      </c>
      <c r="BO271" s="703">
        <v>0</v>
      </c>
      <c r="BP271" s="685">
        <v>0</v>
      </c>
      <c r="BQ271" s="667"/>
      <c r="BR271" s="670">
        <f>IF(AW272=0,0,             IF(ISNUMBER(BQ271),BQ271,             IF(ISTEXT(BQ271),INDEX(BH271:BO271,MATCH(BQ271,$BH$17:$BO$17,0)),           IF(BP271="INT",_xll.qInterp(AW272,AZ271:BG271,BH271:BO271),       INDEX(BH271:BO271,MATCH(BP271,$BH$17:$BO$17,0))))))</f>
        <v>0</v>
      </c>
      <c r="BS271" s="731">
        <f t="shared" si="48"/>
        <v>0</v>
      </c>
      <c r="BT271" s="406">
        <f t="shared" si="49"/>
        <v>0</v>
      </c>
      <c r="BU271" s="284">
        <f>IF($AW272,_xll.qDateYears($AW271,$AW272,DCC_Leg2_Fixed),0)</f>
        <v>0</v>
      </c>
      <c r="BV271" s="284">
        <f>IF($AW272,_xll.qDateYears($AW271,$AW272,DCC_Leg2_Float),0)</f>
        <v>0</v>
      </c>
      <c r="BX271" s="350">
        <f t="shared" si="55"/>
        <v>0</v>
      </c>
      <c r="BY271" s="375">
        <f>IF(GenType_2a="Fixed",GenRate_2a%*$BT270*BU270,          IF(GenType_2a="Float",$BT270*(_xll.qGetFwdRate($J$18,$AW270,$AW271,"T",DCC_Leg2_Float)%+GenRate_2a%%)*$BV270,        IF(GenType_2a="bp (Fixed)",GenRate_2a%%*$BU270*$BT270,   IF(GenType_2a="bp (Float)",GenRate_2a%%*$BT270*$BV270,0))))</f>
        <v>0</v>
      </c>
      <c r="BZ271" s="561"/>
      <c r="CB271" s="341">
        <f t="shared" si="57"/>
        <v>0</v>
      </c>
      <c r="CC271" s="563"/>
      <c r="CD271" s="356"/>
      <c r="CE271" s="341">
        <v>0</v>
      </c>
      <c r="CF271" s="563"/>
      <c r="CG271" s="356"/>
    </row>
    <row r="272" spans="15:85">
      <c r="O272" s="122">
        <v>0</v>
      </c>
      <c r="P272" s="128">
        <f t="shared" si="44"/>
        <v>0</v>
      </c>
      <c r="Q272" s="126">
        <v>0</v>
      </c>
      <c r="R272" s="699">
        <f>IF($O273=0,0,        _xll.qDateNext($O272,R$17,"M",TRUE,Currency1))</f>
        <v>0</v>
      </c>
      <c r="S272" s="699">
        <f>IF($O273=0,0,        _xll.qDateNext($O272,S$17,"M",TRUE,Currency1))</f>
        <v>0</v>
      </c>
      <c r="T272" s="699">
        <f>IF($O273=0,0,        _xll.qDateNext($O272,T$17,"M",TRUE,Currency1))</f>
        <v>0</v>
      </c>
      <c r="U272" s="699">
        <f>IF($O273=0,0,        _xll.qDateNext($O272,U$17,"M",TRUE,Currency1))</f>
        <v>0</v>
      </c>
      <c r="V272" s="699">
        <f>IF($O273=0,0,        _xll.qDateNext($O272,V$17,"M",TRUE,Currency1))</f>
        <v>0</v>
      </c>
      <c r="W272" s="699">
        <f>IF($O273=0,0,        _xll.qDateNext($O272,W$17,"M",TRUE,Currency1))</f>
        <v>0</v>
      </c>
      <c r="X272" s="699">
        <f>IF($O273=0,0,        _xll.qDateNext($O272,X$17,"M",TRUE,Currency1))</f>
        <v>0</v>
      </c>
      <c r="Y272" s="699">
        <f>IF($O273=0,0,        _xll.qDateNext($O272,Y$17,"M",TRUE,Currency1))</f>
        <v>0</v>
      </c>
      <c r="Z272" s="703">
        <f>IF($O273=0,0,           IF(FRM,_xll.qGetFwdRate(Z$14,$O272,R272,"T",DCC_Leg1_Float),_xll.qGetFwdRate(Z$14,$O272,$O273,"T",DCC_Leg1_Float)))</f>
        <v>0</v>
      </c>
      <c r="AA272" s="703">
        <f>IF($O273=0,0,           IF(FRM,_xll.qGetFwdRate(AA$14,$O272,S272,"T",DCC_Leg1_Float),_xll.qGetFwdRate(AA$14,$O272,$O273,"T",DCC_Leg1_Float)))</f>
        <v>0</v>
      </c>
      <c r="AB272" s="703">
        <f t="shared" si="45"/>
        <v>0</v>
      </c>
      <c r="AC272" s="703">
        <f>IF($O273=0,0,           IF(FRM,_xll.qGetFwdRate(AC$14,$O272,U272,"T",DCC_Leg1_Float),_xll.qGetFwdRate(AC$14,$O272,$O273,"T",DCC_Leg1_Float)))</f>
        <v>0</v>
      </c>
      <c r="AD272" s="703">
        <f t="shared" si="50"/>
        <v>0</v>
      </c>
      <c r="AE272" s="703">
        <f t="shared" si="51"/>
        <v>0</v>
      </c>
      <c r="AF272" s="703">
        <f>IF($O273=0,0,           IF(FRM,_xll.qGetFwdRate(AF$14,$O272,X272,"T",DCC_Leg1_Float),_xll.qGetFwdRate(AF$14,$O272,$O273,"T",DCC_Leg1_Float)))</f>
        <v>0</v>
      </c>
      <c r="AG272" s="703">
        <f>IF($O273=0,0,           IF(FRM,_xll.qGetFwdRate(AG$14,$O272,Y272,"T",DCC_Leg1_Float),_xll.qGetFwdRate(AG$14,$O272,$O273,"T",DCC_Leg1_Float)))</f>
        <v>0</v>
      </c>
      <c r="AH272" s="685">
        <v>0</v>
      </c>
      <c r="AI272" s="667"/>
      <c r="AJ272" s="670">
        <f>IF(O273=0,0,             IF(ISNUMBER(AI272),AI272,             IF(ISTEXT(AI272),INDEX(Z272:AG272,MATCH(AI272,$Z$17:$AG$17,0)),           IF(AH272="INT",_xll.qInterp(O273,R272:Y272,Z272:AG272),       INDEX(Z272:AG272,MATCH(AH272,$Z$17:$AG$17,0))))))</f>
        <v>0</v>
      </c>
      <c r="AK272" s="732">
        <v>20</v>
      </c>
      <c r="AL272" s="721">
        <f t="shared" si="46"/>
        <v>0</v>
      </c>
      <c r="AM272" s="284">
        <f>IF($O273,_xll.qDateYears($O272,$O273,DCC_Leg1_Fixed),0)</f>
        <v>0</v>
      </c>
      <c r="AN272" s="284">
        <f>IF($O273,_xll.qDateYears($O272,$O273,DCC_Leg1_Float),0)</f>
        <v>0</v>
      </c>
      <c r="AP272" s="350">
        <f t="shared" si="52"/>
        <v>0</v>
      </c>
      <c r="AQ272" s="375">
        <f>IF(GenType_1a="Fixed",GenRate_1a%*$AL271*AM271,          IF(GenType_1a="Float",$AL271*(_xll.qGetFwdRate($D$18,$O271,$O272,"T",DCC_Leg1_Float)%+GenRate_1a%%)*$AN271,        IF(GenType_1a="bp (Fixed)",GenRate_1a%%*$AM271*$AL271,   IF(GenType_1a="bp (Float)",GenRate_1a%%*$AL271*$AN271,0))))</f>
        <v>0</v>
      </c>
      <c r="AR272" s="561"/>
      <c r="AT272" s="341">
        <f t="shared" si="56"/>
        <v>0</v>
      </c>
      <c r="AV272" s="356"/>
      <c r="AW272" s="122">
        <v>0</v>
      </c>
      <c r="AX272" s="128">
        <f t="shared" si="47"/>
        <v>0</v>
      </c>
      <c r="AY272" s="357">
        <v>0</v>
      </c>
      <c r="AZ272" s="699">
        <f>IF($AW273=0,0,        _xll.qDateNext($AW272,AZ$17,"M",TRUE,Currency2))</f>
        <v>0</v>
      </c>
      <c r="BA272" s="699">
        <f>IF($AW273=0,0,        _xll.qDateNext($AW272,BA$17,"M",TRUE,Currency2))</f>
        <v>0</v>
      </c>
      <c r="BB272" s="699">
        <f>IF($AW273=0,0,        _xll.qDateNext($AW272,BB$17,"M",TRUE,Currency2))</f>
        <v>0</v>
      </c>
      <c r="BC272" s="699">
        <f>IF($AW273=0,0,        _xll.qDateNext($AW272,BC$17,"M",TRUE,Currency2))</f>
        <v>0</v>
      </c>
      <c r="BD272" s="699">
        <f>IF($AW273=0,0,        _xll.qDateNext($AW272,BD$17,"M",TRUE,Currency2))</f>
        <v>0</v>
      </c>
      <c r="BE272" s="699">
        <f>IF($AW273=0,0,        _xll.qDateNext($AW272,BE$17,"M",TRUE,Currency2))</f>
        <v>0</v>
      </c>
      <c r="BF272" s="699">
        <f>IF($AW273=0,0,        _xll.qDateNext($AW272,BF$17,"M",TRUE,Currency2))</f>
        <v>0</v>
      </c>
      <c r="BG272" s="699">
        <f>IF($AW273=0,0,        _xll.qDateNext($AW272,BG$17,"M",TRUE,Currency2))</f>
        <v>0</v>
      </c>
      <c r="BH272" s="703">
        <v>0</v>
      </c>
      <c r="BI272" s="703">
        <v>0</v>
      </c>
      <c r="BJ272" s="703">
        <v>0</v>
      </c>
      <c r="BK272" s="703">
        <v>0</v>
      </c>
      <c r="BL272" s="703">
        <f t="shared" si="53"/>
        <v>0</v>
      </c>
      <c r="BM272" s="703">
        <f t="shared" si="54"/>
        <v>0</v>
      </c>
      <c r="BN272" s="703">
        <v>0</v>
      </c>
      <c r="BO272" s="703">
        <v>0</v>
      </c>
      <c r="BP272" s="685">
        <v>0</v>
      </c>
      <c r="BQ272" s="667"/>
      <c r="BR272" s="670">
        <f>IF(AW273=0,0,             IF(ISNUMBER(BQ272),BQ272,             IF(ISTEXT(BQ272),INDEX(BH272:BO272,MATCH(BQ272,$BH$17:$BO$17,0)),           IF(BP272="INT",_xll.qInterp(AW273,AZ272:BG272,BH272:BO272),       INDEX(BH272:BO272,MATCH(BP272,$BH$17:$BO$17,0))))))</f>
        <v>0</v>
      </c>
      <c r="BS272" s="731">
        <f t="shared" si="48"/>
        <v>0</v>
      </c>
      <c r="BT272" s="406">
        <f t="shared" si="49"/>
        <v>0</v>
      </c>
      <c r="BU272" s="284">
        <f>IF($AW273,_xll.qDateYears($AW272,$AW273,DCC_Leg2_Fixed),0)</f>
        <v>0</v>
      </c>
      <c r="BV272" s="284">
        <f>IF($AW273,_xll.qDateYears($AW272,$AW273,DCC_Leg2_Float),0)</f>
        <v>0</v>
      </c>
      <c r="BX272" s="350">
        <f t="shared" si="55"/>
        <v>0</v>
      </c>
      <c r="BY272" s="375">
        <f>IF(GenType_2a="Fixed",GenRate_2a%*$BT271*BU271,          IF(GenType_2a="Float",$BT271*(_xll.qGetFwdRate($J$18,$AW271,$AW272,"T",DCC_Leg2_Float)%+GenRate_2a%%)*$BV271,        IF(GenType_2a="bp (Fixed)",GenRate_2a%%*$BU271*$BT271,   IF(GenType_2a="bp (Float)",GenRate_2a%%*$BT271*$BV271,0))))</f>
        <v>0</v>
      </c>
      <c r="BZ272" s="561"/>
      <c r="CB272" s="341">
        <f t="shared" si="57"/>
        <v>0</v>
      </c>
      <c r="CC272" s="563"/>
      <c r="CD272" s="356"/>
      <c r="CE272" s="341">
        <v>0</v>
      </c>
      <c r="CF272" s="563"/>
      <c r="CG272" s="356"/>
    </row>
    <row r="273" spans="15:85">
      <c r="O273" s="122">
        <v>0</v>
      </c>
      <c r="P273" s="128">
        <f t="shared" si="44"/>
        <v>0</v>
      </c>
      <c r="Q273" s="126">
        <v>0</v>
      </c>
      <c r="R273" s="699">
        <f>IF($O274=0,0,        _xll.qDateNext($O273,R$17,"M",TRUE,Currency1))</f>
        <v>0</v>
      </c>
      <c r="S273" s="699">
        <f>IF($O274=0,0,        _xll.qDateNext($O273,S$17,"M",TRUE,Currency1))</f>
        <v>0</v>
      </c>
      <c r="T273" s="699">
        <f>IF($O274=0,0,        _xll.qDateNext($O273,T$17,"M",TRUE,Currency1))</f>
        <v>0</v>
      </c>
      <c r="U273" s="699">
        <f>IF($O274=0,0,        _xll.qDateNext($O273,U$17,"M",TRUE,Currency1))</f>
        <v>0</v>
      </c>
      <c r="V273" s="699">
        <f>IF($O274=0,0,        _xll.qDateNext($O273,V$17,"M",TRUE,Currency1))</f>
        <v>0</v>
      </c>
      <c r="W273" s="699">
        <f>IF($O274=0,0,        _xll.qDateNext($O273,W$17,"M",TRUE,Currency1))</f>
        <v>0</v>
      </c>
      <c r="X273" s="699">
        <f>IF($O274=0,0,        _xll.qDateNext($O273,X$17,"M",TRUE,Currency1))</f>
        <v>0</v>
      </c>
      <c r="Y273" s="699">
        <f>IF($O274=0,0,        _xll.qDateNext($O273,Y$17,"M",TRUE,Currency1))</f>
        <v>0</v>
      </c>
      <c r="Z273" s="703">
        <f>IF($O274=0,0,           IF(FRM,_xll.qGetFwdRate(Z$14,$O273,R273,"T",DCC_Leg1_Float),_xll.qGetFwdRate(Z$14,$O273,$O274,"T",DCC_Leg1_Float)))</f>
        <v>0</v>
      </c>
      <c r="AA273" s="703">
        <f>IF($O274=0,0,           IF(FRM,_xll.qGetFwdRate(AA$14,$O273,S273,"T",DCC_Leg1_Float),_xll.qGetFwdRate(AA$14,$O273,$O274,"T",DCC_Leg1_Float)))</f>
        <v>0</v>
      </c>
      <c r="AB273" s="703">
        <f t="shared" si="45"/>
        <v>0</v>
      </c>
      <c r="AC273" s="703">
        <f>IF($O274=0,0,           IF(FRM,_xll.qGetFwdRate(AC$14,$O273,U273,"T",DCC_Leg1_Float),_xll.qGetFwdRate(AC$14,$O273,$O274,"T",DCC_Leg1_Float)))</f>
        <v>0</v>
      </c>
      <c r="AD273" s="703">
        <f t="shared" si="50"/>
        <v>0</v>
      </c>
      <c r="AE273" s="703">
        <f t="shared" si="51"/>
        <v>0</v>
      </c>
      <c r="AF273" s="703">
        <f>IF($O274=0,0,           IF(FRM,_xll.qGetFwdRate(AF$14,$O273,X273,"T",DCC_Leg1_Float),_xll.qGetFwdRate(AF$14,$O273,$O274,"T",DCC_Leg1_Float)))</f>
        <v>0</v>
      </c>
      <c r="AG273" s="703">
        <f>IF($O274=0,0,           IF(FRM,_xll.qGetFwdRate(AG$14,$O273,Y273,"T",DCC_Leg1_Float),_xll.qGetFwdRate(AG$14,$O273,$O274,"T",DCC_Leg1_Float)))</f>
        <v>0</v>
      </c>
      <c r="AH273" s="685">
        <v>0</v>
      </c>
      <c r="AI273" s="667"/>
      <c r="AJ273" s="670">
        <f>IF(O274=0,0,             IF(ISNUMBER(AI273),AI273,             IF(ISTEXT(AI273),INDEX(Z273:AG273,MATCH(AI273,$Z$17:$AG$17,0)),           IF(AH273="INT",_xll.qInterp(O274,R273:Y273,Z273:AG273),       INDEX(Z273:AG273,MATCH(AH273,$Z$17:$AG$17,0))))))</f>
        <v>0</v>
      </c>
      <c r="AK273" s="732">
        <v>20</v>
      </c>
      <c r="AL273" s="721">
        <f t="shared" si="46"/>
        <v>0</v>
      </c>
      <c r="AM273" s="284">
        <f>IF($O274,_xll.qDateYears($O273,$O274,DCC_Leg1_Fixed),0)</f>
        <v>0</v>
      </c>
      <c r="AN273" s="284">
        <f>IF($O274,_xll.qDateYears($O273,$O274,DCC_Leg1_Float),0)</f>
        <v>0</v>
      </c>
      <c r="AP273" s="350">
        <f t="shared" si="52"/>
        <v>0</v>
      </c>
      <c r="AQ273" s="375">
        <f>IF(GenType_1a="Fixed",GenRate_1a%*$AL272*AM272,          IF(GenType_1a="Float",$AL272*(_xll.qGetFwdRate($D$18,$O272,$O273,"T",DCC_Leg1_Float)%+GenRate_1a%%)*$AN272,        IF(GenType_1a="bp (Fixed)",GenRate_1a%%*$AM272*$AL272,   IF(GenType_1a="bp (Float)",GenRate_1a%%*$AL272*$AN272,0))))</f>
        <v>0</v>
      </c>
      <c r="AR273" s="561"/>
      <c r="AT273" s="341">
        <f t="shared" si="56"/>
        <v>0</v>
      </c>
      <c r="AV273" s="356"/>
      <c r="AW273" s="122">
        <v>0</v>
      </c>
      <c r="AX273" s="128">
        <f t="shared" si="47"/>
        <v>0</v>
      </c>
      <c r="AY273" s="357">
        <v>0</v>
      </c>
      <c r="AZ273" s="699">
        <f>IF($AW274=0,0,        _xll.qDateNext($AW273,AZ$17,"M",TRUE,Currency2))</f>
        <v>0</v>
      </c>
      <c r="BA273" s="699">
        <f>IF($AW274=0,0,        _xll.qDateNext($AW273,BA$17,"M",TRUE,Currency2))</f>
        <v>0</v>
      </c>
      <c r="BB273" s="699">
        <f>IF($AW274=0,0,        _xll.qDateNext($AW273,BB$17,"M",TRUE,Currency2))</f>
        <v>0</v>
      </c>
      <c r="BC273" s="699">
        <f>IF($AW274=0,0,        _xll.qDateNext($AW273,BC$17,"M",TRUE,Currency2))</f>
        <v>0</v>
      </c>
      <c r="BD273" s="699">
        <f>IF($AW274=0,0,        _xll.qDateNext($AW273,BD$17,"M",TRUE,Currency2))</f>
        <v>0</v>
      </c>
      <c r="BE273" s="699">
        <f>IF($AW274=0,0,        _xll.qDateNext($AW273,BE$17,"M",TRUE,Currency2))</f>
        <v>0</v>
      </c>
      <c r="BF273" s="699">
        <f>IF($AW274=0,0,        _xll.qDateNext($AW273,BF$17,"M",TRUE,Currency2))</f>
        <v>0</v>
      </c>
      <c r="BG273" s="699">
        <f>IF($AW274=0,0,        _xll.qDateNext($AW273,BG$17,"M",TRUE,Currency2))</f>
        <v>0</v>
      </c>
      <c r="BH273" s="703">
        <v>0</v>
      </c>
      <c r="BI273" s="703">
        <v>0</v>
      </c>
      <c r="BJ273" s="703">
        <v>0</v>
      </c>
      <c r="BK273" s="703">
        <v>0</v>
      </c>
      <c r="BL273" s="703">
        <f t="shared" si="53"/>
        <v>0</v>
      </c>
      <c r="BM273" s="703">
        <f t="shared" si="54"/>
        <v>0</v>
      </c>
      <c r="BN273" s="703">
        <v>0</v>
      </c>
      <c r="BO273" s="703">
        <v>0</v>
      </c>
      <c r="BP273" s="685">
        <v>0</v>
      </c>
      <c r="BQ273" s="667"/>
      <c r="BR273" s="670">
        <f>IF(AW274=0,0,             IF(ISNUMBER(BQ273),BQ273,             IF(ISTEXT(BQ273),INDEX(BH273:BO273,MATCH(BQ273,$BH$17:$BO$17,0)),           IF(BP273="INT",_xll.qInterp(AW274,AZ273:BG273,BH273:BO273),       INDEX(BH273:BO273,MATCH(BP273,$BH$17:$BO$17,0))))))</f>
        <v>0</v>
      </c>
      <c r="BS273" s="731">
        <f t="shared" si="48"/>
        <v>0</v>
      </c>
      <c r="BT273" s="406">
        <f t="shared" si="49"/>
        <v>0</v>
      </c>
      <c r="BU273" s="284">
        <f>IF($AW274,_xll.qDateYears($AW273,$AW274,DCC_Leg2_Fixed),0)</f>
        <v>0</v>
      </c>
      <c r="BV273" s="284">
        <f>IF($AW274,_xll.qDateYears($AW273,$AW274,DCC_Leg2_Float),0)</f>
        <v>0</v>
      </c>
      <c r="BX273" s="350">
        <f t="shared" si="55"/>
        <v>0</v>
      </c>
      <c r="BY273" s="375">
        <f>IF(GenType_2a="Fixed",GenRate_2a%*$BT272*BU272,          IF(GenType_2a="Float",$BT272*(_xll.qGetFwdRate($J$18,$AW272,$AW273,"T",DCC_Leg2_Float)%+GenRate_2a%%)*$BV272,        IF(GenType_2a="bp (Fixed)",GenRate_2a%%*$BU272*$BT272,   IF(GenType_2a="bp (Float)",GenRate_2a%%*$BT272*$BV272,0))))</f>
        <v>0</v>
      </c>
      <c r="BZ273" s="561"/>
      <c r="CB273" s="341">
        <f t="shared" si="57"/>
        <v>0</v>
      </c>
      <c r="CC273" s="563"/>
      <c r="CD273" s="356"/>
      <c r="CE273" s="341">
        <v>0</v>
      </c>
      <c r="CF273" s="563"/>
      <c r="CG273" s="356"/>
    </row>
    <row r="274" spans="15:85">
      <c r="O274" s="122">
        <v>0</v>
      </c>
      <c r="P274" s="128">
        <f t="shared" ref="P274:P337" si="58">IF(O275,O275-O274,0)</f>
        <v>0</v>
      </c>
      <c r="Q274" s="126">
        <v>0</v>
      </c>
      <c r="R274" s="699">
        <f>IF($O275=0,0,        _xll.qDateNext($O274,R$17,"M",TRUE,Currency1))</f>
        <v>0</v>
      </c>
      <c r="S274" s="699">
        <f>IF($O275=0,0,        _xll.qDateNext($O274,S$17,"M",TRUE,Currency1))</f>
        <v>0</v>
      </c>
      <c r="T274" s="699">
        <f>IF($O275=0,0,        _xll.qDateNext($O274,T$17,"M",TRUE,Currency1))</f>
        <v>0</v>
      </c>
      <c r="U274" s="699">
        <f>IF($O275=0,0,        _xll.qDateNext($O274,U$17,"M",TRUE,Currency1))</f>
        <v>0</v>
      </c>
      <c r="V274" s="699">
        <f>IF($O275=0,0,        _xll.qDateNext($O274,V$17,"M",TRUE,Currency1))</f>
        <v>0</v>
      </c>
      <c r="W274" s="699">
        <f>IF($O275=0,0,        _xll.qDateNext($O274,W$17,"M",TRUE,Currency1))</f>
        <v>0</v>
      </c>
      <c r="X274" s="699">
        <f>IF($O275=0,0,        _xll.qDateNext($O274,X$17,"M",TRUE,Currency1))</f>
        <v>0</v>
      </c>
      <c r="Y274" s="699">
        <f>IF($O275=0,0,        _xll.qDateNext($O274,Y$17,"M",TRUE,Currency1))</f>
        <v>0</v>
      </c>
      <c r="Z274" s="703">
        <f>IF($O275=0,0,           IF(FRM,_xll.qGetFwdRate(Z$14,$O274,R274,"T",DCC_Leg1_Float),_xll.qGetFwdRate(Z$14,$O274,$O275,"T",DCC_Leg1_Float)))</f>
        <v>0</v>
      </c>
      <c r="AA274" s="703">
        <f>IF($O275=0,0,           IF(FRM,_xll.qGetFwdRate(AA$14,$O274,S274,"T",DCC_Leg1_Float),_xll.qGetFwdRate(AA$14,$O274,$O275,"T",DCC_Leg1_Float)))</f>
        <v>0</v>
      </c>
      <c r="AB274" s="703">
        <f t="shared" ref="AB274:AB337" si="59">AVERAGE(AA274,AC274)</f>
        <v>0</v>
      </c>
      <c r="AC274" s="703">
        <f>IF($O275=0,0,           IF(FRM,_xll.qGetFwdRate(AC$14,$O274,U274,"T",DCC_Leg1_Float),_xll.qGetFwdRate(AC$14,$O274,$O275,"T",DCC_Leg1_Float)))</f>
        <v>0</v>
      </c>
      <c r="AD274" s="703">
        <f t="shared" si="50"/>
        <v>0</v>
      </c>
      <c r="AE274" s="703">
        <f t="shared" si="51"/>
        <v>0</v>
      </c>
      <c r="AF274" s="703">
        <f>IF($O275=0,0,           IF(FRM,_xll.qGetFwdRate(AF$14,$O274,X274,"T",DCC_Leg1_Float),_xll.qGetFwdRate(AF$14,$O274,$O275,"T",DCC_Leg1_Float)))</f>
        <v>0</v>
      </c>
      <c r="AG274" s="703">
        <f>IF($O275=0,0,           IF(FRM,_xll.qGetFwdRate(AG$14,$O274,Y274,"T",DCC_Leg1_Float),_xll.qGetFwdRate(AG$14,$O274,$O275,"T",DCC_Leg1_Float)))</f>
        <v>0</v>
      </c>
      <c r="AH274" s="685">
        <v>0</v>
      </c>
      <c r="AI274" s="667"/>
      <c r="AJ274" s="670">
        <f>IF(O275=0,0,             IF(ISNUMBER(AI274),AI274,             IF(ISTEXT(AI274),INDEX(Z274:AG274,MATCH(AI274,$Z$17:$AG$17,0)),           IF(AH274="INT",_xll.qInterp(O275,R274:Y274,Z274:AG274),       INDEX(Z274:AG274,MATCH(AH274,$Z$17:$AG$17,0))))))</f>
        <v>0</v>
      </c>
      <c r="AK274" s="732">
        <v>20</v>
      </c>
      <c r="AL274" s="721">
        <f t="shared" ref="AL274:AL337" si="60">IF(O275,AK274*1000000*$AN$11,0)</f>
        <v>0</v>
      </c>
      <c r="AM274" s="284">
        <f>IF($O275,_xll.qDateYears($O274,$O275,DCC_Leg1_Fixed),0)</f>
        <v>0</v>
      </c>
      <c r="AN274" s="284">
        <f>IF($O275,_xll.qDateYears($O274,$O275,DCC_Leg1_Float),0)</f>
        <v>0</v>
      </c>
      <c r="AP274" s="350">
        <f t="shared" si="52"/>
        <v>0</v>
      </c>
      <c r="AQ274" s="375">
        <f>IF(GenType_1a="Fixed",GenRate_1a%*$AL273*AM273,          IF(GenType_1a="Float",$AL273*(_xll.qGetFwdRate($D$18,$O273,$O274,"T",DCC_Leg1_Float)%+GenRate_1a%%)*$AN273,        IF(GenType_1a="bp (Fixed)",GenRate_1a%%*$AM273*$AL273,   IF(GenType_1a="bp (Float)",GenRate_1a%%*$AL273*$AN273,0))))</f>
        <v>0</v>
      </c>
      <c r="AR274" s="561"/>
      <c r="AT274" s="341">
        <f t="shared" si="56"/>
        <v>0</v>
      </c>
      <c r="AV274" s="356"/>
      <c r="AW274" s="122">
        <v>0</v>
      </c>
      <c r="AX274" s="128">
        <f t="shared" ref="AX274:AX337" si="61">IF(AW275,AW275-AW274,0)</f>
        <v>0</v>
      </c>
      <c r="AY274" s="357">
        <v>0</v>
      </c>
      <c r="AZ274" s="699">
        <f>IF($AW275=0,0,        _xll.qDateNext($AW274,AZ$17,"M",TRUE,Currency2))</f>
        <v>0</v>
      </c>
      <c r="BA274" s="699">
        <f>IF($AW275=0,0,        _xll.qDateNext($AW274,BA$17,"M",TRUE,Currency2))</f>
        <v>0</v>
      </c>
      <c r="BB274" s="699">
        <f>IF($AW275=0,0,        _xll.qDateNext($AW274,BB$17,"M",TRUE,Currency2))</f>
        <v>0</v>
      </c>
      <c r="BC274" s="699">
        <f>IF($AW275=0,0,        _xll.qDateNext($AW274,BC$17,"M",TRUE,Currency2))</f>
        <v>0</v>
      </c>
      <c r="BD274" s="699">
        <f>IF($AW275=0,0,        _xll.qDateNext($AW274,BD$17,"M",TRUE,Currency2))</f>
        <v>0</v>
      </c>
      <c r="BE274" s="699">
        <f>IF($AW275=0,0,        _xll.qDateNext($AW274,BE$17,"M",TRUE,Currency2))</f>
        <v>0</v>
      </c>
      <c r="BF274" s="699">
        <f>IF($AW275=0,0,        _xll.qDateNext($AW274,BF$17,"M",TRUE,Currency2))</f>
        <v>0</v>
      </c>
      <c r="BG274" s="699">
        <f>IF($AW275=0,0,        _xll.qDateNext($AW274,BG$17,"M",TRUE,Currency2))</f>
        <v>0</v>
      </c>
      <c r="BH274" s="703">
        <v>0</v>
      </c>
      <c r="BI274" s="703">
        <v>0</v>
      </c>
      <c r="BJ274" s="703">
        <v>0</v>
      </c>
      <c r="BK274" s="703">
        <v>0</v>
      </c>
      <c r="BL274" s="703">
        <f t="shared" si="53"/>
        <v>0</v>
      </c>
      <c r="BM274" s="703">
        <f t="shared" si="54"/>
        <v>0</v>
      </c>
      <c r="BN274" s="703">
        <v>0</v>
      </c>
      <c r="BO274" s="703">
        <v>0</v>
      </c>
      <c r="BP274" s="685">
        <v>0</v>
      </c>
      <c r="BQ274" s="667"/>
      <c r="BR274" s="670">
        <f>IF(AW275=0,0,             IF(ISNUMBER(BQ274),BQ274,             IF(ISTEXT(BQ274),INDEX(BH274:BO274,MATCH(BQ274,$BH$17:$BO$17,0)),           IF(BP274="INT",_xll.qInterp(AW275,AZ274:BG274,BH274:BO274),       INDEX(BH274:BO274,MATCH(BP274,$BH$17:$BO$17,0))))))</f>
        <v>0</v>
      </c>
      <c r="BS274" s="731">
        <f t="shared" ref="BS274:BS337" si="62">IF(AW275,INDEX($AK$18:$AK$516,MATCH(AW274,OFFSET($O$18,0,0,$AN$12,1)))*$F$6,0)</f>
        <v>0</v>
      </c>
      <c r="BT274" s="406">
        <f t="shared" ref="BT274:BT337" si="63">IF(AW274,BS274*1000000*$BV$11,0)</f>
        <v>0</v>
      </c>
      <c r="BU274" s="284">
        <f>IF($AW275,_xll.qDateYears($AW274,$AW275,DCC_Leg2_Fixed),0)</f>
        <v>0</v>
      </c>
      <c r="BV274" s="284">
        <f>IF($AW275,_xll.qDateYears($AW274,$AW275,DCC_Leg2_Float),0)</f>
        <v>0</v>
      </c>
      <c r="BX274" s="350">
        <f t="shared" si="55"/>
        <v>0</v>
      </c>
      <c r="BY274" s="375">
        <f>IF(GenType_2a="Fixed",GenRate_2a%*$BT273*BU273,          IF(GenType_2a="Float",$BT273*(_xll.qGetFwdRate($J$18,$AW273,$AW274,"T",DCC_Leg2_Float)%+GenRate_2a%%)*$BV273,        IF(GenType_2a="bp (Fixed)",GenRate_2a%%*$BU273*$BT273,   IF(GenType_2a="bp (Float)",GenRate_2a%%*$BT273*$BV273,0))))</f>
        <v>0</v>
      </c>
      <c r="BZ274" s="561"/>
      <c r="CB274" s="341">
        <f t="shared" si="57"/>
        <v>0</v>
      </c>
      <c r="CC274" s="563"/>
      <c r="CD274" s="356"/>
      <c r="CE274" s="341">
        <v>0</v>
      </c>
      <c r="CF274" s="563"/>
      <c r="CG274" s="356"/>
    </row>
    <row r="275" spans="15:85">
      <c r="O275" s="122">
        <v>0</v>
      </c>
      <c r="P275" s="128">
        <f t="shared" si="58"/>
        <v>0</v>
      </c>
      <c r="Q275" s="126">
        <v>0</v>
      </c>
      <c r="R275" s="699">
        <f>IF($O276=0,0,        _xll.qDateNext($O275,R$17,"M",TRUE,Currency1))</f>
        <v>0</v>
      </c>
      <c r="S275" s="699">
        <f>IF($O276=0,0,        _xll.qDateNext($O275,S$17,"M",TRUE,Currency1))</f>
        <v>0</v>
      </c>
      <c r="T275" s="699">
        <f>IF($O276=0,0,        _xll.qDateNext($O275,T$17,"M",TRUE,Currency1))</f>
        <v>0</v>
      </c>
      <c r="U275" s="699">
        <f>IF($O276=0,0,        _xll.qDateNext($O275,U$17,"M",TRUE,Currency1))</f>
        <v>0</v>
      </c>
      <c r="V275" s="699">
        <f>IF($O276=0,0,        _xll.qDateNext($O275,V$17,"M",TRUE,Currency1))</f>
        <v>0</v>
      </c>
      <c r="W275" s="699">
        <f>IF($O276=0,0,        _xll.qDateNext($O275,W$17,"M",TRUE,Currency1))</f>
        <v>0</v>
      </c>
      <c r="X275" s="699">
        <f>IF($O276=0,0,        _xll.qDateNext($O275,X$17,"M",TRUE,Currency1))</f>
        <v>0</v>
      </c>
      <c r="Y275" s="699">
        <f>IF($O276=0,0,        _xll.qDateNext($O275,Y$17,"M",TRUE,Currency1))</f>
        <v>0</v>
      </c>
      <c r="Z275" s="703">
        <f>IF($O276=0,0,           IF(FRM,_xll.qGetFwdRate(Z$14,$O275,R275,"T",DCC_Leg1_Float),_xll.qGetFwdRate(Z$14,$O275,$O276,"T",DCC_Leg1_Float)))</f>
        <v>0</v>
      </c>
      <c r="AA275" s="703">
        <f>IF($O276=0,0,           IF(FRM,_xll.qGetFwdRate(AA$14,$O275,S275,"T",DCC_Leg1_Float),_xll.qGetFwdRate(AA$14,$O275,$O276,"T",DCC_Leg1_Float)))</f>
        <v>0</v>
      </c>
      <c r="AB275" s="703">
        <f t="shared" si="59"/>
        <v>0</v>
      </c>
      <c r="AC275" s="703">
        <f>IF($O276=0,0,           IF(FRM,_xll.qGetFwdRate(AC$14,$O275,U275,"T",DCC_Leg1_Float),_xll.qGetFwdRate(AC$14,$O275,$O276,"T",DCC_Leg1_Float)))</f>
        <v>0</v>
      </c>
      <c r="AD275" s="703">
        <f t="shared" ref="AD275:AD338" si="64">(AF275-AC275)/3+AC275</f>
        <v>0</v>
      </c>
      <c r="AE275" s="703">
        <f t="shared" ref="AE275:AE338" si="65">AVERAGE(AD275,AF275)</f>
        <v>0</v>
      </c>
      <c r="AF275" s="703">
        <f>IF($O276=0,0,           IF(FRM,_xll.qGetFwdRate(AF$14,$O275,X275,"T",DCC_Leg1_Float),_xll.qGetFwdRate(AF$14,$O275,$O276,"T",DCC_Leg1_Float)))</f>
        <v>0</v>
      </c>
      <c r="AG275" s="703">
        <f>IF($O276=0,0,           IF(FRM,_xll.qGetFwdRate(AG$14,$O275,Y275,"T",DCC_Leg1_Float),_xll.qGetFwdRate(AG$14,$O275,$O276,"T",DCC_Leg1_Float)))</f>
        <v>0</v>
      </c>
      <c r="AH275" s="685">
        <v>0</v>
      </c>
      <c r="AI275" s="667"/>
      <c r="AJ275" s="670">
        <f>IF(O276=0,0,             IF(ISNUMBER(AI275),AI275,             IF(ISTEXT(AI275),INDEX(Z275:AG275,MATCH(AI275,$Z$17:$AG$17,0)),           IF(AH275="INT",_xll.qInterp(O276,R275:Y275,Z275:AG275),       INDEX(Z275:AG275,MATCH(AH275,$Z$17:$AG$17,0))))))</f>
        <v>0</v>
      </c>
      <c r="AK275" s="732">
        <v>20</v>
      </c>
      <c r="AL275" s="721">
        <f t="shared" si="60"/>
        <v>0</v>
      </c>
      <c r="AM275" s="284">
        <f>IF($O276,_xll.qDateYears($O275,$O276,DCC_Leg1_Fixed),0)</f>
        <v>0</v>
      </c>
      <c r="AN275" s="284">
        <f>IF($O276,_xll.qDateYears($O275,$O276,DCC_Leg1_Float),0)</f>
        <v>0</v>
      </c>
      <c r="AP275" s="350">
        <f t="shared" ref="AP275:AP338" si="66">IF(Principal1?,$AL274-$AL275,       0)</f>
        <v>0</v>
      </c>
      <c r="AQ275" s="375">
        <f>IF(GenType_1a="Fixed",GenRate_1a%*$AL274*AM274,          IF(GenType_1a="Float",$AL274*(_xll.qGetFwdRate($D$18,$O274,$O275,"T",DCC_Leg1_Float)%+GenRate_1a%%)*$AN274,        IF(GenType_1a="bp (Fixed)",GenRate_1a%%*$AM274*$AL274,   IF(GenType_1a="bp (Float)",GenRate_1a%%*$AL274*$AN274,0))))</f>
        <v>0</v>
      </c>
      <c r="AR275" s="561"/>
      <c r="AT275" s="341">
        <f t="shared" si="56"/>
        <v>0</v>
      </c>
      <c r="AV275" s="356"/>
      <c r="AW275" s="122">
        <v>0</v>
      </c>
      <c r="AX275" s="128">
        <f t="shared" si="61"/>
        <v>0</v>
      </c>
      <c r="AY275" s="357">
        <v>0</v>
      </c>
      <c r="AZ275" s="699">
        <f>IF($AW276=0,0,        _xll.qDateNext($AW275,AZ$17,"M",TRUE,Currency2))</f>
        <v>0</v>
      </c>
      <c r="BA275" s="699">
        <f>IF($AW276=0,0,        _xll.qDateNext($AW275,BA$17,"M",TRUE,Currency2))</f>
        <v>0</v>
      </c>
      <c r="BB275" s="699">
        <f>IF($AW276=0,0,        _xll.qDateNext($AW275,BB$17,"M",TRUE,Currency2))</f>
        <v>0</v>
      </c>
      <c r="BC275" s="699">
        <f>IF($AW276=0,0,        _xll.qDateNext($AW275,BC$17,"M",TRUE,Currency2))</f>
        <v>0</v>
      </c>
      <c r="BD275" s="699">
        <f>IF($AW276=0,0,        _xll.qDateNext($AW275,BD$17,"M",TRUE,Currency2))</f>
        <v>0</v>
      </c>
      <c r="BE275" s="699">
        <f>IF($AW276=0,0,        _xll.qDateNext($AW275,BE$17,"M",TRUE,Currency2))</f>
        <v>0</v>
      </c>
      <c r="BF275" s="699">
        <f>IF($AW276=0,0,        _xll.qDateNext($AW275,BF$17,"M",TRUE,Currency2))</f>
        <v>0</v>
      </c>
      <c r="BG275" s="699">
        <f>IF($AW276=0,0,        _xll.qDateNext($AW275,BG$17,"M",TRUE,Currency2))</f>
        <v>0</v>
      </c>
      <c r="BH275" s="703">
        <v>0</v>
      </c>
      <c r="BI275" s="703">
        <v>0</v>
      </c>
      <c r="BJ275" s="703">
        <v>0</v>
      </c>
      <c r="BK275" s="703">
        <v>0</v>
      </c>
      <c r="BL275" s="703">
        <f t="shared" ref="BL275:BL338" si="67">(BN275-BK275)/3+BK275</f>
        <v>0</v>
      </c>
      <c r="BM275" s="703">
        <f t="shared" ref="BM275:BM338" si="68">AVERAGE(BL275,BN275)</f>
        <v>0</v>
      </c>
      <c r="BN275" s="703">
        <v>0</v>
      </c>
      <c r="BO275" s="703">
        <v>0</v>
      </c>
      <c r="BP275" s="685">
        <v>0</v>
      </c>
      <c r="BQ275" s="667"/>
      <c r="BR275" s="670">
        <f>IF(AW276=0,0,             IF(ISNUMBER(BQ275),BQ275,             IF(ISTEXT(BQ275),INDEX(BH275:BO275,MATCH(BQ275,$BH$17:$BO$17,0)),           IF(BP275="INT",_xll.qInterp(AW276,AZ275:BG275,BH275:BO275),       INDEX(BH275:BO275,MATCH(BP275,$BH$17:$BO$17,0))))))</f>
        <v>0</v>
      </c>
      <c r="BS275" s="731">
        <f t="shared" si="62"/>
        <v>0</v>
      </c>
      <c r="BT275" s="406">
        <f t="shared" si="63"/>
        <v>0</v>
      </c>
      <c r="BU275" s="284">
        <f>IF($AW276,_xll.qDateYears($AW275,$AW276,DCC_Leg2_Fixed),0)</f>
        <v>0</v>
      </c>
      <c r="BV275" s="284">
        <f>IF($AW276,_xll.qDateYears($AW275,$AW276,DCC_Leg2_Float),0)</f>
        <v>0</v>
      </c>
      <c r="BX275" s="350">
        <f t="shared" ref="BX275:BX338" si="69">IF(Principal2?,$BT274-$BT275,       0)</f>
        <v>0</v>
      </c>
      <c r="BY275" s="375">
        <f>IF(GenType_2a="Fixed",GenRate_2a%*$BT274*BU274,          IF(GenType_2a="Float",$BT274*(_xll.qGetFwdRate($J$18,$AW274,$AW275,"T",DCC_Leg2_Float)%+GenRate_2a%%)*$BV274,        IF(GenType_2a="bp (Fixed)",GenRate_2a%%*$BU274*$BT274,   IF(GenType_2a="bp (Float)",GenRate_2a%%*$BT274*$BV274,0))))</f>
        <v>0</v>
      </c>
      <c r="BZ275" s="561"/>
      <c r="CB275" s="341">
        <f t="shared" si="57"/>
        <v>0</v>
      </c>
      <c r="CC275" s="563"/>
      <c r="CD275" s="356"/>
      <c r="CE275" s="341">
        <v>0</v>
      </c>
      <c r="CF275" s="563"/>
      <c r="CG275" s="356"/>
    </row>
    <row r="276" spans="15:85">
      <c r="O276" s="122">
        <v>0</v>
      </c>
      <c r="P276" s="128">
        <f t="shared" si="58"/>
        <v>0</v>
      </c>
      <c r="Q276" s="126">
        <v>0</v>
      </c>
      <c r="R276" s="699">
        <f>IF($O277=0,0,        _xll.qDateNext($O276,R$17,"M",TRUE,Currency1))</f>
        <v>0</v>
      </c>
      <c r="S276" s="699">
        <f>IF($O277=0,0,        _xll.qDateNext($O276,S$17,"M",TRUE,Currency1))</f>
        <v>0</v>
      </c>
      <c r="T276" s="699">
        <f>IF($O277=0,0,        _xll.qDateNext($O276,T$17,"M",TRUE,Currency1))</f>
        <v>0</v>
      </c>
      <c r="U276" s="699">
        <f>IF($O277=0,0,        _xll.qDateNext($O276,U$17,"M",TRUE,Currency1))</f>
        <v>0</v>
      </c>
      <c r="V276" s="699">
        <f>IF($O277=0,0,        _xll.qDateNext($O276,V$17,"M",TRUE,Currency1))</f>
        <v>0</v>
      </c>
      <c r="W276" s="699">
        <f>IF($O277=0,0,        _xll.qDateNext($O276,W$17,"M",TRUE,Currency1))</f>
        <v>0</v>
      </c>
      <c r="X276" s="699">
        <f>IF($O277=0,0,        _xll.qDateNext($O276,X$17,"M",TRUE,Currency1))</f>
        <v>0</v>
      </c>
      <c r="Y276" s="699">
        <f>IF($O277=0,0,        _xll.qDateNext($O276,Y$17,"M",TRUE,Currency1))</f>
        <v>0</v>
      </c>
      <c r="Z276" s="703">
        <f>IF($O277=0,0,           IF(FRM,_xll.qGetFwdRate(Z$14,$O276,R276,"T",DCC_Leg1_Float),_xll.qGetFwdRate(Z$14,$O276,$O277,"T",DCC_Leg1_Float)))</f>
        <v>0</v>
      </c>
      <c r="AA276" s="703">
        <f>IF($O277=0,0,           IF(FRM,_xll.qGetFwdRate(AA$14,$O276,S276,"T",DCC_Leg1_Float),_xll.qGetFwdRate(AA$14,$O276,$O277,"T",DCC_Leg1_Float)))</f>
        <v>0</v>
      </c>
      <c r="AB276" s="703">
        <f t="shared" si="59"/>
        <v>0</v>
      </c>
      <c r="AC276" s="703">
        <f>IF($O277=0,0,           IF(FRM,_xll.qGetFwdRate(AC$14,$O276,U276,"T",DCC_Leg1_Float),_xll.qGetFwdRate(AC$14,$O276,$O277,"T",DCC_Leg1_Float)))</f>
        <v>0</v>
      </c>
      <c r="AD276" s="703">
        <f t="shared" si="64"/>
        <v>0</v>
      </c>
      <c r="AE276" s="703">
        <f t="shared" si="65"/>
        <v>0</v>
      </c>
      <c r="AF276" s="703">
        <f>IF($O277=0,0,           IF(FRM,_xll.qGetFwdRate(AF$14,$O276,X276,"T",DCC_Leg1_Float),_xll.qGetFwdRate(AF$14,$O276,$O277,"T",DCC_Leg1_Float)))</f>
        <v>0</v>
      </c>
      <c r="AG276" s="703">
        <f>IF($O277=0,0,           IF(FRM,_xll.qGetFwdRate(AG$14,$O276,Y276,"T",DCC_Leg1_Float),_xll.qGetFwdRate(AG$14,$O276,$O277,"T",DCC_Leg1_Float)))</f>
        <v>0</v>
      </c>
      <c r="AH276" s="685">
        <v>0</v>
      </c>
      <c r="AI276" s="667"/>
      <c r="AJ276" s="670">
        <f>IF(O277=0,0,             IF(ISNUMBER(AI276),AI276,             IF(ISTEXT(AI276),INDEX(Z276:AG276,MATCH(AI276,$Z$17:$AG$17,0)),           IF(AH276="INT",_xll.qInterp(O277,R276:Y276,Z276:AG276),       INDEX(Z276:AG276,MATCH(AH276,$Z$17:$AG$17,0))))))</f>
        <v>0</v>
      </c>
      <c r="AK276" s="732">
        <v>20</v>
      </c>
      <c r="AL276" s="721">
        <f t="shared" si="60"/>
        <v>0</v>
      </c>
      <c r="AM276" s="284">
        <f>IF($O277,_xll.qDateYears($O276,$O277,DCC_Leg1_Fixed),0)</f>
        <v>0</v>
      </c>
      <c r="AN276" s="284">
        <f>IF($O277,_xll.qDateYears($O276,$O277,DCC_Leg1_Float),0)</f>
        <v>0</v>
      </c>
      <c r="AP276" s="350">
        <f t="shared" si="66"/>
        <v>0</v>
      </c>
      <c r="AQ276" s="375">
        <f>IF(GenType_1a="Fixed",GenRate_1a%*$AL275*AM275,          IF(GenType_1a="Float",$AL275*(_xll.qGetFwdRate($D$18,$O275,$O276,"T",DCC_Leg1_Float)%+GenRate_1a%%)*$AN275,        IF(GenType_1a="bp (Fixed)",GenRate_1a%%*$AM275*$AL275,   IF(GenType_1a="bp (Float)",GenRate_1a%%*$AL275*$AN275,0))))</f>
        <v>0</v>
      </c>
      <c r="AR276" s="561"/>
      <c r="AT276" s="341">
        <f t="shared" si="56"/>
        <v>0</v>
      </c>
      <c r="AV276" s="356"/>
      <c r="AW276" s="122">
        <v>0</v>
      </c>
      <c r="AX276" s="128">
        <f t="shared" si="61"/>
        <v>0</v>
      </c>
      <c r="AY276" s="357">
        <v>0</v>
      </c>
      <c r="AZ276" s="699">
        <f>IF($AW277=0,0,        _xll.qDateNext($AW276,AZ$17,"M",TRUE,Currency2))</f>
        <v>0</v>
      </c>
      <c r="BA276" s="699">
        <f>IF($AW277=0,0,        _xll.qDateNext($AW276,BA$17,"M",TRUE,Currency2))</f>
        <v>0</v>
      </c>
      <c r="BB276" s="699">
        <f>IF($AW277=0,0,        _xll.qDateNext($AW276,BB$17,"M",TRUE,Currency2))</f>
        <v>0</v>
      </c>
      <c r="BC276" s="699">
        <f>IF($AW277=0,0,        _xll.qDateNext($AW276,BC$17,"M",TRUE,Currency2))</f>
        <v>0</v>
      </c>
      <c r="BD276" s="699">
        <f>IF($AW277=0,0,        _xll.qDateNext($AW276,BD$17,"M",TRUE,Currency2))</f>
        <v>0</v>
      </c>
      <c r="BE276" s="699">
        <f>IF($AW277=0,0,        _xll.qDateNext($AW276,BE$17,"M",TRUE,Currency2))</f>
        <v>0</v>
      </c>
      <c r="BF276" s="699">
        <f>IF($AW277=0,0,        _xll.qDateNext($AW276,BF$17,"M",TRUE,Currency2))</f>
        <v>0</v>
      </c>
      <c r="BG276" s="699">
        <f>IF($AW277=0,0,        _xll.qDateNext($AW276,BG$17,"M",TRUE,Currency2))</f>
        <v>0</v>
      </c>
      <c r="BH276" s="703">
        <v>0</v>
      </c>
      <c r="BI276" s="703">
        <v>0</v>
      </c>
      <c r="BJ276" s="703">
        <v>0</v>
      </c>
      <c r="BK276" s="703">
        <v>0</v>
      </c>
      <c r="BL276" s="703">
        <f t="shared" si="67"/>
        <v>0</v>
      </c>
      <c r="BM276" s="703">
        <f t="shared" si="68"/>
        <v>0</v>
      </c>
      <c r="BN276" s="703">
        <v>0</v>
      </c>
      <c r="BO276" s="703">
        <v>0</v>
      </c>
      <c r="BP276" s="685">
        <v>0</v>
      </c>
      <c r="BQ276" s="667"/>
      <c r="BR276" s="670">
        <f>IF(AW277=0,0,             IF(ISNUMBER(BQ276),BQ276,             IF(ISTEXT(BQ276),INDEX(BH276:BO276,MATCH(BQ276,$BH$17:$BO$17,0)),           IF(BP276="INT",_xll.qInterp(AW277,AZ276:BG276,BH276:BO276),       INDEX(BH276:BO276,MATCH(BP276,$BH$17:$BO$17,0))))))</f>
        <v>0</v>
      </c>
      <c r="BS276" s="731">
        <f t="shared" si="62"/>
        <v>0</v>
      </c>
      <c r="BT276" s="406">
        <f t="shared" si="63"/>
        <v>0</v>
      </c>
      <c r="BU276" s="284">
        <f>IF($AW277,_xll.qDateYears($AW276,$AW277,DCC_Leg2_Fixed),0)</f>
        <v>0</v>
      </c>
      <c r="BV276" s="284">
        <f>IF($AW277,_xll.qDateYears($AW276,$AW277,DCC_Leg2_Float),0)</f>
        <v>0</v>
      </c>
      <c r="BX276" s="350">
        <f t="shared" si="69"/>
        <v>0</v>
      </c>
      <c r="BY276" s="375">
        <f>IF(GenType_2a="Fixed",GenRate_2a%*$BT275*BU275,          IF(GenType_2a="Float",$BT275*(_xll.qGetFwdRate($J$18,$AW275,$AW276,"T",DCC_Leg2_Float)%+GenRate_2a%%)*$BV275,        IF(GenType_2a="bp (Fixed)",GenRate_2a%%*$BU275*$BT275,   IF(GenType_2a="bp (Float)",GenRate_2a%%*$BT275*$BV275,0))))</f>
        <v>0</v>
      </c>
      <c r="BZ276" s="561"/>
      <c r="CB276" s="341">
        <f t="shared" si="57"/>
        <v>0</v>
      </c>
      <c r="CC276" s="563"/>
      <c r="CD276" s="356"/>
      <c r="CE276" s="341">
        <v>0</v>
      </c>
      <c r="CF276" s="563"/>
      <c r="CG276" s="356"/>
    </row>
    <row r="277" spans="15:85">
      <c r="O277" s="122">
        <v>0</v>
      </c>
      <c r="P277" s="128">
        <f t="shared" si="58"/>
        <v>0</v>
      </c>
      <c r="Q277" s="126">
        <v>0</v>
      </c>
      <c r="R277" s="699">
        <f>IF($O278=0,0,        _xll.qDateNext($O277,R$17,"M",TRUE,Currency1))</f>
        <v>0</v>
      </c>
      <c r="S277" s="699">
        <f>IF($O278=0,0,        _xll.qDateNext($O277,S$17,"M",TRUE,Currency1))</f>
        <v>0</v>
      </c>
      <c r="T277" s="699">
        <f>IF($O278=0,0,        _xll.qDateNext($O277,T$17,"M",TRUE,Currency1))</f>
        <v>0</v>
      </c>
      <c r="U277" s="699">
        <f>IF($O278=0,0,        _xll.qDateNext($O277,U$17,"M",TRUE,Currency1))</f>
        <v>0</v>
      </c>
      <c r="V277" s="699">
        <f>IF($O278=0,0,        _xll.qDateNext($O277,V$17,"M",TRUE,Currency1))</f>
        <v>0</v>
      </c>
      <c r="W277" s="699">
        <f>IF($O278=0,0,        _xll.qDateNext($O277,W$17,"M",TRUE,Currency1))</f>
        <v>0</v>
      </c>
      <c r="X277" s="699">
        <f>IF($O278=0,0,        _xll.qDateNext($O277,X$17,"M",TRUE,Currency1))</f>
        <v>0</v>
      </c>
      <c r="Y277" s="699">
        <f>IF($O278=0,0,        _xll.qDateNext($O277,Y$17,"M",TRUE,Currency1))</f>
        <v>0</v>
      </c>
      <c r="Z277" s="703">
        <f>IF($O278=0,0,           IF(FRM,_xll.qGetFwdRate(Z$14,$O277,R277,"T",DCC_Leg1_Float),_xll.qGetFwdRate(Z$14,$O277,$O278,"T",DCC_Leg1_Float)))</f>
        <v>0</v>
      </c>
      <c r="AA277" s="703">
        <f>IF($O278=0,0,           IF(FRM,_xll.qGetFwdRate(AA$14,$O277,S277,"T",DCC_Leg1_Float),_xll.qGetFwdRate(AA$14,$O277,$O278,"T",DCC_Leg1_Float)))</f>
        <v>0</v>
      </c>
      <c r="AB277" s="703">
        <f t="shared" si="59"/>
        <v>0</v>
      </c>
      <c r="AC277" s="703">
        <f>IF($O278=0,0,           IF(FRM,_xll.qGetFwdRate(AC$14,$O277,U277,"T",DCC_Leg1_Float),_xll.qGetFwdRate(AC$14,$O277,$O278,"T",DCC_Leg1_Float)))</f>
        <v>0</v>
      </c>
      <c r="AD277" s="703">
        <f t="shared" si="64"/>
        <v>0</v>
      </c>
      <c r="AE277" s="703">
        <f t="shared" si="65"/>
        <v>0</v>
      </c>
      <c r="AF277" s="703">
        <f>IF($O278=0,0,           IF(FRM,_xll.qGetFwdRate(AF$14,$O277,X277,"T",DCC_Leg1_Float),_xll.qGetFwdRate(AF$14,$O277,$O278,"T",DCC_Leg1_Float)))</f>
        <v>0</v>
      </c>
      <c r="AG277" s="703">
        <f>IF($O278=0,0,           IF(FRM,_xll.qGetFwdRate(AG$14,$O277,Y277,"T",DCC_Leg1_Float),_xll.qGetFwdRate(AG$14,$O277,$O278,"T",DCC_Leg1_Float)))</f>
        <v>0</v>
      </c>
      <c r="AH277" s="685">
        <v>0</v>
      </c>
      <c r="AI277" s="667"/>
      <c r="AJ277" s="670">
        <f>IF(O278=0,0,             IF(ISNUMBER(AI277),AI277,             IF(ISTEXT(AI277),INDEX(Z277:AG277,MATCH(AI277,$Z$17:$AG$17,0)),           IF(AH277="INT",_xll.qInterp(O278,R277:Y277,Z277:AG277),       INDEX(Z277:AG277,MATCH(AH277,$Z$17:$AG$17,0))))))</f>
        <v>0</v>
      </c>
      <c r="AK277" s="732">
        <v>20</v>
      </c>
      <c r="AL277" s="721">
        <f t="shared" si="60"/>
        <v>0</v>
      </c>
      <c r="AM277" s="284">
        <f>IF($O278,_xll.qDateYears($O277,$O278,DCC_Leg1_Fixed),0)</f>
        <v>0</v>
      </c>
      <c r="AN277" s="284">
        <f>IF($O278,_xll.qDateYears($O277,$O278,DCC_Leg1_Float),0)</f>
        <v>0</v>
      </c>
      <c r="AP277" s="350">
        <f t="shared" si="66"/>
        <v>0</v>
      </c>
      <c r="AQ277" s="375">
        <f>IF(GenType_1a="Fixed",GenRate_1a%*$AL276*AM276,          IF(GenType_1a="Float",$AL276*(_xll.qGetFwdRate($D$18,$O276,$O277,"T",DCC_Leg1_Float)%+GenRate_1a%%)*$AN276,        IF(GenType_1a="bp (Fixed)",GenRate_1a%%*$AM276*$AL276,   IF(GenType_1a="bp (Float)",GenRate_1a%%*$AL276*$AN276,0))))</f>
        <v>0</v>
      </c>
      <c r="AR277" s="561"/>
      <c r="AT277" s="341">
        <f t="shared" si="56"/>
        <v>0</v>
      </c>
      <c r="AV277" s="356"/>
      <c r="AW277" s="122">
        <v>0</v>
      </c>
      <c r="AX277" s="128">
        <f t="shared" si="61"/>
        <v>0</v>
      </c>
      <c r="AY277" s="357">
        <v>0</v>
      </c>
      <c r="AZ277" s="699">
        <f>IF($AW278=0,0,        _xll.qDateNext($AW277,AZ$17,"M",TRUE,Currency2))</f>
        <v>0</v>
      </c>
      <c r="BA277" s="699">
        <f>IF($AW278=0,0,        _xll.qDateNext($AW277,BA$17,"M",TRUE,Currency2))</f>
        <v>0</v>
      </c>
      <c r="BB277" s="699">
        <f>IF($AW278=0,0,        _xll.qDateNext($AW277,BB$17,"M",TRUE,Currency2))</f>
        <v>0</v>
      </c>
      <c r="BC277" s="699">
        <f>IF($AW278=0,0,        _xll.qDateNext($AW277,BC$17,"M",TRUE,Currency2))</f>
        <v>0</v>
      </c>
      <c r="BD277" s="699">
        <f>IF($AW278=0,0,        _xll.qDateNext($AW277,BD$17,"M",TRUE,Currency2))</f>
        <v>0</v>
      </c>
      <c r="BE277" s="699">
        <f>IF($AW278=0,0,        _xll.qDateNext($AW277,BE$17,"M",TRUE,Currency2))</f>
        <v>0</v>
      </c>
      <c r="BF277" s="699">
        <f>IF($AW278=0,0,        _xll.qDateNext($AW277,BF$17,"M",TRUE,Currency2))</f>
        <v>0</v>
      </c>
      <c r="BG277" s="699">
        <f>IF($AW278=0,0,        _xll.qDateNext($AW277,BG$17,"M",TRUE,Currency2))</f>
        <v>0</v>
      </c>
      <c r="BH277" s="703">
        <v>0</v>
      </c>
      <c r="BI277" s="703">
        <v>0</v>
      </c>
      <c r="BJ277" s="703">
        <v>0</v>
      </c>
      <c r="BK277" s="703">
        <v>0</v>
      </c>
      <c r="BL277" s="703">
        <f t="shared" si="67"/>
        <v>0</v>
      </c>
      <c r="BM277" s="703">
        <f t="shared" si="68"/>
        <v>0</v>
      </c>
      <c r="BN277" s="703">
        <v>0</v>
      </c>
      <c r="BO277" s="703">
        <v>0</v>
      </c>
      <c r="BP277" s="685">
        <v>0</v>
      </c>
      <c r="BQ277" s="667"/>
      <c r="BR277" s="670">
        <f>IF(AW278=0,0,             IF(ISNUMBER(BQ277),BQ277,             IF(ISTEXT(BQ277),INDEX(BH277:BO277,MATCH(BQ277,$BH$17:$BO$17,0)),           IF(BP277="INT",_xll.qInterp(AW278,AZ277:BG277,BH277:BO277),       INDEX(BH277:BO277,MATCH(BP277,$BH$17:$BO$17,0))))))</f>
        <v>0</v>
      </c>
      <c r="BS277" s="731">
        <f t="shared" si="62"/>
        <v>0</v>
      </c>
      <c r="BT277" s="406">
        <f t="shared" si="63"/>
        <v>0</v>
      </c>
      <c r="BU277" s="284">
        <f>IF($AW278,_xll.qDateYears($AW277,$AW278,DCC_Leg2_Fixed),0)</f>
        <v>0</v>
      </c>
      <c r="BV277" s="284">
        <f>IF($AW278,_xll.qDateYears($AW277,$AW278,DCC_Leg2_Float),0)</f>
        <v>0</v>
      </c>
      <c r="BX277" s="350">
        <f t="shared" si="69"/>
        <v>0</v>
      </c>
      <c r="BY277" s="375">
        <f>IF(GenType_2a="Fixed",GenRate_2a%*$BT276*BU276,          IF(GenType_2a="Float",$BT276*(_xll.qGetFwdRate($J$18,$AW276,$AW277,"T",DCC_Leg2_Float)%+GenRate_2a%%)*$BV276,        IF(GenType_2a="bp (Fixed)",GenRate_2a%%*$BU276*$BT276,   IF(GenType_2a="bp (Float)",GenRate_2a%%*$BT276*$BV276,0))))</f>
        <v>0</v>
      </c>
      <c r="BZ277" s="561"/>
      <c r="CB277" s="341">
        <f t="shared" si="57"/>
        <v>0</v>
      </c>
      <c r="CC277" s="563"/>
      <c r="CD277" s="356"/>
      <c r="CE277" s="341">
        <v>0</v>
      </c>
      <c r="CF277" s="563"/>
      <c r="CG277" s="356"/>
    </row>
    <row r="278" spans="15:85">
      <c r="O278" s="122">
        <v>0</v>
      </c>
      <c r="P278" s="128">
        <f t="shared" si="58"/>
        <v>0</v>
      </c>
      <c r="Q278" s="126">
        <v>0</v>
      </c>
      <c r="R278" s="699">
        <f>IF($O279=0,0,        _xll.qDateNext($O278,R$17,"M",TRUE,Currency1))</f>
        <v>0</v>
      </c>
      <c r="S278" s="699">
        <f>IF($O279=0,0,        _xll.qDateNext($O278,S$17,"M",TRUE,Currency1))</f>
        <v>0</v>
      </c>
      <c r="T278" s="699">
        <f>IF($O279=0,0,        _xll.qDateNext($O278,T$17,"M",TRUE,Currency1))</f>
        <v>0</v>
      </c>
      <c r="U278" s="699">
        <f>IF($O279=0,0,        _xll.qDateNext($O278,U$17,"M",TRUE,Currency1))</f>
        <v>0</v>
      </c>
      <c r="V278" s="699">
        <f>IF($O279=0,0,        _xll.qDateNext($O278,V$17,"M",TRUE,Currency1))</f>
        <v>0</v>
      </c>
      <c r="W278" s="699">
        <f>IF($O279=0,0,        _xll.qDateNext($O278,W$17,"M",TRUE,Currency1))</f>
        <v>0</v>
      </c>
      <c r="X278" s="699">
        <f>IF($O279=0,0,        _xll.qDateNext($O278,X$17,"M",TRUE,Currency1))</f>
        <v>0</v>
      </c>
      <c r="Y278" s="699">
        <f>IF($O279=0,0,        _xll.qDateNext($O278,Y$17,"M",TRUE,Currency1))</f>
        <v>0</v>
      </c>
      <c r="Z278" s="703">
        <f>IF($O279=0,0,           IF(FRM,_xll.qGetFwdRate(Z$14,$O278,R278,"T",DCC_Leg1_Float),_xll.qGetFwdRate(Z$14,$O278,$O279,"T",DCC_Leg1_Float)))</f>
        <v>0</v>
      </c>
      <c r="AA278" s="703">
        <f>IF($O279=0,0,           IF(FRM,_xll.qGetFwdRate(AA$14,$O278,S278,"T",DCC_Leg1_Float),_xll.qGetFwdRate(AA$14,$O278,$O279,"T",DCC_Leg1_Float)))</f>
        <v>0</v>
      </c>
      <c r="AB278" s="703">
        <f t="shared" si="59"/>
        <v>0</v>
      </c>
      <c r="AC278" s="703">
        <f>IF($O279=0,0,           IF(FRM,_xll.qGetFwdRate(AC$14,$O278,U278,"T",DCC_Leg1_Float),_xll.qGetFwdRate(AC$14,$O278,$O279,"T",DCC_Leg1_Float)))</f>
        <v>0</v>
      </c>
      <c r="AD278" s="703">
        <f t="shared" si="64"/>
        <v>0</v>
      </c>
      <c r="AE278" s="703">
        <f t="shared" si="65"/>
        <v>0</v>
      </c>
      <c r="AF278" s="703">
        <f>IF($O279=0,0,           IF(FRM,_xll.qGetFwdRate(AF$14,$O278,X278,"T",DCC_Leg1_Float),_xll.qGetFwdRate(AF$14,$O278,$O279,"T",DCC_Leg1_Float)))</f>
        <v>0</v>
      </c>
      <c r="AG278" s="703">
        <f>IF($O279=0,0,           IF(FRM,_xll.qGetFwdRate(AG$14,$O278,Y278,"T",DCC_Leg1_Float),_xll.qGetFwdRate(AG$14,$O278,$O279,"T",DCC_Leg1_Float)))</f>
        <v>0</v>
      </c>
      <c r="AH278" s="685">
        <v>0</v>
      </c>
      <c r="AI278" s="667"/>
      <c r="AJ278" s="670">
        <f>IF(O279=0,0,             IF(ISNUMBER(AI278),AI278,             IF(ISTEXT(AI278),INDEX(Z278:AG278,MATCH(AI278,$Z$17:$AG$17,0)),           IF(AH278="INT",_xll.qInterp(O279,R278:Y278,Z278:AG278),       INDEX(Z278:AG278,MATCH(AH278,$Z$17:$AG$17,0))))))</f>
        <v>0</v>
      </c>
      <c r="AK278" s="732">
        <v>20</v>
      </c>
      <c r="AL278" s="721">
        <f t="shared" si="60"/>
        <v>0</v>
      </c>
      <c r="AM278" s="284">
        <f>IF($O279,_xll.qDateYears($O278,$O279,DCC_Leg1_Fixed),0)</f>
        <v>0</v>
      </c>
      <c r="AN278" s="284">
        <f>IF($O279,_xll.qDateYears($O278,$O279,DCC_Leg1_Float),0)</f>
        <v>0</v>
      </c>
      <c r="AP278" s="350">
        <f t="shared" si="66"/>
        <v>0</v>
      </c>
      <c r="AQ278" s="375">
        <f>IF(GenType_1a="Fixed",GenRate_1a%*$AL277*AM277,          IF(GenType_1a="Float",$AL277*(_xll.qGetFwdRate($D$18,$O277,$O278,"T",DCC_Leg1_Float)%+GenRate_1a%%)*$AN277,        IF(GenType_1a="bp (Fixed)",GenRate_1a%%*$AM277*$AL277,   IF(GenType_1a="bp (Float)",GenRate_1a%%*$AL277*$AN277,0))))</f>
        <v>0</v>
      </c>
      <c r="AR278" s="561"/>
      <c r="AT278" s="341">
        <f t="shared" si="56"/>
        <v>0</v>
      </c>
      <c r="AV278" s="356"/>
      <c r="AW278" s="122">
        <v>0</v>
      </c>
      <c r="AX278" s="128">
        <f t="shared" si="61"/>
        <v>0</v>
      </c>
      <c r="AY278" s="357">
        <v>0</v>
      </c>
      <c r="AZ278" s="699">
        <f>IF($AW279=0,0,        _xll.qDateNext($AW278,AZ$17,"M",TRUE,Currency2))</f>
        <v>0</v>
      </c>
      <c r="BA278" s="699">
        <f>IF($AW279=0,0,        _xll.qDateNext($AW278,BA$17,"M",TRUE,Currency2))</f>
        <v>0</v>
      </c>
      <c r="BB278" s="699">
        <f>IF($AW279=0,0,        _xll.qDateNext($AW278,BB$17,"M",TRUE,Currency2))</f>
        <v>0</v>
      </c>
      <c r="BC278" s="699">
        <f>IF($AW279=0,0,        _xll.qDateNext($AW278,BC$17,"M",TRUE,Currency2))</f>
        <v>0</v>
      </c>
      <c r="BD278" s="699">
        <f>IF($AW279=0,0,        _xll.qDateNext($AW278,BD$17,"M",TRUE,Currency2))</f>
        <v>0</v>
      </c>
      <c r="BE278" s="699">
        <f>IF($AW279=0,0,        _xll.qDateNext($AW278,BE$17,"M",TRUE,Currency2))</f>
        <v>0</v>
      </c>
      <c r="BF278" s="699">
        <f>IF($AW279=0,0,        _xll.qDateNext($AW278,BF$17,"M",TRUE,Currency2))</f>
        <v>0</v>
      </c>
      <c r="BG278" s="699">
        <f>IF($AW279=0,0,        _xll.qDateNext($AW278,BG$17,"M",TRUE,Currency2))</f>
        <v>0</v>
      </c>
      <c r="BH278" s="703">
        <v>0</v>
      </c>
      <c r="BI278" s="703">
        <v>0</v>
      </c>
      <c r="BJ278" s="703">
        <v>0</v>
      </c>
      <c r="BK278" s="703">
        <v>0</v>
      </c>
      <c r="BL278" s="703">
        <f t="shared" si="67"/>
        <v>0</v>
      </c>
      <c r="BM278" s="703">
        <f t="shared" si="68"/>
        <v>0</v>
      </c>
      <c r="BN278" s="703">
        <v>0</v>
      </c>
      <c r="BO278" s="703">
        <v>0</v>
      </c>
      <c r="BP278" s="685">
        <v>0</v>
      </c>
      <c r="BQ278" s="667"/>
      <c r="BR278" s="670">
        <f>IF(AW279=0,0,             IF(ISNUMBER(BQ278),BQ278,             IF(ISTEXT(BQ278),INDEX(BH278:BO278,MATCH(BQ278,$BH$17:$BO$17,0)),           IF(BP278="INT",_xll.qInterp(AW279,AZ278:BG278,BH278:BO278),       INDEX(BH278:BO278,MATCH(BP278,$BH$17:$BO$17,0))))))</f>
        <v>0</v>
      </c>
      <c r="BS278" s="731">
        <f t="shared" si="62"/>
        <v>0</v>
      </c>
      <c r="BT278" s="406">
        <f t="shared" si="63"/>
        <v>0</v>
      </c>
      <c r="BU278" s="284">
        <f>IF($AW279,_xll.qDateYears($AW278,$AW279,DCC_Leg2_Fixed),0)</f>
        <v>0</v>
      </c>
      <c r="BV278" s="284">
        <f>IF($AW279,_xll.qDateYears($AW278,$AW279,DCC_Leg2_Float),0)</f>
        <v>0</v>
      </c>
      <c r="BX278" s="350">
        <f t="shared" si="69"/>
        <v>0</v>
      </c>
      <c r="BY278" s="375">
        <f>IF(GenType_2a="Fixed",GenRate_2a%*$BT277*BU277,          IF(GenType_2a="Float",$BT277*(_xll.qGetFwdRate($J$18,$AW277,$AW278,"T",DCC_Leg2_Float)%+GenRate_2a%%)*$BV277,        IF(GenType_2a="bp (Fixed)",GenRate_2a%%*$BU277*$BT277,   IF(GenType_2a="bp (Float)",GenRate_2a%%*$BT277*$BV277,0))))</f>
        <v>0</v>
      </c>
      <c r="BZ278" s="561"/>
      <c r="CB278" s="341">
        <f t="shared" si="57"/>
        <v>0</v>
      </c>
      <c r="CC278" s="563"/>
      <c r="CD278" s="356"/>
      <c r="CE278" s="341">
        <v>0</v>
      </c>
      <c r="CF278" s="563"/>
      <c r="CG278" s="356"/>
    </row>
    <row r="279" spans="15:85">
      <c r="O279" s="122">
        <v>0</v>
      </c>
      <c r="P279" s="128">
        <f t="shared" si="58"/>
        <v>0</v>
      </c>
      <c r="Q279" s="126">
        <v>0</v>
      </c>
      <c r="R279" s="699">
        <f>IF($O280=0,0,        _xll.qDateNext($O279,R$17,"M",TRUE,Currency1))</f>
        <v>0</v>
      </c>
      <c r="S279" s="699">
        <f>IF($O280=0,0,        _xll.qDateNext($O279,S$17,"M",TRUE,Currency1))</f>
        <v>0</v>
      </c>
      <c r="T279" s="699">
        <f>IF($O280=0,0,        _xll.qDateNext($O279,T$17,"M",TRUE,Currency1))</f>
        <v>0</v>
      </c>
      <c r="U279" s="699">
        <f>IF($O280=0,0,        _xll.qDateNext($O279,U$17,"M",TRUE,Currency1))</f>
        <v>0</v>
      </c>
      <c r="V279" s="699">
        <f>IF($O280=0,0,        _xll.qDateNext($O279,V$17,"M",TRUE,Currency1))</f>
        <v>0</v>
      </c>
      <c r="W279" s="699">
        <f>IF($O280=0,0,        _xll.qDateNext($O279,W$17,"M",TRUE,Currency1))</f>
        <v>0</v>
      </c>
      <c r="X279" s="699">
        <f>IF($O280=0,0,        _xll.qDateNext($O279,X$17,"M",TRUE,Currency1))</f>
        <v>0</v>
      </c>
      <c r="Y279" s="699">
        <f>IF($O280=0,0,        _xll.qDateNext($O279,Y$17,"M",TRUE,Currency1))</f>
        <v>0</v>
      </c>
      <c r="Z279" s="703">
        <f>IF($O280=0,0,           IF(FRM,_xll.qGetFwdRate(Z$14,$O279,R279,"T",DCC_Leg1_Float),_xll.qGetFwdRate(Z$14,$O279,$O280,"T",DCC_Leg1_Float)))</f>
        <v>0</v>
      </c>
      <c r="AA279" s="703">
        <f>IF($O280=0,0,           IF(FRM,_xll.qGetFwdRate(AA$14,$O279,S279,"T",DCC_Leg1_Float),_xll.qGetFwdRate(AA$14,$O279,$O280,"T",DCC_Leg1_Float)))</f>
        <v>0</v>
      </c>
      <c r="AB279" s="703">
        <f t="shared" si="59"/>
        <v>0</v>
      </c>
      <c r="AC279" s="703">
        <f>IF($O280=0,0,           IF(FRM,_xll.qGetFwdRate(AC$14,$O279,U279,"T",DCC_Leg1_Float),_xll.qGetFwdRate(AC$14,$O279,$O280,"T",DCC_Leg1_Float)))</f>
        <v>0</v>
      </c>
      <c r="AD279" s="703">
        <f t="shared" si="64"/>
        <v>0</v>
      </c>
      <c r="AE279" s="703">
        <f t="shared" si="65"/>
        <v>0</v>
      </c>
      <c r="AF279" s="703">
        <f>IF($O280=0,0,           IF(FRM,_xll.qGetFwdRate(AF$14,$O279,X279,"T",DCC_Leg1_Float),_xll.qGetFwdRate(AF$14,$O279,$O280,"T",DCC_Leg1_Float)))</f>
        <v>0</v>
      </c>
      <c r="AG279" s="703">
        <f>IF($O280=0,0,           IF(FRM,_xll.qGetFwdRate(AG$14,$O279,Y279,"T",DCC_Leg1_Float),_xll.qGetFwdRate(AG$14,$O279,$O280,"T",DCC_Leg1_Float)))</f>
        <v>0</v>
      </c>
      <c r="AH279" s="685">
        <v>0</v>
      </c>
      <c r="AI279" s="667"/>
      <c r="AJ279" s="670">
        <f>IF(O280=0,0,             IF(ISNUMBER(AI279),AI279,             IF(ISTEXT(AI279),INDEX(Z279:AG279,MATCH(AI279,$Z$17:$AG$17,0)),           IF(AH279="INT",_xll.qInterp(O280,R279:Y279,Z279:AG279),       INDEX(Z279:AG279,MATCH(AH279,$Z$17:$AG$17,0))))))</f>
        <v>0</v>
      </c>
      <c r="AK279" s="732">
        <v>20</v>
      </c>
      <c r="AL279" s="721">
        <f t="shared" si="60"/>
        <v>0</v>
      </c>
      <c r="AM279" s="284">
        <f>IF($O280,_xll.qDateYears($O279,$O280,DCC_Leg1_Fixed),0)</f>
        <v>0</v>
      </c>
      <c r="AN279" s="284">
        <f>IF($O280,_xll.qDateYears($O279,$O280,DCC_Leg1_Float),0)</f>
        <v>0</v>
      </c>
      <c r="AP279" s="350">
        <f t="shared" si="66"/>
        <v>0</v>
      </c>
      <c r="AQ279" s="375">
        <f>IF(GenType_1a="Fixed",GenRate_1a%*$AL278*AM278,          IF(GenType_1a="Float",$AL278*(_xll.qGetFwdRate($D$18,$O278,$O279,"T",DCC_Leg1_Float)%+GenRate_1a%%)*$AN278,        IF(GenType_1a="bp (Fixed)",GenRate_1a%%*$AM278*$AL278,   IF(GenType_1a="bp (Float)",GenRate_1a%%*$AL278*$AN278,0))))</f>
        <v>0</v>
      </c>
      <c r="AR279" s="561"/>
      <c r="AT279" s="341">
        <f t="shared" si="56"/>
        <v>0</v>
      </c>
      <c r="AV279" s="356"/>
      <c r="AW279" s="122">
        <v>0</v>
      </c>
      <c r="AX279" s="128">
        <f t="shared" si="61"/>
        <v>0</v>
      </c>
      <c r="AY279" s="357">
        <v>0</v>
      </c>
      <c r="AZ279" s="699">
        <f>IF($AW280=0,0,        _xll.qDateNext($AW279,AZ$17,"M",TRUE,Currency2))</f>
        <v>0</v>
      </c>
      <c r="BA279" s="699">
        <f>IF($AW280=0,0,        _xll.qDateNext($AW279,BA$17,"M",TRUE,Currency2))</f>
        <v>0</v>
      </c>
      <c r="BB279" s="699">
        <f>IF($AW280=0,0,        _xll.qDateNext($AW279,BB$17,"M",TRUE,Currency2))</f>
        <v>0</v>
      </c>
      <c r="BC279" s="699">
        <f>IF($AW280=0,0,        _xll.qDateNext($AW279,BC$17,"M",TRUE,Currency2))</f>
        <v>0</v>
      </c>
      <c r="BD279" s="699">
        <f>IF($AW280=0,0,        _xll.qDateNext($AW279,BD$17,"M",TRUE,Currency2))</f>
        <v>0</v>
      </c>
      <c r="BE279" s="699">
        <f>IF($AW280=0,0,        _xll.qDateNext($AW279,BE$17,"M",TRUE,Currency2))</f>
        <v>0</v>
      </c>
      <c r="BF279" s="699">
        <f>IF($AW280=0,0,        _xll.qDateNext($AW279,BF$17,"M",TRUE,Currency2))</f>
        <v>0</v>
      </c>
      <c r="BG279" s="699">
        <f>IF($AW280=0,0,        _xll.qDateNext($AW279,BG$17,"M",TRUE,Currency2))</f>
        <v>0</v>
      </c>
      <c r="BH279" s="703">
        <v>0</v>
      </c>
      <c r="BI279" s="703">
        <v>0</v>
      </c>
      <c r="BJ279" s="703">
        <v>0</v>
      </c>
      <c r="BK279" s="703">
        <v>0</v>
      </c>
      <c r="BL279" s="703">
        <f t="shared" si="67"/>
        <v>0</v>
      </c>
      <c r="BM279" s="703">
        <f t="shared" si="68"/>
        <v>0</v>
      </c>
      <c r="BN279" s="703">
        <v>0</v>
      </c>
      <c r="BO279" s="703">
        <v>0</v>
      </c>
      <c r="BP279" s="685">
        <v>0</v>
      </c>
      <c r="BQ279" s="667"/>
      <c r="BR279" s="670">
        <f>IF(AW280=0,0,             IF(ISNUMBER(BQ279),BQ279,             IF(ISTEXT(BQ279),INDEX(BH279:BO279,MATCH(BQ279,$BH$17:$BO$17,0)),           IF(BP279="INT",_xll.qInterp(AW280,AZ279:BG279,BH279:BO279),       INDEX(BH279:BO279,MATCH(BP279,$BH$17:$BO$17,0))))))</f>
        <v>0</v>
      </c>
      <c r="BS279" s="731">
        <f t="shared" si="62"/>
        <v>0</v>
      </c>
      <c r="BT279" s="406">
        <f t="shared" si="63"/>
        <v>0</v>
      </c>
      <c r="BU279" s="284">
        <f>IF($AW280,_xll.qDateYears($AW279,$AW280,DCC_Leg2_Fixed),0)</f>
        <v>0</v>
      </c>
      <c r="BV279" s="284">
        <f>IF($AW280,_xll.qDateYears($AW279,$AW280,DCC_Leg2_Float),0)</f>
        <v>0</v>
      </c>
      <c r="BX279" s="350">
        <f t="shared" si="69"/>
        <v>0</v>
      </c>
      <c r="BY279" s="375">
        <f>IF(GenType_2a="Fixed",GenRate_2a%*$BT278*BU278,          IF(GenType_2a="Float",$BT278*(_xll.qGetFwdRate($J$18,$AW278,$AW279,"T",DCC_Leg2_Float)%+GenRate_2a%%)*$BV278,        IF(GenType_2a="bp (Fixed)",GenRate_2a%%*$BU278*$BT278,   IF(GenType_2a="bp (Float)",GenRate_2a%%*$BT278*$BV278,0))))</f>
        <v>0</v>
      </c>
      <c r="BZ279" s="561"/>
      <c r="CB279" s="341">
        <f t="shared" si="57"/>
        <v>0</v>
      </c>
      <c r="CC279" s="563"/>
      <c r="CD279" s="356"/>
      <c r="CE279" s="341">
        <v>0</v>
      </c>
      <c r="CF279" s="563"/>
      <c r="CG279" s="356"/>
    </row>
    <row r="280" spans="15:85">
      <c r="O280" s="122">
        <v>0</v>
      </c>
      <c r="P280" s="128">
        <f t="shared" si="58"/>
        <v>0</v>
      </c>
      <c r="Q280" s="126">
        <v>0</v>
      </c>
      <c r="R280" s="699">
        <f>IF($O281=0,0,        _xll.qDateNext($O280,R$17,"M",TRUE,Currency1))</f>
        <v>0</v>
      </c>
      <c r="S280" s="699">
        <f>IF($O281=0,0,        _xll.qDateNext($O280,S$17,"M",TRUE,Currency1))</f>
        <v>0</v>
      </c>
      <c r="T280" s="699">
        <f>IF($O281=0,0,        _xll.qDateNext($O280,T$17,"M",TRUE,Currency1))</f>
        <v>0</v>
      </c>
      <c r="U280" s="699">
        <f>IF($O281=0,0,        _xll.qDateNext($O280,U$17,"M",TRUE,Currency1))</f>
        <v>0</v>
      </c>
      <c r="V280" s="699">
        <f>IF($O281=0,0,        _xll.qDateNext($O280,V$17,"M",TRUE,Currency1))</f>
        <v>0</v>
      </c>
      <c r="W280" s="699">
        <f>IF($O281=0,0,        _xll.qDateNext($O280,W$17,"M",TRUE,Currency1))</f>
        <v>0</v>
      </c>
      <c r="X280" s="699">
        <f>IF($O281=0,0,        _xll.qDateNext($O280,X$17,"M",TRUE,Currency1))</f>
        <v>0</v>
      </c>
      <c r="Y280" s="699">
        <f>IF($O281=0,0,        _xll.qDateNext($O280,Y$17,"M",TRUE,Currency1))</f>
        <v>0</v>
      </c>
      <c r="Z280" s="703">
        <f>IF($O281=0,0,           IF(FRM,_xll.qGetFwdRate(Z$14,$O280,R280,"T",DCC_Leg1_Float),_xll.qGetFwdRate(Z$14,$O280,$O281,"T",DCC_Leg1_Float)))</f>
        <v>0</v>
      </c>
      <c r="AA280" s="703">
        <f>IF($O281=0,0,           IF(FRM,_xll.qGetFwdRate(AA$14,$O280,S280,"T",DCC_Leg1_Float),_xll.qGetFwdRate(AA$14,$O280,$O281,"T",DCC_Leg1_Float)))</f>
        <v>0</v>
      </c>
      <c r="AB280" s="703">
        <f t="shared" si="59"/>
        <v>0</v>
      </c>
      <c r="AC280" s="703">
        <f>IF($O281=0,0,           IF(FRM,_xll.qGetFwdRate(AC$14,$O280,U280,"T",DCC_Leg1_Float),_xll.qGetFwdRate(AC$14,$O280,$O281,"T",DCC_Leg1_Float)))</f>
        <v>0</v>
      </c>
      <c r="AD280" s="703">
        <f t="shared" si="64"/>
        <v>0</v>
      </c>
      <c r="AE280" s="703">
        <f t="shared" si="65"/>
        <v>0</v>
      </c>
      <c r="AF280" s="703">
        <f>IF($O281=0,0,           IF(FRM,_xll.qGetFwdRate(AF$14,$O280,X280,"T",DCC_Leg1_Float),_xll.qGetFwdRate(AF$14,$O280,$O281,"T",DCC_Leg1_Float)))</f>
        <v>0</v>
      </c>
      <c r="AG280" s="703">
        <f>IF($O281=0,0,           IF(FRM,_xll.qGetFwdRate(AG$14,$O280,Y280,"T",DCC_Leg1_Float),_xll.qGetFwdRate(AG$14,$O280,$O281,"T",DCC_Leg1_Float)))</f>
        <v>0</v>
      </c>
      <c r="AH280" s="685">
        <v>0</v>
      </c>
      <c r="AI280" s="667"/>
      <c r="AJ280" s="670">
        <f>IF(O281=0,0,             IF(ISNUMBER(AI280),AI280,             IF(ISTEXT(AI280),INDEX(Z280:AG280,MATCH(AI280,$Z$17:$AG$17,0)),           IF(AH280="INT",_xll.qInterp(O281,R280:Y280,Z280:AG280),       INDEX(Z280:AG280,MATCH(AH280,$Z$17:$AG$17,0))))))</f>
        <v>0</v>
      </c>
      <c r="AK280" s="732">
        <v>20</v>
      </c>
      <c r="AL280" s="721">
        <f t="shared" si="60"/>
        <v>0</v>
      </c>
      <c r="AM280" s="284">
        <f>IF($O281,_xll.qDateYears($O280,$O281,DCC_Leg1_Fixed),0)</f>
        <v>0</v>
      </c>
      <c r="AN280" s="284">
        <f>IF($O281,_xll.qDateYears($O280,$O281,DCC_Leg1_Float),0)</f>
        <v>0</v>
      </c>
      <c r="AP280" s="350">
        <f t="shared" si="66"/>
        <v>0</v>
      </c>
      <c r="AQ280" s="375">
        <f>IF(GenType_1a="Fixed",GenRate_1a%*$AL279*AM279,          IF(GenType_1a="Float",$AL279*(_xll.qGetFwdRate($D$18,$O279,$O280,"T",DCC_Leg1_Float)%+GenRate_1a%%)*$AN279,        IF(GenType_1a="bp (Fixed)",GenRate_1a%%*$AM279*$AL279,   IF(GenType_1a="bp (Float)",GenRate_1a%%*$AL279*$AN279,0))))</f>
        <v>0</v>
      </c>
      <c r="AR280" s="561"/>
      <c r="AT280" s="341">
        <f t="shared" si="56"/>
        <v>0</v>
      </c>
      <c r="AV280" s="356"/>
      <c r="AW280" s="122">
        <v>0</v>
      </c>
      <c r="AX280" s="128">
        <f t="shared" si="61"/>
        <v>0</v>
      </c>
      <c r="AY280" s="357">
        <v>0</v>
      </c>
      <c r="AZ280" s="699">
        <f>IF($AW281=0,0,        _xll.qDateNext($AW280,AZ$17,"M",TRUE,Currency2))</f>
        <v>0</v>
      </c>
      <c r="BA280" s="699">
        <f>IF($AW281=0,0,        _xll.qDateNext($AW280,BA$17,"M",TRUE,Currency2))</f>
        <v>0</v>
      </c>
      <c r="BB280" s="699">
        <f>IF($AW281=0,0,        _xll.qDateNext($AW280,BB$17,"M",TRUE,Currency2))</f>
        <v>0</v>
      </c>
      <c r="BC280" s="699">
        <f>IF($AW281=0,0,        _xll.qDateNext($AW280,BC$17,"M",TRUE,Currency2))</f>
        <v>0</v>
      </c>
      <c r="BD280" s="699">
        <f>IF($AW281=0,0,        _xll.qDateNext($AW280,BD$17,"M",TRUE,Currency2))</f>
        <v>0</v>
      </c>
      <c r="BE280" s="699">
        <f>IF($AW281=0,0,        _xll.qDateNext($AW280,BE$17,"M",TRUE,Currency2))</f>
        <v>0</v>
      </c>
      <c r="BF280" s="699">
        <f>IF($AW281=0,0,        _xll.qDateNext($AW280,BF$17,"M",TRUE,Currency2))</f>
        <v>0</v>
      </c>
      <c r="BG280" s="699">
        <f>IF($AW281=0,0,        _xll.qDateNext($AW280,BG$17,"M",TRUE,Currency2))</f>
        <v>0</v>
      </c>
      <c r="BH280" s="703">
        <v>0</v>
      </c>
      <c r="BI280" s="703">
        <v>0</v>
      </c>
      <c r="BJ280" s="703">
        <v>0</v>
      </c>
      <c r="BK280" s="703">
        <v>0</v>
      </c>
      <c r="BL280" s="703">
        <f t="shared" si="67"/>
        <v>0</v>
      </c>
      <c r="BM280" s="703">
        <f t="shared" si="68"/>
        <v>0</v>
      </c>
      <c r="BN280" s="703">
        <v>0</v>
      </c>
      <c r="BO280" s="703">
        <v>0</v>
      </c>
      <c r="BP280" s="685">
        <v>0</v>
      </c>
      <c r="BQ280" s="667"/>
      <c r="BR280" s="670">
        <f>IF(AW281=0,0,             IF(ISNUMBER(BQ280),BQ280,             IF(ISTEXT(BQ280),INDEX(BH280:BO280,MATCH(BQ280,$BH$17:$BO$17,0)),           IF(BP280="INT",_xll.qInterp(AW281,AZ280:BG280,BH280:BO280),       INDEX(BH280:BO280,MATCH(BP280,$BH$17:$BO$17,0))))))</f>
        <v>0</v>
      </c>
      <c r="BS280" s="731">
        <f t="shared" si="62"/>
        <v>0</v>
      </c>
      <c r="BT280" s="406">
        <f t="shared" si="63"/>
        <v>0</v>
      </c>
      <c r="BU280" s="284">
        <f>IF($AW281,_xll.qDateYears($AW280,$AW281,DCC_Leg2_Fixed),0)</f>
        <v>0</v>
      </c>
      <c r="BV280" s="284">
        <f>IF($AW281,_xll.qDateYears($AW280,$AW281,DCC_Leg2_Float),0)</f>
        <v>0</v>
      </c>
      <c r="BX280" s="350">
        <f t="shared" si="69"/>
        <v>0</v>
      </c>
      <c r="BY280" s="375">
        <f>IF(GenType_2a="Fixed",GenRate_2a%*$BT279*BU279,          IF(GenType_2a="Float",$BT279*(_xll.qGetFwdRate($J$18,$AW279,$AW280,"T",DCC_Leg2_Float)%+GenRate_2a%%)*$BV279,        IF(GenType_2a="bp (Fixed)",GenRate_2a%%*$BU279*$BT279,   IF(GenType_2a="bp (Float)",GenRate_2a%%*$BT279*$BV279,0))))</f>
        <v>0</v>
      </c>
      <c r="BZ280" s="561"/>
      <c r="CB280" s="341">
        <f t="shared" si="57"/>
        <v>0</v>
      </c>
      <c r="CC280" s="563"/>
      <c r="CD280" s="356"/>
      <c r="CE280" s="341">
        <v>0</v>
      </c>
      <c r="CF280" s="563"/>
      <c r="CG280" s="356"/>
    </row>
    <row r="281" spans="15:85">
      <c r="O281" s="122">
        <v>0</v>
      </c>
      <c r="P281" s="128">
        <f t="shared" si="58"/>
        <v>0</v>
      </c>
      <c r="Q281" s="126">
        <v>0</v>
      </c>
      <c r="R281" s="699">
        <f>IF($O282=0,0,        _xll.qDateNext($O281,R$17,"M",TRUE,Currency1))</f>
        <v>0</v>
      </c>
      <c r="S281" s="699">
        <f>IF($O282=0,0,        _xll.qDateNext($O281,S$17,"M",TRUE,Currency1))</f>
        <v>0</v>
      </c>
      <c r="T281" s="699">
        <f>IF($O282=0,0,        _xll.qDateNext($O281,T$17,"M",TRUE,Currency1))</f>
        <v>0</v>
      </c>
      <c r="U281" s="699">
        <f>IF($O282=0,0,        _xll.qDateNext($O281,U$17,"M",TRUE,Currency1))</f>
        <v>0</v>
      </c>
      <c r="V281" s="699">
        <f>IF($O282=0,0,        _xll.qDateNext($O281,V$17,"M",TRUE,Currency1))</f>
        <v>0</v>
      </c>
      <c r="W281" s="699">
        <f>IF($O282=0,0,        _xll.qDateNext($O281,W$17,"M",TRUE,Currency1))</f>
        <v>0</v>
      </c>
      <c r="X281" s="699">
        <f>IF($O282=0,0,        _xll.qDateNext($O281,X$17,"M",TRUE,Currency1))</f>
        <v>0</v>
      </c>
      <c r="Y281" s="699">
        <f>IF($O282=0,0,        _xll.qDateNext($O281,Y$17,"M",TRUE,Currency1))</f>
        <v>0</v>
      </c>
      <c r="Z281" s="703">
        <f>IF($O282=0,0,           IF(FRM,_xll.qGetFwdRate(Z$14,$O281,R281,"T",DCC_Leg1_Float),_xll.qGetFwdRate(Z$14,$O281,$O282,"T",DCC_Leg1_Float)))</f>
        <v>0</v>
      </c>
      <c r="AA281" s="703">
        <f>IF($O282=0,0,           IF(FRM,_xll.qGetFwdRate(AA$14,$O281,S281,"T",DCC_Leg1_Float),_xll.qGetFwdRate(AA$14,$O281,$O282,"T",DCC_Leg1_Float)))</f>
        <v>0</v>
      </c>
      <c r="AB281" s="703">
        <f t="shared" si="59"/>
        <v>0</v>
      </c>
      <c r="AC281" s="703">
        <f>IF($O282=0,0,           IF(FRM,_xll.qGetFwdRate(AC$14,$O281,U281,"T",DCC_Leg1_Float),_xll.qGetFwdRate(AC$14,$O281,$O282,"T",DCC_Leg1_Float)))</f>
        <v>0</v>
      </c>
      <c r="AD281" s="703">
        <f t="shared" si="64"/>
        <v>0</v>
      </c>
      <c r="AE281" s="703">
        <f t="shared" si="65"/>
        <v>0</v>
      </c>
      <c r="AF281" s="703">
        <f>IF($O282=0,0,           IF(FRM,_xll.qGetFwdRate(AF$14,$O281,X281,"T",DCC_Leg1_Float),_xll.qGetFwdRate(AF$14,$O281,$O282,"T",DCC_Leg1_Float)))</f>
        <v>0</v>
      </c>
      <c r="AG281" s="703">
        <f>IF($O282=0,0,           IF(FRM,_xll.qGetFwdRate(AG$14,$O281,Y281,"T",DCC_Leg1_Float),_xll.qGetFwdRate(AG$14,$O281,$O282,"T",DCC_Leg1_Float)))</f>
        <v>0</v>
      </c>
      <c r="AH281" s="685">
        <v>0</v>
      </c>
      <c r="AI281" s="667"/>
      <c r="AJ281" s="670">
        <f>IF(O282=0,0,             IF(ISNUMBER(AI281),AI281,             IF(ISTEXT(AI281),INDEX(Z281:AG281,MATCH(AI281,$Z$17:$AG$17,0)),           IF(AH281="INT",_xll.qInterp(O282,R281:Y281,Z281:AG281),       INDEX(Z281:AG281,MATCH(AH281,$Z$17:$AG$17,0))))))</f>
        <v>0</v>
      </c>
      <c r="AK281" s="732">
        <v>20</v>
      </c>
      <c r="AL281" s="721">
        <f t="shared" si="60"/>
        <v>0</v>
      </c>
      <c r="AM281" s="284">
        <f>IF($O282,_xll.qDateYears($O281,$O282,DCC_Leg1_Fixed),0)</f>
        <v>0</v>
      </c>
      <c r="AN281" s="284">
        <f>IF($O282,_xll.qDateYears($O281,$O282,DCC_Leg1_Float),0)</f>
        <v>0</v>
      </c>
      <c r="AP281" s="350">
        <f t="shared" si="66"/>
        <v>0</v>
      </c>
      <c r="AQ281" s="375">
        <f>IF(GenType_1a="Fixed",GenRate_1a%*$AL280*AM280,          IF(GenType_1a="Float",$AL280*(_xll.qGetFwdRate($D$18,$O280,$O281,"T",DCC_Leg1_Float)%+GenRate_1a%%)*$AN280,        IF(GenType_1a="bp (Fixed)",GenRate_1a%%*$AM280*$AL280,   IF(GenType_1a="bp (Float)",GenRate_1a%%*$AL280*$AN280,0))))</f>
        <v>0</v>
      </c>
      <c r="AR281" s="561"/>
      <c r="AT281" s="341">
        <f t="shared" si="56"/>
        <v>0</v>
      </c>
      <c r="AV281" s="356"/>
      <c r="AW281" s="122">
        <v>0</v>
      </c>
      <c r="AX281" s="128">
        <f t="shared" si="61"/>
        <v>0</v>
      </c>
      <c r="AY281" s="357">
        <v>0</v>
      </c>
      <c r="AZ281" s="699">
        <f>IF($AW282=0,0,        _xll.qDateNext($AW281,AZ$17,"M",TRUE,Currency2))</f>
        <v>0</v>
      </c>
      <c r="BA281" s="699">
        <f>IF($AW282=0,0,        _xll.qDateNext($AW281,BA$17,"M",TRUE,Currency2))</f>
        <v>0</v>
      </c>
      <c r="BB281" s="699">
        <f>IF($AW282=0,0,        _xll.qDateNext($AW281,BB$17,"M",TRUE,Currency2))</f>
        <v>0</v>
      </c>
      <c r="BC281" s="699">
        <f>IF($AW282=0,0,        _xll.qDateNext($AW281,BC$17,"M",TRUE,Currency2))</f>
        <v>0</v>
      </c>
      <c r="BD281" s="699">
        <f>IF($AW282=0,0,        _xll.qDateNext($AW281,BD$17,"M",TRUE,Currency2))</f>
        <v>0</v>
      </c>
      <c r="BE281" s="699">
        <f>IF($AW282=0,0,        _xll.qDateNext($AW281,BE$17,"M",TRUE,Currency2))</f>
        <v>0</v>
      </c>
      <c r="BF281" s="699">
        <f>IF($AW282=0,0,        _xll.qDateNext($AW281,BF$17,"M",TRUE,Currency2))</f>
        <v>0</v>
      </c>
      <c r="BG281" s="699">
        <f>IF($AW282=0,0,        _xll.qDateNext($AW281,BG$17,"M",TRUE,Currency2))</f>
        <v>0</v>
      </c>
      <c r="BH281" s="703">
        <v>0</v>
      </c>
      <c r="BI281" s="703">
        <v>0</v>
      </c>
      <c r="BJ281" s="703">
        <v>0</v>
      </c>
      <c r="BK281" s="703">
        <v>0</v>
      </c>
      <c r="BL281" s="703">
        <f t="shared" si="67"/>
        <v>0</v>
      </c>
      <c r="BM281" s="703">
        <f t="shared" si="68"/>
        <v>0</v>
      </c>
      <c r="BN281" s="703">
        <v>0</v>
      </c>
      <c r="BO281" s="703">
        <v>0</v>
      </c>
      <c r="BP281" s="685">
        <v>0</v>
      </c>
      <c r="BQ281" s="667"/>
      <c r="BR281" s="670">
        <f>IF(AW282=0,0,             IF(ISNUMBER(BQ281),BQ281,             IF(ISTEXT(BQ281),INDEX(BH281:BO281,MATCH(BQ281,$BH$17:$BO$17,0)),           IF(BP281="INT",_xll.qInterp(AW282,AZ281:BG281,BH281:BO281),       INDEX(BH281:BO281,MATCH(BP281,$BH$17:$BO$17,0))))))</f>
        <v>0</v>
      </c>
      <c r="BS281" s="731">
        <f t="shared" si="62"/>
        <v>0</v>
      </c>
      <c r="BT281" s="406">
        <f t="shared" si="63"/>
        <v>0</v>
      </c>
      <c r="BU281" s="284">
        <f>IF($AW282,_xll.qDateYears($AW281,$AW282,DCC_Leg2_Fixed),0)</f>
        <v>0</v>
      </c>
      <c r="BV281" s="284">
        <f>IF($AW282,_xll.qDateYears($AW281,$AW282,DCC_Leg2_Float),0)</f>
        <v>0</v>
      </c>
      <c r="BX281" s="350">
        <f t="shared" si="69"/>
        <v>0</v>
      </c>
      <c r="BY281" s="375">
        <f>IF(GenType_2a="Fixed",GenRate_2a%*$BT280*BU280,          IF(GenType_2a="Float",$BT280*(_xll.qGetFwdRate($J$18,$AW280,$AW281,"T",DCC_Leg2_Float)%+GenRate_2a%%)*$BV280,        IF(GenType_2a="bp (Fixed)",GenRate_2a%%*$BU280*$BT280,   IF(GenType_2a="bp (Float)",GenRate_2a%%*$BT280*$BV280,0))))</f>
        <v>0</v>
      </c>
      <c r="BZ281" s="561"/>
      <c r="CB281" s="341">
        <f t="shared" si="57"/>
        <v>0</v>
      </c>
      <c r="CC281" s="563"/>
      <c r="CD281" s="356"/>
      <c r="CE281" s="341">
        <v>0</v>
      </c>
      <c r="CF281" s="563"/>
      <c r="CG281" s="356"/>
    </row>
    <row r="282" spans="15:85">
      <c r="O282" s="122">
        <v>0</v>
      </c>
      <c r="P282" s="128">
        <f t="shared" si="58"/>
        <v>0</v>
      </c>
      <c r="Q282" s="126">
        <v>0</v>
      </c>
      <c r="R282" s="699">
        <f>IF($O283=0,0,        _xll.qDateNext($O282,R$17,"M",TRUE,Currency1))</f>
        <v>0</v>
      </c>
      <c r="S282" s="699">
        <f>IF($O283=0,0,        _xll.qDateNext($O282,S$17,"M",TRUE,Currency1))</f>
        <v>0</v>
      </c>
      <c r="T282" s="699">
        <f>IF($O283=0,0,        _xll.qDateNext($O282,T$17,"M",TRUE,Currency1))</f>
        <v>0</v>
      </c>
      <c r="U282" s="699">
        <f>IF($O283=0,0,        _xll.qDateNext($O282,U$17,"M",TRUE,Currency1))</f>
        <v>0</v>
      </c>
      <c r="V282" s="699">
        <f>IF($O283=0,0,        _xll.qDateNext($O282,V$17,"M",TRUE,Currency1))</f>
        <v>0</v>
      </c>
      <c r="W282" s="699">
        <f>IF($O283=0,0,        _xll.qDateNext($O282,W$17,"M",TRUE,Currency1))</f>
        <v>0</v>
      </c>
      <c r="X282" s="699">
        <f>IF($O283=0,0,        _xll.qDateNext($O282,X$17,"M",TRUE,Currency1))</f>
        <v>0</v>
      </c>
      <c r="Y282" s="699">
        <f>IF($O283=0,0,        _xll.qDateNext($O282,Y$17,"M",TRUE,Currency1))</f>
        <v>0</v>
      </c>
      <c r="Z282" s="703">
        <f>IF($O283=0,0,           IF(FRM,_xll.qGetFwdRate(Z$14,$O282,R282,"T",DCC_Leg1_Float),_xll.qGetFwdRate(Z$14,$O282,$O283,"T",DCC_Leg1_Float)))</f>
        <v>0</v>
      </c>
      <c r="AA282" s="703">
        <f>IF($O283=0,0,           IF(FRM,_xll.qGetFwdRate(AA$14,$O282,S282,"T",DCC_Leg1_Float),_xll.qGetFwdRate(AA$14,$O282,$O283,"T",DCC_Leg1_Float)))</f>
        <v>0</v>
      </c>
      <c r="AB282" s="703">
        <f t="shared" si="59"/>
        <v>0</v>
      </c>
      <c r="AC282" s="703">
        <f>IF($O283=0,0,           IF(FRM,_xll.qGetFwdRate(AC$14,$O282,U282,"T",DCC_Leg1_Float),_xll.qGetFwdRate(AC$14,$O282,$O283,"T",DCC_Leg1_Float)))</f>
        <v>0</v>
      </c>
      <c r="AD282" s="703">
        <f t="shared" si="64"/>
        <v>0</v>
      </c>
      <c r="AE282" s="703">
        <f t="shared" si="65"/>
        <v>0</v>
      </c>
      <c r="AF282" s="703">
        <f>IF($O283=0,0,           IF(FRM,_xll.qGetFwdRate(AF$14,$O282,X282,"T",DCC_Leg1_Float),_xll.qGetFwdRate(AF$14,$O282,$O283,"T",DCC_Leg1_Float)))</f>
        <v>0</v>
      </c>
      <c r="AG282" s="703">
        <f>IF($O283=0,0,           IF(FRM,_xll.qGetFwdRate(AG$14,$O282,Y282,"T",DCC_Leg1_Float),_xll.qGetFwdRate(AG$14,$O282,$O283,"T",DCC_Leg1_Float)))</f>
        <v>0</v>
      </c>
      <c r="AH282" s="685">
        <v>0</v>
      </c>
      <c r="AI282" s="667"/>
      <c r="AJ282" s="670">
        <f>IF(O283=0,0,             IF(ISNUMBER(AI282),AI282,             IF(ISTEXT(AI282),INDEX(Z282:AG282,MATCH(AI282,$Z$17:$AG$17,0)),           IF(AH282="INT",_xll.qInterp(O283,R282:Y282,Z282:AG282),       INDEX(Z282:AG282,MATCH(AH282,$Z$17:$AG$17,0))))))</f>
        <v>0</v>
      </c>
      <c r="AK282" s="732">
        <v>20</v>
      </c>
      <c r="AL282" s="721">
        <f t="shared" si="60"/>
        <v>0</v>
      </c>
      <c r="AM282" s="284">
        <f>IF($O283,_xll.qDateYears($O282,$O283,DCC_Leg1_Fixed),0)</f>
        <v>0</v>
      </c>
      <c r="AN282" s="284">
        <f>IF($O283,_xll.qDateYears($O282,$O283,DCC_Leg1_Float),0)</f>
        <v>0</v>
      </c>
      <c r="AP282" s="350">
        <f t="shared" si="66"/>
        <v>0</v>
      </c>
      <c r="AQ282" s="375">
        <f>IF(GenType_1a="Fixed",GenRate_1a%*$AL281*AM281,          IF(GenType_1a="Float",$AL281*(_xll.qGetFwdRate($D$18,$O281,$O282,"T",DCC_Leg1_Float)%+GenRate_1a%%)*$AN281,        IF(GenType_1a="bp (Fixed)",GenRate_1a%%*$AM281*$AL281,   IF(GenType_1a="bp (Float)",GenRate_1a%%*$AL281*$AN281,0))))</f>
        <v>0</v>
      </c>
      <c r="AR282" s="561"/>
      <c r="AT282" s="341">
        <f t="shared" si="56"/>
        <v>0</v>
      </c>
      <c r="AV282" s="356"/>
      <c r="AW282" s="122">
        <v>0</v>
      </c>
      <c r="AX282" s="128">
        <f t="shared" si="61"/>
        <v>0</v>
      </c>
      <c r="AY282" s="357">
        <v>0</v>
      </c>
      <c r="AZ282" s="699">
        <f>IF($AW283=0,0,        _xll.qDateNext($AW282,AZ$17,"M",TRUE,Currency2))</f>
        <v>0</v>
      </c>
      <c r="BA282" s="699">
        <f>IF($AW283=0,0,        _xll.qDateNext($AW282,BA$17,"M",TRUE,Currency2))</f>
        <v>0</v>
      </c>
      <c r="BB282" s="699">
        <f>IF($AW283=0,0,        _xll.qDateNext($AW282,BB$17,"M",TRUE,Currency2))</f>
        <v>0</v>
      </c>
      <c r="BC282" s="699">
        <f>IF($AW283=0,0,        _xll.qDateNext($AW282,BC$17,"M",TRUE,Currency2))</f>
        <v>0</v>
      </c>
      <c r="BD282" s="699">
        <f>IF($AW283=0,0,        _xll.qDateNext($AW282,BD$17,"M",TRUE,Currency2))</f>
        <v>0</v>
      </c>
      <c r="BE282" s="699">
        <f>IF($AW283=0,0,        _xll.qDateNext($AW282,BE$17,"M",TRUE,Currency2))</f>
        <v>0</v>
      </c>
      <c r="BF282" s="699">
        <f>IF($AW283=0,0,        _xll.qDateNext($AW282,BF$17,"M",TRUE,Currency2))</f>
        <v>0</v>
      </c>
      <c r="BG282" s="699">
        <f>IF($AW283=0,0,        _xll.qDateNext($AW282,BG$17,"M",TRUE,Currency2))</f>
        <v>0</v>
      </c>
      <c r="BH282" s="703">
        <v>0</v>
      </c>
      <c r="BI282" s="703">
        <v>0</v>
      </c>
      <c r="BJ282" s="703">
        <v>0</v>
      </c>
      <c r="BK282" s="703">
        <v>0</v>
      </c>
      <c r="BL282" s="703">
        <f t="shared" si="67"/>
        <v>0</v>
      </c>
      <c r="BM282" s="703">
        <f t="shared" si="68"/>
        <v>0</v>
      </c>
      <c r="BN282" s="703">
        <v>0</v>
      </c>
      <c r="BO282" s="703">
        <v>0</v>
      </c>
      <c r="BP282" s="685">
        <v>0</v>
      </c>
      <c r="BQ282" s="667"/>
      <c r="BR282" s="670">
        <f>IF(AW283=0,0,             IF(ISNUMBER(BQ282),BQ282,             IF(ISTEXT(BQ282),INDEX(BH282:BO282,MATCH(BQ282,$BH$17:$BO$17,0)),           IF(BP282="INT",_xll.qInterp(AW283,AZ282:BG282,BH282:BO282),       INDEX(BH282:BO282,MATCH(BP282,$BH$17:$BO$17,0))))))</f>
        <v>0</v>
      </c>
      <c r="BS282" s="731">
        <f t="shared" si="62"/>
        <v>0</v>
      </c>
      <c r="BT282" s="406">
        <f t="shared" si="63"/>
        <v>0</v>
      </c>
      <c r="BU282" s="284">
        <f>IF($AW283,_xll.qDateYears($AW282,$AW283,DCC_Leg2_Fixed),0)</f>
        <v>0</v>
      </c>
      <c r="BV282" s="284">
        <f>IF($AW283,_xll.qDateYears($AW282,$AW283,DCC_Leg2_Float),0)</f>
        <v>0</v>
      </c>
      <c r="BX282" s="350">
        <f t="shared" si="69"/>
        <v>0</v>
      </c>
      <c r="BY282" s="375">
        <f>IF(GenType_2a="Fixed",GenRate_2a%*$BT281*BU281,          IF(GenType_2a="Float",$BT281*(_xll.qGetFwdRate($J$18,$AW281,$AW282,"T",DCC_Leg2_Float)%+GenRate_2a%%)*$BV281,        IF(GenType_2a="bp (Fixed)",GenRate_2a%%*$BU281*$BT281,   IF(GenType_2a="bp (Float)",GenRate_2a%%*$BT281*$BV281,0))))</f>
        <v>0</v>
      </c>
      <c r="BZ282" s="561"/>
      <c r="CB282" s="341">
        <f t="shared" si="57"/>
        <v>0</v>
      </c>
      <c r="CC282" s="563"/>
      <c r="CD282" s="356"/>
      <c r="CE282" s="341">
        <v>0</v>
      </c>
      <c r="CF282" s="563"/>
      <c r="CG282" s="356"/>
    </row>
    <row r="283" spans="15:85">
      <c r="O283" s="122">
        <v>0</v>
      </c>
      <c r="P283" s="128">
        <f t="shared" si="58"/>
        <v>0</v>
      </c>
      <c r="Q283" s="126">
        <v>0</v>
      </c>
      <c r="R283" s="699">
        <f>IF($O284=0,0,        _xll.qDateNext($O283,R$17,"M",TRUE,Currency1))</f>
        <v>0</v>
      </c>
      <c r="S283" s="699">
        <f>IF($O284=0,0,        _xll.qDateNext($O283,S$17,"M",TRUE,Currency1))</f>
        <v>0</v>
      </c>
      <c r="T283" s="699">
        <f>IF($O284=0,0,        _xll.qDateNext($O283,T$17,"M",TRUE,Currency1))</f>
        <v>0</v>
      </c>
      <c r="U283" s="699">
        <f>IF($O284=0,0,        _xll.qDateNext($O283,U$17,"M",TRUE,Currency1))</f>
        <v>0</v>
      </c>
      <c r="V283" s="699">
        <f>IF($O284=0,0,        _xll.qDateNext($O283,V$17,"M",TRUE,Currency1))</f>
        <v>0</v>
      </c>
      <c r="W283" s="699">
        <f>IF($O284=0,0,        _xll.qDateNext($O283,W$17,"M",TRUE,Currency1))</f>
        <v>0</v>
      </c>
      <c r="X283" s="699">
        <f>IF($O284=0,0,        _xll.qDateNext($O283,X$17,"M",TRUE,Currency1))</f>
        <v>0</v>
      </c>
      <c r="Y283" s="699">
        <f>IF($O284=0,0,        _xll.qDateNext($O283,Y$17,"M",TRUE,Currency1))</f>
        <v>0</v>
      </c>
      <c r="Z283" s="703">
        <f>IF($O284=0,0,           IF(FRM,_xll.qGetFwdRate(Z$14,$O283,R283,"T",DCC_Leg1_Float),_xll.qGetFwdRate(Z$14,$O283,$O284,"T",DCC_Leg1_Float)))</f>
        <v>0</v>
      </c>
      <c r="AA283" s="703">
        <f>IF($O284=0,0,           IF(FRM,_xll.qGetFwdRate(AA$14,$O283,S283,"T",DCC_Leg1_Float),_xll.qGetFwdRate(AA$14,$O283,$O284,"T",DCC_Leg1_Float)))</f>
        <v>0</v>
      </c>
      <c r="AB283" s="703">
        <f t="shared" si="59"/>
        <v>0</v>
      </c>
      <c r="AC283" s="703">
        <f>IF($O284=0,0,           IF(FRM,_xll.qGetFwdRate(AC$14,$O283,U283,"T",DCC_Leg1_Float),_xll.qGetFwdRate(AC$14,$O283,$O284,"T",DCC_Leg1_Float)))</f>
        <v>0</v>
      </c>
      <c r="AD283" s="703">
        <f t="shared" si="64"/>
        <v>0</v>
      </c>
      <c r="AE283" s="703">
        <f t="shared" si="65"/>
        <v>0</v>
      </c>
      <c r="AF283" s="703">
        <f>IF($O284=0,0,           IF(FRM,_xll.qGetFwdRate(AF$14,$O283,X283,"T",DCC_Leg1_Float),_xll.qGetFwdRate(AF$14,$O283,$O284,"T",DCC_Leg1_Float)))</f>
        <v>0</v>
      </c>
      <c r="AG283" s="703">
        <f>IF($O284=0,0,           IF(FRM,_xll.qGetFwdRate(AG$14,$O283,Y283,"T",DCC_Leg1_Float),_xll.qGetFwdRate(AG$14,$O283,$O284,"T",DCC_Leg1_Float)))</f>
        <v>0</v>
      </c>
      <c r="AH283" s="685">
        <v>0</v>
      </c>
      <c r="AI283" s="667"/>
      <c r="AJ283" s="670">
        <f>IF(O284=0,0,             IF(ISNUMBER(AI283),AI283,             IF(ISTEXT(AI283),INDEX(Z283:AG283,MATCH(AI283,$Z$17:$AG$17,0)),           IF(AH283="INT",_xll.qInterp(O284,R283:Y283,Z283:AG283),       INDEX(Z283:AG283,MATCH(AH283,$Z$17:$AG$17,0))))))</f>
        <v>0</v>
      </c>
      <c r="AK283" s="732">
        <v>20</v>
      </c>
      <c r="AL283" s="721">
        <f t="shared" si="60"/>
        <v>0</v>
      </c>
      <c r="AM283" s="284">
        <f>IF($O284,_xll.qDateYears($O283,$O284,DCC_Leg1_Fixed),0)</f>
        <v>0</v>
      </c>
      <c r="AN283" s="284">
        <f>IF($O284,_xll.qDateYears($O283,$O284,DCC_Leg1_Float),0)</f>
        <v>0</v>
      </c>
      <c r="AP283" s="350">
        <f t="shared" si="66"/>
        <v>0</v>
      </c>
      <c r="AQ283" s="375">
        <f>IF(GenType_1a="Fixed",GenRate_1a%*$AL282*AM282,          IF(GenType_1a="Float",$AL282*(_xll.qGetFwdRate($D$18,$O282,$O283,"T",DCC_Leg1_Float)%+GenRate_1a%%)*$AN282,        IF(GenType_1a="bp (Fixed)",GenRate_1a%%*$AM282*$AL282,   IF(GenType_1a="bp (Float)",GenRate_1a%%*$AL282*$AN282,0))))</f>
        <v>0</v>
      </c>
      <c r="AR283" s="561"/>
      <c r="AT283" s="341">
        <f t="shared" si="56"/>
        <v>0</v>
      </c>
      <c r="AV283" s="356"/>
      <c r="AW283" s="122">
        <v>0</v>
      </c>
      <c r="AX283" s="128">
        <f t="shared" si="61"/>
        <v>0</v>
      </c>
      <c r="AY283" s="357">
        <v>0</v>
      </c>
      <c r="AZ283" s="699">
        <f>IF($AW284=0,0,        _xll.qDateNext($AW283,AZ$17,"M",TRUE,Currency2))</f>
        <v>0</v>
      </c>
      <c r="BA283" s="699">
        <f>IF($AW284=0,0,        _xll.qDateNext($AW283,BA$17,"M",TRUE,Currency2))</f>
        <v>0</v>
      </c>
      <c r="BB283" s="699">
        <f>IF($AW284=0,0,        _xll.qDateNext($AW283,BB$17,"M",TRUE,Currency2))</f>
        <v>0</v>
      </c>
      <c r="BC283" s="699">
        <f>IF($AW284=0,0,        _xll.qDateNext($AW283,BC$17,"M",TRUE,Currency2))</f>
        <v>0</v>
      </c>
      <c r="BD283" s="699">
        <f>IF($AW284=0,0,        _xll.qDateNext($AW283,BD$17,"M",TRUE,Currency2))</f>
        <v>0</v>
      </c>
      <c r="BE283" s="699">
        <f>IF($AW284=0,0,        _xll.qDateNext($AW283,BE$17,"M",TRUE,Currency2))</f>
        <v>0</v>
      </c>
      <c r="BF283" s="699">
        <f>IF($AW284=0,0,        _xll.qDateNext($AW283,BF$17,"M",TRUE,Currency2))</f>
        <v>0</v>
      </c>
      <c r="BG283" s="699">
        <f>IF($AW284=0,0,        _xll.qDateNext($AW283,BG$17,"M",TRUE,Currency2))</f>
        <v>0</v>
      </c>
      <c r="BH283" s="703">
        <v>0</v>
      </c>
      <c r="BI283" s="703">
        <v>0</v>
      </c>
      <c r="BJ283" s="703">
        <v>0</v>
      </c>
      <c r="BK283" s="703">
        <v>0</v>
      </c>
      <c r="BL283" s="703">
        <f t="shared" si="67"/>
        <v>0</v>
      </c>
      <c r="BM283" s="703">
        <f t="shared" si="68"/>
        <v>0</v>
      </c>
      <c r="BN283" s="703">
        <v>0</v>
      </c>
      <c r="BO283" s="703">
        <v>0</v>
      </c>
      <c r="BP283" s="685">
        <v>0</v>
      </c>
      <c r="BQ283" s="667"/>
      <c r="BR283" s="670">
        <f>IF(AW284=0,0,             IF(ISNUMBER(BQ283),BQ283,             IF(ISTEXT(BQ283),INDEX(BH283:BO283,MATCH(BQ283,$BH$17:$BO$17,0)),           IF(BP283="INT",_xll.qInterp(AW284,AZ283:BG283,BH283:BO283),       INDEX(BH283:BO283,MATCH(BP283,$BH$17:$BO$17,0))))))</f>
        <v>0</v>
      </c>
      <c r="BS283" s="731">
        <f t="shared" si="62"/>
        <v>0</v>
      </c>
      <c r="BT283" s="406">
        <f t="shared" si="63"/>
        <v>0</v>
      </c>
      <c r="BU283" s="284">
        <f>IF($AW284,_xll.qDateYears($AW283,$AW284,DCC_Leg2_Fixed),0)</f>
        <v>0</v>
      </c>
      <c r="BV283" s="284">
        <f>IF($AW284,_xll.qDateYears($AW283,$AW284,DCC_Leg2_Float),0)</f>
        <v>0</v>
      </c>
      <c r="BX283" s="350">
        <f t="shared" si="69"/>
        <v>0</v>
      </c>
      <c r="BY283" s="375">
        <f>IF(GenType_2a="Fixed",GenRate_2a%*$BT282*BU282,          IF(GenType_2a="Float",$BT282*(_xll.qGetFwdRate($J$18,$AW282,$AW283,"T",DCC_Leg2_Float)%+GenRate_2a%%)*$BV282,        IF(GenType_2a="bp (Fixed)",GenRate_2a%%*$BU282*$BT282,   IF(GenType_2a="bp (Float)",GenRate_2a%%*$BT282*$BV282,0))))</f>
        <v>0</v>
      </c>
      <c r="BZ283" s="561"/>
      <c r="CB283" s="341">
        <f t="shared" si="57"/>
        <v>0</v>
      </c>
      <c r="CC283" s="563"/>
      <c r="CD283" s="356"/>
      <c r="CE283" s="341">
        <v>0</v>
      </c>
      <c r="CF283" s="563"/>
      <c r="CG283" s="356"/>
    </row>
    <row r="284" spans="15:85">
      <c r="O284" s="122">
        <v>0</v>
      </c>
      <c r="P284" s="128">
        <f t="shared" si="58"/>
        <v>0</v>
      </c>
      <c r="Q284" s="126">
        <v>0</v>
      </c>
      <c r="R284" s="699">
        <f>IF($O285=0,0,        _xll.qDateNext($O284,R$17,"M",TRUE,Currency1))</f>
        <v>0</v>
      </c>
      <c r="S284" s="699">
        <f>IF($O285=0,0,        _xll.qDateNext($O284,S$17,"M",TRUE,Currency1))</f>
        <v>0</v>
      </c>
      <c r="T284" s="699">
        <f>IF($O285=0,0,        _xll.qDateNext($O284,T$17,"M",TRUE,Currency1))</f>
        <v>0</v>
      </c>
      <c r="U284" s="699">
        <f>IF($O285=0,0,        _xll.qDateNext($O284,U$17,"M",TRUE,Currency1))</f>
        <v>0</v>
      </c>
      <c r="V284" s="699">
        <f>IF($O285=0,0,        _xll.qDateNext($O284,V$17,"M",TRUE,Currency1))</f>
        <v>0</v>
      </c>
      <c r="W284" s="699">
        <f>IF($O285=0,0,        _xll.qDateNext($O284,W$17,"M",TRUE,Currency1))</f>
        <v>0</v>
      </c>
      <c r="X284" s="699">
        <f>IF($O285=0,0,        _xll.qDateNext($O284,X$17,"M",TRUE,Currency1))</f>
        <v>0</v>
      </c>
      <c r="Y284" s="699">
        <f>IF($O285=0,0,        _xll.qDateNext($O284,Y$17,"M",TRUE,Currency1))</f>
        <v>0</v>
      </c>
      <c r="Z284" s="703">
        <f>IF($O285=0,0,           IF(FRM,_xll.qGetFwdRate(Z$14,$O284,R284,"T",DCC_Leg1_Float),_xll.qGetFwdRate(Z$14,$O284,$O285,"T",DCC_Leg1_Float)))</f>
        <v>0</v>
      </c>
      <c r="AA284" s="703">
        <f>IF($O285=0,0,           IF(FRM,_xll.qGetFwdRate(AA$14,$O284,S284,"T",DCC_Leg1_Float),_xll.qGetFwdRate(AA$14,$O284,$O285,"T",DCC_Leg1_Float)))</f>
        <v>0</v>
      </c>
      <c r="AB284" s="703">
        <f t="shared" si="59"/>
        <v>0</v>
      </c>
      <c r="AC284" s="703">
        <f>IF($O285=0,0,           IF(FRM,_xll.qGetFwdRate(AC$14,$O284,U284,"T",DCC_Leg1_Float),_xll.qGetFwdRate(AC$14,$O284,$O285,"T",DCC_Leg1_Float)))</f>
        <v>0</v>
      </c>
      <c r="AD284" s="703">
        <f t="shared" si="64"/>
        <v>0</v>
      </c>
      <c r="AE284" s="703">
        <f t="shared" si="65"/>
        <v>0</v>
      </c>
      <c r="AF284" s="703">
        <f>IF($O285=0,0,           IF(FRM,_xll.qGetFwdRate(AF$14,$O284,X284,"T",DCC_Leg1_Float),_xll.qGetFwdRate(AF$14,$O284,$O285,"T",DCC_Leg1_Float)))</f>
        <v>0</v>
      </c>
      <c r="AG284" s="703">
        <f>IF($O285=0,0,           IF(FRM,_xll.qGetFwdRate(AG$14,$O284,Y284,"T",DCC_Leg1_Float),_xll.qGetFwdRate(AG$14,$O284,$O285,"T",DCC_Leg1_Float)))</f>
        <v>0</v>
      </c>
      <c r="AH284" s="685">
        <v>0</v>
      </c>
      <c r="AI284" s="667"/>
      <c r="AJ284" s="670">
        <f>IF(O285=0,0,             IF(ISNUMBER(AI284),AI284,             IF(ISTEXT(AI284),INDEX(Z284:AG284,MATCH(AI284,$Z$17:$AG$17,0)),           IF(AH284="INT",_xll.qInterp(O285,R284:Y284,Z284:AG284),       INDEX(Z284:AG284,MATCH(AH284,$Z$17:$AG$17,0))))))</f>
        <v>0</v>
      </c>
      <c r="AK284" s="732">
        <v>20</v>
      </c>
      <c r="AL284" s="721">
        <f t="shared" si="60"/>
        <v>0</v>
      </c>
      <c r="AM284" s="284">
        <f>IF($O285,_xll.qDateYears($O284,$O285,DCC_Leg1_Fixed),0)</f>
        <v>0</v>
      </c>
      <c r="AN284" s="284">
        <f>IF($O285,_xll.qDateYears($O284,$O285,DCC_Leg1_Float),0)</f>
        <v>0</v>
      </c>
      <c r="AP284" s="350">
        <f t="shared" si="66"/>
        <v>0</v>
      </c>
      <c r="AQ284" s="375">
        <f>IF(GenType_1a="Fixed",GenRate_1a%*$AL283*AM283,          IF(GenType_1a="Float",$AL283*(_xll.qGetFwdRate($D$18,$O283,$O284,"T",DCC_Leg1_Float)%+GenRate_1a%%)*$AN283,        IF(GenType_1a="bp (Fixed)",GenRate_1a%%*$AM283*$AL283,   IF(GenType_1a="bp (Float)",GenRate_1a%%*$AL283*$AN283,0))))</f>
        <v>0</v>
      </c>
      <c r="AR284" s="561"/>
      <c r="AT284" s="341">
        <f t="shared" si="56"/>
        <v>0</v>
      </c>
      <c r="AV284" s="356"/>
      <c r="AW284" s="122">
        <v>0</v>
      </c>
      <c r="AX284" s="128">
        <f t="shared" si="61"/>
        <v>0</v>
      </c>
      <c r="AY284" s="357">
        <v>0</v>
      </c>
      <c r="AZ284" s="699">
        <f>IF($AW285=0,0,        _xll.qDateNext($AW284,AZ$17,"M",TRUE,Currency2))</f>
        <v>0</v>
      </c>
      <c r="BA284" s="699">
        <f>IF($AW285=0,0,        _xll.qDateNext($AW284,BA$17,"M",TRUE,Currency2))</f>
        <v>0</v>
      </c>
      <c r="BB284" s="699">
        <f>IF($AW285=0,0,        _xll.qDateNext($AW284,BB$17,"M",TRUE,Currency2))</f>
        <v>0</v>
      </c>
      <c r="BC284" s="699">
        <f>IF($AW285=0,0,        _xll.qDateNext($AW284,BC$17,"M",TRUE,Currency2))</f>
        <v>0</v>
      </c>
      <c r="BD284" s="699">
        <f>IF($AW285=0,0,        _xll.qDateNext($AW284,BD$17,"M",TRUE,Currency2))</f>
        <v>0</v>
      </c>
      <c r="BE284" s="699">
        <f>IF($AW285=0,0,        _xll.qDateNext($AW284,BE$17,"M",TRUE,Currency2))</f>
        <v>0</v>
      </c>
      <c r="BF284" s="699">
        <f>IF($AW285=0,0,        _xll.qDateNext($AW284,BF$17,"M",TRUE,Currency2))</f>
        <v>0</v>
      </c>
      <c r="BG284" s="699">
        <f>IF($AW285=0,0,        _xll.qDateNext($AW284,BG$17,"M",TRUE,Currency2))</f>
        <v>0</v>
      </c>
      <c r="BH284" s="703">
        <v>0</v>
      </c>
      <c r="BI284" s="703">
        <v>0</v>
      </c>
      <c r="BJ284" s="703">
        <v>0</v>
      </c>
      <c r="BK284" s="703">
        <v>0</v>
      </c>
      <c r="BL284" s="703">
        <f t="shared" si="67"/>
        <v>0</v>
      </c>
      <c r="BM284" s="703">
        <f t="shared" si="68"/>
        <v>0</v>
      </c>
      <c r="BN284" s="703">
        <v>0</v>
      </c>
      <c r="BO284" s="703">
        <v>0</v>
      </c>
      <c r="BP284" s="685">
        <v>0</v>
      </c>
      <c r="BQ284" s="667"/>
      <c r="BR284" s="670">
        <f>IF(AW285=0,0,             IF(ISNUMBER(BQ284),BQ284,             IF(ISTEXT(BQ284),INDEX(BH284:BO284,MATCH(BQ284,$BH$17:$BO$17,0)),           IF(BP284="INT",_xll.qInterp(AW285,AZ284:BG284,BH284:BO284),       INDEX(BH284:BO284,MATCH(BP284,$BH$17:$BO$17,0))))))</f>
        <v>0</v>
      </c>
      <c r="BS284" s="731">
        <f t="shared" si="62"/>
        <v>0</v>
      </c>
      <c r="BT284" s="406">
        <f t="shared" si="63"/>
        <v>0</v>
      </c>
      <c r="BU284" s="284">
        <f>IF($AW285,_xll.qDateYears($AW284,$AW285,DCC_Leg2_Fixed),0)</f>
        <v>0</v>
      </c>
      <c r="BV284" s="284">
        <f>IF($AW285,_xll.qDateYears($AW284,$AW285,DCC_Leg2_Float),0)</f>
        <v>0</v>
      </c>
      <c r="BX284" s="350">
        <f t="shared" si="69"/>
        <v>0</v>
      </c>
      <c r="BY284" s="375">
        <f>IF(GenType_2a="Fixed",GenRate_2a%*$BT283*BU283,          IF(GenType_2a="Float",$BT283*(_xll.qGetFwdRate($J$18,$AW283,$AW284,"T",DCC_Leg2_Float)%+GenRate_2a%%)*$BV283,        IF(GenType_2a="bp (Fixed)",GenRate_2a%%*$BU283*$BT283,   IF(GenType_2a="bp (Float)",GenRate_2a%%*$BT283*$BV283,0))))</f>
        <v>0</v>
      </c>
      <c r="BZ284" s="561"/>
      <c r="CB284" s="341">
        <f t="shared" si="57"/>
        <v>0</v>
      </c>
      <c r="CC284" s="563"/>
      <c r="CD284" s="356"/>
      <c r="CE284" s="341">
        <v>0</v>
      </c>
      <c r="CF284" s="563"/>
      <c r="CG284" s="356"/>
    </row>
    <row r="285" spans="15:85">
      <c r="O285" s="122">
        <v>0</v>
      </c>
      <c r="P285" s="128">
        <f t="shared" si="58"/>
        <v>0</v>
      </c>
      <c r="Q285" s="126">
        <v>0</v>
      </c>
      <c r="R285" s="699">
        <f>IF($O286=0,0,        _xll.qDateNext($O285,R$17,"M",TRUE,Currency1))</f>
        <v>0</v>
      </c>
      <c r="S285" s="699">
        <f>IF($O286=0,0,        _xll.qDateNext($O285,S$17,"M",TRUE,Currency1))</f>
        <v>0</v>
      </c>
      <c r="T285" s="699">
        <f>IF($O286=0,0,        _xll.qDateNext($O285,T$17,"M",TRUE,Currency1))</f>
        <v>0</v>
      </c>
      <c r="U285" s="699">
        <f>IF($O286=0,0,        _xll.qDateNext($O285,U$17,"M",TRUE,Currency1))</f>
        <v>0</v>
      </c>
      <c r="V285" s="699">
        <f>IF($O286=0,0,        _xll.qDateNext($O285,V$17,"M",TRUE,Currency1))</f>
        <v>0</v>
      </c>
      <c r="W285" s="699">
        <f>IF($O286=0,0,        _xll.qDateNext($O285,W$17,"M",TRUE,Currency1))</f>
        <v>0</v>
      </c>
      <c r="X285" s="699">
        <f>IF($O286=0,0,        _xll.qDateNext($O285,X$17,"M",TRUE,Currency1))</f>
        <v>0</v>
      </c>
      <c r="Y285" s="699">
        <f>IF($O286=0,0,        _xll.qDateNext($O285,Y$17,"M",TRUE,Currency1))</f>
        <v>0</v>
      </c>
      <c r="Z285" s="703">
        <f>IF($O286=0,0,           IF(FRM,_xll.qGetFwdRate(Z$14,$O285,R285,"T",DCC_Leg1_Float),_xll.qGetFwdRate(Z$14,$O285,$O286,"T",DCC_Leg1_Float)))</f>
        <v>0</v>
      </c>
      <c r="AA285" s="703">
        <f>IF($O286=0,0,           IF(FRM,_xll.qGetFwdRate(AA$14,$O285,S285,"T",DCC_Leg1_Float),_xll.qGetFwdRate(AA$14,$O285,$O286,"T",DCC_Leg1_Float)))</f>
        <v>0</v>
      </c>
      <c r="AB285" s="703">
        <f t="shared" si="59"/>
        <v>0</v>
      </c>
      <c r="AC285" s="703">
        <f>IF($O286=0,0,           IF(FRM,_xll.qGetFwdRate(AC$14,$O285,U285,"T",DCC_Leg1_Float),_xll.qGetFwdRate(AC$14,$O285,$O286,"T",DCC_Leg1_Float)))</f>
        <v>0</v>
      </c>
      <c r="AD285" s="703">
        <f t="shared" si="64"/>
        <v>0</v>
      </c>
      <c r="AE285" s="703">
        <f t="shared" si="65"/>
        <v>0</v>
      </c>
      <c r="AF285" s="703">
        <f>IF($O286=0,0,           IF(FRM,_xll.qGetFwdRate(AF$14,$O285,X285,"T",DCC_Leg1_Float),_xll.qGetFwdRate(AF$14,$O285,$O286,"T",DCC_Leg1_Float)))</f>
        <v>0</v>
      </c>
      <c r="AG285" s="703">
        <f>IF($O286=0,0,           IF(FRM,_xll.qGetFwdRate(AG$14,$O285,Y285,"T",DCC_Leg1_Float),_xll.qGetFwdRate(AG$14,$O285,$O286,"T",DCC_Leg1_Float)))</f>
        <v>0</v>
      </c>
      <c r="AH285" s="685">
        <v>0</v>
      </c>
      <c r="AI285" s="667"/>
      <c r="AJ285" s="670">
        <f>IF(O286=0,0,             IF(ISNUMBER(AI285),AI285,             IF(ISTEXT(AI285),INDEX(Z285:AG285,MATCH(AI285,$Z$17:$AG$17,0)),           IF(AH285="INT",_xll.qInterp(O286,R285:Y285,Z285:AG285),       INDEX(Z285:AG285,MATCH(AH285,$Z$17:$AG$17,0))))))</f>
        <v>0</v>
      </c>
      <c r="AK285" s="732">
        <v>20</v>
      </c>
      <c r="AL285" s="721">
        <f t="shared" si="60"/>
        <v>0</v>
      </c>
      <c r="AM285" s="284">
        <f>IF($O286,_xll.qDateYears($O285,$O286,DCC_Leg1_Fixed),0)</f>
        <v>0</v>
      </c>
      <c r="AN285" s="284">
        <f>IF($O286,_xll.qDateYears($O285,$O286,DCC_Leg1_Float),0)</f>
        <v>0</v>
      </c>
      <c r="AP285" s="350">
        <f t="shared" si="66"/>
        <v>0</v>
      </c>
      <c r="AQ285" s="375">
        <f>IF(GenType_1a="Fixed",GenRate_1a%*$AL284*AM284,          IF(GenType_1a="Float",$AL284*(_xll.qGetFwdRate($D$18,$O284,$O285,"T",DCC_Leg1_Float)%+GenRate_1a%%)*$AN284,        IF(GenType_1a="bp (Fixed)",GenRate_1a%%*$AM284*$AL284,   IF(GenType_1a="bp (Float)",GenRate_1a%%*$AL284*$AN284,0))))</f>
        <v>0</v>
      </c>
      <c r="AR285" s="561"/>
      <c r="AT285" s="341">
        <f t="shared" si="56"/>
        <v>0</v>
      </c>
      <c r="AV285" s="356"/>
      <c r="AW285" s="122">
        <v>0</v>
      </c>
      <c r="AX285" s="128">
        <f t="shared" si="61"/>
        <v>0</v>
      </c>
      <c r="AY285" s="357">
        <v>0</v>
      </c>
      <c r="AZ285" s="699">
        <f>IF($AW286=0,0,        _xll.qDateNext($AW285,AZ$17,"M",TRUE,Currency2))</f>
        <v>0</v>
      </c>
      <c r="BA285" s="699">
        <f>IF($AW286=0,0,        _xll.qDateNext($AW285,BA$17,"M",TRUE,Currency2))</f>
        <v>0</v>
      </c>
      <c r="BB285" s="699">
        <f>IF($AW286=0,0,        _xll.qDateNext($AW285,BB$17,"M",TRUE,Currency2))</f>
        <v>0</v>
      </c>
      <c r="BC285" s="699">
        <f>IF($AW286=0,0,        _xll.qDateNext($AW285,BC$17,"M",TRUE,Currency2))</f>
        <v>0</v>
      </c>
      <c r="BD285" s="699">
        <f>IF($AW286=0,0,        _xll.qDateNext($AW285,BD$17,"M",TRUE,Currency2))</f>
        <v>0</v>
      </c>
      <c r="BE285" s="699">
        <f>IF($AW286=0,0,        _xll.qDateNext($AW285,BE$17,"M",TRUE,Currency2))</f>
        <v>0</v>
      </c>
      <c r="BF285" s="699">
        <f>IF($AW286=0,0,        _xll.qDateNext($AW285,BF$17,"M",TRUE,Currency2))</f>
        <v>0</v>
      </c>
      <c r="BG285" s="699">
        <f>IF($AW286=0,0,        _xll.qDateNext($AW285,BG$17,"M",TRUE,Currency2))</f>
        <v>0</v>
      </c>
      <c r="BH285" s="703">
        <v>0</v>
      </c>
      <c r="BI285" s="703">
        <v>0</v>
      </c>
      <c r="BJ285" s="703">
        <v>0</v>
      </c>
      <c r="BK285" s="703">
        <v>0</v>
      </c>
      <c r="BL285" s="703">
        <f t="shared" si="67"/>
        <v>0</v>
      </c>
      <c r="BM285" s="703">
        <f t="shared" si="68"/>
        <v>0</v>
      </c>
      <c r="BN285" s="703">
        <v>0</v>
      </c>
      <c r="BO285" s="703">
        <v>0</v>
      </c>
      <c r="BP285" s="685">
        <v>0</v>
      </c>
      <c r="BQ285" s="667"/>
      <c r="BR285" s="670">
        <f>IF(AW286=0,0,             IF(ISNUMBER(BQ285),BQ285,             IF(ISTEXT(BQ285),INDEX(BH285:BO285,MATCH(BQ285,$BH$17:$BO$17,0)),           IF(BP285="INT",_xll.qInterp(AW286,AZ285:BG285,BH285:BO285),       INDEX(BH285:BO285,MATCH(BP285,$BH$17:$BO$17,0))))))</f>
        <v>0</v>
      </c>
      <c r="BS285" s="731">
        <f t="shared" si="62"/>
        <v>0</v>
      </c>
      <c r="BT285" s="406">
        <f t="shared" si="63"/>
        <v>0</v>
      </c>
      <c r="BU285" s="284">
        <f>IF($AW286,_xll.qDateYears($AW285,$AW286,DCC_Leg2_Fixed),0)</f>
        <v>0</v>
      </c>
      <c r="BV285" s="284">
        <f>IF($AW286,_xll.qDateYears($AW285,$AW286,DCC_Leg2_Float),0)</f>
        <v>0</v>
      </c>
      <c r="BX285" s="350">
        <f t="shared" si="69"/>
        <v>0</v>
      </c>
      <c r="BY285" s="375">
        <f>IF(GenType_2a="Fixed",GenRate_2a%*$BT284*BU284,          IF(GenType_2a="Float",$BT284*(_xll.qGetFwdRate($J$18,$AW284,$AW285,"T",DCC_Leg2_Float)%+GenRate_2a%%)*$BV284,        IF(GenType_2a="bp (Fixed)",GenRate_2a%%*$BU284*$BT284,   IF(GenType_2a="bp (Float)",GenRate_2a%%*$BT284*$BV284,0))))</f>
        <v>0</v>
      </c>
      <c r="BZ285" s="561"/>
      <c r="CB285" s="341">
        <f t="shared" si="57"/>
        <v>0</v>
      </c>
      <c r="CC285" s="563"/>
      <c r="CD285" s="356"/>
      <c r="CE285" s="341">
        <v>0</v>
      </c>
      <c r="CF285" s="563"/>
      <c r="CG285" s="356"/>
    </row>
    <row r="286" spans="15:85">
      <c r="O286" s="122">
        <v>0</v>
      </c>
      <c r="P286" s="128">
        <f t="shared" si="58"/>
        <v>0</v>
      </c>
      <c r="Q286" s="126">
        <v>0</v>
      </c>
      <c r="R286" s="699">
        <f>IF($O287=0,0,        _xll.qDateNext($O286,R$17,"M",TRUE,Currency1))</f>
        <v>0</v>
      </c>
      <c r="S286" s="699">
        <f>IF($O287=0,0,        _xll.qDateNext($O286,S$17,"M",TRUE,Currency1))</f>
        <v>0</v>
      </c>
      <c r="T286" s="699">
        <f>IF($O287=0,0,        _xll.qDateNext($O286,T$17,"M",TRUE,Currency1))</f>
        <v>0</v>
      </c>
      <c r="U286" s="699">
        <f>IF($O287=0,0,        _xll.qDateNext($O286,U$17,"M",TRUE,Currency1))</f>
        <v>0</v>
      </c>
      <c r="V286" s="699">
        <f>IF($O287=0,0,        _xll.qDateNext($O286,V$17,"M",TRUE,Currency1))</f>
        <v>0</v>
      </c>
      <c r="W286" s="699">
        <f>IF($O287=0,0,        _xll.qDateNext($O286,W$17,"M",TRUE,Currency1))</f>
        <v>0</v>
      </c>
      <c r="X286" s="699">
        <f>IF($O287=0,0,        _xll.qDateNext($O286,X$17,"M",TRUE,Currency1))</f>
        <v>0</v>
      </c>
      <c r="Y286" s="699">
        <f>IF($O287=0,0,        _xll.qDateNext($O286,Y$17,"M",TRUE,Currency1))</f>
        <v>0</v>
      </c>
      <c r="Z286" s="703">
        <f>IF($O287=0,0,           IF(FRM,_xll.qGetFwdRate(Z$14,$O286,R286,"T",DCC_Leg1_Float),_xll.qGetFwdRate(Z$14,$O286,$O287,"T",DCC_Leg1_Float)))</f>
        <v>0</v>
      </c>
      <c r="AA286" s="703">
        <f>IF($O287=0,0,           IF(FRM,_xll.qGetFwdRate(AA$14,$O286,S286,"T",DCC_Leg1_Float),_xll.qGetFwdRate(AA$14,$O286,$O287,"T",DCC_Leg1_Float)))</f>
        <v>0</v>
      </c>
      <c r="AB286" s="703">
        <f t="shared" si="59"/>
        <v>0</v>
      </c>
      <c r="AC286" s="703">
        <f>IF($O287=0,0,           IF(FRM,_xll.qGetFwdRate(AC$14,$O286,U286,"T",DCC_Leg1_Float),_xll.qGetFwdRate(AC$14,$O286,$O287,"T",DCC_Leg1_Float)))</f>
        <v>0</v>
      </c>
      <c r="AD286" s="703">
        <f t="shared" si="64"/>
        <v>0</v>
      </c>
      <c r="AE286" s="703">
        <f t="shared" si="65"/>
        <v>0</v>
      </c>
      <c r="AF286" s="703">
        <f>IF($O287=0,0,           IF(FRM,_xll.qGetFwdRate(AF$14,$O286,X286,"T",DCC_Leg1_Float),_xll.qGetFwdRate(AF$14,$O286,$O287,"T",DCC_Leg1_Float)))</f>
        <v>0</v>
      </c>
      <c r="AG286" s="703">
        <f>IF($O287=0,0,           IF(FRM,_xll.qGetFwdRate(AG$14,$O286,Y286,"T",DCC_Leg1_Float),_xll.qGetFwdRate(AG$14,$O286,$O287,"T",DCC_Leg1_Float)))</f>
        <v>0</v>
      </c>
      <c r="AH286" s="685">
        <v>0</v>
      </c>
      <c r="AI286" s="667"/>
      <c r="AJ286" s="670">
        <f>IF(O287=0,0,             IF(ISNUMBER(AI286),AI286,             IF(ISTEXT(AI286),INDEX(Z286:AG286,MATCH(AI286,$Z$17:$AG$17,0)),           IF(AH286="INT",_xll.qInterp(O287,R286:Y286,Z286:AG286),       INDEX(Z286:AG286,MATCH(AH286,$Z$17:$AG$17,0))))))</f>
        <v>0</v>
      </c>
      <c r="AK286" s="732">
        <v>20</v>
      </c>
      <c r="AL286" s="721">
        <f t="shared" si="60"/>
        <v>0</v>
      </c>
      <c r="AM286" s="284">
        <f>IF($O287,_xll.qDateYears($O286,$O287,DCC_Leg1_Fixed),0)</f>
        <v>0</v>
      </c>
      <c r="AN286" s="284">
        <f>IF($O287,_xll.qDateYears($O286,$O287,DCC_Leg1_Float),0)</f>
        <v>0</v>
      </c>
      <c r="AP286" s="350">
        <f t="shared" si="66"/>
        <v>0</v>
      </c>
      <c r="AQ286" s="375">
        <f>IF(GenType_1a="Fixed",GenRate_1a%*$AL285*AM285,          IF(GenType_1a="Float",$AL285*(_xll.qGetFwdRate($D$18,$O285,$O286,"T",DCC_Leg1_Float)%+GenRate_1a%%)*$AN285,        IF(GenType_1a="bp (Fixed)",GenRate_1a%%*$AM285*$AL285,   IF(GenType_1a="bp (Float)",GenRate_1a%%*$AL285*$AN285,0))))</f>
        <v>0</v>
      </c>
      <c r="AR286" s="561"/>
      <c r="AT286" s="341">
        <f t="shared" si="56"/>
        <v>0</v>
      </c>
      <c r="AV286" s="356"/>
      <c r="AW286" s="122">
        <v>0</v>
      </c>
      <c r="AX286" s="128">
        <f t="shared" si="61"/>
        <v>0</v>
      </c>
      <c r="AY286" s="357">
        <v>0</v>
      </c>
      <c r="AZ286" s="699">
        <f>IF($AW287=0,0,        _xll.qDateNext($AW286,AZ$17,"M",TRUE,Currency2))</f>
        <v>0</v>
      </c>
      <c r="BA286" s="699">
        <f>IF($AW287=0,0,        _xll.qDateNext($AW286,BA$17,"M",TRUE,Currency2))</f>
        <v>0</v>
      </c>
      <c r="BB286" s="699">
        <f>IF($AW287=0,0,        _xll.qDateNext($AW286,BB$17,"M",TRUE,Currency2))</f>
        <v>0</v>
      </c>
      <c r="BC286" s="699">
        <f>IF($AW287=0,0,        _xll.qDateNext($AW286,BC$17,"M",TRUE,Currency2))</f>
        <v>0</v>
      </c>
      <c r="BD286" s="699">
        <f>IF($AW287=0,0,        _xll.qDateNext($AW286,BD$17,"M",TRUE,Currency2))</f>
        <v>0</v>
      </c>
      <c r="BE286" s="699">
        <f>IF($AW287=0,0,        _xll.qDateNext($AW286,BE$17,"M",TRUE,Currency2))</f>
        <v>0</v>
      </c>
      <c r="BF286" s="699">
        <f>IF($AW287=0,0,        _xll.qDateNext($AW286,BF$17,"M",TRUE,Currency2))</f>
        <v>0</v>
      </c>
      <c r="BG286" s="699">
        <f>IF($AW287=0,0,        _xll.qDateNext($AW286,BG$17,"M",TRUE,Currency2))</f>
        <v>0</v>
      </c>
      <c r="BH286" s="703">
        <v>0</v>
      </c>
      <c r="BI286" s="703">
        <v>0</v>
      </c>
      <c r="BJ286" s="703">
        <v>0</v>
      </c>
      <c r="BK286" s="703">
        <v>0</v>
      </c>
      <c r="BL286" s="703">
        <f t="shared" si="67"/>
        <v>0</v>
      </c>
      <c r="BM286" s="703">
        <f t="shared" si="68"/>
        <v>0</v>
      </c>
      <c r="BN286" s="703">
        <v>0</v>
      </c>
      <c r="BO286" s="703">
        <v>0</v>
      </c>
      <c r="BP286" s="685">
        <v>0</v>
      </c>
      <c r="BQ286" s="667"/>
      <c r="BR286" s="670">
        <f>IF(AW287=0,0,             IF(ISNUMBER(BQ286),BQ286,             IF(ISTEXT(BQ286),INDEX(BH286:BO286,MATCH(BQ286,$BH$17:$BO$17,0)),           IF(BP286="INT",_xll.qInterp(AW287,AZ286:BG286,BH286:BO286),       INDEX(BH286:BO286,MATCH(BP286,$BH$17:$BO$17,0))))))</f>
        <v>0</v>
      </c>
      <c r="BS286" s="731">
        <f t="shared" si="62"/>
        <v>0</v>
      </c>
      <c r="BT286" s="406">
        <f t="shared" si="63"/>
        <v>0</v>
      </c>
      <c r="BU286" s="284">
        <f>IF($AW287,_xll.qDateYears($AW286,$AW287,DCC_Leg2_Fixed),0)</f>
        <v>0</v>
      </c>
      <c r="BV286" s="284">
        <f>IF($AW287,_xll.qDateYears($AW286,$AW287,DCC_Leg2_Float),0)</f>
        <v>0</v>
      </c>
      <c r="BX286" s="350">
        <f t="shared" si="69"/>
        <v>0</v>
      </c>
      <c r="BY286" s="375">
        <f>IF(GenType_2a="Fixed",GenRate_2a%*$BT285*BU285,          IF(GenType_2a="Float",$BT285*(_xll.qGetFwdRate($J$18,$AW285,$AW286,"T",DCC_Leg2_Float)%+GenRate_2a%%)*$BV285,        IF(GenType_2a="bp (Fixed)",GenRate_2a%%*$BU285*$BT285,   IF(GenType_2a="bp (Float)",GenRate_2a%%*$BT285*$BV285,0))))</f>
        <v>0</v>
      </c>
      <c r="BZ286" s="561"/>
      <c r="CB286" s="341">
        <f t="shared" si="57"/>
        <v>0</v>
      </c>
      <c r="CC286" s="563"/>
      <c r="CD286" s="356"/>
      <c r="CE286" s="341">
        <v>0</v>
      </c>
      <c r="CF286" s="563"/>
      <c r="CG286" s="356"/>
    </row>
    <row r="287" spans="15:85">
      <c r="O287" s="122">
        <v>0</v>
      </c>
      <c r="P287" s="128">
        <f t="shared" si="58"/>
        <v>0</v>
      </c>
      <c r="Q287" s="126">
        <v>0</v>
      </c>
      <c r="R287" s="699">
        <f>IF($O288=0,0,        _xll.qDateNext($O287,R$17,"M",TRUE,Currency1))</f>
        <v>0</v>
      </c>
      <c r="S287" s="699">
        <f>IF($O288=0,0,        _xll.qDateNext($O287,S$17,"M",TRUE,Currency1))</f>
        <v>0</v>
      </c>
      <c r="T287" s="699">
        <f>IF($O288=0,0,        _xll.qDateNext($O287,T$17,"M",TRUE,Currency1))</f>
        <v>0</v>
      </c>
      <c r="U287" s="699">
        <f>IF($O288=0,0,        _xll.qDateNext($O287,U$17,"M",TRUE,Currency1))</f>
        <v>0</v>
      </c>
      <c r="V287" s="699">
        <f>IF($O288=0,0,        _xll.qDateNext($O287,V$17,"M",TRUE,Currency1))</f>
        <v>0</v>
      </c>
      <c r="W287" s="699">
        <f>IF($O288=0,0,        _xll.qDateNext($O287,W$17,"M",TRUE,Currency1))</f>
        <v>0</v>
      </c>
      <c r="X287" s="699">
        <f>IF($O288=0,0,        _xll.qDateNext($O287,X$17,"M",TRUE,Currency1))</f>
        <v>0</v>
      </c>
      <c r="Y287" s="699">
        <f>IF($O288=0,0,        _xll.qDateNext($O287,Y$17,"M",TRUE,Currency1))</f>
        <v>0</v>
      </c>
      <c r="Z287" s="703">
        <f>IF($O288=0,0,           IF(FRM,_xll.qGetFwdRate(Z$14,$O287,R287,"T",DCC_Leg1_Float),_xll.qGetFwdRate(Z$14,$O287,$O288,"T",DCC_Leg1_Float)))</f>
        <v>0</v>
      </c>
      <c r="AA287" s="703">
        <f>IF($O288=0,0,           IF(FRM,_xll.qGetFwdRate(AA$14,$O287,S287,"T",DCC_Leg1_Float),_xll.qGetFwdRate(AA$14,$O287,$O288,"T",DCC_Leg1_Float)))</f>
        <v>0</v>
      </c>
      <c r="AB287" s="703">
        <f t="shared" si="59"/>
        <v>0</v>
      </c>
      <c r="AC287" s="703">
        <f>IF($O288=0,0,           IF(FRM,_xll.qGetFwdRate(AC$14,$O287,U287,"T",DCC_Leg1_Float),_xll.qGetFwdRate(AC$14,$O287,$O288,"T",DCC_Leg1_Float)))</f>
        <v>0</v>
      </c>
      <c r="AD287" s="703">
        <f t="shared" si="64"/>
        <v>0</v>
      </c>
      <c r="AE287" s="703">
        <f t="shared" si="65"/>
        <v>0</v>
      </c>
      <c r="AF287" s="703">
        <f>IF($O288=0,0,           IF(FRM,_xll.qGetFwdRate(AF$14,$O287,X287,"T",DCC_Leg1_Float),_xll.qGetFwdRate(AF$14,$O287,$O288,"T",DCC_Leg1_Float)))</f>
        <v>0</v>
      </c>
      <c r="AG287" s="703">
        <f>IF($O288=0,0,           IF(FRM,_xll.qGetFwdRate(AG$14,$O287,Y287,"T",DCC_Leg1_Float),_xll.qGetFwdRate(AG$14,$O287,$O288,"T",DCC_Leg1_Float)))</f>
        <v>0</v>
      </c>
      <c r="AH287" s="685">
        <v>0</v>
      </c>
      <c r="AI287" s="667"/>
      <c r="AJ287" s="670">
        <f>IF(O288=0,0,             IF(ISNUMBER(AI287),AI287,             IF(ISTEXT(AI287),INDEX(Z287:AG287,MATCH(AI287,$Z$17:$AG$17,0)),           IF(AH287="INT",_xll.qInterp(O288,R287:Y287,Z287:AG287),       INDEX(Z287:AG287,MATCH(AH287,$Z$17:$AG$17,0))))))</f>
        <v>0</v>
      </c>
      <c r="AK287" s="732">
        <v>20</v>
      </c>
      <c r="AL287" s="721">
        <f t="shared" si="60"/>
        <v>0</v>
      </c>
      <c r="AM287" s="284">
        <f>IF($O288,_xll.qDateYears($O287,$O288,DCC_Leg1_Fixed),0)</f>
        <v>0</v>
      </c>
      <c r="AN287" s="284">
        <f>IF($O288,_xll.qDateYears($O287,$O288,DCC_Leg1_Float),0)</f>
        <v>0</v>
      </c>
      <c r="AP287" s="350">
        <f t="shared" si="66"/>
        <v>0</v>
      </c>
      <c r="AQ287" s="375">
        <f>IF(GenType_1a="Fixed",GenRate_1a%*$AL286*AM286,          IF(GenType_1a="Float",$AL286*(_xll.qGetFwdRate($D$18,$O286,$O287,"T",DCC_Leg1_Float)%+GenRate_1a%%)*$AN286,        IF(GenType_1a="bp (Fixed)",GenRate_1a%%*$AM286*$AL286,   IF(GenType_1a="bp (Float)",GenRate_1a%%*$AL286*$AN286,0))))</f>
        <v>0</v>
      </c>
      <c r="AR287" s="561"/>
      <c r="AT287" s="341">
        <f t="shared" si="56"/>
        <v>0</v>
      </c>
      <c r="AV287" s="356"/>
      <c r="AW287" s="122">
        <v>0</v>
      </c>
      <c r="AX287" s="128">
        <f t="shared" si="61"/>
        <v>0</v>
      </c>
      <c r="AY287" s="357">
        <v>0</v>
      </c>
      <c r="AZ287" s="699">
        <f>IF($AW288=0,0,        _xll.qDateNext($AW287,AZ$17,"M",TRUE,Currency2))</f>
        <v>0</v>
      </c>
      <c r="BA287" s="699">
        <f>IF($AW288=0,0,        _xll.qDateNext($AW287,BA$17,"M",TRUE,Currency2))</f>
        <v>0</v>
      </c>
      <c r="BB287" s="699">
        <f>IF($AW288=0,0,        _xll.qDateNext($AW287,BB$17,"M",TRUE,Currency2))</f>
        <v>0</v>
      </c>
      <c r="BC287" s="699">
        <f>IF($AW288=0,0,        _xll.qDateNext($AW287,BC$17,"M",TRUE,Currency2))</f>
        <v>0</v>
      </c>
      <c r="BD287" s="699">
        <f>IF($AW288=0,0,        _xll.qDateNext($AW287,BD$17,"M",TRUE,Currency2))</f>
        <v>0</v>
      </c>
      <c r="BE287" s="699">
        <f>IF($AW288=0,0,        _xll.qDateNext($AW287,BE$17,"M",TRUE,Currency2))</f>
        <v>0</v>
      </c>
      <c r="BF287" s="699">
        <f>IF($AW288=0,0,        _xll.qDateNext($AW287,BF$17,"M",TRUE,Currency2))</f>
        <v>0</v>
      </c>
      <c r="BG287" s="699">
        <f>IF($AW288=0,0,        _xll.qDateNext($AW287,BG$17,"M",TRUE,Currency2))</f>
        <v>0</v>
      </c>
      <c r="BH287" s="703">
        <v>0</v>
      </c>
      <c r="BI287" s="703">
        <v>0</v>
      </c>
      <c r="BJ287" s="703">
        <v>0</v>
      </c>
      <c r="BK287" s="703">
        <v>0</v>
      </c>
      <c r="BL287" s="703">
        <f t="shared" si="67"/>
        <v>0</v>
      </c>
      <c r="BM287" s="703">
        <f t="shared" si="68"/>
        <v>0</v>
      </c>
      <c r="BN287" s="703">
        <v>0</v>
      </c>
      <c r="BO287" s="703">
        <v>0</v>
      </c>
      <c r="BP287" s="685">
        <v>0</v>
      </c>
      <c r="BQ287" s="667"/>
      <c r="BR287" s="670">
        <f>IF(AW288=0,0,             IF(ISNUMBER(BQ287),BQ287,             IF(ISTEXT(BQ287),INDEX(BH287:BO287,MATCH(BQ287,$BH$17:$BO$17,0)),           IF(BP287="INT",_xll.qInterp(AW288,AZ287:BG287,BH287:BO287),       INDEX(BH287:BO287,MATCH(BP287,$BH$17:$BO$17,0))))))</f>
        <v>0</v>
      </c>
      <c r="BS287" s="731">
        <f t="shared" si="62"/>
        <v>0</v>
      </c>
      <c r="BT287" s="406">
        <f t="shared" si="63"/>
        <v>0</v>
      </c>
      <c r="BU287" s="284">
        <f>IF($AW288,_xll.qDateYears($AW287,$AW288,DCC_Leg2_Fixed),0)</f>
        <v>0</v>
      </c>
      <c r="BV287" s="284">
        <f>IF($AW288,_xll.qDateYears($AW287,$AW288,DCC_Leg2_Float),0)</f>
        <v>0</v>
      </c>
      <c r="BX287" s="350">
        <f t="shared" si="69"/>
        <v>0</v>
      </c>
      <c r="BY287" s="375">
        <f>IF(GenType_2a="Fixed",GenRate_2a%*$BT286*BU286,          IF(GenType_2a="Float",$BT286*(_xll.qGetFwdRate($J$18,$AW286,$AW287,"T",DCC_Leg2_Float)%+GenRate_2a%%)*$BV286,        IF(GenType_2a="bp (Fixed)",GenRate_2a%%*$BU286*$BT286,   IF(GenType_2a="bp (Float)",GenRate_2a%%*$BT286*$BV286,0))))</f>
        <v>0</v>
      </c>
      <c r="BZ287" s="561"/>
      <c r="CB287" s="341">
        <f t="shared" si="57"/>
        <v>0</v>
      </c>
      <c r="CC287" s="563"/>
      <c r="CD287" s="356"/>
      <c r="CE287" s="341">
        <v>0</v>
      </c>
      <c r="CF287" s="563"/>
      <c r="CG287" s="356"/>
    </row>
    <row r="288" spans="15:85">
      <c r="O288" s="122">
        <v>0</v>
      </c>
      <c r="P288" s="128">
        <f t="shared" si="58"/>
        <v>0</v>
      </c>
      <c r="Q288" s="126">
        <v>0</v>
      </c>
      <c r="R288" s="699">
        <f>IF($O289=0,0,        _xll.qDateNext($O288,R$17,"M",TRUE,Currency1))</f>
        <v>0</v>
      </c>
      <c r="S288" s="699">
        <f>IF($O289=0,0,        _xll.qDateNext($O288,S$17,"M",TRUE,Currency1))</f>
        <v>0</v>
      </c>
      <c r="T288" s="699">
        <f>IF($O289=0,0,        _xll.qDateNext($O288,T$17,"M",TRUE,Currency1))</f>
        <v>0</v>
      </c>
      <c r="U288" s="699">
        <f>IF($O289=0,0,        _xll.qDateNext($O288,U$17,"M",TRUE,Currency1))</f>
        <v>0</v>
      </c>
      <c r="V288" s="699">
        <f>IF($O289=0,0,        _xll.qDateNext($O288,V$17,"M",TRUE,Currency1))</f>
        <v>0</v>
      </c>
      <c r="W288" s="699">
        <f>IF($O289=0,0,        _xll.qDateNext($O288,W$17,"M",TRUE,Currency1))</f>
        <v>0</v>
      </c>
      <c r="X288" s="699">
        <f>IF($O289=0,0,        _xll.qDateNext($O288,X$17,"M",TRUE,Currency1))</f>
        <v>0</v>
      </c>
      <c r="Y288" s="699">
        <f>IF($O289=0,0,        _xll.qDateNext($O288,Y$17,"M",TRUE,Currency1))</f>
        <v>0</v>
      </c>
      <c r="Z288" s="703">
        <f>IF($O289=0,0,           IF(FRM,_xll.qGetFwdRate(Z$14,$O288,R288,"T",DCC_Leg1_Float),_xll.qGetFwdRate(Z$14,$O288,$O289,"T",DCC_Leg1_Float)))</f>
        <v>0</v>
      </c>
      <c r="AA288" s="703">
        <f>IF($O289=0,0,           IF(FRM,_xll.qGetFwdRate(AA$14,$O288,S288,"T",DCC_Leg1_Float),_xll.qGetFwdRate(AA$14,$O288,$O289,"T",DCC_Leg1_Float)))</f>
        <v>0</v>
      </c>
      <c r="AB288" s="703">
        <f t="shared" si="59"/>
        <v>0</v>
      </c>
      <c r="AC288" s="703">
        <f>IF($O289=0,0,           IF(FRM,_xll.qGetFwdRate(AC$14,$O288,U288,"T",DCC_Leg1_Float),_xll.qGetFwdRate(AC$14,$O288,$O289,"T",DCC_Leg1_Float)))</f>
        <v>0</v>
      </c>
      <c r="AD288" s="703">
        <f t="shared" si="64"/>
        <v>0</v>
      </c>
      <c r="AE288" s="703">
        <f t="shared" si="65"/>
        <v>0</v>
      </c>
      <c r="AF288" s="703">
        <f>IF($O289=0,0,           IF(FRM,_xll.qGetFwdRate(AF$14,$O288,X288,"T",DCC_Leg1_Float),_xll.qGetFwdRate(AF$14,$O288,$O289,"T",DCC_Leg1_Float)))</f>
        <v>0</v>
      </c>
      <c r="AG288" s="703">
        <f>IF($O289=0,0,           IF(FRM,_xll.qGetFwdRate(AG$14,$O288,Y288,"T",DCC_Leg1_Float),_xll.qGetFwdRate(AG$14,$O288,$O289,"T",DCC_Leg1_Float)))</f>
        <v>0</v>
      </c>
      <c r="AH288" s="685">
        <v>0</v>
      </c>
      <c r="AI288" s="667"/>
      <c r="AJ288" s="670">
        <f>IF(O289=0,0,             IF(ISNUMBER(AI288),AI288,             IF(ISTEXT(AI288),INDEX(Z288:AG288,MATCH(AI288,$Z$17:$AG$17,0)),           IF(AH288="INT",_xll.qInterp(O289,R288:Y288,Z288:AG288),       INDEX(Z288:AG288,MATCH(AH288,$Z$17:$AG$17,0))))))</f>
        <v>0</v>
      </c>
      <c r="AK288" s="732">
        <v>20</v>
      </c>
      <c r="AL288" s="721">
        <f t="shared" si="60"/>
        <v>0</v>
      </c>
      <c r="AM288" s="284">
        <f>IF($O289,_xll.qDateYears($O288,$O289,DCC_Leg1_Fixed),0)</f>
        <v>0</v>
      </c>
      <c r="AN288" s="284">
        <f>IF($O289,_xll.qDateYears($O288,$O289,DCC_Leg1_Float),0)</f>
        <v>0</v>
      </c>
      <c r="AP288" s="350">
        <f t="shared" si="66"/>
        <v>0</v>
      </c>
      <c r="AQ288" s="375">
        <f>IF(GenType_1a="Fixed",GenRate_1a%*$AL287*AM287,          IF(GenType_1a="Float",$AL287*(_xll.qGetFwdRate($D$18,$O287,$O288,"T",DCC_Leg1_Float)%+GenRate_1a%%)*$AN287,        IF(GenType_1a="bp (Fixed)",GenRate_1a%%*$AM287*$AL287,   IF(GenType_1a="bp (Float)",GenRate_1a%%*$AL287*$AN287,0))))</f>
        <v>0</v>
      </c>
      <c r="AR288" s="561"/>
      <c r="AT288" s="341">
        <f t="shared" si="56"/>
        <v>0</v>
      </c>
      <c r="AV288" s="356"/>
      <c r="AW288" s="122">
        <v>0</v>
      </c>
      <c r="AX288" s="128">
        <f t="shared" si="61"/>
        <v>0</v>
      </c>
      <c r="AY288" s="357">
        <v>0</v>
      </c>
      <c r="AZ288" s="699">
        <f>IF($AW289=0,0,        _xll.qDateNext($AW288,AZ$17,"M",TRUE,Currency2))</f>
        <v>0</v>
      </c>
      <c r="BA288" s="699">
        <f>IF($AW289=0,0,        _xll.qDateNext($AW288,BA$17,"M",TRUE,Currency2))</f>
        <v>0</v>
      </c>
      <c r="BB288" s="699">
        <f>IF($AW289=0,0,        _xll.qDateNext($AW288,BB$17,"M",TRUE,Currency2))</f>
        <v>0</v>
      </c>
      <c r="BC288" s="699">
        <f>IF($AW289=0,0,        _xll.qDateNext($AW288,BC$17,"M",TRUE,Currency2))</f>
        <v>0</v>
      </c>
      <c r="BD288" s="699">
        <f>IF($AW289=0,0,        _xll.qDateNext($AW288,BD$17,"M",TRUE,Currency2))</f>
        <v>0</v>
      </c>
      <c r="BE288" s="699">
        <f>IF($AW289=0,0,        _xll.qDateNext($AW288,BE$17,"M",TRUE,Currency2))</f>
        <v>0</v>
      </c>
      <c r="BF288" s="699">
        <f>IF($AW289=0,0,        _xll.qDateNext($AW288,BF$17,"M",TRUE,Currency2))</f>
        <v>0</v>
      </c>
      <c r="BG288" s="699">
        <f>IF($AW289=0,0,        _xll.qDateNext($AW288,BG$17,"M",TRUE,Currency2))</f>
        <v>0</v>
      </c>
      <c r="BH288" s="703">
        <v>0</v>
      </c>
      <c r="BI288" s="703">
        <v>0</v>
      </c>
      <c r="BJ288" s="703">
        <v>0</v>
      </c>
      <c r="BK288" s="703">
        <v>0</v>
      </c>
      <c r="BL288" s="703">
        <f t="shared" si="67"/>
        <v>0</v>
      </c>
      <c r="BM288" s="703">
        <f t="shared" si="68"/>
        <v>0</v>
      </c>
      <c r="BN288" s="703">
        <v>0</v>
      </c>
      <c r="BO288" s="703">
        <v>0</v>
      </c>
      <c r="BP288" s="685">
        <v>0</v>
      </c>
      <c r="BQ288" s="667"/>
      <c r="BR288" s="670">
        <f>IF(AW289=0,0,             IF(ISNUMBER(BQ288),BQ288,             IF(ISTEXT(BQ288),INDEX(BH288:BO288,MATCH(BQ288,$BH$17:$BO$17,0)),           IF(BP288="INT",_xll.qInterp(AW289,AZ288:BG288,BH288:BO288),       INDEX(BH288:BO288,MATCH(BP288,$BH$17:$BO$17,0))))))</f>
        <v>0</v>
      </c>
      <c r="BS288" s="731">
        <f t="shared" si="62"/>
        <v>0</v>
      </c>
      <c r="BT288" s="406">
        <f t="shared" si="63"/>
        <v>0</v>
      </c>
      <c r="BU288" s="284">
        <f>IF($AW289,_xll.qDateYears($AW288,$AW289,DCC_Leg2_Fixed),0)</f>
        <v>0</v>
      </c>
      <c r="BV288" s="284">
        <f>IF($AW289,_xll.qDateYears($AW288,$AW289,DCC_Leg2_Float),0)</f>
        <v>0</v>
      </c>
      <c r="BX288" s="350">
        <f t="shared" si="69"/>
        <v>0</v>
      </c>
      <c r="BY288" s="375">
        <f>IF(GenType_2a="Fixed",GenRate_2a%*$BT287*BU287,          IF(GenType_2a="Float",$BT287*(_xll.qGetFwdRate($J$18,$AW287,$AW288,"T",DCC_Leg2_Float)%+GenRate_2a%%)*$BV287,        IF(GenType_2a="bp (Fixed)",GenRate_2a%%*$BU287*$BT287,   IF(GenType_2a="bp (Float)",GenRate_2a%%*$BT287*$BV287,0))))</f>
        <v>0</v>
      </c>
      <c r="BZ288" s="561"/>
      <c r="CB288" s="341">
        <f t="shared" si="57"/>
        <v>0</v>
      </c>
      <c r="CC288" s="563"/>
      <c r="CD288" s="356"/>
      <c r="CE288" s="341">
        <v>0</v>
      </c>
      <c r="CF288" s="563"/>
      <c r="CG288" s="356"/>
    </row>
    <row r="289" spans="15:85">
      <c r="O289" s="122">
        <v>0</v>
      </c>
      <c r="P289" s="128">
        <f t="shared" si="58"/>
        <v>0</v>
      </c>
      <c r="Q289" s="126">
        <v>0</v>
      </c>
      <c r="R289" s="699">
        <f>IF($O290=0,0,        _xll.qDateNext($O289,R$17,"M",TRUE,Currency1))</f>
        <v>0</v>
      </c>
      <c r="S289" s="699">
        <f>IF($O290=0,0,        _xll.qDateNext($O289,S$17,"M",TRUE,Currency1))</f>
        <v>0</v>
      </c>
      <c r="T289" s="699">
        <f>IF($O290=0,0,        _xll.qDateNext($O289,T$17,"M",TRUE,Currency1))</f>
        <v>0</v>
      </c>
      <c r="U289" s="699">
        <f>IF($O290=0,0,        _xll.qDateNext($O289,U$17,"M",TRUE,Currency1))</f>
        <v>0</v>
      </c>
      <c r="V289" s="699">
        <f>IF($O290=0,0,        _xll.qDateNext($O289,V$17,"M",TRUE,Currency1))</f>
        <v>0</v>
      </c>
      <c r="W289" s="699">
        <f>IF($O290=0,0,        _xll.qDateNext($O289,W$17,"M",TRUE,Currency1))</f>
        <v>0</v>
      </c>
      <c r="X289" s="699">
        <f>IF($O290=0,0,        _xll.qDateNext($O289,X$17,"M",TRUE,Currency1))</f>
        <v>0</v>
      </c>
      <c r="Y289" s="699">
        <f>IF($O290=0,0,        _xll.qDateNext($O289,Y$17,"M",TRUE,Currency1))</f>
        <v>0</v>
      </c>
      <c r="Z289" s="703">
        <f>IF($O290=0,0,           IF(FRM,_xll.qGetFwdRate(Z$14,$O289,R289,"T",DCC_Leg1_Float),_xll.qGetFwdRate(Z$14,$O289,$O290,"T",DCC_Leg1_Float)))</f>
        <v>0</v>
      </c>
      <c r="AA289" s="703">
        <f>IF($O290=0,0,           IF(FRM,_xll.qGetFwdRate(AA$14,$O289,S289,"T",DCC_Leg1_Float),_xll.qGetFwdRate(AA$14,$O289,$O290,"T",DCC_Leg1_Float)))</f>
        <v>0</v>
      </c>
      <c r="AB289" s="703">
        <f t="shared" si="59"/>
        <v>0</v>
      </c>
      <c r="AC289" s="703">
        <f>IF($O290=0,0,           IF(FRM,_xll.qGetFwdRate(AC$14,$O289,U289,"T",DCC_Leg1_Float),_xll.qGetFwdRate(AC$14,$O289,$O290,"T",DCC_Leg1_Float)))</f>
        <v>0</v>
      </c>
      <c r="AD289" s="703">
        <f t="shared" si="64"/>
        <v>0</v>
      </c>
      <c r="AE289" s="703">
        <f t="shared" si="65"/>
        <v>0</v>
      </c>
      <c r="AF289" s="703">
        <f>IF($O290=0,0,           IF(FRM,_xll.qGetFwdRate(AF$14,$O289,X289,"T",DCC_Leg1_Float),_xll.qGetFwdRate(AF$14,$O289,$O290,"T",DCC_Leg1_Float)))</f>
        <v>0</v>
      </c>
      <c r="AG289" s="703">
        <f>IF($O290=0,0,           IF(FRM,_xll.qGetFwdRate(AG$14,$O289,Y289,"T",DCC_Leg1_Float),_xll.qGetFwdRate(AG$14,$O289,$O290,"T",DCC_Leg1_Float)))</f>
        <v>0</v>
      </c>
      <c r="AH289" s="685">
        <v>0</v>
      </c>
      <c r="AI289" s="667"/>
      <c r="AJ289" s="670">
        <f>IF(O290=0,0,             IF(ISNUMBER(AI289),AI289,             IF(ISTEXT(AI289),INDEX(Z289:AG289,MATCH(AI289,$Z$17:$AG$17,0)),           IF(AH289="INT",_xll.qInterp(O290,R289:Y289,Z289:AG289),       INDEX(Z289:AG289,MATCH(AH289,$Z$17:$AG$17,0))))))</f>
        <v>0</v>
      </c>
      <c r="AK289" s="732">
        <v>20</v>
      </c>
      <c r="AL289" s="721">
        <f t="shared" si="60"/>
        <v>0</v>
      </c>
      <c r="AM289" s="284">
        <f>IF($O290,_xll.qDateYears($O289,$O290,DCC_Leg1_Fixed),0)</f>
        <v>0</v>
      </c>
      <c r="AN289" s="284">
        <f>IF($O290,_xll.qDateYears($O289,$O290,DCC_Leg1_Float),0)</f>
        <v>0</v>
      </c>
      <c r="AP289" s="350">
        <f t="shared" si="66"/>
        <v>0</v>
      </c>
      <c r="AQ289" s="375">
        <f>IF(GenType_1a="Fixed",GenRate_1a%*$AL288*AM288,          IF(GenType_1a="Float",$AL288*(_xll.qGetFwdRate($D$18,$O288,$O289,"T",DCC_Leg1_Float)%+GenRate_1a%%)*$AN288,        IF(GenType_1a="bp (Fixed)",GenRate_1a%%*$AM288*$AL288,   IF(GenType_1a="bp (Float)",GenRate_1a%%*$AL288*$AN288,0))))</f>
        <v>0</v>
      </c>
      <c r="AR289" s="561"/>
      <c r="AT289" s="341">
        <f t="shared" si="56"/>
        <v>0</v>
      </c>
      <c r="AV289" s="356"/>
      <c r="AW289" s="122">
        <v>0</v>
      </c>
      <c r="AX289" s="128">
        <f t="shared" si="61"/>
        <v>0</v>
      </c>
      <c r="AY289" s="357">
        <v>0</v>
      </c>
      <c r="AZ289" s="699">
        <f>IF($AW290=0,0,        _xll.qDateNext($AW289,AZ$17,"M",TRUE,Currency2))</f>
        <v>0</v>
      </c>
      <c r="BA289" s="699">
        <f>IF($AW290=0,0,        _xll.qDateNext($AW289,BA$17,"M",TRUE,Currency2))</f>
        <v>0</v>
      </c>
      <c r="BB289" s="699">
        <f>IF($AW290=0,0,        _xll.qDateNext($AW289,BB$17,"M",TRUE,Currency2))</f>
        <v>0</v>
      </c>
      <c r="BC289" s="699">
        <f>IF($AW290=0,0,        _xll.qDateNext($AW289,BC$17,"M",TRUE,Currency2))</f>
        <v>0</v>
      </c>
      <c r="BD289" s="699">
        <f>IF($AW290=0,0,        _xll.qDateNext($AW289,BD$17,"M",TRUE,Currency2))</f>
        <v>0</v>
      </c>
      <c r="BE289" s="699">
        <f>IF($AW290=0,0,        _xll.qDateNext($AW289,BE$17,"M",TRUE,Currency2))</f>
        <v>0</v>
      </c>
      <c r="BF289" s="699">
        <f>IF($AW290=0,0,        _xll.qDateNext($AW289,BF$17,"M",TRUE,Currency2))</f>
        <v>0</v>
      </c>
      <c r="BG289" s="699">
        <f>IF($AW290=0,0,        _xll.qDateNext($AW289,BG$17,"M",TRUE,Currency2))</f>
        <v>0</v>
      </c>
      <c r="BH289" s="703">
        <v>0</v>
      </c>
      <c r="BI289" s="703">
        <v>0</v>
      </c>
      <c r="BJ289" s="703">
        <v>0</v>
      </c>
      <c r="BK289" s="703">
        <v>0</v>
      </c>
      <c r="BL289" s="703">
        <f t="shared" si="67"/>
        <v>0</v>
      </c>
      <c r="BM289" s="703">
        <f t="shared" si="68"/>
        <v>0</v>
      </c>
      <c r="BN289" s="703">
        <v>0</v>
      </c>
      <c r="BO289" s="703">
        <v>0</v>
      </c>
      <c r="BP289" s="685">
        <v>0</v>
      </c>
      <c r="BQ289" s="667"/>
      <c r="BR289" s="670">
        <f>IF(AW290=0,0,             IF(ISNUMBER(BQ289),BQ289,             IF(ISTEXT(BQ289),INDEX(BH289:BO289,MATCH(BQ289,$BH$17:$BO$17,0)),           IF(BP289="INT",_xll.qInterp(AW290,AZ289:BG289,BH289:BO289),       INDEX(BH289:BO289,MATCH(BP289,$BH$17:$BO$17,0))))))</f>
        <v>0</v>
      </c>
      <c r="BS289" s="731">
        <f t="shared" si="62"/>
        <v>0</v>
      </c>
      <c r="BT289" s="406">
        <f t="shared" si="63"/>
        <v>0</v>
      </c>
      <c r="BU289" s="284">
        <f>IF($AW290,_xll.qDateYears($AW289,$AW290,DCC_Leg2_Fixed),0)</f>
        <v>0</v>
      </c>
      <c r="BV289" s="284">
        <f>IF($AW290,_xll.qDateYears($AW289,$AW290,DCC_Leg2_Float),0)</f>
        <v>0</v>
      </c>
      <c r="BX289" s="350">
        <f t="shared" si="69"/>
        <v>0</v>
      </c>
      <c r="BY289" s="375">
        <f>IF(GenType_2a="Fixed",GenRate_2a%*$BT288*BU288,          IF(GenType_2a="Float",$BT288*(_xll.qGetFwdRate($J$18,$AW288,$AW289,"T",DCC_Leg2_Float)%+GenRate_2a%%)*$BV288,        IF(GenType_2a="bp (Fixed)",GenRate_2a%%*$BU288*$BT288,   IF(GenType_2a="bp (Float)",GenRate_2a%%*$BT288*$BV288,0))))</f>
        <v>0</v>
      </c>
      <c r="BZ289" s="561"/>
      <c r="CB289" s="341">
        <f t="shared" si="57"/>
        <v>0</v>
      </c>
      <c r="CC289" s="563"/>
      <c r="CD289" s="356"/>
      <c r="CE289" s="341">
        <v>0</v>
      </c>
      <c r="CF289" s="563"/>
      <c r="CG289" s="356"/>
    </row>
    <row r="290" spans="15:85">
      <c r="O290" s="122">
        <v>0</v>
      </c>
      <c r="P290" s="128">
        <f t="shared" si="58"/>
        <v>0</v>
      </c>
      <c r="Q290" s="126">
        <v>0</v>
      </c>
      <c r="R290" s="699">
        <f>IF($O291=0,0,        _xll.qDateNext($O290,R$17,"M",TRUE,Currency1))</f>
        <v>0</v>
      </c>
      <c r="S290" s="699">
        <f>IF($O291=0,0,        _xll.qDateNext($O290,S$17,"M",TRUE,Currency1))</f>
        <v>0</v>
      </c>
      <c r="T290" s="699">
        <f>IF($O291=0,0,        _xll.qDateNext($O290,T$17,"M",TRUE,Currency1))</f>
        <v>0</v>
      </c>
      <c r="U290" s="699">
        <f>IF($O291=0,0,        _xll.qDateNext($O290,U$17,"M",TRUE,Currency1))</f>
        <v>0</v>
      </c>
      <c r="V290" s="699">
        <f>IF($O291=0,0,        _xll.qDateNext($O290,V$17,"M",TRUE,Currency1))</f>
        <v>0</v>
      </c>
      <c r="W290" s="699">
        <f>IF($O291=0,0,        _xll.qDateNext($O290,W$17,"M",TRUE,Currency1))</f>
        <v>0</v>
      </c>
      <c r="X290" s="699">
        <f>IF($O291=0,0,        _xll.qDateNext($O290,X$17,"M",TRUE,Currency1))</f>
        <v>0</v>
      </c>
      <c r="Y290" s="699">
        <f>IF($O291=0,0,        _xll.qDateNext($O290,Y$17,"M",TRUE,Currency1))</f>
        <v>0</v>
      </c>
      <c r="Z290" s="703">
        <f>IF($O291=0,0,           IF(FRM,_xll.qGetFwdRate(Z$14,$O290,R290,"T",DCC_Leg1_Float),_xll.qGetFwdRate(Z$14,$O290,$O291,"T",DCC_Leg1_Float)))</f>
        <v>0</v>
      </c>
      <c r="AA290" s="703">
        <f>IF($O291=0,0,           IF(FRM,_xll.qGetFwdRate(AA$14,$O290,S290,"T",DCC_Leg1_Float),_xll.qGetFwdRate(AA$14,$O290,$O291,"T",DCC_Leg1_Float)))</f>
        <v>0</v>
      </c>
      <c r="AB290" s="703">
        <f t="shared" si="59"/>
        <v>0</v>
      </c>
      <c r="AC290" s="703">
        <f>IF($O291=0,0,           IF(FRM,_xll.qGetFwdRate(AC$14,$O290,U290,"T",DCC_Leg1_Float),_xll.qGetFwdRate(AC$14,$O290,$O291,"T",DCC_Leg1_Float)))</f>
        <v>0</v>
      </c>
      <c r="AD290" s="703">
        <f t="shared" si="64"/>
        <v>0</v>
      </c>
      <c r="AE290" s="703">
        <f t="shared" si="65"/>
        <v>0</v>
      </c>
      <c r="AF290" s="703">
        <f>IF($O291=0,0,           IF(FRM,_xll.qGetFwdRate(AF$14,$O290,X290,"T",DCC_Leg1_Float),_xll.qGetFwdRate(AF$14,$O290,$O291,"T",DCC_Leg1_Float)))</f>
        <v>0</v>
      </c>
      <c r="AG290" s="703">
        <f>IF($O291=0,0,           IF(FRM,_xll.qGetFwdRate(AG$14,$O290,Y290,"T",DCC_Leg1_Float),_xll.qGetFwdRate(AG$14,$O290,$O291,"T",DCC_Leg1_Float)))</f>
        <v>0</v>
      </c>
      <c r="AH290" s="685">
        <v>0</v>
      </c>
      <c r="AI290" s="667"/>
      <c r="AJ290" s="670">
        <f>IF(O291=0,0,             IF(ISNUMBER(AI290),AI290,             IF(ISTEXT(AI290),INDEX(Z290:AG290,MATCH(AI290,$Z$17:$AG$17,0)),           IF(AH290="INT",_xll.qInterp(O291,R290:Y290,Z290:AG290),       INDEX(Z290:AG290,MATCH(AH290,$Z$17:$AG$17,0))))))</f>
        <v>0</v>
      </c>
      <c r="AK290" s="732">
        <v>20</v>
      </c>
      <c r="AL290" s="721">
        <f t="shared" si="60"/>
        <v>0</v>
      </c>
      <c r="AM290" s="284">
        <f>IF($O291,_xll.qDateYears($O290,$O291,DCC_Leg1_Fixed),0)</f>
        <v>0</v>
      </c>
      <c r="AN290" s="284">
        <f>IF($O291,_xll.qDateYears($O290,$O291,DCC_Leg1_Float),0)</f>
        <v>0</v>
      </c>
      <c r="AP290" s="350">
        <f t="shared" si="66"/>
        <v>0</v>
      </c>
      <c r="AQ290" s="375">
        <f>IF(GenType_1a="Fixed",GenRate_1a%*$AL289*AM289,          IF(GenType_1a="Float",$AL289*(_xll.qGetFwdRate($D$18,$O289,$O290,"T",DCC_Leg1_Float)%+GenRate_1a%%)*$AN289,        IF(GenType_1a="bp (Fixed)",GenRate_1a%%*$AM289*$AL289,   IF(GenType_1a="bp (Float)",GenRate_1a%%*$AL289*$AN289,0))))</f>
        <v>0</v>
      </c>
      <c r="AR290" s="561"/>
      <c r="AT290" s="341">
        <f t="shared" si="56"/>
        <v>0</v>
      </c>
      <c r="AV290" s="356"/>
      <c r="AW290" s="122">
        <v>0</v>
      </c>
      <c r="AX290" s="128">
        <f t="shared" si="61"/>
        <v>0</v>
      </c>
      <c r="AY290" s="357">
        <v>0</v>
      </c>
      <c r="AZ290" s="699">
        <f>IF($AW291=0,0,        _xll.qDateNext($AW290,AZ$17,"M",TRUE,Currency2))</f>
        <v>0</v>
      </c>
      <c r="BA290" s="699">
        <f>IF($AW291=0,0,        _xll.qDateNext($AW290,BA$17,"M",TRUE,Currency2))</f>
        <v>0</v>
      </c>
      <c r="BB290" s="699">
        <f>IF($AW291=0,0,        _xll.qDateNext($AW290,BB$17,"M",TRUE,Currency2))</f>
        <v>0</v>
      </c>
      <c r="BC290" s="699">
        <f>IF($AW291=0,0,        _xll.qDateNext($AW290,BC$17,"M",TRUE,Currency2))</f>
        <v>0</v>
      </c>
      <c r="BD290" s="699">
        <f>IF($AW291=0,0,        _xll.qDateNext($AW290,BD$17,"M",TRUE,Currency2))</f>
        <v>0</v>
      </c>
      <c r="BE290" s="699">
        <f>IF($AW291=0,0,        _xll.qDateNext($AW290,BE$17,"M",TRUE,Currency2))</f>
        <v>0</v>
      </c>
      <c r="BF290" s="699">
        <f>IF($AW291=0,0,        _xll.qDateNext($AW290,BF$17,"M",TRUE,Currency2))</f>
        <v>0</v>
      </c>
      <c r="BG290" s="699">
        <f>IF($AW291=0,0,        _xll.qDateNext($AW290,BG$17,"M",TRUE,Currency2))</f>
        <v>0</v>
      </c>
      <c r="BH290" s="703">
        <v>0</v>
      </c>
      <c r="BI290" s="703">
        <v>0</v>
      </c>
      <c r="BJ290" s="703">
        <v>0</v>
      </c>
      <c r="BK290" s="703">
        <v>0</v>
      </c>
      <c r="BL290" s="703">
        <f t="shared" si="67"/>
        <v>0</v>
      </c>
      <c r="BM290" s="703">
        <f t="shared" si="68"/>
        <v>0</v>
      </c>
      <c r="BN290" s="703">
        <v>0</v>
      </c>
      <c r="BO290" s="703">
        <v>0</v>
      </c>
      <c r="BP290" s="685">
        <v>0</v>
      </c>
      <c r="BQ290" s="667"/>
      <c r="BR290" s="670">
        <f>IF(AW291=0,0,             IF(ISNUMBER(BQ290),BQ290,             IF(ISTEXT(BQ290),INDEX(BH290:BO290,MATCH(BQ290,$BH$17:$BO$17,0)),           IF(BP290="INT",_xll.qInterp(AW291,AZ290:BG290,BH290:BO290),       INDEX(BH290:BO290,MATCH(BP290,$BH$17:$BO$17,0))))))</f>
        <v>0</v>
      </c>
      <c r="BS290" s="731">
        <f t="shared" si="62"/>
        <v>0</v>
      </c>
      <c r="BT290" s="406">
        <f t="shared" si="63"/>
        <v>0</v>
      </c>
      <c r="BU290" s="284">
        <f>IF($AW291,_xll.qDateYears($AW290,$AW291,DCC_Leg2_Fixed),0)</f>
        <v>0</v>
      </c>
      <c r="BV290" s="284">
        <f>IF($AW291,_xll.qDateYears($AW290,$AW291,DCC_Leg2_Float),0)</f>
        <v>0</v>
      </c>
      <c r="BX290" s="350">
        <f t="shared" si="69"/>
        <v>0</v>
      </c>
      <c r="BY290" s="375">
        <f>IF(GenType_2a="Fixed",GenRate_2a%*$BT289*BU289,          IF(GenType_2a="Float",$BT289*(_xll.qGetFwdRate($J$18,$AW289,$AW290,"T",DCC_Leg2_Float)%+GenRate_2a%%)*$BV289,        IF(GenType_2a="bp (Fixed)",GenRate_2a%%*$BU289*$BT289,   IF(GenType_2a="bp (Float)",GenRate_2a%%*$BT289*$BV289,0))))</f>
        <v>0</v>
      </c>
      <c r="BZ290" s="561"/>
      <c r="CB290" s="341">
        <f t="shared" si="57"/>
        <v>0</v>
      </c>
      <c r="CC290" s="563"/>
      <c r="CD290" s="356"/>
      <c r="CE290" s="341">
        <v>0</v>
      </c>
      <c r="CF290" s="563"/>
      <c r="CG290" s="356"/>
    </row>
    <row r="291" spans="15:85">
      <c r="O291" s="122">
        <v>0</v>
      </c>
      <c r="P291" s="128">
        <f t="shared" si="58"/>
        <v>0</v>
      </c>
      <c r="Q291" s="126">
        <v>0</v>
      </c>
      <c r="R291" s="699">
        <f>IF($O292=0,0,        _xll.qDateNext($O291,R$17,"M",TRUE,Currency1))</f>
        <v>0</v>
      </c>
      <c r="S291" s="699">
        <f>IF($O292=0,0,        _xll.qDateNext($O291,S$17,"M",TRUE,Currency1))</f>
        <v>0</v>
      </c>
      <c r="T291" s="699">
        <f>IF($O292=0,0,        _xll.qDateNext($O291,T$17,"M",TRUE,Currency1))</f>
        <v>0</v>
      </c>
      <c r="U291" s="699">
        <f>IF($O292=0,0,        _xll.qDateNext($O291,U$17,"M",TRUE,Currency1))</f>
        <v>0</v>
      </c>
      <c r="V291" s="699">
        <f>IF($O292=0,0,        _xll.qDateNext($O291,V$17,"M",TRUE,Currency1))</f>
        <v>0</v>
      </c>
      <c r="W291" s="699">
        <f>IF($O292=0,0,        _xll.qDateNext($O291,W$17,"M",TRUE,Currency1))</f>
        <v>0</v>
      </c>
      <c r="X291" s="699">
        <f>IF($O292=0,0,        _xll.qDateNext($O291,X$17,"M",TRUE,Currency1))</f>
        <v>0</v>
      </c>
      <c r="Y291" s="699">
        <f>IF($O292=0,0,        _xll.qDateNext($O291,Y$17,"M",TRUE,Currency1))</f>
        <v>0</v>
      </c>
      <c r="Z291" s="703">
        <f>IF($O292=0,0,           IF(FRM,_xll.qGetFwdRate(Z$14,$O291,R291,"T",DCC_Leg1_Float),_xll.qGetFwdRate(Z$14,$O291,$O292,"T",DCC_Leg1_Float)))</f>
        <v>0</v>
      </c>
      <c r="AA291" s="703">
        <f>IF($O292=0,0,           IF(FRM,_xll.qGetFwdRate(AA$14,$O291,S291,"T",DCC_Leg1_Float),_xll.qGetFwdRate(AA$14,$O291,$O292,"T",DCC_Leg1_Float)))</f>
        <v>0</v>
      </c>
      <c r="AB291" s="703">
        <f t="shared" si="59"/>
        <v>0</v>
      </c>
      <c r="AC291" s="703">
        <f>IF($O292=0,0,           IF(FRM,_xll.qGetFwdRate(AC$14,$O291,U291,"T",DCC_Leg1_Float),_xll.qGetFwdRate(AC$14,$O291,$O292,"T",DCC_Leg1_Float)))</f>
        <v>0</v>
      </c>
      <c r="AD291" s="703">
        <f t="shared" si="64"/>
        <v>0</v>
      </c>
      <c r="AE291" s="703">
        <f t="shared" si="65"/>
        <v>0</v>
      </c>
      <c r="AF291" s="703">
        <f>IF($O292=0,0,           IF(FRM,_xll.qGetFwdRate(AF$14,$O291,X291,"T",DCC_Leg1_Float),_xll.qGetFwdRate(AF$14,$O291,$O292,"T",DCC_Leg1_Float)))</f>
        <v>0</v>
      </c>
      <c r="AG291" s="703">
        <f>IF($O292=0,0,           IF(FRM,_xll.qGetFwdRate(AG$14,$O291,Y291,"T",DCC_Leg1_Float),_xll.qGetFwdRate(AG$14,$O291,$O292,"T",DCC_Leg1_Float)))</f>
        <v>0</v>
      </c>
      <c r="AH291" s="685">
        <v>0</v>
      </c>
      <c r="AI291" s="667"/>
      <c r="AJ291" s="670">
        <f>IF(O292=0,0,             IF(ISNUMBER(AI291),AI291,             IF(ISTEXT(AI291),INDEX(Z291:AG291,MATCH(AI291,$Z$17:$AG$17,0)),           IF(AH291="INT",_xll.qInterp(O292,R291:Y291,Z291:AG291),       INDEX(Z291:AG291,MATCH(AH291,$Z$17:$AG$17,0))))))</f>
        <v>0</v>
      </c>
      <c r="AK291" s="732">
        <v>20</v>
      </c>
      <c r="AL291" s="721">
        <f t="shared" si="60"/>
        <v>0</v>
      </c>
      <c r="AM291" s="284">
        <f>IF($O292,_xll.qDateYears($O291,$O292,DCC_Leg1_Fixed),0)</f>
        <v>0</v>
      </c>
      <c r="AN291" s="284">
        <f>IF($O292,_xll.qDateYears($O291,$O292,DCC_Leg1_Float),0)</f>
        <v>0</v>
      </c>
      <c r="AP291" s="350">
        <f t="shared" si="66"/>
        <v>0</v>
      </c>
      <c r="AQ291" s="375">
        <f>IF(GenType_1a="Fixed",GenRate_1a%*$AL290*AM290,          IF(GenType_1a="Float",$AL290*(_xll.qGetFwdRate($D$18,$O290,$O291,"T",DCC_Leg1_Float)%+GenRate_1a%%)*$AN290,        IF(GenType_1a="bp (Fixed)",GenRate_1a%%*$AM290*$AL290,   IF(GenType_1a="bp (Float)",GenRate_1a%%*$AL290*$AN290,0))))</f>
        <v>0</v>
      </c>
      <c r="AR291" s="561"/>
      <c r="AT291" s="341">
        <f t="shared" si="56"/>
        <v>0</v>
      </c>
      <c r="AV291" s="356"/>
      <c r="AW291" s="122">
        <v>0</v>
      </c>
      <c r="AX291" s="128">
        <f t="shared" si="61"/>
        <v>0</v>
      </c>
      <c r="AY291" s="357">
        <v>0</v>
      </c>
      <c r="AZ291" s="699">
        <f>IF($AW292=0,0,        _xll.qDateNext($AW291,AZ$17,"M",TRUE,Currency2))</f>
        <v>0</v>
      </c>
      <c r="BA291" s="699">
        <f>IF($AW292=0,0,        _xll.qDateNext($AW291,BA$17,"M",TRUE,Currency2))</f>
        <v>0</v>
      </c>
      <c r="BB291" s="699">
        <f>IF($AW292=0,0,        _xll.qDateNext($AW291,BB$17,"M",TRUE,Currency2))</f>
        <v>0</v>
      </c>
      <c r="BC291" s="699">
        <f>IF($AW292=0,0,        _xll.qDateNext($AW291,BC$17,"M",TRUE,Currency2))</f>
        <v>0</v>
      </c>
      <c r="BD291" s="699">
        <f>IF($AW292=0,0,        _xll.qDateNext($AW291,BD$17,"M",TRUE,Currency2))</f>
        <v>0</v>
      </c>
      <c r="BE291" s="699">
        <f>IF($AW292=0,0,        _xll.qDateNext($AW291,BE$17,"M",TRUE,Currency2))</f>
        <v>0</v>
      </c>
      <c r="BF291" s="699">
        <f>IF($AW292=0,0,        _xll.qDateNext($AW291,BF$17,"M",TRUE,Currency2))</f>
        <v>0</v>
      </c>
      <c r="BG291" s="699">
        <f>IF($AW292=0,0,        _xll.qDateNext($AW291,BG$17,"M",TRUE,Currency2))</f>
        <v>0</v>
      </c>
      <c r="BH291" s="703">
        <v>0</v>
      </c>
      <c r="BI291" s="703">
        <v>0</v>
      </c>
      <c r="BJ291" s="703">
        <v>0</v>
      </c>
      <c r="BK291" s="703">
        <v>0</v>
      </c>
      <c r="BL291" s="703">
        <f t="shared" si="67"/>
        <v>0</v>
      </c>
      <c r="BM291" s="703">
        <f t="shared" si="68"/>
        <v>0</v>
      </c>
      <c r="BN291" s="703">
        <v>0</v>
      </c>
      <c r="BO291" s="703">
        <v>0</v>
      </c>
      <c r="BP291" s="685">
        <v>0</v>
      </c>
      <c r="BQ291" s="667"/>
      <c r="BR291" s="670">
        <f>IF(AW292=0,0,             IF(ISNUMBER(BQ291),BQ291,             IF(ISTEXT(BQ291),INDEX(BH291:BO291,MATCH(BQ291,$BH$17:$BO$17,0)),           IF(BP291="INT",_xll.qInterp(AW292,AZ291:BG291,BH291:BO291),       INDEX(BH291:BO291,MATCH(BP291,$BH$17:$BO$17,0))))))</f>
        <v>0</v>
      </c>
      <c r="BS291" s="731">
        <f t="shared" si="62"/>
        <v>0</v>
      </c>
      <c r="BT291" s="406">
        <f t="shared" si="63"/>
        <v>0</v>
      </c>
      <c r="BU291" s="284">
        <f>IF($AW292,_xll.qDateYears($AW291,$AW292,DCC_Leg2_Fixed),0)</f>
        <v>0</v>
      </c>
      <c r="BV291" s="284">
        <f>IF($AW292,_xll.qDateYears($AW291,$AW292,DCC_Leg2_Float),0)</f>
        <v>0</v>
      </c>
      <c r="BX291" s="350">
        <f t="shared" si="69"/>
        <v>0</v>
      </c>
      <c r="BY291" s="375">
        <f>IF(GenType_2a="Fixed",GenRate_2a%*$BT290*BU290,          IF(GenType_2a="Float",$BT290*(_xll.qGetFwdRate($J$18,$AW290,$AW291,"T",DCC_Leg2_Float)%+GenRate_2a%%)*$BV290,        IF(GenType_2a="bp (Fixed)",GenRate_2a%%*$BU290*$BT290,   IF(GenType_2a="bp (Float)",GenRate_2a%%*$BT290*$BV290,0))))</f>
        <v>0</v>
      </c>
      <c r="BZ291" s="561"/>
      <c r="CB291" s="341">
        <f t="shared" si="57"/>
        <v>0</v>
      </c>
      <c r="CC291" s="563"/>
      <c r="CD291" s="356"/>
      <c r="CE291" s="341">
        <v>0</v>
      </c>
      <c r="CF291" s="563"/>
      <c r="CG291" s="356"/>
    </row>
    <row r="292" spans="15:85">
      <c r="O292" s="122">
        <v>0</v>
      </c>
      <c r="P292" s="128">
        <f t="shared" si="58"/>
        <v>0</v>
      </c>
      <c r="Q292" s="126">
        <v>0</v>
      </c>
      <c r="R292" s="699">
        <f>IF($O293=0,0,        _xll.qDateNext($O292,R$17,"M",TRUE,Currency1))</f>
        <v>0</v>
      </c>
      <c r="S292" s="699">
        <f>IF($O293=0,0,        _xll.qDateNext($O292,S$17,"M",TRUE,Currency1))</f>
        <v>0</v>
      </c>
      <c r="T292" s="699">
        <f>IF($O293=0,0,        _xll.qDateNext($O292,T$17,"M",TRUE,Currency1))</f>
        <v>0</v>
      </c>
      <c r="U292" s="699">
        <f>IF($O293=0,0,        _xll.qDateNext($O292,U$17,"M",TRUE,Currency1))</f>
        <v>0</v>
      </c>
      <c r="V292" s="699">
        <f>IF($O293=0,0,        _xll.qDateNext($O292,V$17,"M",TRUE,Currency1))</f>
        <v>0</v>
      </c>
      <c r="W292" s="699">
        <f>IF($O293=0,0,        _xll.qDateNext($O292,W$17,"M",TRUE,Currency1))</f>
        <v>0</v>
      </c>
      <c r="X292" s="699">
        <f>IF($O293=0,0,        _xll.qDateNext($O292,X$17,"M",TRUE,Currency1))</f>
        <v>0</v>
      </c>
      <c r="Y292" s="699">
        <f>IF($O293=0,0,        _xll.qDateNext($O292,Y$17,"M",TRUE,Currency1))</f>
        <v>0</v>
      </c>
      <c r="Z292" s="703">
        <f>IF($O293=0,0,           IF(FRM,_xll.qGetFwdRate(Z$14,$O292,R292,"T",DCC_Leg1_Float),_xll.qGetFwdRate(Z$14,$O292,$O293,"T",DCC_Leg1_Float)))</f>
        <v>0</v>
      </c>
      <c r="AA292" s="703">
        <f>IF($O293=0,0,           IF(FRM,_xll.qGetFwdRate(AA$14,$O292,S292,"T",DCC_Leg1_Float),_xll.qGetFwdRate(AA$14,$O292,$O293,"T",DCC_Leg1_Float)))</f>
        <v>0</v>
      </c>
      <c r="AB292" s="703">
        <f t="shared" si="59"/>
        <v>0</v>
      </c>
      <c r="AC292" s="703">
        <f>IF($O293=0,0,           IF(FRM,_xll.qGetFwdRate(AC$14,$O292,U292,"T",DCC_Leg1_Float),_xll.qGetFwdRate(AC$14,$O292,$O293,"T",DCC_Leg1_Float)))</f>
        <v>0</v>
      </c>
      <c r="AD292" s="703">
        <f t="shared" si="64"/>
        <v>0</v>
      </c>
      <c r="AE292" s="703">
        <f t="shared" si="65"/>
        <v>0</v>
      </c>
      <c r="AF292" s="703">
        <f>IF($O293=0,0,           IF(FRM,_xll.qGetFwdRate(AF$14,$O292,X292,"T",DCC_Leg1_Float),_xll.qGetFwdRate(AF$14,$O292,$O293,"T",DCC_Leg1_Float)))</f>
        <v>0</v>
      </c>
      <c r="AG292" s="703">
        <f>IF($O293=0,0,           IF(FRM,_xll.qGetFwdRate(AG$14,$O292,Y292,"T",DCC_Leg1_Float),_xll.qGetFwdRate(AG$14,$O292,$O293,"T",DCC_Leg1_Float)))</f>
        <v>0</v>
      </c>
      <c r="AH292" s="685">
        <v>0</v>
      </c>
      <c r="AI292" s="667"/>
      <c r="AJ292" s="670">
        <f>IF(O293=0,0,             IF(ISNUMBER(AI292),AI292,             IF(ISTEXT(AI292),INDEX(Z292:AG292,MATCH(AI292,$Z$17:$AG$17,0)),           IF(AH292="INT",_xll.qInterp(O293,R292:Y292,Z292:AG292),       INDEX(Z292:AG292,MATCH(AH292,$Z$17:$AG$17,0))))))</f>
        <v>0</v>
      </c>
      <c r="AK292" s="732">
        <v>20</v>
      </c>
      <c r="AL292" s="721">
        <f t="shared" si="60"/>
        <v>0</v>
      </c>
      <c r="AM292" s="284">
        <f>IF($O293,_xll.qDateYears($O292,$O293,DCC_Leg1_Fixed),0)</f>
        <v>0</v>
      </c>
      <c r="AN292" s="284">
        <f>IF($O293,_xll.qDateYears($O292,$O293,DCC_Leg1_Float),0)</f>
        <v>0</v>
      </c>
      <c r="AP292" s="350">
        <f t="shared" si="66"/>
        <v>0</v>
      </c>
      <c r="AQ292" s="375">
        <f>IF(GenType_1a="Fixed",GenRate_1a%*$AL291*AM291,          IF(GenType_1a="Float",$AL291*(_xll.qGetFwdRate($D$18,$O291,$O292,"T",DCC_Leg1_Float)%+GenRate_1a%%)*$AN291,        IF(GenType_1a="bp (Fixed)",GenRate_1a%%*$AM291*$AL291,   IF(GenType_1a="bp (Float)",GenRate_1a%%*$AL291*$AN291,0))))</f>
        <v>0</v>
      </c>
      <c r="AR292" s="561"/>
      <c r="AT292" s="341">
        <f t="shared" si="56"/>
        <v>0</v>
      </c>
      <c r="AV292" s="356"/>
      <c r="AW292" s="122">
        <v>0</v>
      </c>
      <c r="AX292" s="128">
        <f t="shared" si="61"/>
        <v>0</v>
      </c>
      <c r="AY292" s="357">
        <v>0</v>
      </c>
      <c r="AZ292" s="699">
        <f>IF($AW293=0,0,        _xll.qDateNext($AW292,AZ$17,"M",TRUE,Currency2))</f>
        <v>0</v>
      </c>
      <c r="BA292" s="699">
        <f>IF($AW293=0,0,        _xll.qDateNext($AW292,BA$17,"M",TRUE,Currency2))</f>
        <v>0</v>
      </c>
      <c r="BB292" s="699">
        <f>IF($AW293=0,0,        _xll.qDateNext($AW292,BB$17,"M",TRUE,Currency2))</f>
        <v>0</v>
      </c>
      <c r="BC292" s="699">
        <f>IF($AW293=0,0,        _xll.qDateNext($AW292,BC$17,"M",TRUE,Currency2))</f>
        <v>0</v>
      </c>
      <c r="BD292" s="699">
        <f>IF($AW293=0,0,        _xll.qDateNext($AW292,BD$17,"M",TRUE,Currency2))</f>
        <v>0</v>
      </c>
      <c r="BE292" s="699">
        <f>IF($AW293=0,0,        _xll.qDateNext($AW292,BE$17,"M",TRUE,Currency2))</f>
        <v>0</v>
      </c>
      <c r="BF292" s="699">
        <f>IF($AW293=0,0,        _xll.qDateNext($AW292,BF$17,"M",TRUE,Currency2))</f>
        <v>0</v>
      </c>
      <c r="BG292" s="699">
        <f>IF($AW293=0,0,        _xll.qDateNext($AW292,BG$17,"M",TRUE,Currency2))</f>
        <v>0</v>
      </c>
      <c r="BH292" s="703">
        <v>0</v>
      </c>
      <c r="BI292" s="703">
        <v>0</v>
      </c>
      <c r="BJ292" s="703">
        <v>0</v>
      </c>
      <c r="BK292" s="703">
        <v>0</v>
      </c>
      <c r="BL292" s="703">
        <f t="shared" si="67"/>
        <v>0</v>
      </c>
      <c r="BM292" s="703">
        <f t="shared" si="68"/>
        <v>0</v>
      </c>
      <c r="BN292" s="703">
        <v>0</v>
      </c>
      <c r="BO292" s="703">
        <v>0</v>
      </c>
      <c r="BP292" s="685">
        <v>0</v>
      </c>
      <c r="BQ292" s="667"/>
      <c r="BR292" s="670">
        <f>IF(AW293=0,0,             IF(ISNUMBER(BQ292),BQ292,             IF(ISTEXT(BQ292),INDEX(BH292:BO292,MATCH(BQ292,$BH$17:$BO$17,0)),           IF(BP292="INT",_xll.qInterp(AW293,AZ292:BG292,BH292:BO292),       INDEX(BH292:BO292,MATCH(BP292,$BH$17:$BO$17,0))))))</f>
        <v>0</v>
      </c>
      <c r="BS292" s="731">
        <f t="shared" si="62"/>
        <v>0</v>
      </c>
      <c r="BT292" s="406">
        <f t="shared" si="63"/>
        <v>0</v>
      </c>
      <c r="BU292" s="284">
        <f>IF($AW293,_xll.qDateYears($AW292,$AW293,DCC_Leg2_Fixed),0)</f>
        <v>0</v>
      </c>
      <c r="BV292" s="284">
        <f>IF($AW293,_xll.qDateYears($AW292,$AW293,DCC_Leg2_Float),0)</f>
        <v>0</v>
      </c>
      <c r="BX292" s="350">
        <f t="shared" si="69"/>
        <v>0</v>
      </c>
      <c r="BY292" s="375">
        <f>IF(GenType_2a="Fixed",GenRate_2a%*$BT291*BU291,          IF(GenType_2a="Float",$BT291*(_xll.qGetFwdRate($J$18,$AW291,$AW292,"T",DCC_Leg2_Float)%+GenRate_2a%%)*$BV291,        IF(GenType_2a="bp (Fixed)",GenRate_2a%%*$BU291*$BT291,   IF(GenType_2a="bp (Float)",GenRate_2a%%*$BT291*$BV291,0))))</f>
        <v>0</v>
      </c>
      <c r="BZ292" s="561"/>
      <c r="CB292" s="341">
        <f t="shared" si="57"/>
        <v>0</v>
      </c>
      <c r="CC292" s="563"/>
      <c r="CD292" s="356"/>
      <c r="CE292" s="341">
        <v>0</v>
      </c>
      <c r="CF292" s="563"/>
      <c r="CG292" s="356"/>
    </row>
    <row r="293" spans="15:85">
      <c r="O293" s="122">
        <v>0</v>
      </c>
      <c r="P293" s="128">
        <f t="shared" si="58"/>
        <v>0</v>
      </c>
      <c r="Q293" s="126">
        <v>0</v>
      </c>
      <c r="R293" s="699">
        <f>IF($O294=0,0,        _xll.qDateNext($O293,R$17,"M",TRUE,Currency1))</f>
        <v>0</v>
      </c>
      <c r="S293" s="699">
        <f>IF($O294=0,0,        _xll.qDateNext($O293,S$17,"M",TRUE,Currency1))</f>
        <v>0</v>
      </c>
      <c r="T293" s="699">
        <f>IF($O294=0,0,        _xll.qDateNext($O293,T$17,"M",TRUE,Currency1))</f>
        <v>0</v>
      </c>
      <c r="U293" s="699">
        <f>IF($O294=0,0,        _xll.qDateNext($O293,U$17,"M",TRUE,Currency1))</f>
        <v>0</v>
      </c>
      <c r="V293" s="699">
        <f>IF($O294=0,0,        _xll.qDateNext($O293,V$17,"M",TRUE,Currency1))</f>
        <v>0</v>
      </c>
      <c r="W293" s="699">
        <f>IF($O294=0,0,        _xll.qDateNext($O293,W$17,"M",TRUE,Currency1))</f>
        <v>0</v>
      </c>
      <c r="X293" s="699">
        <f>IF($O294=0,0,        _xll.qDateNext($O293,X$17,"M",TRUE,Currency1))</f>
        <v>0</v>
      </c>
      <c r="Y293" s="699">
        <f>IF($O294=0,0,        _xll.qDateNext($O293,Y$17,"M",TRUE,Currency1))</f>
        <v>0</v>
      </c>
      <c r="Z293" s="703">
        <f>IF($O294=0,0,           IF(FRM,_xll.qGetFwdRate(Z$14,$O293,R293,"T",DCC_Leg1_Float),_xll.qGetFwdRate(Z$14,$O293,$O294,"T",DCC_Leg1_Float)))</f>
        <v>0</v>
      </c>
      <c r="AA293" s="703">
        <f>IF($O294=0,0,           IF(FRM,_xll.qGetFwdRate(AA$14,$O293,S293,"T",DCC_Leg1_Float),_xll.qGetFwdRate(AA$14,$O293,$O294,"T",DCC_Leg1_Float)))</f>
        <v>0</v>
      </c>
      <c r="AB293" s="703">
        <f t="shared" si="59"/>
        <v>0</v>
      </c>
      <c r="AC293" s="703">
        <f>IF($O294=0,0,           IF(FRM,_xll.qGetFwdRate(AC$14,$O293,U293,"T",DCC_Leg1_Float),_xll.qGetFwdRate(AC$14,$O293,$O294,"T",DCC_Leg1_Float)))</f>
        <v>0</v>
      </c>
      <c r="AD293" s="703">
        <f t="shared" si="64"/>
        <v>0</v>
      </c>
      <c r="AE293" s="703">
        <f t="shared" si="65"/>
        <v>0</v>
      </c>
      <c r="AF293" s="703">
        <f>IF($O294=0,0,           IF(FRM,_xll.qGetFwdRate(AF$14,$O293,X293,"T",DCC_Leg1_Float),_xll.qGetFwdRate(AF$14,$O293,$O294,"T",DCC_Leg1_Float)))</f>
        <v>0</v>
      </c>
      <c r="AG293" s="703">
        <f>IF($O294=0,0,           IF(FRM,_xll.qGetFwdRate(AG$14,$O293,Y293,"T",DCC_Leg1_Float),_xll.qGetFwdRate(AG$14,$O293,$O294,"T",DCC_Leg1_Float)))</f>
        <v>0</v>
      </c>
      <c r="AH293" s="685">
        <v>0</v>
      </c>
      <c r="AI293" s="667"/>
      <c r="AJ293" s="670">
        <f>IF(O294=0,0,             IF(ISNUMBER(AI293),AI293,             IF(ISTEXT(AI293),INDEX(Z293:AG293,MATCH(AI293,$Z$17:$AG$17,0)),           IF(AH293="INT",_xll.qInterp(O294,R293:Y293,Z293:AG293),       INDEX(Z293:AG293,MATCH(AH293,$Z$17:$AG$17,0))))))</f>
        <v>0</v>
      </c>
      <c r="AK293" s="732">
        <v>20</v>
      </c>
      <c r="AL293" s="721">
        <f t="shared" si="60"/>
        <v>0</v>
      </c>
      <c r="AM293" s="284">
        <f>IF($O294,_xll.qDateYears($O293,$O294,DCC_Leg1_Fixed),0)</f>
        <v>0</v>
      </c>
      <c r="AN293" s="284">
        <f>IF($O294,_xll.qDateYears($O293,$O294,DCC_Leg1_Float),0)</f>
        <v>0</v>
      </c>
      <c r="AP293" s="350">
        <f t="shared" si="66"/>
        <v>0</v>
      </c>
      <c r="AQ293" s="375">
        <f>IF(GenType_1a="Fixed",GenRate_1a%*$AL292*AM292,          IF(GenType_1a="Float",$AL292*(_xll.qGetFwdRate($D$18,$O292,$O293,"T",DCC_Leg1_Float)%+GenRate_1a%%)*$AN292,        IF(GenType_1a="bp (Fixed)",GenRate_1a%%*$AM292*$AL292,   IF(GenType_1a="bp (Float)",GenRate_1a%%*$AL292*$AN292,0))))</f>
        <v>0</v>
      </c>
      <c r="AR293" s="561"/>
      <c r="AT293" s="341">
        <f t="shared" si="56"/>
        <v>0</v>
      </c>
      <c r="AV293" s="356"/>
      <c r="AW293" s="122">
        <v>0</v>
      </c>
      <c r="AX293" s="128">
        <f t="shared" si="61"/>
        <v>0</v>
      </c>
      <c r="AY293" s="357">
        <v>0</v>
      </c>
      <c r="AZ293" s="699">
        <f>IF($AW294=0,0,        _xll.qDateNext($AW293,AZ$17,"M",TRUE,Currency2))</f>
        <v>0</v>
      </c>
      <c r="BA293" s="699">
        <f>IF($AW294=0,0,        _xll.qDateNext($AW293,BA$17,"M",TRUE,Currency2))</f>
        <v>0</v>
      </c>
      <c r="BB293" s="699">
        <f>IF($AW294=0,0,        _xll.qDateNext($AW293,BB$17,"M",TRUE,Currency2))</f>
        <v>0</v>
      </c>
      <c r="BC293" s="699">
        <f>IF($AW294=0,0,        _xll.qDateNext($AW293,BC$17,"M",TRUE,Currency2))</f>
        <v>0</v>
      </c>
      <c r="BD293" s="699">
        <f>IF($AW294=0,0,        _xll.qDateNext($AW293,BD$17,"M",TRUE,Currency2))</f>
        <v>0</v>
      </c>
      <c r="BE293" s="699">
        <f>IF($AW294=0,0,        _xll.qDateNext($AW293,BE$17,"M",TRUE,Currency2))</f>
        <v>0</v>
      </c>
      <c r="BF293" s="699">
        <f>IF($AW294=0,0,        _xll.qDateNext($AW293,BF$17,"M",TRUE,Currency2))</f>
        <v>0</v>
      </c>
      <c r="BG293" s="699">
        <f>IF($AW294=0,0,        _xll.qDateNext($AW293,BG$17,"M",TRUE,Currency2))</f>
        <v>0</v>
      </c>
      <c r="BH293" s="703">
        <v>0</v>
      </c>
      <c r="BI293" s="703">
        <v>0</v>
      </c>
      <c r="BJ293" s="703">
        <v>0</v>
      </c>
      <c r="BK293" s="703">
        <v>0</v>
      </c>
      <c r="BL293" s="703">
        <f t="shared" si="67"/>
        <v>0</v>
      </c>
      <c r="BM293" s="703">
        <f t="shared" si="68"/>
        <v>0</v>
      </c>
      <c r="BN293" s="703">
        <v>0</v>
      </c>
      <c r="BO293" s="703">
        <v>0</v>
      </c>
      <c r="BP293" s="685">
        <v>0</v>
      </c>
      <c r="BQ293" s="667"/>
      <c r="BR293" s="670">
        <f>IF(AW294=0,0,             IF(ISNUMBER(BQ293),BQ293,             IF(ISTEXT(BQ293),INDEX(BH293:BO293,MATCH(BQ293,$BH$17:$BO$17,0)),           IF(BP293="INT",_xll.qInterp(AW294,AZ293:BG293,BH293:BO293),       INDEX(BH293:BO293,MATCH(BP293,$BH$17:$BO$17,0))))))</f>
        <v>0</v>
      </c>
      <c r="BS293" s="731">
        <f t="shared" si="62"/>
        <v>0</v>
      </c>
      <c r="BT293" s="406">
        <f t="shared" si="63"/>
        <v>0</v>
      </c>
      <c r="BU293" s="284">
        <f>IF($AW294,_xll.qDateYears($AW293,$AW294,DCC_Leg2_Fixed),0)</f>
        <v>0</v>
      </c>
      <c r="BV293" s="284">
        <f>IF($AW294,_xll.qDateYears($AW293,$AW294,DCC_Leg2_Float),0)</f>
        <v>0</v>
      </c>
      <c r="BX293" s="350">
        <f t="shared" si="69"/>
        <v>0</v>
      </c>
      <c r="BY293" s="375">
        <f>IF(GenType_2a="Fixed",GenRate_2a%*$BT292*BU292,          IF(GenType_2a="Float",$BT292*(_xll.qGetFwdRate($J$18,$AW292,$AW293,"T",DCC_Leg2_Float)%+GenRate_2a%%)*$BV292,        IF(GenType_2a="bp (Fixed)",GenRate_2a%%*$BU292*$BT292,   IF(GenType_2a="bp (Float)",GenRate_2a%%*$BT292*$BV292,0))))</f>
        <v>0</v>
      </c>
      <c r="BZ293" s="561"/>
      <c r="CB293" s="341">
        <f t="shared" si="57"/>
        <v>0</v>
      </c>
      <c r="CC293" s="563"/>
      <c r="CD293" s="356"/>
      <c r="CE293" s="341">
        <v>0</v>
      </c>
      <c r="CF293" s="563"/>
      <c r="CG293" s="356"/>
    </row>
    <row r="294" spans="15:85">
      <c r="O294" s="122">
        <v>0</v>
      </c>
      <c r="P294" s="128">
        <f t="shared" si="58"/>
        <v>0</v>
      </c>
      <c r="Q294" s="126">
        <v>0</v>
      </c>
      <c r="R294" s="699">
        <f>IF($O295=0,0,        _xll.qDateNext($O294,R$17,"M",TRUE,Currency1))</f>
        <v>0</v>
      </c>
      <c r="S294" s="699">
        <f>IF($O295=0,0,        _xll.qDateNext($O294,S$17,"M",TRUE,Currency1))</f>
        <v>0</v>
      </c>
      <c r="T294" s="699">
        <f>IF($O295=0,0,        _xll.qDateNext($O294,T$17,"M",TRUE,Currency1))</f>
        <v>0</v>
      </c>
      <c r="U294" s="699">
        <f>IF($O295=0,0,        _xll.qDateNext($O294,U$17,"M",TRUE,Currency1))</f>
        <v>0</v>
      </c>
      <c r="V294" s="699">
        <f>IF($O295=0,0,        _xll.qDateNext($O294,V$17,"M",TRUE,Currency1))</f>
        <v>0</v>
      </c>
      <c r="W294" s="699">
        <f>IF($O295=0,0,        _xll.qDateNext($O294,W$17,"M",TRUE,Currency1))</f>
        <v>0</v>
      </c>
      <c r="X294" s="699">
        <f>IF($O295=0,0,        _xll.qDateNext($O294,X$17,"M",TRUE,Currency1))</f>
        <v>0</v>
      </c>
      <c r="Y294" s="699">
        <f>IF($O295=0,0,        _xll.qDateNext($O294,Y$17,"M",TRUE,Currency1))</f>
        <v>0</v>
      </c>
      <c r="Z294" s="703">
        <f>IF($O295=0,0,           IF(FRM,_xll.qGetFwdRate(Z$14,$O294,R294,"T",DCC_Leg1_Float),_xll.qGetFwdRate(Z$14,$O294,$O295,"T",DCC_Leg1_Float)))</f>
        <v>0</v>
      </c>
      <c r="AA294" s="703">
        <f>IF($O295=0,0,           IF(FRM,_xll.qGetFwdRate(AA$14,$O294,S294,"T",DCC_Leg1_Float),_xll.qGetFwdRate(AA$14,$O294,$O295,"T",DCC_Leg1_Float)))</f>
        <v>0</v>
      </c>
      <c r="AB294" s="703">
        <f t="shared" si="59"/>
        <v>0</v>
      </c>
      <c r="AC294" s="703">
        <f>IF($O295=0,0,           IF(FRM,_xll.qGetFwdRate(AC$14,$O294,U294,"T",DCC_Leg1_Float),_xll.qGetFwdRate(AC$14,$O294,$O295,"T",DCC_Leg1_Float)))</f>
        <v>0</v>
      </c>
      <c r="AD294" s="703">
        <f t="shared" si="64"/>
        <v>0</v>
      </c>
      <c r="AE294" s="703">
        <f t="shared" si="65"/>
        <v>0</v>
      </c>
      <c r="AF294" s="703">
        <f>IF($O295=0,0,           IF(FRM,_xll.qGetFwdRate(AF$14,$O294,X294,"T",DCC_Leg1_Float),_xll.qGetFwdRate(AF$14,$O294,$O295,"T",DCC_Leg1_Float)))</f>
        <v>0</v>
      </c>
      <c r="AG294" s="703">
        <f>IF($O295=0,0,           IF(FRM,_xll.qGetFwdRate(AG$14,$O294,Y294,"T",DCC_Leg1_Float),_xll.qGetFwdRate(AG$14,$O294,$O295,"T",DCC_Leg1_Float)))</f>
        <v>0</v>
      </c>
      <c r="AH294" s="685">
        <v>0</v>
      </c>
      <c r="AI294" s="667"/>
      <c r="AJ294" s="670">
        <f>IF(O295=0,0,             IF(ISNUMBER(AI294),AI294,             IF(ISTEXT(AI294),INDEX(Z294:AG294,MATCH(AI294,$Z$17:$AG$17,0)),           IF(AH294="INT",_xll.qInterp(O295,R294:Y294,Z294:AG294),       INDEX(Z294:AG294,MATCH(AH294,$Z$17:$AG$17,0))))))</f>
        <v>0</v>
      </c>
      <c r="AK294" s="732">
        <v>20</v>
      </c>
      <c r="AL294" s="721">
        <f t="shared" si="60"/>
        <v>0</v>
      </c>
      <c r="AM294" s="284">
        <f>IF($O295,_xll.qDateYears($O294,$O295,DCC_Leg1_Fixed),0)</f>
        <v>0</v>
      </c>
      <c r="AN294" s="284">
        <f>IF($O295,_xll.qDateYears($O294,$O295,DCC_Leg1_Float),0)</f>
        <v>0</v>
      </c>
      <c r="AP294" s="350">
        <f t="shared" si="66"/>
        <v>0</v>
      </c>
      <c r="AQ294" s="375">
        <f>IF(GenType_1a="Fixed",GenRate_1a%*$AL293*AM293,          IF(GenType_1a="Float",$AL293*(_xll.qGetFwdRate($D$18,$O293,$O294,"T",DCC_Leg1_Float)%+GenRate_1a%%)*$AN293,        IF(GenType_1a="bp (Fixed)",GenRate_1a%%*$AM293*$AL293,   IF(GenType_1a="bp (Float)",GenRate_1a%%*$AL293*$AN293,0))))</f>
        <v>0</v>
      </c>
      <c r="AR294" s="561"/>
      <c r="AT294" s="341">
        <f t="shared" si="56"/>
        <v>0</v>
      </c>
      <c r="AV294" s="356"/>
      <c r="AW294" s="122">
        <v>0</v>
      </c>
      <c r="AX294" s="128">
        <f t="shared" si="61"/>
        <v>0</v>
      </c>
      <c r="AY294" s="357">
        <v>0</v>
      </c>
      <c r="AZ294" s="699">
        <f>IF($AW295=0,0,        _xll.qDateNext($AW294,AZ$17,"M",TRUE,Currency2))</f>
        <v>0</v>
      </c>
      <c r="BA294" s="699">
        <f>IF($AW295=0,0,        _xll.qDateNext($AW294,BA$17,"M",TRUE,Currency2))</f>
        <v>0</v>
      </c>
      <c r="BB294" s="699">
        <f>IF($AW295=0,0,        _xll.qDateNext($AW294,BB$17,"M",TRUE,Currency2))</f>
        <v>0</v>
      </c>
      <c r="BC294" s="699">
        <f>IF($AW295=0,0,        _xll.qDateNext($AW294,BC$17,"M",TRUE,Currency2))</f>
        <v>0</v>
      </c>
      <c r="BD294" s="699">
        <f>IF($AW295=0,0,        _xll.qDateNext($AW294,BD$17,"M",TRUE,Currency2))</f>
        <v>0</v>
      </c>
      <c r="BE294" s="699">
        <f>IF($AW295=0,0,        _xll.qDateNext($AW294,BE$17,"M",TRUE,Currency2))</f>
        <v>0</v>
      </c>
      <c r="BF294" s="699">
        <f>IF($AW295=0,0,        _xll.qDateNext($AW294,BF$17,"M",TRUE,Currency2))</f>
        <v>0</v>
      </c>
      <c r="BG294" s="699">
        <f>IF($AW295=0,0,        _xll.qDateNext($AW294,BG$17,"M",TRUE,Currency2))</f>
        <v>0</v>
      </c>
      <c r="BH294" s="703">
        <v>0</v>
      </c>
      <c r="BI294" s="703">
        <v>0</v>
      </c>
      <c r="BJ294" s="703">
        <v>0</v>
      </c>
      <c r="BK294" s="703">
        <v>0</v>
      </c>
      <c r="BL294" s="703">
        <f t="shared" si="67"/>
        <v>0</v>
      </c>
      <c r="BM294" s="703">
        <f t="shared" si="68"/>
        <v>0</v>
      </c>
      <c r="BN294" s="703">
        <v>0</v>
      </c>
      <c r="BO294" s="703">
        <v>0</v>
      </c>
      <c r="BP294" s="685">
        <v>0</v>
      </c>
      <c r="BQ294" s="667"/>
      <c r="BR294" s="670">
        <f>IF(AW295=0,0,             IF(ISNUMBER(BQ294),BQ294,             IF(ISTEXT(BQ294),INDEX(BH294:BO294,MATCH(BQ294,$BH$17:$BO$17,0)),           IF(BP294="INT",_xll.qInterp(AW295,AZ294:BG294,BH294:BO294),       INDEX(BH294:BO294,MATCH(BP294,$BH$17:$BO$17,0))))))</f>
        <v>0</v>
      </c>
      <c r="BS294" s="731">
        <f t="shared" si="62"/>
        <v>0</v>
      </c>
      <c r="BT294" s="406">
        <f t="shared" si="63"/>
        <v>0</v>
      </c>
      <c r="BU294" s="284">
        <f>IF($AW295,_xll.qDateYears($AW294,$AW295,DCC_Leg2_Fixed),0)</f>
        <v>0</v>
      </c>
      <c r="BV294" s="284">
        <f>IF($AW295,_xll.qDateYears($AW294,$AW295,DCC_Leg2_Float),0)</f>
        <v>0</v>
      </c>
      <c r="BX294" s="350">
        <f t="shared" si="69"/>
        <v>0</v>
      </c>
      <c r="BY294" s="375">
        <f>IF(GenType_2a="Fixed",GenRate_2a%*$BT293*BU293,          IF(GenType_2a="Float",$BT293*(_xll.qGetFwdRate($J$18,$AW293,$AW294,"T",DCC_Leg2_Float)%+GenRate_2a%%)*$BV293,        IF(GenType_2a="bp (Fixed)",GenRate_2a%%*$BU293*$BT293,   IF(GenType_2a="bp (Float)",GenRate_2a%%*$BT293*$BV293,0))))</f>
        <v>0</v>
      </c>
      <c r="BZ294" s="561"/>
      <c r="CB294" s="341">
        <f t="shared" si="57"/>
        <v>0</v>
      </c>
      <c r="CC294" s="563"/>
      <c r="CD294" s="356"/>
      <c r="CE294" s="341">
        <v>0</v>
      </c>
      <c r="CF294" s="563"/>
      <c r="CG294" s="356"/>
    </row>
    <row r="295" spans="15:85">
      <c r="O295" s="122">
        <v>0</v>
      </c>
      <c r="P295" s="128">
        <f t="shared" si="58"/>
        <v>0</v>
      </c>
      <c r="Q295" s="126">
        <v>0</v>
      </c>
      <c r="R295" s="699">
        <f>IF($O296=0,0,        _xll.qDateNext($O295,R$17,"M",TRUE,Currency1))</f>
        <v>0</v>
      </c>
      <c r="S295" s="699">
        <f>IF($O296=0,0,        _xll.qDateNext($O295,S$17,"M",TRUE,Currency1))</f>
        <v>0</v>
      </c>
      <c r="T295" s="699">
        <f>IF($O296=0,0,        _xll.qDateNext($O295,T$17,"M",TRUE,Currency1))</f>
        <v>0</v>
      </c>
      <c r="U295" s="699">
        <f>IF($O296=0,0,        _xll.qDateNext($O295,U$17,"M",TRUE,Currency1))</f>
        <v>0</v>
      </c>
      <c r="V295" s="699">
        <f>IF($O296=0,0,        _xll.qDateNext($O295,V$17,"M",TRUE,Currency1))</f>
        <v>0</v>
      </c>
      <c r="W295" s="699">
        <f>IF($O296=0,0,        _xll.qDateNext($O295,W$17,"M",TRUE,Currency1))</f>
        <v>0</v>
      </c>
      <c r="X295" s="699">
        <f>IF($O296=0,0,        _xll.qDateNext($O295,X$17,"M",TRUE,Currency1))</f>
        <v>0</v>
      </c>
      <c r="Y295" s="699">
        <f>IF($O296=0,0,        _xll.qDateNext($O295,Y$17,"M",TRUE,Currency1))</f>
        <v>0</v>
      </c>
      <c r="Z295" s="703">
        <f>IF($O296=0,0,           IF(FRM,_xll.qGetFwdRate(Z$14,$O295,R295,"T",DCC_Leg1_Float),_xll.qGetFwdRate(Z$14,$O295,$O296,"T",DCC_Leg1_Float)))</f>
        <v>0</v>
      </c>
      <c r="AA295" s="703">
        <f>IF($O296=0,0,           IF(FRM,_xll.qGetFwdRate(AA$14,$O295,S295,"T",DCC_Leg1_Float),_xll.qGetFwdRate(AA$14,$O295,$O296,"T",DCC_Leg1_Float)))</f>
        <v>0</v>
      </c>
      <c r="AB295" s="703">
        <f t="shared" si="59"/>
        <v>0</v>
      </c>
      <c r="AC295" s="703">
        <f>IF($O296=0,0,           IF(FRM,_xll.qGetFwdRate(AC$14,$O295,U295,"T",DCC_Leg1_Float),_xll.qGetFwdRate(AC$14,$O295,$O296,"T",DCC_Leg1_Float)))</f>
        <v>0</v>
      </c>
      <c r="AD295" s="703">
        <f t="shared" si="64"/>
        <v>0</v>
      </c>
      <c r="AE295" s="703">
        <f t="shared" si="65"/>
        <v>0</v>
      </c>
      <c r="AF295" s="703">
        <f>IF($O296=0,0,           IF(FRM,_xll.qGetFwdRate(AF$14,$O295,X295,"T",DCC_Leg1_Float),_xll.qGetFwdRate(AF$14,$O295,$O296,"T",DCC_Leg1_Float)))</f>
        <v>0</v>
      </c>
      <c r="AG295" s="703">
        <f>IF($O296=0,0,           IF(FRM,_xll.qGetFwdRate(AG$14,$O295,Y295,"T",DCC_Leg1_Float),_xll.qGetFwdRate(AG$14,$O295,$O296,"T",DCC_Leg1_Float)))</f>
        <v>0</v>
      </c>
      <c r="AH295" s="685">
        <v>0</v>
      </c>
      <c r="AI295" s="667"/>
      <c r="AJ295" s="670">
        <f>IF(O296=0,0,             IF(ISNUMBER(AI295),AI295,             IF(ISTEXT(AI295),INDEX(Z295:AG295,MATCH(AI295,$Z$17:$AG$17,0)),           IF(AH295="INT",_xll.qInterp(O296,R295:Y295,Z295:AG295),       INDEX(Z295:AG295,MATCH(AH295,$Z$17:$AG$17,0))))))</f>
        <v>0</v>
      </c>
      <c r="AK295" s="732">
        <v>20</v>
      </c>
      <c r="AL295" s="721">
        <f t="shared" si="60"/>
        <v>0</v>
      </c>
      <c r="AM295" s="284">
        <f>IF($O296,_xll.qDateYears($O295,$O296,DCC_Leg1_Fixed),0)</f>
        <v>0</v>
      </c>
      <c r="AN295" s="284">
        <f>IF($O296,_xll.qDateYears($O295,$O296,DCC_Leg1_Float),0)</f>
        <v>0</v>
      </c>
      <c r="AP295" s="350">
        <f t="shared" si="66"/>
        <v>0</v>
      </c>
      <c r="AQ295" s="375">
        <f>IF(GenType_1a="Fixed",GenRate_1a%*$AL294*AM294,          IF(GenType_1a="Float",$AL294*(_xll.qGetFwdRate($D$18,$O294,$O295,"T",DCC_Leg1_Float)%+GenRate_1a%%)*$AN294,        IF(GenType_1a="bp (Fixed)",GenRate_1a%%*$AM294*$AL294,   IF(GenType_1a="bp (Float)",GenRate_1a%%*$AL294*$AN294,0))))</f>
        <v>0</v>
      </c>
      <c r="AR295" s="561"/>
      <c r="AT295" s="341">
        <f t="shared" si="56"/>
        <v>0</v>
      </c>
      <c r="AV295" s="356"/>
      <c r="AW295" s="122">
        <v>0</v>
      </c>
      <c r="AX295" s="128">
        <f t="shared" si="61"/>
        <v>0</v>
      </c>
      <c r="AY295" s="357">
        <v>0</v>
      </c>
      <c r="AZ295" s="699">
        <f>IF($AW296=0,0,        _xll.qDateNext($AW295,AZ$17,"M",TRUE,Currency2))</f>
        <v>0</v>
      </c>
      <c r="BA295" s="699">
        <f>IF($AW296=0,0,        _xll.qDateNext($AW295,BA$17,"M",TRUE,Currency2))</f>
        <v>0</v>
      </c>
      <c r="BB295" s="699">
        <f>IF($AW296=0,0,        _xll.qDateNext($AW295,BB$17,"M",TRUE,Currency2))</f>
        <v>0</v>
      </c>
      <c r="BC295" s="699">
        <f>IF($AW296=0,0,        _xll.qDateNext($AW295,BC$17,"M",TRUE,Currency2))</f>
        <v>0</v>
      </c>
      <c r="BD295" s="699">
        <f>IF($AW296=0,0,        _xll.qDateNext($AW295,BD$17,"M",TRUE,Currency2))</f>
        <v>0</v>
      </c>
      <c r="BE295" s="699">
        <f>IF($AW296=0,0,        _xll.qDateNext($AW295,BE$17,"M",TRUE,Currency2))</f>
        <v>0</v>
      </c>
      <c r="BF295" s="699">
        <f>IF($AW296=0,0,        _xll.qDateNext($AW295,BF$17,"M",TRUE,Currency2))</f>
        <v>0</v>
      </c>
      <c r="BG295" s="699">
        <f>IF($AW296=0,0,        _xll.qDateNext($AW295,BG$17,"M",TRUE,Currency2))</f>
        <v>0</v>
      </c>
      <c r="BH295" s="703">
        <v>0</v>
      </c>
      <c r="BI295" s="703">
        <v>0</v>
      </c>
      <c r="BJ295" s="703">
        <v>0</v>
      </c>
      <c r="BK295" s="703">
        <v>0</v>
      </c>
      <c r="BL295" s="703">
        <f t="shared" si="67"/>
        <v>0</v>
      </c>
      <c r="BM295" s="703">
        <f t="shared" si="68"/>
        <v>0</v>
      </c>
      <c r="BN295" s="703">
        <v>0</v>
      </c>
      <c r="BO295" s="703">
        <v>0</v>
      </c>
      <c r="BP295" s="685">
        <v>0</v>
      </c>
      <c r="BQ295" s="667"/>
      <c r="BR295" s="670">
        <f>IF(AW296=0,0,             IF(ISNUMBER(BQ295),BQ295,             IF(ISTEXT(BQ295),INDEX(BH295:BO295,MATCH(BQ295,$BH$17:$BO$17,0)),           IF(BP295="INT",_xll.qInterp(AW296,AZ295:BG295,BH295:BO295),       INDEX(BH295:BO295,MATCH(BP295,$BH$17:$BO$17,0))))))</f>
        <v>0</v>
      </c>
      <c r="BS295" s="731">
        <f t="shared" si="62"/>
        <v>0</v>
      </c>
      <c r="BT295" s="406">
        <f t="shared" si="63"/>
        <v>0</v>
      </c>
      <c r="BU295" s="284">
        <f>IF($AW296,_xll.qDateYears($AW295,$AW296,DCC_Leg2_Fixed),0)</f>
        <v>0</v>
      </c>
      <c r="BV295" s="284">
        <f>IF($AW296,_xll.qDateYears($AW295,$AW296,DCC_Leg2_Float),0)</f>
        <v>0</v>
      </c>
      <c r="BX295" s="350">
        <f t="shared" si="69"/>
        <v>0</v>
      </c>
      <c r="BY295" s="375">
        <f>IF(GenType_2a="Fixed",GenRate_2a%*$BT294*BU294,          IF(GenType_2a="Float",$BT294*(_xll.qGetFwdRate($J$18,$AW294,$AW295,"T",DCC_Leg2_Float)%+GenRate_2a%%)*$BV294,        IF(GenType_2a="bp (Fixed)",GenRate_2a%%*$BU294*$BT294,   IF(GenType_2a="bp (Float)",GenRate_2a%%*$BT294*$BV294,0))))</f>
        <v>0</v>
      </c>
      <c r="BZ295" s="561"/>
      <c r="CB295" s="341">
        <f t="shared" si="57"/>
        <v>0</v>
      </c>
      <c r="CC295" s="563"/>
      <c r="CD295" s="356"/>
      <c r="CE295" s="341">
        <v>0</v>
      </c>
      <c r="CF295" s="563"/>
      <c r="CG295" s="356"/>
    </row>
    <row r="296" spans="15:85">
      <c r="O296" s="122">
        <v>0</v>
      </c>
      <c r="P296" s="128">
        <f t="shared" si="58"/>
        <v>0</v>
      </c>
      <c r="Q296" s="126">
        <v>0</v>
      </c>
      <c r="R296" s="699">
        <f>IF($O297=0,0,        _xll.qDateNext($O296,R$17,"M",TRUE,Currency1))</f>
        <v>0</v>
      </c>
      <c r="S296" s="699">
        <f>IF($O297=0,0,        _xll.qDateNext($O296,S$17,"M",TRUE,Currency1))</f>
        <v>0</v>
      </c>
      <c r="T296" s="699">
        <f>IF($O297=0,0,        _xll.qDateNext($O296,T$17,"M",TRUE,Currency1))</f>
        <v>0</v>
      </c>
      <c r="U296" s="699">
        <f>IF($O297=0,0,        _xll.qDateNext($O296,U$17,"M",TRUE,Currency1))</f>
        <v>0</v>
      </c>
      <c r="V296" s="699">
        <f>IF($O297=0,0,        _xll.qDateNext($O296,V$17,"M",TRUE,Currency1))</f>
        <v>0</v>
      </c>
      <c r="W296" s="699">
        <f>IF($O297=0,0,        _xll.qDateNext($O296,W$17,"M",TRUE,Currency1))</f>
        <v>0</v>
      </c>
      <c r="X296" s="699">
        <f>IF($O297=0,0,        _xll.qDateNext($O296,X$17,"M",TRUE,Currency1))</f>
        <v>0</v>
      </c>
      <c r="Y296" s="699">
        <f>IF($O297=0,0,        _xll.qDateNext($O296,Y$17,"M",TRUE,Currency1))</f>
        <v>0</v>
      </c>
      <c r="Z296" s="703">
        <f>IF($O297=0,0,           IF(FRM,_xll.qGetFwdRate(Z$14,$O296,R296,"T",DCC_Leg1_Float),_xll.qGetFwdRate(Z$14,$O296,$O297,"T",DCC_Leg1_Float)))</f>
        <v>0</v>
      </c>
      <c r="AA296" s="703">
        <f>IF($O297=0,0,           IF(FRM,_xll.qGetFwdRate(AA$14,$O296,S296,"T",DCC_Leg1_Float),_xll.qGetFwdRate(AA$14,$O296,$O297,"T",DCC_Leg1_Float)))</f>
        <v>0</v>
      </c>
      <c r="AB296" s="703">
        <f t="shared" si="59"/>
        <v>0</v>
      </c>
      <c r="AC296" s="703">
        <f>IF($O297=0,0,           IF(FRM,_xll.qGetFwdRate(AC$14,$O296,U296,"T",DCC_Leg1_Float),_xll.qGetFwdRate(AC$14,$O296,$O297,"T",DCC_Leg1_Float)))</f>
        <v>0</v>
      </c>
      <c r="AD296" s="703">
        <f t="shared" si="64"/>
        <v>0</v>
      </c>
      <c r="AE296" s="703">
        <f t="shared" si="65"/>
        <v>0</v>
      </c>
      <c r="AF296" s="703">
        <f>IF($O297=0,0,           IF(FRM,_xll.qGetFwdRate(AF$14,$O296,X296,"T",DCC_Leg1_Float),_xll.qGetFwdRate(AF$14,$O296,$O297,"T",DCC_Leg1_Float)))</f>
        <v>0</v>
      </c>
      <c r="AG296" s="703">
        <f>IF($O297=0,0,           IF(FRM,_xll.qGetFwdRate(AG$14,$O296,Y296,"T",DCC_Leg1_Float),_xll.qGetFwdRate(AG$14,$O296,$O297,"T",DCC_Leg1_Float)))</f>
        <v>0</v>
      </c>
      <c r="AH296" s="685">
        <v>0</v>
      </c>
      <c r="AI296" s="667"/>
      <c r="AJ296" s="670">
        <f>IF(O297=0,0,             IF(ISNUMBER(AI296),AI296,             IF(ISTEXT(AI296),INDEX(Z296:AG296,MATCH(AI296,$Z$17:$AG$17,0)),           IF(AH296="INT",_xll.qInterp(O297,R296:Y296,Z296:AG296),       INDEX(Z296:AG296,MATCH(AH296,$Z$17:$AG$17,0))))))</f>
        <v>0</v>
      </c>
      <c r="AK296" s="732">
        <v>20</v>
      </c>
      <c r="AL296" s="721">
        <f t="shared" si="60"/>
        <v>0</v>
      </c>
      <c r="AM296" s="284">
        <f>IF($O297,_xll.qDateYears($O296,$O297,DCC_Leg1_Fixed),0)</f>
        <v>0</v>
      </c>
      <c r="AN296" s="284">
        <f>IF($O297,_xll.qDateYears($O296,$O297,DCC_Leg1_Float),0)</f>
        <v>0</v>
      </c>
      <c r="AP296" s="350">
        <f t="shared" si="66"/>
        <v>0</v>
      </c>
      <c r="AQ296" s="375">
        <f>IF(GenType_1a="Fixed",GenRate_1a%*$AL295*AM295,          IF(GenType_1a="Float",$AL295*(_xll.qGetFwdRate($D$18,$O295,$O296,"T",DCC_Leg1_Float)%+GenRate_1a%%)*$AN295,        IF(GenType_1a="bp (Fixed)",GenRate_1a%%*$AM295*$AL295,   IF(GenType_1a="bp (Float)",GenRate_1a%%*$AL295*$AN295,0))))</f>
        <v>0</v>
      </c>
      <c r="AR296" s="561"/>
      <c r="AT296" s="341">
        <f t="shared" ref="AT296:AT359" si="70">SUM(AP296:AR296)</f>
        <v>0</v>
      </c>
      <c r="AV296" s="356"/>
      <c r="AW296" s="122">
        <v>0</v>
      </c>
      <c r="AX296" s="128">
        <f t="shared" si="61"/>
        <v>0</v>
      </c>
      <c r="AY296" s="357">
        <v>0</v>
      </c>
      <c r="AZ296" s="699">
        <f>IF($AW297=0,0,        _xll.qDateNext($AW296,AZ$17,"M",TRUE,Currency2))</f>
        <v>0</v>
      </c>
      <c r="BA296" s="699">
        <f>IF($AW297=0,0,        _xll.qDateNext($AW296,BA$17,"M",TRUE,Currency2))</f>
        <v>0</v>
      </c>
      <c r="BB296" s="699">
        <f>IF($AW297=0,0,        _xll.qDateNext($AW296,BB$17,"M",TRUE,Currency2))</f>
        <v>0</v>
      </c>
      <c r="BC296" s="699">
        <f>IF($AW297=0,0,        _xll.qDateNext($AW296,BC$17,"M",TRUE,Currency2))</f>
        <v>0</v>
      </c>
      <c r="BD296" s="699">
        <f>IF($AW297=0,0,        _xll.qDateNext($AW296,BD$17,"M",TRUE,Currency2))</f>
        <v>0</v>
      </c>
      <c r="BE296" s="699">
        <f>IF($AW297=0,0,        _xll.qDateNext($AW296,BE$17,"M",TRUE,Currency2))</f>
        <v>0</v>
      </c>
      <c r="BF296" s="699">
        <f>IF($AW297=0,0,        _xll.qDateNext($AW296,BF$17,"M",TRUE,Currency2))</f>
        <v>0</v>
      </c>
      <c r="BG296" s="699">
        <f>IF($AW297=0,0,        _xll.qDateNext($AW296,BG$17,"M",TRUE,Currency2))</f>
        <v>0</v>
      </c>
      <c r="BH296" s="703">
        <v>0</v>
      </c>
      <c r="BI296" s="703">
        <v>0</v>
      </c>
      <c r="BJ296" s="703">
        <v>0</v>
      </c>
      <c r="BK296" s="703">
        <v>0</v>
      </c>
      <c r="BL296" s="703">
        <f t="shared" si="67"/>
        <v>0</v>
      </c>
      <c r="BM296" s="703">
        <f t="shared" si="68"/>
        <v>0</v>
      </c>
      <c r="BN296" s="703">
        <v>0</v>
      </c>
      <c r="BO296" s="703">
        <v>0</v>
      </c>
      <c r="BP296" s="685">
        <v>0</v>
      </c>
      <c r="BQ296" s="667"/>
      <c r="BR296" s="670">
        <f>IF(AW297=0,0,             IF(ISNUMBER(BQ296),BQ296,             IF(ISTEXT(BQ296),INDEX(BH296:BO296,MATCH(BQ296,$BH$17:$BO$17,0)),           IF(BP296="INT",_xll.qInterp(AW297,AZ296:BG296,BH296:BO296),       INDEX(BH296:BO296,MATCH(BP296,$BH$17:$BO$17,0))))))</f>
        <v>0</v>
      </c>
      <c r="BS296" s="731">
        <f t="shared" si="62"/>
        <v>0</v>
      </c>
      <c r="BT296" s="406">
        <f t="shared" si="63"/>
        <v>0</v>
      </c>
      <c r="BU296" s="284">
        <f>IF($AW297,_xll.qDateYears($AW296,$AW297,DCC_Leg2_Fixed),0)</f>
        <v>0</v>
      </c>
      <c r="BV296" s="284">
        <f>IF($AW297,_xll.qDateYears($AW296,$AW297,DCC_Leg2_Float),0)</f>
        <v>0</v>
      </c>
      <c r="BX296" s="350">
        <f t="shared" si="69"/>
        <v>0</v>
      </c>
      <c r="BY296" s="375">
        <f>IF(GenType_2a="Fixed",GenRate_2a%*$BT295*BU295,          IF(GenType_2a="Float",$BT295*(_xll.qGetFwdRate($J$18,$AW295,$AW296,"T",DCC_Leg2_Float)%+GenRate_2a%%)*$BV295,        IF(GenType_2a="bp (Fixed)",GenRate_2a%%*$BU295*$BT295,   IF(GenType_2a="bp (Float)",GenRate_2a%%*$BT295*$BV295,0))))</f>
        <v>0</v>
      </c>
      <c r="BZ296" s="561"/>
      <c r="CB296" s="341">
        <f t="shared" si="57"/>
        <v>0</v>
      </c>
      <c r="CC296" s="563"/>
      <c r="CD296" s="356"/>
      <c r="CE296" s="341">
        <v>0</v>
      </c>
      <c r="CF296" s="563"/>
      <c r="CG296" s="356"/>
    </row>
    <row r="297" spans="15:85">
      <c r="O297" s="122">
        <v>0</v>
      </c>
      <c r="P297" s="128">
        <f t="shared" si="58"/>
        <v>0</v>
      </c>
      <c r="Q297" s="126">
        <v>0</v>
      </c>
      <c r="R297" s="699">
        <f>IF($O298=0,0,        _xll.qDateNext($O297,R$17,"M",TRUE,Currency1))</f>
        <v>0</v>
      </c>
      <c r="S297" s="699">
        <f>IF($O298=0,0,        _xll.qDateNext($O297,S$17,"M",TRUE,Currency1))</f>
        <v>0</v>
      </c>
      <c r="T297" s="699">
        <f>IF($O298=0,0,        _xll.qDateNext($O297,T$17,"M",TRUE,Currency1))</f>
        <v>0</v>
      </c>
      <c r="U297" s="699">
        <f>IF($O298=0,0,        _xll.qDateNext($O297,U$17,"M",TRUE,Currency1))</f>
        <v>0</v>
      </c>
      <c r="V297" s="699">
        <f>IF($O298=0,0,        _xll.qDateNext($O297,V$17,"M",TRUE,Currency1))</f>
        <v>0</v>
      </c>
      <c r="W297" s="699">
        <f>IF($O298=0,0,        _xll.qDateNext($O297,W$17,"M",TRUE,Currency1))</f>
        <v>0</v>
      </c>
      <c r="X297" s="699">
        <f>IF($O298=0,0,        _xll.qDateNext($O297,X$17,"M",TRUE,Currency1))</f>
        <v>0</v>
      </c>
      <c r="Y297" s="699">
        <f>IF($O298=0,0,        _xll.qDateNext($O297,Y$17,"M",TRUE,Currency1))</f>
        <v>0</v>
      </c>
      <c r="Z297" s="703">
        <f>IF($O298=0,0,           IF(FRM,_xll.qGetFwdRate(Z$14,$O297,R297,"T",DCC_Leg1_Float),_xll.qGetFwdRate(Z$14,$O297,$O298,"T",DCC_Leg1_Float)))</f>
        <v>0</v>
      </c>
      <c r="AA297" s="703">
        <f>IF($O298=0,0,           IF(FRM,_xll.qGetFwdRate(AA$14,$O297,S297,"T",DCC_Leg1_Float),_xll.qGetFwdRate(AA$14,$O297,$O298,"T",DCC_Leg1_Float)))</f>
        <v>0</v>
      </c>
      <c r="AB297" s="703">
        <f t="shared" si="59"/>
        <v>0</v>
      </c>
      <c r="AC297" s="703">
        <f>IF($O298=0,0,           IF(FRM,_xll.qGetFwdRate(AC$14,$O297,U297,"T",DCC_Leg1_Float),_xll.qGetFwdRate(AC$14,$O297,$O298,"T",DCC_Leg1_Float)))</f>
        <v>0</v>
      </c>
      <c r="AD297" s="703">
        <f t="shared" si="64"/>
        <v>0</v>
      </c>
      <c r="AE297" s="703">
        <f t="shared" si="65"/>
        <v>0</v>
      </c>
      <c r="AF297" s="703">
        <f>IF($O298=0,0,           IF(FRM,_xll.qGetFwdRate(AF$14,$O297,X297,"T",DCC_Leg1_Float),_xll.qGetFwdRate(AF$14,$O297,$O298,"T",DCC_Leg1_Float)))</f>
        <v>0</v>
      </c>
      <c r="AG297" s="703">
        <f>IF($O298=0,0,           IF(FRM,_xll.qGetFwdRate(AG$14,$O297,Y297,"T",DCC_Leg1_Float),_xll.qGetFwdRate(AG$14,$O297,$O298,"T",DCC_Leg1_Float)))</f>
        <v>0</v>
      </c>
      <c r="AH297" s="685">
        <v>0</v>
      </c>
      <c r="AI297" s="667"/>
      <c r="AJ297" s="670">
        <f>IF(O298=0,0,             IF(ISNUMBER(AI297),AI297,             IF(ISTEXT(AI297),INDEX(Z297:AG297,MATCH(AI297,$Z$17:$AG$17,0)),           IF(AH297="INT",_xll.qInterp(O298,R297:Y297,Z297:AG297),       INDEX(Z297:AG297,MATCH(AH297,$Z$17:$AG$17,0))))))</f>
        <v>0</v>
      </c>
      <c r="AK297" s="732">
        <v>20</v>
      </c>
      <c r="AL297" s="721">
        <f t="shared" si="60"/>
        <v>0</v>
      </c>
      <c r="AM297" s="284">
        <f>IF($O298,_xll.qDateYears($O297,$O298,DCC_Leg1_Fixed),0)</f>
        <v>0</v>
      </c>
      <c r="AN297" s="284">
        <f>IF($O298,_xll.qDateYears($O297,$O298,DCC_Leg1_Float),0)</f>
        <v>0</v>
      </c>
      <c r="AP297" s="350">
        <f t="shared" si="66"/>
        <v>0</v>
      </c>
      <c r="AQ297" s="375">
        <f>IF(GenType_1a="Fixed",GenRate_1a%*$AL296*AM296,          IF(GenType_1a="Float",$AL296*(_xll.qGetFwdRate($D$18,$O296,$O297,"T",DCC_Leg1_Float)%+GenRate_1a%%)*$AN296,        IF(GenType_1a="bp (Fixed)",GenRate_1a%%*$AM296*$AL296,   IF(GenType_1a="bp (Float)",GenRate_1a%%*$AL296*$AN296,0))))</f>
        <v>0</v>
      </c>
      <c r="AR297" s="561"/>
      <c r="AT297" s="341">
        <f t="shared" si="70"/>
        <v>0</v>
      </c>
      <c r="AV297" s="356"/>
      <c r="AW297" s="122">
        <v>0</v>
      </c>
      <c r="AX297" s="128">
        <f t="shared" si="61"/>
        <v>0</v>
      </c>
      <c r="AY297" s="357">
        <v>0</v>
      </c>
      <c r="AZ297" s="699">
        <f>IF($AW298=0,0,        _xll.qDateNext($AW297,AZ$17,"M",TRUE,Currency2))</f>
        <v>0</v>
      </c>
      <c r="BA297" s="699">
        <f>IF($AW298=0,0,        _xll.qDateNext($AW297,BA$17,"M",TRUE,Currency2))</f>
        <v>0</v>
      </c>
      <c r="BB297" s="699">
        <f>IF($AW298=0,0,        _xll.qDateNext($AW297,BB$17,"M",TRUE,Currency2))</f>
        <v>0</v>
      </c>
      <c r="BC297" s="699">
        <f>IF($AW298=0,0,        _xll.qDateNext($AW297,BC$17,"M",TRUE,Currency2))</f>
        <v>0</v>
      </c>
      <c r="BD297" s="699">
        <f>IF($AW298=0,0,        _xll.qDateNext($AW297,BD$17,"M",TRUE,Currency2))</f>
        <v>0</v>
      </c>
      <c r="BE297" s="699">
        <f>IF($AW298=0,0,        _xll.qDateNext($AW297,BE$17,"M",TRUE,Currency2))</f>
        <v>0</v>
      </c>
      <c r="BF297" s="699">
        <f>IF($AW298=0,0,        _xll.qDateNext($AW297,BF$17,"M",TRUE,Currency2))</f>
        <v>0</v>
      </c>
      <c r="BG297" s="699">
        <f>IF($AW298=0,0,        _xll.qDateNext($AW297,BG$17,"M",TRUE,Currency2))</f>
        <v>0</v>
      </c>
      <c r="BH297" s="703">
        <v>0</v>
      </c>
      <c r="BI297" s="703">
        <v>0</v>
      </c>
      <c r="BJ297" s="703">
        <v>0</v>
      </c>
      <c r="BK297" s="703">
        <v>0</v>
      </c>
      <c r="BL297" s="703">
        <f t="shared" si="67"/>
        <v>0</v>
      </c>
      <c r="BM297" s="703">
        <f t="shared" si="68"/>
        <v>0</v>
      </c>
      <c r="BN297" s="703">
        <v>0</v>
      </c>
      <c r="BO297" s="703">
        <v>0</v>
      </c>
      <c r="BP297" s="685">
        <v>0</v>
      </c>
      <c r="BQ297" s="667"/>
      <c r="BR297" s="670">
        <f>IF(AW298=0,0,             IF(ISNUMBER(BQ297),BQ297,             IF(ISTEXT(BQ297),INDEX(BH297:BO297,MATCH(BQ297,$BH$17:$BO$17,0)),           IF(BP297="INT",_xll.qInterp(AW298,AZ297:BG297,BH297:BO297),       INDEX(BH297:BO297,MATCH(BP297,$BH$17:$BO$17,0))))))</f>
        <v>0</v>
      </c>
      <c r="BS297" s="731">
        <f t="shared" si="62"/>
        <v>0</v>
      </c>
      <c r="BT297" s="406">
        <f t="shared" si="63"/>
        <v>0</v>
      </c>
      <c r="BU297" s="284">
        <f>IF($AW298,_xll.qDateYears($AW297,$AW298,DCC_Leg2_Fixed),0)</f>
        <v>0</v>
      </c>
      <c r="BV297" s="284">
        <f>IF($AW298,_xll.qDateYears($AW297,$AW298,DCC_Leg2_Float),0)</f>
        <v>0</v>
      </c>
      <c r="BX297" s="350">
        <f t="shared" si="69"/>
        <v>0</v>
      </c>
      <c r="BY297" s="375">
        <f>IF(GenType_2a="Fixed",GenRate_2a%*$BT296*BU296,          IF(GenType_2a="Float",$BT296*(_xll.qGetFwdRate($J$18,$AW296,$AW297,"T",DCC_Leg2_Float)%+GenRate_2a%%)*$BV296,        IF(GenType_2a="bp (Fixed)",GenRate_2a%%*$BU296*$BT296,   IF(GenType_2a="bp (Float)",GenRate_2a%%*$BT296*$BV296,0))))</f>
        <v>0</v>
      </c>
      <c r="BZ297" s="561"/>
      <c r="CB297" s="341">
        <f t="shared" ref="CB297:CB360" si="71">SUM(BX297:BZ297)</f>
        <v>0</v>
      </c>
      <c r="CC297" s="563"/>
      <c r="CD297" s="356"/>
      <c r="CE297" s="341">
        <v>0</v>
      </c>
      <c r="CF297" s="563"/>
      <c r="CG297" s="356"/>
    </row>
    <row r="298" spans="15:85">
      <c r="O298" s="122">
        <v>0</v>
      </c>
      <c r="P298" s="128">
        <f t="shared" si="58"/>
        <v>0</v>
      </c>
      <c r="Q298" s="126">
        <v>0</v>
      </c>
      <c r="R298" s="699">
        <f>IF($O299=0,0,        _xll.qDateNext($O298,R$17,"M",TRUE,Currency1))</f>
        <v>0</v>
      </c>
      <c r="S298" s="699">
        <f>IF($O299=0,0,        _xll.qDateNext($O298,S$17,"M",TRUE,Currency1))</f>
        <v>0</v>
      </c>
      <c r="T298" s="699">
        <f>IF($O299=0,0,        _xll.qDateNext($O298,T$17,"M",TRUE,Currency1))</f>
        <v>0</v>
      </c>
      <c r="U298" s="699">
        <f>IF($O299=0,0,        _xll.qDateNext($O298,U$17,"M",TRUE,Currency1))</f>
        <v>0</v>
      </c>
      <c r="V298" s="699">
        <f>IF($O299=0,0,        _xll.qDateNext($O298,V$17,"M",TRUE,Currency1))</f>
        <v>0</v>
      </c>
      <c r="W298" s="699">
        <f>IF($O299=0,0,        _xll.qDateNext($O298,W$17,"M",TRUE,Currency1))</f>
        <v>0</v>
      </c>
      <c r="X298" s="699">
        <f>IF($O299=0,0,        _xll.qDateNext($O298,X$17,"M",TRUE,Currency1))</f>
        <v>0</v>
      </c>
      <c r="Y298" s="699">
        <f>IF($O299=0,0,        _xll.qDateNext($O298,Y$17,"M",TRUE,Currency1))</f>
        <v>0</v>
      </c>
      <c r="Z298" s="703">
        <f>IF($O299=0,0,           IF(FRM,_xll.qGetFwdRate(Z$14,$O298,R298,"T",DCC_Leg1_Float),_xll.qGetFwdRate(Z$14,$O298,$O299,"T",DCC_Leg1_Float)))</f>
        <v>0</v>
      </c>
      <c r="AA298" s="703">
        <f>IF($O299=0,0,           IF(FRM,_xll.qGetFwdRate(AA$14,$O298,S298,"T",DCC_Leg1_Float),_xll.qGetFwdRate(AA$14,$O298,$O299,"T",DCC_Leg1_Float)))</f>
        <v>0</v>
      </c>
      <c r="AB298" s="703">
        <f t="shared" si="59"/>
        <v>0</v>
      </c>
      <c r="AC298" s="703">
        <f>IF($O299=0,0,           IF(FRM,_xll.qGetFwdRate(AC$14,$O298,U298,"T",DCC_Leg1_Float),_xll.qGetFwdRate(AC$14,$O298,$O299,"T",DCC_Leg1_Float)))</f>
        <v>0</v>
      </c>
      <c r="AD298" s="703">
        <f t="shared" si="64"/>
        <v>0</v>
      </c>
      <c r="AE298" s="703">
        <f t="shared" si="65"/>
        <v>0</v>
      </c>
      <c r="AF298" s="703">
        <f>IF($O299=0,0,           IF(FRM,_xll.qGetFwdRate(AF$14,$O298,X298,"T",DCC_Leg1_Float),_xll.qGetFwdRate(AF$14,$O298,$O299,"T",DCC_Leg1_Float)))</f>
        <v>0</v>
      </c>
      <c r="AG298" s="703">
        <f>IF($O299=0,0,           IF(FRM,_xll.qGetFwdRate(AG$14,$O298,Y298,"T",DCC_Leg1_Float),_xll.qGetFwdRate(AG$14,$O298,$O299,"T",DCC_Leg1_Float)))</f>
        <v>0</v>
      </c>
      <c r="AH298" s="685">
        <v>0</v>
      </c>
      <c r="AI298" s="667"/>
      <c r="AJ298" s="670">
        <f>IF(O299=0,0,             IF(ISNUMBER(AI298),AI298,             IF(ISTEXT(AI298),INDEX(Z298:AG298,MATCH(AI298,$Z$17:$AG$17,0)),           IF(AH298="INT",_xll.qInterp(O299,R298:Y298,Z298:AG298),       INDEX(Z298:AG298,MATCH(AH298,$Z$17:$AG$17,0))))))</f>
        <v>0</v>
      </c>
      <c r="AK298" s="732">
        <v>20</v>
      </c>
      <c r="AL298" s="721">
        <f t="shared" si="60"/>
        <v>0</v>
      </c>
      <c r="AM298" s="284">
        <f>IF($O299,_xll.qDateYears($O298,$O299,DCC_Leg1_Fixed),0)</f>
        <v>0</v>
      </c>
      <c r="AN298" s="284">
        <f>IF($O299,_xll.qDateYears($O298,$O299,DCC_Leg1_Float),0)</f>
        <v>0</v>
      </c>
      <c r="AP298" s="350">
        <f t="shared" si="66"/>
        <v>0</v>
      </c>
      <c r="AQ298" s="375">
        <f>IF(GenType_1a="Fixed",GenRate_1a%*$AL297*AM297,          IF(GenType_1a="Float",$AL297*(_xll.qGetFwdRate($D$18,$O297,$O298,"T",DCC_Leg1_Float)%+GenRate_1a%%)*$AN297,        IF(GenType_1a="bp (Fixed)",GenRate_1a%%*$AM297*$AL297,   IF(GenType_1a="bp (Float)",GenRate_1a%%*$AL297*$AN297,0))))</f>
        <v>0</v>
      </c>
      <c r="AR298" s="561"/>
      <c r="AT298" s="341">
        <f t="shared" si="70"/>
        <v>0</v>
      </c>
      <c r="AV298" s="356"/>
      <c r="AW298" s="122">
        <v>0</v>
      </c>
      <c r="AX298" s="128">
        <f t="shared" si="61"/>
        <v>0</v>
      </c>
      <c r="AY298" s="357">
        <v>0</v>
      </c>
      <c r="AZ298" s="699">
        <f>IF($AW299=0,0,        _xll.qDateNext($AW298,AZ$17,"M",TRUE,Currency2))</f>
        <v>0</v>
      </c>
      <c r="BA298" s="699">
        <f>IF($AW299=0,0,        _xll.qDateNext($AW298,BA$17,"M",TRUE,Currency2))</f>
        <v>0</v>
      </c>
      <c r="BB298" s="699">
        <f>IF($AW299=0,0,        _xll.qDateNext($AW298,BB$17,"M",TRUE,Currency2))</f>
        <v>0</v>
      </c>
      <c r="BC298" s="699">
        <f>IF($AW299=0,0,        _xll.qDateNext($AW298,BC$17,"M",TRUE,Currency2))</f>
        <v>0</v>
      </c>
      <c r="BD298" s="699">
        <f>IF($AW299=0,0,        _xll.qDateNext($AW298,BD$17,"M",TRUE,Currency2))</f>
        <v>0</v>
      </c>
      <c r="BE298" s="699">
        <f>IF($AW299=0,0,        _xll.qDateNext($AW298,BE$17,"M",TRUE,Currency2))</f>
        <v>0</v>
      </c>
      <c r="BF298" s="699">
        <f>IF($AW299=0,0,        _xll.qDateNext($AW298,BF$17,"M",TRUE,Currency2))</f>
        <v>0</v>
      </c>
      <c r="BG298" s="699">
        <f>IF($AW299=0,0,        _xll.qDateNext($AW298,BG$17,"M",TRUE,Currency2))</f>
        <v>0</v>
      </c>
      <c r="BH298" s="703">
        <v>0</v>
      </c>
      <c r="BI298" s="703">
        <v>0</v>
      </c>
      <c r="BJ298" s="703">
        <v>0</v>
      </c>
      <c r="BK298" s="703">
        <v>0</v>
      </c>
      <c r="BL298" s="703">
        <f t="shared" si="67"/>
        <v>0</v>
      </c>
      <c r="BM298" s="703">
        <f t="shared" si="68"/>
        <v>0</v>
      </c>
      <c r="BN298" s="703">
        <v>0</v>
      </c>
      <c r="BO298" s="703">
        <v>0</v>
      </c>
      <c r="BP298" s="685">
        <v>0</v>
      </c>
      <c r="BQ298" s="667"/>
      <c r="BR298" s="670">
        <f>IF(AW299=0,0,             IF(ISNUMBER(BQ298),BQ298,             IF(ISTEXT(BQ298),INDEX(BH298:BO298,MATCH(BQ298,$BH$17:$BO$17,0)),           IF(BP298="INT",_xll.qInterp(AW299,AZ298:BG298,BH298:BO298),       INDEX(BH298:BO298,MATCH(BP298,$BH$17:$BO$17,0))))))</f>
        <v>0</v>
      </c>
      <c r="BS298" s="731">
        <f t="shared" si="62"/>
        <v>0</v>
      </c>
      <c r="BT298" s="406">
        <f t="shared" si="63"/>
        <v>0</v>
      </c>
      <c r="BU298" s="284">
        <f>IF($AW299,_xll.qDateYears($AW298,$AW299,DCC_Leg2_Fixed),0)</f>
        <v>0</v>
      </c>
      <c r="BV298" s="284">
        <f>IF($AW299,_xll.qDateYears($AW298,$AW299,DCC_Leg2_Float),0)</f>
        <v>0</v>
      </c>
      <c r="BX298" s="350">
        <f t="shared" si="69"/>
        <v>0</v>
      </c>
      <c r="BY298" s="375">
        <f>IF(GenType_2a="Fixed",GenRate_2a%*$BT297*BU297,          IF(GenType_2a="Float",$BT297*(_xll.qGetFwdRate($J$18,$AW297,$AW298,"T",DCC_Leg2_Float)%+GenRate_2a%%)*$BV297,        IF(GenType_2a="bp (Fixed)",GenRate_2a%%*$BU297*$BT297,   IF(GenType_2a="bp (Float)",GenRate_2a%%*$BT297*$BV297,0))))</f>
        <v>0</v>
      </c>
      <c r="BZ298" s="561"/>
      <c r="CB298" s="341">
        <f t="shared" si="71"/>
        <v>0</v>
      </c>
      <c r="CC298" s="563"/>
      <c r="CD298" s="356"/>
      <c r="CE298" s="341">
        <v>0</v>
      </c>
      <c r="CF298" s="563"/>
      <c r="CG298" s="356"/>
    </row>
    <row r="299" spans="15:85">
      <c r="O299" s="122">
        <v>0</v>
      </c>
      <c r="P299" s="128">
        <f t="shared" si="58"/>
        <v>0</v>
      </c>
      <c r="Q299" s="126">
        <v>0</v>
      </c>
      <c r="R299" s="699">
        <f>IF($O300=0,0,        _xll.qDateNext($O299,R$17,"M",TRUE,Currency1))</f>
        <v>0</v>
      </c>
      <c r="S299" s="699">
        <f>IF($O300=0,0,        _xll.qDateNext($O299,S$17,"M",TRUE,Currency1))</f>
        <v>0</v>
      </c>
      <c r="T299" s="699">
        <f>IF($O300=0,0,        _xll.qDateNext($O299,T$17,"M",TRUE,Currency1))</f>
        <v>0</v>
      </c>
      <c r="U299" s="699">
        <f>IF($O300=0,0,        _xll.qDateNext($O299,U$17,"M",TRUE,Currency1))</f>
        <v>0</v>
      </c>
      <c r="V299" s="699">
        <f>IF($O300=0,0,        _xll.qDateNext($O299,V$17,"M",TRUE,Currency1))</f>
        <v>0</v>
      </c>
      <c r="W299" s="699">
        <f>IF($O300=0,0,        _xll.qDateNext($O299,W$17,"M",TRUE,Currency1))</f>
        <v>0</v>
      </c>
      <c r="X299" s="699">
        <f>IF($O300=0,0,        _xll.qDateNext($O299,X$17,"M",TRUE,Currency1))</f>
        <v>0</v>
      </c>
      <c r="Y299" s="699">
        <f>IF($O300=0,0,        _xll.qDateNext($O299,Y$17,"M",TRUE,Currency1))</f>
        <v>0</v>
      </c>
      <c r="Z299" s="703">
        <f>IF($O300=0,0,           IF(FRM,_xll.qGetFwdRate(Z$14,$O299,R299,"T",DCC_Leg1_Float),_xll.qGetFwdRate(Z$14,$O299,$O300,"T",DCC_Leg1_Float)))</f>
        <v>0</v>
      </c>
      <c r="AA299" s="703">
        <f>IF($O300=0,0,           IF(FRM,_xll.qGetFwdRate(AA$14,$O299,S299,"T",DCC_Leg1_Float),_xll.qGetFwdRate(AA$14,$O299,$O300,"T",DCC_Leg1_Float)))</f>
        <v>0</v>
      </c>
      <c r="AB299" s="703">
        <f t="shared" si="59"/>
        <v>0</v>
      </c>
      <c r="AC299" s="703">
        <f>IF($O300=0,0,           IF(FRM,_xll.qGetFwdRate(AC$14,$O299,U299,"T",DCC_Leg1_Float),_xll.qGetFwdRate(AC$14,$O299,$O300,"T",DCC_Leg1_Float)))</f>
        <v>0</v>
      </c>
      <c r="AD299" s="703">
        <f t="shared" si="64"/>
        <v>0</v>
      </c>
      <c r="AE299" s="703">
        <f t="shared" si="65"/>
        <v>0</v>
      </c>
      <c r="AF299" s="703">
        <f>IF($O300=0,0,           IF(FRM,_xll.qGetFwdRate(AF$14,$O299,X299,"T",DCC_Leg1_Float),_xll.qGetFwdRate(AF$14,$O299,$O300,"T",DCC_Leg1_Float)))</f>
        <v>0</v>
      </c>
      <c r="AG299" s="703">
        <f>IF($O300=0,0,           IF(FRM,_xll.qGetFwdRate(AG$14,$O299,Y299,"T",DCC_Leg1_Float),_xll.qGetFwdRate(AG$14,$O299,$O300,"T",DCC_Leg1_Float)))</f>
        <v>0</v>
      </c>
      <c r="AH299" s="685">
        <v>0</v>
      </c>
      <c r="AI299" s="667"/>
      <c r="AJ299" s="670">
        <f>IF(O300=0,0,             IF(ISNUMBER(AI299),AI299,             IF(ISTEXT(AI299),INDEX(Z299:AG299,MATCH(AI299,$Z$17:$AG$17,0)),           IF(AH299="INT",_xll.qInterp(O300,R299:Y299,Z299:AG299),       INDEX(Z299:AG299,MATCH(AH299,$Z$17:$AG$17,0))))))</f>
        <v>0</v>
      </c>
      <c r="AK299" s="732">
        <v>20</v>
      </c>
      <c r="AL299" s="721">
        <f t="shared" si="60"/>
        <v>0</v>
      </c>
      <c r="AM299" s="284">
        <f>IF($O300,_xll.qDateYears($O299,$O300,DCC_Leg1_Fixed),0)</f>
        <v>0</v>
      </c>
      <c r="AN299" s="284">
        <f>IF($O300,_xll.qDateYears($O299,$O300,DCC_Leg1_Float),0)</f>
        <v>0</v>
      </c>
      <c r="AP299" s="350">
        <f t="shared" si="66"/>
        <v>0</v>
      </c>
      <c r="AQ299" s="375">
        <f>IF(GenType_1a="Fixed",GenRate_1a%*$AL298*AM298,          IF(GenType_1a="Float",$AL298*(_xll.qGetFwdRate($D$18,$O298,$O299,"T",DCC_Leg1_Float)%+GenRate_1a%%)*$AN298,        IF(GenType_1a="bp (Fixed)",GenRate_1a%%*$AM298*$AL298,   IF(GenType_1a="bp (Float)",GenRate_1a%%*$AL298*$AN298,0))))</f>
        <v>0</v>
      </c>
      <c r="AR299" s="561"/>
      <c r="AT299" s="341">
        <f t="shared" si="70"/>
        <v>0</v>
      </c>
      <c r="AV299" s="356"/>
      <c r="AW299" s="122">
        <v>0</v>
      </c>
      <c r="AX299" s="128">
        <f t="shared" si="61"/>
        <v>0</v>
      </c>
      <c r="AY299" s="357">
        <v>0</v>
      </c>
      <c r="AZ299" s="699">
        <f>IF($AW300=0,0,        _xll.qDateNext($AW299,AZ$17,"M",TRUE,Currency2))</f>
        <v>0</v>
      </c>
      <c r="BA299" s="699">
        <f>IF($AW300=0,0,        _xll.qDateNext($AW299,BA$17,"M",TRUE,Currency2))</f>
        <v>0</v>
      </c>
      <c r="BB299" s="699">
        <f>IF($AW300=0,0,        _xll.qDateNext($AW299,BB$17,"M",TRUE,Currency2))</f>
        <v>0</v>
      </c>
      <c r="BC299" s="699">
        <f>IF($AW300=0,0,        _xll.qDateNext($AW299,BC$17,"M",TRUE,Currency2))</f>
        <v>0</v>
      </c>
      <c r="BD299" s="699">
        <f>IF($AW300=0,0,        _xll.qDateNext($AW299,BD$17,"M",TRUE,Currency2))</f>
        <v>0</v>
      </c>
      <c r="BE299" s="699">
        <f>IF($AW300=0,0,        _xll.qDateNext($AW299,BE$17,"M",TRUE,Currency2))</f>
        <v>0</v>
      </c>
      <c r="BF299" s="699">
        <f>IF($AW300=0,0,        _xll.qDateNext($AW299,BF$17,"M",TRUE,Currency2))</f>
        <v>0</v>
      </c>
      <c r="BG299" s="699">
        <f>IF($AW300=0,0,        _xll.qDateNext($AW299,BG$17,"M",TRUE,Currency2))</f>
        <v>0</v>
      </c>
      <c r="BH299" s="703">
        <v>0</v>
      </c>
      <c r="BI299" s="703">
        <v>0</v>
      </c>
      <c r="BJ299" s="703">
        <v>0</v>
      </c>
      <c r="BK299" s="703">
        <v>0</v>
      </c>
      <c r="BL299" s="703">
        <f t="shared" si="67"/>
        <v>0</v>
      </c>
      <c r="BM299" s="703">
        <f t="shared" si="68"/>
        <v>0</v>
      </c>
      <c r="BN299" s="703">
        <v>0</v>
      </c>
      <c r="BO299" s="703">
        <v>0</v>
      </c>
      <c r="BP299" s="685">
        <v>0</v>
      </c>
      <c r="BQ299" s="667"/>
      <c r="BR299" s="670">
        <f>IF(AW300=0,0,             IF(ISNUMBER(BQ299),BQ299,             IF(ISTEXT(BQ299),INDEX(BH299:BO299,MATCH(BQ299,$BH$17:$BO$17,0)),           IF(BP299="INT",_xll.qInterp(AW300,AZ299:BG299,BH299:BO299),       INDEX(BH299:BO299,MATCH(BP299,$BH$17:$BO$17,0))))))</f>
        <v>0</v>
      </c>
      <c r="BS299" s="731">
        <f t="shared" si="62"/>
        <v>0</v>
      </c>
      <c r="BT299" s="406">
        <f t="shared" si="63"/>
        <v>0</v>
      </c>
      <c r="BU299" s="284">
        <f>IF($AW300,_xll.qDateYears($AW299,$AW300,DCC_Leg2_Fixed),0)</f>
        <v>0</v>
      </c>
      <c r="BV299" s="284">
        <f>IF($AW300,_xll.qDateYears($AW299,$AW300,DCC_Leg2_Float),0)</f>
        <v>0</v>
      </c>
      <c r="BX299" s="350">
        <f t="shared" si="69"/>
        <v>0</v>
      </c>
      <c r="BY299" s="375">
        <f>IF(GenType_2a="Fixed",GenRate_2a%*$BT298*BU298,          IF(GenType_2a="Float",$BT298*(_xll.qGetFwdRate($J$18,$AW298,$AW299,"T",DCC_Leg2_Float)%+GenRate_2a%%)*$BV298,        IF(GenType_2a="bp (Fixed)",GenRate_2a%%*$BU298*$BT298,   IF(GenType_2a="bp (Float)",GenRate_2a%%*$BT298*$BV298,0))))</f>
        <v>0</v>
      </c>
      <c r="BZ299" s="561"/>
      <c r="CB299" s="341">
        <f t="shared" si="71"/>
        <v>0</v>
      </c>
      <c r="CC299" s="563"/>
      <c r="CD299" s="356"/>
      <c r="CE299" s="341">
        <v>0</v>
      </c>
      <c r="CF299" s="563"/>
      <c r="CG299" s="356"/>
    </row>
    <row r="300" spans="15:85">
      <c r="O300" s="122">
        <v>0</v>
      </c>
      <c r="P300" s="128">
        <f t="shared" si="58"/>
        <v>0</v>
      </c>
      <c r="Q300" s="126">
        <v>0</v>
      </c>
      <c r="R300" s="699">
        <f>IF($O301=0,0,        _xll.qDateNext($O300,R$17,"M",TRUE,Currency1))</f>
        <v>0</v>
      </c>
      <c r="S300" s="699">
        <f>IF($O301=0,0,        _xll.qDateNext($O300,S$17,"M",TRUE,Currency1))</f>
        <v>0</v>
      </c>
      <c r="T300" s="699">
        <f>IF($O301=0,0,        _xll.qDateNext($O300,T$17,"M",TRUE,Currency1))</f>
        <v>0</v>
      </c>
      <c r="U300" s="699">
        <f>IF($O301=0,0,        _xll.qDateNext($O300,U$17,"M",TRUE,Currency1))</f>
        <v>0</v>
      </c>
      <c r="V300" s="699">
        <f>IF($O301=0,0,        _xll.qDateNext($O300,V$17,"M",TRUE,Currency1))</f>
        <v>0</v>
      </c>
      <c r="W300" s="699">
        <f>IF($O301=0,0,        _xll.qDateNext($O300,W$17,"M",TRUE,Currency1))</f>
        <v>0</v>
      </c>
      <c r="X300" s="699">
        <f>IF($O301=0,0,        _xll.qDateNext($O300,X$17,"M",TRUE,Currency1))</f>
        <v>0</v>
      </c>
      <c r="Y300" s="699">
        <f>IF($O301=0,0,        _xll.qDateNext($O300,Y$17,"M",TRUE,Currency1))</f>
        <v>0</v>
      </c>
      <c r="Z300" s="703">
        <f>IF($O301=0,0,           IF(FRM,_xll.qGetFwdRate(Z$14,$O300,R300,"T",DCC_Leg1_Float),_xll.qGetFwdRate(Z$14,$O300,$O301,"T",DCC_Leg1_Float)))</f>
        <v>0</v>
      </c>
      <c r="AA300" s="703">
        <f>IF($O301=0,0,           IF(FRM,_xll.qGetFwdRate(AA$14,$O300,S300,"T",DCC_Leg1_Float),_xll.qGetFwdRate(AA$14,$O300,$O301,"T",DCC_Leg1_Float)))</f>
        <v>0</v>
      </c>
      <c r="AB300" s="703">
        <f t="shared" si="59"/>
        <v>0</v>
      </c>
      <c r="AC300" s="703">
        <f>IF($O301=0,0,           IF(FRM,_xll.qGetFwdRate(AC$14,$O300,U300,"T",DCC_Leg1_Float),_xll.qGetFwdRate(AC$14,$O300,$O301,"T",DCC_Leg1_Float)))</f>
        <v>0</v>
      </c>
      <c r="AD300" s="703">
        <f t="shared" si="64"/>
        <v>0</v>
      </c>
      <c r="AE300" s="703">
        <f t="shared" si="65"/>
        <v>0</v>
      </c>
      <c r="AF300" s="703">
        <f>IF($O301=0,0,           IF(FRM,_xll.qGetFwdRate(AF$14,$O300,X300,"T",DCC_Leg1_Float),_xll.qGetFwdRate(AF$14,$O300,$O301,"T",DCC_Leg1_Float)))</f>
        <v>0</v>
      </c>
      <c r="AG300" s="703">
        <f>IF($O301=0,0,           IF(FRM,_xll.qGetFwdRate(AG$14,$O300,Y300,"T",DCC_Leg1_Float),_xll.qGetFwdRate(AG$14,$O300,$O301,"T",DCC_Leg1_Float)))</f>
        <v>0</v>
      </c>
      <c r="AH300" s="685">
        <v>0</v>
      </c>
      <c r="AI300" s="667"/>
      <c r="AJ300" s="670">
        <f>IF(O301=0,0,             IF(ISNUMBER(AI300),AI300,             IF(ISTEXT(AI300),INDEX(Z300:AG300,MATCH(AI300,$Z$17:$AG$17,0)),           IF(AH300="INT",_xll.qInterp(O301,R300:Y300,Z300:AG300),       INDEX(Z300:AG300,MATCH(AH300,$Z$17:$AG$17,0))))))</f>
        <v>0</v>
      </c>
      <c r="AK300" s="732">
        <v>20</v>
      </c>
      <c r="AL300" s="721">
        <f t="shared" si="60"/>
        <v>0</v>
      </c>
      <c r="AM300" s="284">
        <f>IF($O301,_xll.qDateYears($O300,$O301,DCC_Leg1_Fixed),0)</f>
        <v>0</v>
      </c>
      <c r="AN300" s="284">
        <f>IF($O301,_xll.qDateYears($O300,$O301,DCC_Leg1_Float),0)</f>
        <v>0</v>
      </c>
      <c r="AP300" s="350">
        <f t="shared" si="66"/>
        <v>0</v>
      </c>
      <c r="AQ300" s="375">
        <f>IF(GenType_1a="Fixed",GenRate_1a%*$AL299*AM299,          IF(GenType_1a="Float",$AL299*(_xll.qGetFwdRate($D$18,$O299,$O300,"T",DCC_Leg1_Float)%+GenRate_1a%%)*$AN299,        IF(GenType_1a="bp (Fixed)",GenRate_1a%%*$AM299*$AL299,   IF(GenType_1a="bp (Float)",GenRate_1a%%*$AL299*$AN299,0))))</f>
        <v>0</v>
      </c>
      <c r="AR300" s="561"/>
      <c r="AT300" s="341">
        <f t="shared" si="70"/>
        <v>0</v>
      </c>
      <c r="AV300" s="356"/>
      <c r="AW300" s="122">
        <v>0</v>
      </c>
      <c r="AX300" s="128">
        <f t="shared" si="61"/>
        <v>0</v>
      </c>
      <c r="AY300" s="357">
        <v>0</v>
      </c>
      <c r="AZ300" s="699">
        <f>IF($AW301=0,0,        _xll.qDateNext($AW300,AZ$17,"M",TRUE,Currency2))</f>
        <v>0</v>
      </c>
      <c r="BA300" s="699">
        <f>IF($AW301=0,0,        _xll.qDateNext($AW300,BA$17,"M",TRUE,Currency2))</f>
        <v>0</v>
      </c>
      <c r="BB300" s="699">
        <f>IF($AW301=0,0,        _xll.qDateNext($AW300,BB$17,"M",TRUE,Currency2))</f>
        <v>0</v>
      </c>
      <c r="BC300" s="699">
        <f>IF($AW301=0,0,        _xll.qDateNext($AW300,BC$17,"M",TRUE,Currency2))</f>
        <v>0</v>
      </c>
      <c r="BD300" s="699">
        <f>IF($AW301=0,0,        _xll.qDateNext($AW300,BD$17,"M",TRUE,Currency2))</f>
        <v>0</v>
      </c>
      <c r="BE300" s="699">
        <f>IF($AW301=0,0,        _xll.qDateNext($AW300,BE$17,"M",TRUE,Currency2))</f>
        <v>0</v>
      </c>
      <c r="BF300" s="699">
        <f>IF($AW301=0,0,        _xll.qDateNext($AW300,BF$17,"M",TRUE,Currency2))</f>
        <v>0</v>
      </c>
      <c r="BG300" s="699">
        <f>IF($AW301=0,0,        _xll.qDateNext($AW300,BG$17,"M",TRUE,Currency2))</f>
        <v>0</v>
      </c>
      <c r="BH300" s="703">
        <v>0</v>
      </c>
      <c r="BI300" s="703">
        <v>0</v>
      </c>
      <c r="BJ300" s="703">
        <v>0</v>
      </c>
      <c r="BK300" s="703">
        <v>0</v>
      </c>
      <c r="BL300" s="703">
        <f t="shared" si="67"/>
        <v>0</v>
      </c>
      <c r="BM300" s="703">
        <f t="shared" si="68"/>
        <v>0</v>
      </c>
      <c r="BN300" s="703">
        <v>0</v>
      </c>
      <c r="BO300" s="703">
        <v>0</v>
      </c>
      <c r="BP300" s="685">
        <v>0</v>
      </c>
      <c r="BQ300" s="667"/>
      <c r="BR300" s="670">
        <f>IF(AW301=0,0,             IF(ISNUMBER(BQ300),BQ300,             IF(ISTEXT(BQ300),INDEX(BH300:BO300,MATCH(BQ300,$BH$17:$BO$17,0)),           IF(BP300="INT",_xll.qInterp(AW301,AZ300:BG300,BH300:BO300),       INDEX(BH300:BO300,MATCH(BP300,$BH$17:$BO$17,0))))))</f>
        <v>0</v>
      </c>
      <c r="BS300" s="731">
        <f t="shared" si="62"/>
        <v>0</v>
      </c>
      <c r="BT300" s="406">
        <f t="shared" si="63"/>
        <v>0</v>
      </c>
      <c r="BU300" s="284">
        <f>IF($AW301,_xll.qDateYears($AW300,$AW301,DCC_Leg2_Fixed),0)</f>
        <v>0</v>
      </c>
      <c r="BV300" s="284">
        <f>IF($AW301,_xll.qDateYears($AW300,$AW301,DCC_Leg2_Float),0)</f>
        <v>0</v>
      </c>
      <c r="BX300" s="350">
        <f t="shared" si="69"/>
        <v>0</v>
      </c>
      <c r="BY300" s="375">
        <f>IF(GenType_2a="Fixed",GenRate_2a%*$BT299*BU299,          IF(GenType_2a="Float",$BT299*(_xll.qGetFwdRate($J$18,$AW299,$AW300,"T",DCC_Leg2_Float)%+GenRate_2a%%)*$BV299,        IF(GenType_2a="bp (Fixed)",GenRate_2a%%*$BU299*$BT299,   IF(GenType_2a="bp (Float)",GenRate_2a%%*$BT299*$BV299,0))))</f>
        <v>0</v>
      </c>
      <c r="BZ300" s="561"/>
      <c r="CB300" s="341">
        <f t="shared" si="71"/>
        <v>0</v>
      </c>
      <c r="CC300" s="563"/>
      <c r="CD300" s="356"/>
      <c r="CE300" s="341">
        <v>0</v>
      </c>
      <c r="CF300" s="563"/>
      <c r="CG300" s="356"/>
    </row>
    <row r="301" spans="15:85">
      <c r="O301" s="122">
        <v>0</v>
      </c>
      <c r="P301" s="128">
        <f t="shared" si="58"/>
        <v>0</v>
      </c>
      <c r="Q301" s="126">
        <v>0</v>
      </c>
      <c r="R301" s="699">
        <f>IF($O302=0,0,        _xll.qDateNext($O301,R$17,"M",TRUE,Currency1))</f>
        <v>0</v>
      </c>
      <c r="S301" s="699">
        <f>IF($O302=0,0,        _xll.qDateNext($O301,S$17,"M",TRUE,Currency1))</f>
        <v>0</v>
      </c>
      <c r="T301" s="699">
        <f>IF($O302=0,0,        _xll.qDateNext($O301,T$17,"M",TRUE,Currency1))</f>
        <v>0</v>
      </c>
      <c r="U301" s="699">
        <f>IF($O302=0,0,        _xll.qDateNext($O301,U$17,"M",TRUE,Currency1))</f>
        <v>0</v>
      </c>
      <c r="V301" s="699">
        <f>IF($O302=0,0,        _xll.qDateNext($O301,V$17,"M",TRUE,Currency1))</f>
        <v>0</v>
      </c>
      <c r="W301" s="699">
        <f>IF($O302=0,0,        _xll.qDateNext($O301,W$17,"M",TRUE,Currency1))</f>
        <v>0</v>
      </c>
      <c r="X301" s="699">
        <f>IF($O302=0,0,        _xll.qDateNext($O301,X$17,"M",TRUE,Currency1))</f>
        <v>0</v>
      </c>
      <c r="Y301" s="699">
        <f>IF($O302=0,0,        _xll.qDateNext($O301,Y$17,"M",TRUE,Currency1))</f>
        <v>0</v>
      </c>
      <c r="Z301" s="703">
        <f>IF($O302=0,0,           IF(FRM,_xll.qGetFwdRate(Z$14,$O301,R301,"T",DCC_Leg1_Float),_xll.qGetFwdRate(Z$14,$O301,$O302,"T",DCC_Leg1_Float)))</f>
        <v>0</v>
      </c>
      <c r="AA301" s="703">
        <f>IF($O302=0,0,           IF(FRM,_xll.qGetFwdRate(AA$14,$O301,S301,"T",DCC_Leg1_Float),_xll.qGetFwdRate(AA$14,$O301,$O302,"T",DCC_Leg1_Float)))</f>
        <v>0</v>
      </c>
      <c r="AB301" s="703">
        <f t="shared" si="59"/>
        <v>0</v>
      </c>
      <c r="AC301" s="703">
        <f>IF($O302=0,0,           IF(FRM,_xll.qGetFwdRate(AC$14,$O301,U301,"T",DCC_Leg1_Float),_xll.qGetFwdRate(AC$14,$O301,$O302,"T",DCC_Leg1_Float)))</f>
        <v>0</v>
      </c>
      <c r="AD301" s="703">
        <f t="shared" si="64"/>
        <v>0</v>
      </c>
      <c r="AE301" s="703">
        <f t="shared" si="65"/>
        <v>0</v>
      </c>
      <c r="AF301" s="703">
        <f>IF($O302=0,0,           IF(FRM,_xll.qGetFwdRate(AF$14,$O301,X301,"T",DCC_Leg1_Float),_xll.qGetFwdRate(AF$14,$O301,$O302,"T",DCC_Leg1_Float)))</f>
        <v>0</v>
      </c>
      <c r="AG301" s="703">
        <f>IF($O302=0,0,           IF(FRM,_xll.qGetFwdRate(AG$14,$O301,Y301,"T",DCC_Leg1_Float),_xll.qGetFwdRate(AG$14,$O301,$O302,"T",DCC_Leg1_Float)))</f>
        <v>0</v>
      </c>
      <c r="AH301" s="685">
        <v>0</v>
      </c>
      <c r="AI301" s="667"/>
      <c r="AJ301" s="670">
        <f>IF(O302=0,0,             IF(ISNUMBER(AI301),AI301,             IF(ISTEXT(AI301),INDEX(Z301:AG301,MATCH(AI301,$Z$17:$AG$17,0)),           IF(AH301="INT",_xll.qInterp(O302,R301:Y301,Z301:AG301),       INDEX(Z301:AG301,MATCH(AH301,$Z$17:$AG$17,0))))))</f>
        <v>0</v>
      </c>
      <c r="AK301" s="732">
        <v>20</v>
      </c>
      <c r="AL301" s="721">
        <f t="shared" si="60"/>
        <v>0</v>
      </c>
      <c r="AM301" s="284">
        <f>IF($O302,_xll.qDateYears($O301,$O302,DCC_Leg1_Fixed),0)</f>
        <v>0</v>
      </c>
      <c r="AN301" s="284">
        <f>IF($O302,_xll.qDateYears($O301,$O302,DCC_Leg1_Float),0)</f>
        <v>0</v>
      </c>
      <c r="AP301" s="350">
        <f t="shared" si="66"/>
        <v>0</v>
      </c>
      <c r="AQ301" s="375">
        <f>IF(GenType_1a="Fixed",GenRate_1a%*$AL300*AM300,          IF(GenType_1a="Float",$AL300*(_xll.qGetFwdRate($D$18,$O300,$O301,"T",DCC_Leg1_Float)%+GenRate_1a%%)*$AN300,        IF(GenType_1a="bp (Fixed)",GenRate_1a%%*$AM300*$AL300,   IF(GenType_1a="bp (Float)",GenRate_1a%%*$AL300*$AN300,0))))</f>
        <v>0</v>
      </c>
      <c r="AR301" s="561"/>
      <c r="AT301" s="341">
        <f t="shared" si="70"/>
        <v>0</v>
      </c>
      <c r="AV301" s="356"/>
      <c r="AW301" s="122">
        <v>0</v>
      </c>
      <c r="AX301" s="128">
        <f t="shared" si="61"/>
        <v>0</v>
      </c>
      <c r="AY301" s="357">
        <v>0</v>
      </c>
      <c r="AZ301" s="699">
        <f>IF($AW302=0,0,        _xll.qDateNext($AW301,AZ$17,"M",TRUE,Currency2))</f>
        <v>0</v>
      </c>
      <c r="BA301" s="699">
        <f>IF($AW302=0,0,        _xll.qDateNext($AW301,BA$17,"M",TRUE,Currency2))</f>
        <v>0</v>
      </c>
      <c r="BB301" s="699">
        <f>IF($AW302=0,0,        _xll.qDateNext($AW301,BB$17,"M",TRUE,Currency2))</f>
        <v>0</v>
      </c>
      <c r="BC301" s="699">
        <f>IF($AW302=0,0,        _xll.qDateNext($AW301,BC$17,"M",TRUE,Currency2))</f>
        <v>0</v>
      </c>
      <c r="BD301" s="699">
        <f>IF($AW302=0,0,        _xll.qDateNext($AW301,BD$17,"M",TRUE,Currency2))</f>
        <v>0</v>
      </c>
      <c r="BE301" s="699">
        <f>IF($AW302=0,0,        _xll.qDateNext($AW301,BE$17,"M",TRUE,Currency2))</f>
        <v>0</v>
      </c>
      <c r="BF301" s="699">
        <f>IF($AW302=0,0,        _xll.qDateNext($AW301,BF$17,"M",TRUE,Currency2))</f>
        <v>0</v>
      </c>
      <c r="BG301" s="699">
        <f>IF($AW302=0,0,        _xll.qDateNext($AW301,BG$17,"M",TRUE,Currency2))</f>
        <v>0</v>
      </c>
      <c r="BH301" s="703">
        <v>0</v>
      </c>
      <c r="BI301" s="703">
        <v>0</v>
      </c>
      <c r="BJ301" s="703">
        <v>0</v>
      </c>
      <c r="BK301" s="703">
        <v>0</v>
      </c>
      <c r="BL301" s="703">
        <f t="shared" si="67"/>
        <v>0</v>
      </c>
      <c r="BM301" s="703">
        <f t="shared" si="68"/>
        <v>0</v>
      </c>
      <c r="BN301" s="703">
        <v>0</v>
      </c>
      <c r="BO301" s="703">
        <v>0</v>
      </c>
      <c r="BP301" s="685">
        <v>0</v>
      </c>
      <c r="BQ301" s="667"/>
      <c r="BR301" s="670">
        <f>IF(AW302=0,0,             IF(ISNUMBER(BQ301),BQ301,             IF(ISTEXT(BQ301),INDEX(BH301:BO301,MATCH(BQ301,$BH$17:$BO$17,0)),           IF(BP301="INT",_xll.qInterp(AW302,AZ301:BG301,BH301:BO301),       INDEX(BH301:BO301,MATCH(BP301,$BH$17:$BO$17,0))))))</f>
        <v>0</v>
      </c>
      <c r="BS301" s="731">
        <f t="shared" si="62"/>
        <v>0</v>
      </c>
      <c r="BT301" s="406">
        <f t="shared" si="63"/>
        <v>0</v>
      </c>
      <c r="BU301" s="284">
        <f>IF($AW302,_xll.qDateYears($AW301,$AW302,DCC_Leg2_Fixed),0)</f>
        <v>0</v>
      </c>
      <c r="BV301" s="284">
        <f>IF($AW302,_xll.qDateYears($AW301,$AW302,DCC_Leg2_Float),0)</f>
        <v>0</v>
      </c>
      <c r="BX301" s="350">
        <f t="shared" si="69"/>
        <v>0</v>
      </c>
      <c r="BY301" s="375">
        <f>IF(GenType_2a="Fixed",GenRate_2a%*$BT300*BU300,          IF(GenType_2a="Float",$BT300*(_xll.qGetFwdRate($J$18,$AW300,$AW301,"T",DCC_Leg2_Float)%+GenRate_2a%%)*$BV300,        IF(GenType_2a="bp (Fixed)",GenRate_2a%%*$BU300*$BT300,   IF(GenType_2a="bp (Float)",GenRate_2a%%*$BT300*$BV300,0))))</f>
        <v>0</v>
      </c>
      <c r="BZ301" s="561"/>
      <c r="CB301" s="341">
        <f t="shared" si="71"/>
        <v>0</v>
      </c>
      <c r="CC301" s="563"/>
      <c r="CD301" s="356"/>
      <c r="CE301" s="341">
        <v>0</v>
      </c>
      <c r="CF301" s="563"/>
      <c r="CG301" s="356"/>
    </row>
    <row r="302" spans="15:85">
      <c r="O302" s="122">
        <v>0</v>
      </c>
      <c r="P302" s="128">
        <f t="shared" si="58"/>
        <v>0</v>
      </c>
      <c r="Q302" s="126">
        <v>0</v>
      </c>
      <c r="R302" s="699">
        <f>IF($O303=0,0,        _xll.qDateNext($O302,R$17,"M",TRUE,Currency1))</f>
        <v>0</v>
      </c>
      <c r="S302" s="699">
        <f>IF($O303=0,0,        _xll.qDateNext($O302,S$17,"M",TRUE,Currency1))</f>
        <v>0</v>
      </c>
      <c r="T302" s="699">
        <f>IF($O303=0,0,        _xll.qDateNext($O302,T$17,"M",TRUE,Currency1))</f>
        <v>0</v>
      </c>
      <c r="U302" s="699">
        <f>IF($O303=0,0,        _xll.qDateNext($O302,U$17,"M",TRUE,Currency1))</f>
        <v>0</v>
      </c>
      <c r="V302" s="699">
        <f>IF($O303=0,0,        _xll.qDateNext($O302,V$17,"M",TRUE,Currency1))</f>
        <v>0</v>
      </c>
      <c r="W302" s="699">
        <f>IF($O303=0,0,        _xll.qDateNext($O302,W$17,"M",TRUE,Currency1))</f>
        <v>0</v>
      </c>
      <c r="X302" s="699">
        <f>IF($O303=0,0,        _xll.qDateNext($O302,X$17,"M",TRUE,Currency1))</f>
        <v>0</v>
      </c>
      <c r="Y302" s="699">
        <f>IF($O303=0,0,        _xll.qDateNext($O302,Y$17,"M",TRUE,Currency1))</f>
        <v>0</v>
      </c>
      <c r="Z302" s="703">
        <f>IF($O303=0,0,           IF(FRM,_xll.qGetFwdRate(Z$14,$O302,R302,"T",DCC_Leg1_Float),_xll.qGetFwdRate(Z$14,$O302,$O303,"T",DCC_Leg1_Float)))</f>
        <v>0</v>
      </c>
      <c r="AA302" s="703">
        <f>IF($O303=0,0,           IF(FRM,_xll.qGetFwdRate(AA$14,$O302,S302,"T",DCC_Leg1_Float),_xll.qGetFwdRate(AA$14,$O302,$O303,"T",DCC_Leg1_Float)))</f>
        <v>0</v>
      </c>
      <c r="AB302" s="703">
        <f t="shared" si="59"/>
        <v>0</v>
      </c>
      <c r="AC302" s="703">
        <f>IF($O303=0,0,           IF(FRM,_xll.qGetFwdRate(AC$14,$O302,U302,"T",DCC_Leg1_Float),_xll.qGetFwdRate(AC$14,$O302,$O303,"T",DCC_Leg1_Float)))</f>
        <v>0</v>
      </c>
      <c r="AD302" s="703">
        <f t="shared" si="64"/>
        <v>0</v>
      </c>
      <c r="AE302" s="703">
        <f t="shared" si="65"/>
        <v>0</v>
      </c>
      <c r="AF302" s="703">
        <f>IF($O303=0,0,           IF(FRM,_xll.qGetFwdRate(AF$14,$O302,X302,"T",DCC_Leg1_Float),_xll.qGetFwdRate(AF$14,$O302,$O303,"T",DCC_Leg1_Float)))</f>
        <v>0</v>
      </c>
      <c r="AG302" s="703">
        <f>IF($O303=0,0,           IF(FRM,_xll.qGetFwdRate(AG$14,$O302,Y302,"T",DCC_Leg1_Float),_xll.qGetFwdRate(AG$14,$O302,$O303,"T",DCC_Leg1_Float)))</f>
        <v>0</v>
      </c>
      <c r="AH302" s="685">
        <v>0</v>
      </c>
      <c r="AI302" s="667"/>
      <c r="AJ302" s="670">
        <f>IF(O303=0,0,             IF(ISNUMBER(AI302),AI302,             IF(ISTEXT(AI302),INDEX(Z302:AG302,MATCH(AI302,$Z$17:$AG$17,0)),           IF(AH302="INT",_xll.qInterp(O303,R302:Y302,Z302:AG302),       INDEX(Z302:AG302,MATCH(AH302,$Z$17:$AG$17,0))))))</f>
        <v>0</v>
      </c>
      <c r="AK302" s="732">
        <v>20</v>
      </c>
      <c r="AL302" s="721">
        <f t="shared" si="60"/>
        <v>0</v>
      </c>
      <c r="AM302" s="284">
        <f>IF($O303,_xll.qDateYears($O302,$O303,DCC_Leg1_Fixed),0)</f>
        <v>0</v>
      </c>
      <c r="AN302" s="284">
        <f>IF($O303,_xll.qDateYears($O302,$O303,DCC_Leg1_Float),0)</f>
        <v>0</v>
      </c>
      <c r="AP302" s="350">
        <f t="shared" si="66"/>
        <v>0</v>
      </c>
      <c r="AQ302" s="375">
        <f>IF(GenType_1a="Fixed",GenRate_1a%*$AL301*AM301,          IF(GenType_1a="Float",$AL301*(_xll.qGetFwdRate($D$18,$O301,$O302,"T",DCC_Leg1_Float)%+GenRate_1a%%)*$AN301,        IF(GenType_1a="bp (Fixed)",GenRate_1a%%*$AM301*$AL301,   IF(GenType_1a="bp (Float)",GenRate_1a%%*$AL301*$AN301,0))))</f>
        <v>0</v>
      </c>
      <c r="AR302" s="561"/>
      <c r="AT302" s="341">
        <f t="shared" si="70"/>
        <v>0</v>
      </c>
      <c r="AV302" s="356"/>
      <c r="AW302" s="122">
        <v>0</v>
      </c>
      <c r="AX302" s="128">
        <f t="shared" si="61"/>
        <v>0</v>
      </c>
      <c r="AY302" s="357">
        <v>0</v>
      </c>
      <c r="AZ302" s="699">
        <f>IF($AW303=0,0,        _xll.qDateNext($AW302,AZ$17,"M",TRUE,Currency2))</f>
        <v>0</v>
      </c>
      <c r="BA302" s="699">
        <f>IF($AW303=0,0,        _xll.qDateNext($AW302,BA$17,"M",TRUE,Currency2))</f>
        <v>0</v>
      </c>
      <c r="BB302" s="699">
        <f>IF($AW303=0,0,        _xll.qDateNext($AW302,BB$17,"M",TRUE,Currency2))</f>
        <v>0</v>
      </c>
      <c r="BC302" s="699">
        <f>IF($AW303=0,0,        _xll.qDateNext($AW302,BC$17,"M",TRUE,Currency2))</f>
        <v>0</v>
      </c>
      <c r="BD302" s="699">
        <f>IF($AW303=0,0,        _xll.qDateNext($AW302,BD$17,"M",TRUE,Currency2))</f>
        <v>0</v>
      </c>
      <c r="BE302" s="699">
        <f>IF($AW303=0,0,        _xll.qDateNext($AW302,BE$17,"M",TRUE,Currency2))</f>
        <v>0</v>
      </c>
      <c r="BF302" s="699">
        <f>IF($AW303=0,0,        _xll.qDateNext($AW302,BF$17,"M",TRUE,Currency2))</f>
        <v>0</v>
      </c>
      <c r="BG302" s="699">
        <f>IF($AW303=0,0,        _xll.qDateNext($AW302,BG$17,"M",TRUE,Currency2))</f>
        <v>0</v>
      </c>
      <c r="BH302" s="703">
        <v>0</v>
      </c>
      <c r="BI302" s="703">
        <v>0</v>
      </c>
      <c r="BJ302" s="703">
        <v>0</v>
      </c>
      <c r="BK302" s="703">
        <v>0</v>
      </c>
      <c r="BL302" s="703">
        <f t="shared" si="67"/>
        <v>0</v>
      </c>
      <c r="BM302" s="703">
        <f t="shared" si="68"/>
        <v>0</v>
      </c>
      <c r="BN302" s="703">
        <v>0</v>
      </c>
      <c r="BO302" s="703">
        <v>0</v>
      </c>
      <c r="BP302" s="685">
        <v>0</v>
      </c>
      <c r="BQ302" s="667"/>
      <c r="BR302" s="670">
        <f>IF(AW303=0,0,             IF(ISNUMBER(BQ302),BQ302,             IF(ISTEXT(BQ302),INDEX(BH302:BO302,MATCH(BQ302,$BH$17:$BO$17,0)),           IF(BP302="INT",_xll.qInterp(AW303,AZ302:BG302,BH302:BO302),       INDEX(BH302:BO302,MATCH(BP302,$BH$17:$BO$17,0))))))</f>
        <v>0</v>
      </c>
      <c r="BS302" s="731">
        <f t="shared" si="62"/>
        <v>0</v>
      </c>
      <c r="BT302" s="406">
        <f t="shared" si="63"/>
        <v>0</v>
      </c>
      <c r="BU302" s="284">
        <f>IF($AW303,_xll.qDateYears($AW302,$AW303,DCC_Leg2_Fixed),0)</f>
        <v>0</v>
      </c>
      <c r="BV302" s="284">
        <f>IF($AW303,_xll.qDateYears($AW302,$AW303,DCC_Leg2_Float),0)</f>
        <v>0</v>
      </c>
      <c r="BX302" s="350">
        <f t="shared" si="69"/>
        <v>0</v>
      </c>
      <c r="BY302" s="375">
        <f>IF(GenType_2a="Fixed",GenRate_2a%*$BT301*BU301,          IF(GenType_2a="Float",$BT301*(_xll.qGetFwdRate($J$18,$AW301,$AW302,"T",DCC_Leg2_Float)%+GenRate_2a%%)*$BV301,        IF(GenType_2a="bp (Fixed)",GenRate_2a%%*$BU301*$BT301,   IF(GenType_2a="bp (Float)",GenRate_2a%%*$BT301*$BV301,0))))</f>
        <v>0</v>
      </c>
      <c r="BZ302" s="561"/>
      <c r="CB302" s="341">
        <f t="shared" si="71"/>
        <v>0</v>
      </c>
      <c r="CC302" s="563"/>
      <c r="CD302" s="356"/>
      <c r="CE302" s="341">
        <v>0</v>
      </c>
      <c r="CF302" s="563"/>
      <c r="CG302" s="356"/>
    </row>
    <row r="303" spans="15:85">
      <c r="O303" s="122">
        <v>0</v>
      </c>
      <c r="P303" s="128">
        <f t="shared" si="58"/>
        <v>0</v>
      </c>
      <c r="Q303" s="126">
        <v>0</v>
      </c>
      <c r="R303" s="699">
        <f>IF($O304=0,0,        _xll.qDateNext($O303,R$17,"M",TRUE,Currency1))</f>
        <v>0</v>
      </c>
      <c r="S303" s="699">
        <f>IF($O304=0,0,        _xll.qDateNext($O303,S$17,"M",TRUE,Currency1))</f>
        <v>0</v>
      </c>
      <c r="T303" s="699">
        <f>IF($O304=0,0,        _xll.qDateNext($O303,T$17,"M",TRUE,Currency1))</f>
        <v>0</v>
      </c>
      <c r="U303" s="699">
        <f>IF($O304=0,0,        _xll.qDateNext($O303,U$17,"M",TRUE,Currency1))</f>
        <v>0</v>
      </c>
      <c r="V303" s="699">
        <f>IF($O304=0,0,        _xll.qDateNext($O303,V$17,"M",TRUE,Currency1))</f>
        <v>0</v>
      </c>
      <c r="W303" s="699">
        <f>IF($O304=0,0,        _xll.qDateNext($O303,W$17,"M",TRUE,Currency1))</f>
        <v>0</v>
      </c>
      <c r="X303" s="699">
        <f>IF($O304=0,0,        _xll.qDateNext($O303,X$17,"M",TRUE,Currency1))</f>
        <v>0</v>
      </c>
      <c r="Y303" s="699">
        <f>IF($O304=0,0,        _xll.qDateNext($O303,Y$17,"M",TRUE,Currency1))</f>
        <v>0</v>
      </c>
      <c r="Z303" s="703">
        <f>IF($O304=0,0,           IF(FRM,_xll.qGetFwdRate(Z$14,$O303,R303,"T",DCC_Leg1_Float),_xll.qGetFwdRate(Z$14,$O303,$O304,"T",DCC_Leg1_Float)))</f>
        <v>0</v>
      </c>
      <c r="AA303" s="703">
        <f>IF($O304=0,0,           IF(FRM,_xll.qGetFwdRate(AA$14,$O303,S303,"T",DCC_Leg1_Float),_xll.qGetFwdRate(AA$14,$O303,$O304,"T",DCC_Leg1_Float)))</f>
        <v>0</v>
      </c>
      <c r="AB303" s="703">
        <f t="shared" si="59"/>
        <v>0</v>
      </c>
      <c r="AC303" s="703">
        <f>IF($O304=0,0,           IF(FRM,_xll.qGetFwdRate(AC$14,$O303,U303,"T",DCC_Leg1_Float),_xll.qGetFwdRate(AC$14,$O303,$O304,"T",DCC_Leg1_Float)))</f>
        <v>0</v>
      </c>
      <c r="AD303" s="703">
        <f t="shared" si="64"/>
        <v>0</v>
      </c>
      <c r="AE303" s="703">
        <f t="shared" si="65"/>
        <v>0</v>
      </c>
      <c r="AF303" s="703">
        <f>IF($O304=0,0,           IF(FRM,_xll.qGetFwdRate(AF$14,$O303,X303,"T",DCC_Leg1_Float),_xll.qGetFwdRate(AF$14,$O303,$O304,"T",DCC_Leg1_Float)))</f>
        <v>0</v>
      </c>
      <c r="AG303" s="703">
        <f>IF($O304=0,0,           IF(FRM,_xll.qGetFwdRate(AG$14,$O303,Y303,"T",DCC_Leg1_Float),_xll.qGetFwdRate(AG$14,$O303,$O304,"T",DCC_Leg1_Float)))</f>
        <v>0</v>
      </c>
      <c r="AH303" s="685">
        <v>0</v>
      </c>
      <c r="AI303" s="667"/>
      <c r="AJ303" s="670">
        <f>IF(O304=0,0,             IF(ISNUMBER(AI303),AI303,             IF(ISTEXT(AI303),INDEX(Z303:AG303,MATCH(AI303,$Z$17:$AG$17,0)),           IF(AH303="INT",_xll.qInterp(O304,R303:Y303,Z303:AG303),       INDEX(Z303:AG303,MATCH(AH303,$Z$17:$AG$17,0))))))</f>
        <v>0</v>
      </c>
      <c r="AK303" s="732">
        <v>20</v>
      </c>
      <c r="AL303" s="721">
        <f t="shared" si="60"/>
        <v>0</v>
      </c>
      <c r="AM303" s="284">
        <f>IF($O304,_xll.qDateYears($O303,$O304,DCC_Leg1_Fixed),0)</f>
        <v>0</v>
      </c>
      <c r="AN303" s="284">
        <f>IF($O304,_xll.qDateYears($O303,$O304,DCC_Leg1_Float),0)</f>
        <v>0</v>
      </c>
      <c r="AP303" s="350">
        <f t="shared" si="66"/>
        <v>0</v>
      </c>
      <c r="AQ303" s="375">
        <f>IF(GenType_1a="Fixed",GenRate_1a%*$AL302*AM302,          IF(GenType_1a="Float",$AL302*(_xll.qGetFwdRate($D$18,$O302,$O303,"T",DCC_Leg1_Float)%+GenRate_1a%%)*$AN302,        IF(GenType_1a="bp (Fixed)",GenRate_1a%%*$AM302*$AL302,   IF(GenType_1a="bp (Float)",GenRate_1a%%*$AL302*$AN302,0))))</f>
        <v>0</v>
      </c>
      <c r="AR303" s="561"/>
      <c r="AT303" s="341">
        <f t="shared" si="70"/>
        <v>0</v>
      </c>
      <c r="AV303" s="356"/>
      <c r="AW303" s="122">
        <v>0</v>
      </c>
      <c r="AX303" s="128">
        <f t="shared" si="61"/>
        <v>0</v>
      </c>
      <c r="AY303" s="357">
        <v>0</v>
      </c>
      <c r="AZ303" s="699">
        <f>IF($AW304=0,0,        _xll.qDateNext($AW303,AZ$17,"M",TRUE,Currency2))</f>
        <v>0</v>
      </c>
      <c r="BA303" s="699">
        <f>IF($AW304=0,0,        _xll.qDateNext($AW303,BA$17,"M",TRUE,Currency2))</f>
        <v>0</v>
      </c>
      <c r="BB303" s="699">
        <f>IF($AW304=0,0,        _xll.qDateNext($AW303,BB$17,"M",TRUE,Currency2))</f>
        <v>0</v>
      </c>
      <c r="BC303" s="699">
        <f>IF($AW304=0,0,        _xll.qDateNext($AW303,BC$17,"M",TRUE,Currency2))</f>
        <v>0</v>
      </c>
      <c r="BD303" s="699">
        <f>IF($AW304=0,0,        _xll.qDateNext($AW303,BD$17,"M",TRUE,Currency2))</f>
        <v>0</v>
      </c>
      <c r="BE303" s="699">
        <f>IF($AW304=0,0,        _xll.qDateNext($AW303,BE$17,"M",TRUE,Currency2))</f>
        <v>0</v>
      </c>
      <c r="BF303" s="699">
        <f>IF($AW304=0,0,        _xll.qDateNext($AW303,BF$17,"M",TRUE,Currency2))</f>
        <v>0</v>
      </c>
      <c r="BG303" s="699">
        <f>IF($AW304=0,0,        _xll.qDateNext($AW303,BG$17,"M",TRUE,Currency2))</f>
        <v>0</v>
      </c>
      <c r="BH303" s="703">
        <v>0</v>
      </c>
      <c r="BI303" s="703">
        <v>0</v>
      </c>
      <c r="BJ303" s="703">
        <v>0</v>
      </c>
      <c r="BK303" s="703">
        <v>0</v>
      </c>
      <c r="BL303" s="703">
        <f t="shared" si="67"/>
        <v>0</v>
      </c>
      <c r="BM303" s="703">
        <f t="shared" si="68"/>
        <v>0</v>
      </c>
      <c r="BN303" s="703">
        <v>0</v>
      </c>
      <c r="BO303" s="703">
        <v>0</v>
      </c>
      <c r="BP303" s="685">
        <v>0</v>
      </c>
      <c r="BQ303" s="667"/>
      <c r="BR303" s="670">
        <f>IF(AW304=0,0,             IF(ISNUMBER(BQ303),BQ303,             IF(ISTEXT(BQ303),INDEX(BH303:BO303,MATCH(BQ303,$BH$17:$BO$17,0)),           IF(BP303="INT",_xll.qInterp(AW304,AZ303:BG303,BH303:BO303),       INDEX(BH303:BO303,MATCH(BP303,$BH$17:$BO$17,0))))))</f>
        <v>0</v>
      </c>
      <c r="BS303" s="731">
        <f t="shared" si="62"/>
        <v>0</v>
      </c>
      <c r="BT303" s="406">
        <f t="shared" si="63"/>
        <v>0</v>
      </c>
      <c r="BU303" s="284">
        <f>IF($AW304,_xll.qDateYears($AW303,$AW304,DCC_Leg2_Fixed),0)</f>
        <v>0</v>
      </c>
      <c r="BV303" s="284">
        <f>IF($AW304,_xll.qDateYears($AW303,$AW304,DCC_Leg2_Float),0)</f>
        <v>0</v>
      </c>
      <c r="BX303" s="350">
        <f t="shared" si="69"/>
        <v>0</v>
      </c>
      <c r="BY303" s="375">
        <f>IF(GenType_2a="Fixed",GenRate_2a%*$BT302*BU302,          IF(GenType_2a="Float",$BT302*(_xll.qGetFwdRate($J$18,$AW302,$AW303,"T",DCC_Leg2_Float)%+GenRate_2a%%)*$BV302,        IF(GenType_2a="bp (Fixed)",GenRate_2a%%*$BU302*$BT302,   IF(GenType_2a="bp (Float)",GenRate_2a%%*$BT302*$BV302,0))))</f>
        <v>0</v>
      </c>
      <c r="BZ303" s="561"/>
      <c r="CB303" s="341">
        <f t="shared" si="71"/>
        <v>0</v>
      </c>
      <c r="CC303" s="563"/>
      <c r="CD303" s="356"/>
      <c r="CE303" s="341">
        <v>0</v>
      </c>
      <c r="CF303" s="563"/>
      <c r="CG303" s="356"/>
    </row>
    <row r="304" spans="15:85">
      <c r="O304" s="122">
        <v>0</v>
      </c>
      <c r="P304" s="128">
        <f t="shared" si="58"/>
        <v>0</v>
      </c>
      <c r="Q304" s="126">
        <v>0</v>
      </c>
      <c r="R304" s="699">
        <f>IF($O305=0,0,        _xll.qDateNext($O304,R$17,"M",TRUE,Currency1))</f>
        <v>0</v>
      </c>
      <c r="S304" s="699">
        <f>IF($O305=0,0,        _xll.qDateNext($O304,S$17,"M",TRUE,Currency1))</f>
        <v>0</v>
      </c>
      <c r="T304" s="699">
        <f>IF($O305=0,0,        _xll.qDateNext($O304,T$17,"M",TRUE,Currency1))</f>
        <v>0</v>
      </c>
      <c r="U304" s="699">
        <f>IF($O305=0,0,        _xll.qDateNext($O304,U$17,"M",TRUE,Currency1))</f>
        <v>0</v>
      </c>
      <c r="V304" s="699">
        <f>IF($O305=0,0,        _xll.qDateNext($O304,V$17,"M",TRUE,Currency1))</f>
        <v>0</v>
      </c>
      <c r="W304" s="699">
        <f>IF($O305=0,0,        _xll.qDateNext($O304,W$17,"M",TRUE,Currency1))</f>
        <v>0</v>
      </c>
      <c r="X304" s="699">
        <f>IF($O305=0,0,        _xll.qDateNext($O304,X$17,"M",TRUE,Currency1))</f>
        <v>0</v>
      </c>
      <c r="Y304" s="699">
        <f>IF($O305=0,0,        _xll.qDateNext($O304,Y$17,"M",TRUE,Currency1))</f>
        <v>0</v>
      </c>
      <c r="Z304" s="703">
        <f>IF($O305=0,0,           IF(FRM,_xll.qGetFwdRate(Z$14,$O304,R304,"T",DCC_Leg1_Float),_xll.qGetFwdRate(Z$14,$O304,$O305,"T",DCC_Leg1_Float)))</f>
        <v>0</v>
      </c>
      <c r="AA304" s="703">
        <f>IF($O305=0,0,           IF(FRM,_xll.qGetFwdRate(AA$14,$O304,S304,"T",DCC_Leg1_Float),_xll.qGetFwdRate(AA$14,$O304,$O305,"T",DCC_Leg1_Float)))</f>
        <v>0</v>
      </c>
      <c r="AB304" s="703">
        <f t="shared" si="59"/>
        <v>0</v>
      </c>
      <c r="AC304" s="703">
        <f>IF($O305=0,0,           IF(FRM,_xll.qGetFwdRate(AC$14,$O304,U304,"T",DCC_Leg1_Float),_xll.qGetFwdRate(AC$14,$O304,$O305,"T",DCC_Leg1_Float)))</f>
        <v>0</v>
      </c>
      <c r="AD304" s="703">
        <f t="shared" si="64"/>
        <v>0</v>
      </c>
      <c r="AE304" s="703">
        <f t="shared" si="65"/>
        <v>0</v>
      </c>
      <c r="AF304" s="703">
        <f>IF($O305=0,0,           IF(FRM,_xll.qGetFwdRate(AF$14,$O304,X304,"T",DCC_Leg1_Float),_xll.qGetFwdRate(AF$14,$O304,$O305,"T",DCC_Leg1_Float)))</f>
        <v>0</v>
      </c>
      <c r="AG304" s="703">
        <f>IF($O305=0,0,           IF(FRM,_xll.qGetFwdRate(AG$14,$O304,Y304,"T",DCC_Leg1_Float),_xll.qGetFwdRate(AG$14,$O304,$O305,"T",DCC_Leg1_Float)))</f>
        <v>0</v>
      </c>
      <c r="AH304" s="685">
        <v>0</v>
      </c>
      <c r="AI304" s="667"/>
      <c r="AJ304" s="670">
        <f>IF(O305=0,0,             IF(ISNUMBER(AI304),AI304,             IF(ISTEXT(AI304),INDEX(Z304:AG304,MATCH(AI304,$Z$17:$AG$17,0)),           IF(AH304="INT",_xll.qInterp(O305,R304:Y304,Z304:AG304),       INDEX(Z304:AG304,MATCH(AH304,$Z$17:$AG$17,0))))))</f>
        <v>0</v>
      </c>
      <c r="AK304" s="732">
        <v>20</v>
      </c>
      <c r="AL304" s="721">
        <f t="shared" si="60"/>
        <v>0</v>
      </c>
      <c r="AM304" s="284">
        <f>IF($O305,_xll.qDateYears($O304,$O305,DCC_Leg1_Fixed),0)</f>
        <v>0</v>
      </c>
      <c r="AN304" s="284">
        <f>IF($O305,_xll.qDateYears($O304,$O305,DCC_Leg1_Float),0)</f>
        <v>0</v>
      </c>
      <c r="AP304" s="350">
        <f t="shared" si="66"/>
        <v>0</v>
      </c>
      <c r="AQ304" s="375">
        <f>IF(GenType_1a="Fixed",GenRate_1a%*$AL303*AM303,          IF(GenType_1a="Float",$AL303*(_xll.qGetFwdRate($D$18,$O303,$O304,"T",DCC_Leg1_Float)%+GenRate_1a%%)*$AN303,        IF(GenType_1a="bp (Fixed)",GenRate_1a%%*$AM303*$AL303,   IF(GenType_1a="bp (Float)",GenRate_1a%%*$AL303*$AN303,0))))</f>
        <v>0</v>
      </c>
      <c r="AR304" s="561"/>
      <c r="AT304" s="341">
        <f t="shared" si="70"/>
        <v>0</v>
      </c>
      <c r="AV304" s="356"/>
      <c r="AW304" s="122">
        <v>0</v>
      </c>
      <c r="AX304" s="128">
        <f t="shared" si="61"/>
        <v>0</v>
      </c>
      <c r="AY304" s="357">
        <v>0</v>
      </c>
      <c r="AZ304" s="699">
        <f>IF($AW305=0,0,        _xll.qDateNext($AW304,AZ$17,"M",TRUE,Currency2))</f>
        <v>0</v>
      </c>
      <c r="BA304" s="699">
        <f>IF($AW305=0,0,        _xll.qDateNext($AW304,BA$17,"M",TRUE,Currency2))</f>
        <v>0</v>
      </c>
      <c r="BB304" s="699">
        <f>IF($AW305=0,0,        _xll.qDateNext($AW304,BB$17,"M",TRUE,Currency2))</f>
        <v>0</v>
      </c>
      <c r="BC304" s="699">
        <f>IF($AW305=0,0,        _xll.qDateNext($AW304,BC$17,"M",TRUE,Currency2))</f>
        <v>0</v>
      </c>
      <c r="BD304" s="699">
        <f>IF($AW305=0,0,        _xll.qDateNext($AW304,BD$17,"M",TRUE,Currency2))</f>
        <v>0</v>
      </c>
      <c r="BE304" s="699">
        <f>IF($AW305=0,0,        _xll.qDateNext($AW304,BE$17,"M",TRUE,Currency2))</f>
        <v>0</v>
      </c>
      <c r="BF304" s="699">
        <f>IF($AW305=0,0,        _xll.qDateNext($AW304,BF$17,"M",TRUE,Currency2))</f>
        <v>0</v>
      </c>
      <c r="BG304" s="699">
        <f>IF($AW305=0,0,        _xll.qDateNext($AW304,BG$17,"M",TRUE,Currency2))</f>
        <v>0</v>
      </c>
      <c r="BH304" s="703">
        <v>0</v>
      </c>
      <c r="BI304" s="703">
        <v>0</v>
      </c>
      <c r="BJ304" s="703">
        <v>0</v>
      </c>
      <c r="BK304" s="703">
        <v>0</v>
      </c>
      <c r="BL304" s="703">
        <f t="shared" si="67"/>
        <v>0</v>
      </c>
      <c r="BM304" s="703">
        <f t="shared" si="68"/>
        <v>0</v>
      </c>
      <c r="BN304" s="703">
        <v>0</v>
      </c>
      <c r="BO304" s="703">
        <v>0</v>
      </c>
      <c r="BP304" s="685">
        <v>0</v>
      </c>
      <c r="BQ304" s="667"/>
      <c r="BR304" s="670">
        <f>IF(AW305=0,0,             IF(ISNUMBER(BQ304),BQ304,             IF(ISTEXT(BQ304),INDEX(BH304:BO304,MATCH(BQ304,$BH$17:$BO$17,0)),           IF(BP304="INT",_xll.qInterp(AW305,AZ304:BG304,BH304:BO304),       INDEX(BH304:BO304,MATCH(BP304,$BH$17:$BO$17,0))))))</f>
        <v>0</v>
      </c>
      <c r="BS304" s="731">
        <f t="shared" si="62"/>
        <v>0</v>
      </c>
      <c r="BT304" s="406">
        <f t="shared" si="63"/>
        <v>0</v>
      </c>
      <c r="BU304" s="284">
        <f>IF($AW305,_xll.qDateYears($AW304,$AW305,DCC_Leg2_Fixed),0)</f>
        <v>0</v>
      </c>
      <c r="BV304" s="284">
        <f>IF($AW305,_xll.qDateYears($AW304,$AW305,DCC_Leg2_Float),0)</f>
        <v>0</v>
      </c>
      <c r="BX304" s="350">
        <f t="shared" si="69"/>
        <v>0</v>
      </c>
      <c r="BY304" s="375">
        <f>IF(GenType_2a="Fixed",GenRate_2a%*$BT303*BU303,          IF(GenType_2a="Float",$BT303*(_xll.qGetFwdRate($J$18,$AW303,$AW304,"T",DCC_Leg2_Float)%+GenRate_2a%%)*$BV303,        IF(GenType_2a="bp (Fixed)",GenRate_2a%%*$BU303*$BT303,   IF(GenType_2a="bp (Float)",GenRate_2a%%*$BT303*$BV303,0))))</f>
        <v>0</v>
      </c>
      <c r="BZ304" s="561"/>
      <c r="CB304" s="341">
        <f t="shared" si="71"/>
        <v>0</v>
      </c>
      <c r="CC304" s="563"/>
      <c r="CD304" s="356"/>
      <c r="CE304" s="341">
        <v>0</v>
      </c>
      <c r="CF304" s="563"/>
      <c r="CG304" s="356"/>
    </row>
    <row r="305" spans="15:85">
      <c r="O305" s="122">
        <v>0</v>
      </c>
      <c r="P305" s="128">
        <f t="shared" si="58"/>
        <v>0</v>
      </c>
      <c r="Q305" s="126">
        <v>0</v>
      </c>
      <c r="R305" s="699">
        <f>IF($O306=0,0,        _xll.qDateNext($O305,R$17,"M",TRUE,Currency1))</f>
        <v>0</v>
      </c>
      <c r="S305" s="699">
        <f>IF($O306=0,0,        _xll.qDateNext($O305,S$17,"M",TRUE,Currency1))</f>
        <v>0</v>
      </c>
      <c r="T305" s="699">
        <f>IF($O306=0,0,        _xll.qDateNext($O305,T$17,"M",TRUE,Currency1))</f>
        <v>0</v>
      </c>
      <c r="U305" s="699">
        <f>IF($O306=0,0,        _xll.qDateNext($O305,U$17,"M",TRUE,Currency1))</f>
        <v>0</v>
      </c>
      <c r="V305" s="699">
        <f>IF($O306=0,0,        _xll.qDateNext($O305,V$17,"M",TRUE,Currency1))</f>
        <v>0</v>
      </c>
      <c r="W305" s="699">
        <f>IF($O306=0,0,        _xll.qDateNext($O305,W$17,"M",TRUE,Currency1))</f>
        <v>0</v>
      </c>
      <c r="X305" s="699">
        <f>IF($O306=0,0,        _xll.qDateNext($O305,X$17,"M",TRUE,Currency1))</f>
        <v>0</v>
      </c>
      <c r="Y305" s="699">
        <f>IF($O306=0,0,        _xll.qDateNext($O305,Y$17,"M",TRUE,Currency1))</f>
        <v>0</v>
      </c>
      <c r="Z305" s="703">
        <f>IF($O306=0,0,           IF(FRM,_xll.qGetFwdRate(Z$14,$O305,R305,"T",DCC_Leg1_Float),_xll.qGetFwdRate(Z$14,$O305,$O306,"T",DCC_Leg1_Float)))</f>
        <v>0</v>
      </c>
      <c r="AA305" s="703">
        <f>IF($O306=0,0,           IF(FRM,_xll.qGetFwdRate(AA$14,$O305,S305,"T",DCC_Leg1_Float),_xll.qGetFwdRate(AA$14,$O305,$O306,"T",DCC_Leg1_Float)))</f>
        <v>0</v>
      </c>
      <c r="AB305" s="703">
        <f t="shared" si="59"/>
        <v>0</v>
      </c>
      <c r="AC305" s="703">
        <f>IF($O306=0,0,           IF(FRM,_xll.qGetFwdRate(AC$14,$O305,U305,"T",DCC_Leg1_Float),_xll.qGetFwdRate(AC$14,$O305,$O306,"T",DCC_Leg1_Float)))</f>
        <v>0</v>
      </c>
      <c r="AD305" s="703">
        <f t="shared" si="64"/>
        <v>0</v>
      </c>
      <c r="AE305" s="703">
        <f t="shared" si="65"/>
        <v>0</v>
      </c>
      <c r="AF305" s="703">
        <f>IF($O306=0,0,           IF(FRM,_xll.qGetFwdRate(AF$14,$O305,X305,"T",DCC_Leg1_Float),_xll.qGetFwdRate(AF$14,$O305,$O306,"T",DCC_Leg1_Float)))</f>
        <v>0</v>
      </c>
      <c r="AG305" s="703">
        <f>IF($O306=0,0,           IF(FRM,_xll.qGetFwdRate(AG$14,$O305,Y305,"T",DCC_Leg1_Float),_xll.qGetFwdRate(AG$14,$O305,$O306,"T",DCC_Leg1_Float)))</f>
        <v>0</v>
      </c>
      <c r="AH305" s="685">
        <v>0</v>
      </c>
      <c r="AI305" s="667"/>
      <c r="AJ305" s="670">
        <f>IF(O306=0,0,             IF(ISNUMBER(AI305),AI305,             IF(ISTEXT(AI305),INDEX(Z305:AG305,MATCH(AI305,$Z$17:$AG$17,0)),           IF(AH305="INT",_xll.qInterp(O306,R305:Y305,Z305:AG305),       INDEX(Z305:AG305,MATCH(AH305,$Z$17:$AG$17,0))))))</f>
        <v>0</v>
      </c>
      <c r="AK305" s="732">
        <v>20</v>
      </c>
      <c r="AL305" s="721">
        <f t="shared" si="60"/>
        <v>0</v>
      </c>
      <c r="AM305" s="284">
        <f>IF($O306,_xll.qDateYears($O305,$O306,DCC_Leg1_Fixed),0)</f>
        <v>0</v>
      </c>
      <c r="AN305" s="284">
        <f>IF($O306,_xll.qDateYears($O305,$O306,DCC_Leg1_Float),0)</f>
        <v>0</v>
      </c>
      <c r="AP305" s="350">
        <f t="shared" si="66"/>
        <v>0</v>
      </c>
      <c r="AQ305" s="375">
        <f>IF(GenType_1a="Fixed",GenRate_1a%*$AL304*AM304,          IF(GenType_1a="Float",$AL304*(_xll.qGetFwdRate($D$18,$O304,$O305,"T",DCC_Leg1_Float)%+GenRate_1a%%)*$AN304,        IF(GenType_1a="bp (Fixed)",GenRate_1a%%*$AM304*$AL304,   IF(GenType_1a="bp (Float)",GenRate_1a%%*$AL304*$AN304,0))))</f>
        <v>0</v>
      </c>
      <c r="AR305" s="561"/>
      <c r="AT305" s="341">
        <f t="shared" si="70"/>
        <v>0</v>
      </c>
      <c r="AV305" s="356"/>
      <c r="AW305" s="122">
        <v>0</v>
      </c>
      <c r="AX305" s="128">
        <f t="shared" si="61"/>
        <v>0</v>
      </c>
      <c r="AY305" s="357">
        <v>0</v>
      </c>
      <c r="AZ305" s="699">
        <f>IF($AW306=0,0,        _xll.qDateNext($AW305,AZ$17,"M",TRUE,Currency2))</f>
        <v>0</v>
      </c>
      <c r="BA305" s="699">
        <f>IF($AW306=0,0,        _xll.qDateNext($AW305,BA$17,"M",TRUE,Currency2))</f>
        <v>0</v>
      </c>
      <c r="BB305" s="699">
        <f>IF($AW306=0,0,        _xll.qDateNext($AW305,BB$17,"M",TRUE,Currency2))</f>
        <v>0</v>
      </c>
      <c r="BC305" s="699">
        <f>IF($AW306=0,0,        _xll.qDateNext($AW305,BC$17,"M",TRUE,Currency2))</f>
        <v>0</v>
      </c>
      <c r="BD305" s="699">
        <f>IF($AW306=0,0,        _xll.qDateNext($AW305,BD$17,"M",TRUE,Currency2))</f>
        <v>0</v>
      </c>
      <c r="BE305" s="699">
        <f>IF($AW306=0,0,        _xll.qDateNext($AW305,BE$17,"M",TRUE,Currency2))</f>
        <v>0</v>
      </c>
      <c r="BF305" s="699">
        <f>IF($AW306=0,0,        _xll.qDateNext($AW305,BF$17,"M",TRUE,Currency2))</f>
        <v>0</v>
      </c>
      <c r="BG305" s="699">
        <f>IF($AW306=0,0,        _xll.qDateNext($AW305,BG$17,"M",TRUE,Currency2))</f>
        <v>0</v>
      </c>
      <c r="BH305" s="703">
        <v>0</v>
      </c>
      <c r="BI305" s="703">
        <v>0</v>
      </c>
      <c r="BJ305" s="703">
        <v>0</v>
      </c>
      <c r="BK305" s="703">
        <v>0</v>
      </c>
      <c r="BL305" s="703">
        <f t="shared" si="67"/>
        <v>0</v>
      </c>
      <c r="BM305" s="703">
        <f t="shared" si="68"/>
        <v>0</v>
      </c>
      <c r="BN305" s="703">
        <v>0</v>
      </c>
      <c r="BO305" s="703">
        <v>0</v>
      </c>
      <c r="BP305" s="685">
        <v>0</v>
      </c>
      <c r="BQ305" s="667"/>
      <c r="BR305" s="670">
        <f>IF(AW306=0,0,             IF(ISNUMBER(BQ305),BQ305,             IF(ISTEXT(BQ305),INDEX(BH305:BO305,MATCH(BQ305,$BH$17:$BO$17,0)),           IF(BP305="INT",_xll.qInterp(AW306,AZ305:BG305,BH305:BO305),       INDEX(BH305:BO305,MATCH(BP305,$BH$17:$BO$17,0))))))</f>
        <v>0</v>
      </c>
      <c r="BS305" s="731">
        <f t="shared" si="62"/>
        <v>0</v>
      </c>
      <c r="BT305" s="406">
        <f t="shared" si="63"/>
        <v>0</v>
      </c>
      <c r="BU305" s="284">
        <f>IF($AW306,_xll.qDateYears($AW305,$AW306,DCC_Leg2_Fixed),0)</f>
        <v>0</v>
      </c>
      <c r="BV305" s="284">
        <f>IF($AW306,_xll.qDateYears($AW305,$AW306,DCC_Leg2_Float),0)</f>
        <v>0</v>
      </c>
      <c r="BX305" s="350">
        <f t="shared" si="69"/>
        <v>0</v>
      </c>
      <c r="BY305" s="375">
        <f>IF(GenType_2a="Fixed",GenRate_2a%*$BT304*BU304,          IF(GenType_2a="Float",$BT304*(_xll.qGetFwdRate($J$18,$AW304,$AW305,"T",DCC_Leg2_Float)%+GenRate_2a%%)*$BV304,        IF(GenType_2a="bp (Fixed)",GenRate_2a%%*$BU304*$BT304,   IF(GenType_2a="bp (Float)",GenRate_2a%%*$BT304*$BV304,0))))</f>
        <v>0</v>
      </c>
      <c r="BZ305" s="561"/>
      <c r="CB305" s="341">
        <f t="shared" si="71"/>
        <v>0</v>
      </c>
      <c r="CC305" s="563"/>
      <c r="CD305" s="356"/>
      <c r="CE305" s="341">
        <v>0</v>
      </c>
      <c r="CF305" s="563"/>
      <c r="CG305" s="356"/>
    </row>
    <row r="306" spans="15:85">
      <c r="O306" s="122">
        <v>0</v>
      </c>
      <c r="P306" s="128">
        <f t="shared" si="58"/>
        <v>0</v>
      </c>
      <c r="Q306" s="126">
        <v>0</v>
      </c>
      <c r="R306" s="699">
        <f>IF($O307=0,0,        _xll.qDateNext($O306,R$17,"M",TRUE,Currency1))</f>
        <v>0</v>
      </c>
      <c r="S306" s="699">
        <f>IF($O307=0,0,        _xll.qDateNext($O306,S$17,"M",TRUE,Currency1))</f>
        <v>0</v>
      </c>
      <c r="T306" s="699">
        <f>IF($O307=0,0,        _xll.qDateNext($O306,T$17,"M",TRUE,Currency1))</f>
        <v>0</v>
      </c>
      <c r="U306" s="699">
        <f>IF($O307=0,0,        _xll.qDateNext($O306,U$17,"M",TRUE,Currency1))</f>
        <v>0</v>
      </c>
      <c r="V306" s="699">
        <f>IF($O307=0,0,        _xll.qDateNext($O306,V$17,"M",TRUE,Currency1))</f>
        <v>0</v>
      </c>
      <c r="W306" s="699">
        <f>IF($O307=0,0,        _xll.qDateNext($O306,W$17,"M",TRUE,Currency1))</f>
        <v>0</v>
      </c>
      <c r="X306" s="699">
        <f>IF($O307=0,0,        _xll.qDateNext($O306,X$17,"M",TRUE,Currency1))</f>
        <v>0</v>
      </c>
      <c r="Y306" s="699">
        <f>IF($O307=0,0,        _xll.qDateNext($O306,Y$17,"M",TRUE,Currency1))</f>
        <v>0</v>
      </c>
      <c r="Z306" s="703">
        <f>IF($O307=0,0,           IF(FRM,_xll.qGetFwdRate(Z$14,$O306,R306,"T",DCC_Leg1_Float),_xll.qGetFwdRate(Z$14,$O306,$O307,"T",DCC_Leg1_Float)))</f>
        <v>0</v>
      </c>
      <c r="AA306" s="703">
        <f>IF($O307=0,0,           IF(FRM,_xll.qGetFwdRate(AA$14,$O306,S306,"T",DCC_Leg1_Float),_xll.qGetFwdRate(AA$14,$O306,$O307,"T",DCC_Leg1_Float)))</f>
        <v>0</v>
      </c>
      <c r="AB306" s="703">
        <f t="shared" si="59"/>
        <v>0</v>
      </c>
      <c r="AC306" s="703">
        <f>IF($O307=0,0,           IF(FRM,_xll.qGetFwdRate(AC$14,$O306,U306,"T",DCC_Leg1_Float),_xll.qGetFwdRate(AC$14,$O306,$O307,"T",DCC_Leg1_Float)))</f>
        <v>0</v>
      </c>
      <c r="AD306" s="703">
        <f t="shared" si="64"/>
        <v>0</v>
      </c>
      <c r="AE306" s="703">
        <f t="shared" si="65"/>
        <v>0</v>
      </c>
      <c r="AF306" s="703">
        <f>IF($O307=0,0,           IF(FRM,_xll.qGetFwdRate(AF$14,$O306,X306,"T",DCC_Leg1_Float),_xll.qGetFwdRate(AF$14,$O306,$O307,"T",DCC_Leg1_Float)))</f>
        <v>0</v>
      </c>
      <c r="AG306" s="703">
        <f>IF($O307=0,0,           IF(FRM,_xll.qGetFwdRate(AG$14,$O306,Y306,"T",DCC_Leg1_Float),_xll.qGetFwdRate(AG$14,$O306,$O307,"T",DCC_Leg1_Float)))</f>
        <v>0</v>
      </c>
      <c r="AH306" s="685">
        <v>0</v>
      </c>
      <c r="AI306" s="667"/>
      <c r="AJ306" s="670">
        <f>IF(O307=0,0,             IF(ISNUMBER(AI306),AI306,             IF(ISTEXT(AI306),INDEX(Z306:AG306,MATCH(AI306,$Z$17:$AG$17,0)),           IF(AH306="INT",_xll.qInterp(O307,R306:Y306,Z306:AG306),       INDEX(Z306:AG306,MATCH(AH306,$Z$17:$AG$17,0))))))</f>
        <v>0</v>
      </c>
      <c r="AK306" s="732">
        <v>20</v>
      </c>
      <c r="AL306" s="721">
        <f t="shared" si="60"/>
        <v>0</v>
      </c>
      <c r="AM306" s="284">
        <f>IF($O307,_xll.qDateYears($O306,$O307,DCC_Leg1_Fixed),0)</f>
        <v>0</v>
      </c>
      <c r="AN306" s="284">
        <f>IF($O307,_xll.qDateYears($O306,$O307,DCC_Leg1_Float),0)</f>
        <v>0</v>
      </c>
      <c r="AP306" s="350">
        <f t="shared" si="66"/>
        <v>0</v>
      </c>
      <c r="AQ306" s="375">
        <f>IF(GenType_1a="Fixed",GenRate_1a%*$AL305*AM305,          IF(GenType_1a="Float",$AL305*(_xll.qGetFwdRate($D$18,$O305,$O306,"T",DCC_Leg1_Float)%+GenRate_1a%%)*$AN305,        IF(GenType_1a="bp (Fixed)",GenRate_1a%%*$AM305*$AL305,   IF(GenType_1a="bp (Float)",GenRate_1a%%*$AL305*$AN305,0))))</f>
        <v>0</v>
      </c>
      <c r="AR306" s="561"/>
      <c r="AT306" s="341">
        <f t="shared" si="70"/>
        <v>0</v>
      </c>
      <c r="AV306" s="356"/>
      <c r="AW306" s="122">
        <v>0</v>
      </c>
      <c r="AX306" s="128">
        <f t="shared" si="61"/>
        <v>0</v>
      </c>
      <c r="AY306" s="357">
        <v>0</v>
      </c>
      <c r="AZ306" s="699">
        <f>IF($AW307=0,0,        _xll.qDateNext($AW306,AZ$17,"M",TRUE,Currency2))</f>
        <v>0</v>
      </c>
      <c r="BA306" s="699">
        <f>IF($AW307=0,0,        _xll.qDateNext($AW306,BA$17,"M",TRUE,Currency2))</f>
        <v>0</v>
      </c>
      <c r="BB306" s="699">
        <f>IF($AW307=0,0,        _xll.qDateNext($AW306,BB$17,"M",TRUE,Currency2))</f>
        <v>0</v>
      </c>
      <c r="BC306" s="699">
        <f>IF($AW307=0,0,        _xll.qDateNext($AW306,BC$17,"M",TRUE,Currency2))</f>
        <v>0</v>
      </c>
      <c r="BD306" s="699">
        <f>IF($AW307=0,0,        _xll.qDateNext($AW306,BD$17,"M",TRUE,Currency2))</f>
        <v>0</v>
      </c>
      <c r="BE306" s="699">
        <f>IF($AW307=0,0,        _xll.qDateNext($AW306,BE$17,"M",TRUE,Currency2))</f>
        <v>0</v>
      </c>
      <c r="BF306" s="699">
        <f>IF($AW307=0,0,        _xll.qDateNext($AW306,BF$17,"M",TRUE,Currency2))</f>
        <v>0</v>
      </c>
      <c r="BG306" s="699">
        <f>IF($AW307=0,0,        _xll.qDateNext($AW306,BG$17,"M",TRUE,Currency2))</f>
        <v>0</v>
      </c>
      <c r="BH306" s="703">
        <v>0</v>
      </c>
      <c r="BI306" s="703">
        <v>0</v>
      </c>
      <c r="BJ306" s="703">
        <v>0</v>
      </c>
      <c r="BK306" s="703">
        <v>0</v>
      </c>
      <c r="BL306" s="703">
        <f t="shared" si="67"/>
        <v>0</v>
      </c>
      <c r="BM306" s="703">
        <f t="shared" si="68"/>
        <v>0</v>
      </c>
      <c r="BN306" s="703">
        <v>0</v>
      </c>
      <c r="BO306" s="703">
        <v>0</v>
      </c>
      <c r="BP306" s="685">
        <v>0</v>
      </c>
      <c r="BQ306" s="667"/>
      <c r="BR306" s="670">
        <f>IF(AW307=0,0,             IF(ISNUMBER(BQ306),BQ306,             IF(ISTEXT(BQ306),INDEX(BH306:BO306,MATCH(BQ306,$BH$17:$BO$17,0)),           IF(BP306="INT",_xll.qInterp(AW307,AZ306:BG306,BH306:BO306),       INDEX(BH306:BO306,MATCH(BP306,$BH$17:$BO$17,0))))))</f>
        <v>0</v>
      </c>
      <c r="BS306" s="731">
        <f t="shared" si="62"/>
        <v>0</v>
      </c>
      <c r="BT306" s="406">
        <f t="shared" si="63"/>
        <v>0</v>
      </c>
      <c r="BU306" s="284">
        <f>IF($AW307,_xll.qDateYears($AW306,$AW307,DCC_Leg2_Fixed),0)</f>
        <v>0</v>
      </c>
      <c r="BV306" s="284">
        <f>IF($AW307,_xll.qDateYears($AW306,$AW307,DCC_Leg2_Float),0)</f>
        <v>0</v>
      </c>
      <c r="BX306" s="350">
        <f t="shared" si="69"/>
        <v>0</v>
      </c>
      <c r="BY306" s="375">
        <f>IF(GenType_2a="Fixed",GenRate_2a%*$BT305*BU305,          IF(GenType_2a="Float",$BT305*(_xll.qGetFwdRate($J$18,$AW305,$AW306,"T",DCC_Leg2_Float)%+GenRate_2a%%)*$BV305,        IF(GenType_2a="bp (Fixed)",GenRate_2a%%*$BU305*$BT305,   IF(GenType_2a="bp (Float)",GenRate_2a%%*$BT305*$BV305,0))))</f>
        <v>0</v>
      </c>
      <c r="BZ306" s="561"/>
      <c r="CB306" s="341">
        <f t="shared" si="71"/>
        <v>0</v>
      </c>
      <c r="CC306" s="563"/>
      <c r="CD306" s="356"/>
      <c r="CE306" s="341">
        <v>0</v>
      </c>
      <c r="CF306" s="563"/>
      <c r="CG306" s="356"/>
    </row>
    <row r="307" spans="15:85">
      <c r="O307" s="122">
        <v>0</v>
      </c>
      <c r="P307" s="128">
        <f t="shared" si="58"/>
        <v>0</v>
      </c>
      <c r="Q307" s="126">
        <v>0</v>
      </c>
      <c r="R307" s="699">
        <f>IF($O308=0,0,        _xll.qDateNext($O307,R$17,"M",TRUE,Currency1))</f>
        <v>0</v>
      </c>
      <c r="S307" s="699">
        <f>IF($O308=0,0,        _xll.qDateNext($O307,S$17,"M",TRUE,Currency1))</f>
        <v>0</v>
      </c>
      <c r="T307" s="699">
        <f>IF($O308=0,0,        _xll.qDateNext($O307,T$17,"M",TRUE,Currency1))</f>
        <v>0</v>
      </c>
      <c r="U307" s="699">
        <f>IF($O308=0,0,        _xll.qDateNext($O307,U$17,"M",TRUE,Currency1))</f>
        <v>0</v>
      </c>
      <c r="V307" s="699">
        <f>IF($O308=0,0,        _xll.qDateNext($O307,V$17,"M",TRUE,Currency1))</f>
        <v>0</v>
      </c>
      <c r="W307" s="699">
        <f>IF($O308=0,0,        _xll.qDateNext($O307,W$17,"M",TRUE,Currency1))</f>
        <v>0</v>
      </c>
      <c r="X307" s="699">
        <f>IF($O308=0,0,        _xll.qDateNext($O307,X$17,"M",TRUE,Currency1))</f>
        <v>0</v>
      </c>
      <c r="Y307" s="699">
        <f>IF($O308=0,0,        _xll.qDateNext($O307,Y$17,"M",TRUE,Currency1))</f>
        <v>0</v>
      </c>
      <c r="Z307" s="703">
        <f>IF($O308=0,0,           IF(FRM,_xll.qGetFwdRate(Z$14,$O307,R307,"T",DCC_Leg1_Float),_xll.qGetFwdRate(Z$14,$O307,$O308,"T",DCC_Leg1_Float)))</f>
        <v>0</v>
      </c>
      <c r="AA307" s="703">
        <f>IF($O308=0,0,           IF(FRM,_xll.qGetFwdRate(AA$14,$O307,S307,"T",DCC_Leg1_Float),_xll.qGetFwdRate(AA$14,$O307,$O308,"T",DCC_Leg1_Float)))</f>
        <v>0</v>
      </c>
      <c r="AB307" s="703">
        <f t="shared" si="59"/>
        <v>0</v>
      </c>
      <c r="AC307" s="703">
        <f>IF($O308=0,0,           IF(FRM,_xll.qGetFwdRate(AC$14,$O307,U307,"T",DCC_Leg1_Float),_xll.qGetFwdRate(AC$14,$O307,$O308,"T",DCC_Leg1_Float)))</f>
        <v>0</v>
      </c>
      <c r="AD307" s="703">
        <f t="shared" si="64"/>
        <v>0</v>
      </c>
      <c r="AE307" s="703">
        <f t="shared" si="65"/>
        <v>0</v>
      </c>
      <c r="AF307" s="703">
        <f>IF($O308=0,0,           IF(FRM,_xll.qGetFwdRate(AF$14,$O307,X307,"T",DCC_Leg1_Float),_xll.qGetFwdRate(AF$14,$O307,$O308,"T",DCC_Leg1_Float)))</f>
        <v>0</v>
      </c>
      <c r="AG307" s="703">
        <f>IF($O308=0,0,           IF(FRM,_xll.qGetFwdRate(AG$14,$O307,Y307,"T",DCC_Leg1_Float),_xll.qGetFwdRate(AG$14,$O307,$O308,"T",DCC_Leg1_Float)))</f>
        <v>0</v>
      </c>
      <c r="AH307" s="685">
        <v>0</v>
      </c>
      <c r="AI307" s="667"/>
      <c r="AJ307" s="670">
        <f>IF(O308=0,0,             IF(ISNUMBER(AI307),AI307,             IF(ISTEXT(AI307),INDEX(Z307:AG307,MATCH(AI307,$Z$17:$AG$17,0)),           IF(AH307="INT",_xll.qInterp(O308,R307:Y307,Z307:AG307),       INDEX(Z307:AG307,MATCH(AH307,$Z$17:$AG$17,0))))))</f>
        <v>0</v>
      </c>
      <c r="AK307" s="732">
        <v>20</v>
      </c>
      <c r="AL307" s="721">
        <f t="shared" si="60"/>
        <v>0</v>
      </c>
      <c r="AM307" s="284">
        <f>IF($O308,_xll.qDateYears($O307,$O308,DCC_Leg1_Fixed),0)</f>
        <v>0</v>
      </c>
      <c r="AN307" s="284">
        <f>IF($O308,_xll.qDateYears($O307,$O308,DCC_Leg1_Float),0)</f>
        <v>0</v>
      </c>
      <c r="AP307" s="350">
        <f t="shared" si="66"/>
        <v>0</v>
      </c>
      <c r="AQ307" s="375">
        <f>IF(GenType_1a="Fixed",GenRate_1a%*$AL306*AM306,          IF(GenType_1a="Float",$AL306*(_xll.qGetFwdRate($D$18,$O306,$O307,"T",DCC_Leg1_Float)%+GenRate_1a%%)*$AN306,        IF(GenType_1a="bp (Fixed)",GenRate_1a%%*$AM306*$AL306,   IF(GenType_1a="bp (Float)",GenRate_1a%%*$AL306*$AN306,0))))</f>
        <v>0</v>
      </c>
      <c r="AR307" s="561"/>
      <c r="AT307" s="341">
        <f t="shared" si="70"/>
        <v>0</v>
      </c>
      <c r="AV307" s="356"/>
      <c r="AW307" s="122">
        <v>0</v>
      </c>
      <c r="AX307" s="128">
        <f t="shared" si="61"/>
        <v>0</v>
      </c>
      <c r="AY307" s="357">
        <v>0</v>
      </c>
      <c r="AZ307" s="699">
        <f>IF($AW308=0,0,        _xll.qDateNext($AW307,AZ$17,"M",TRUE,Currency2))</f>
        <v>0</v>
      </c>
      <c r="BA307" s="699">
        <f>IF($AW308=0,0,        _xll.qDateNext($AW307,BA$17,"M",TRUE,Currency2))</f>
        <v>0</v>
      </c>
      <c r="BB307" s="699">
        <f>IF($AW308=0,0,        _xll.qDateNext($AW307,BB$17,"M",TRUE,Currency2))</f>
        <v>0</v>
      </c>
      <c r="BC307" s="699">
        <f>IF($AW308=0,0,        _xll.qDateNext($AW307,BC$17,"M",TRUE,Currency2))</f>
        <v>0</v>
      </c>
      <c r="BD307" s="699">
        <f>IF($AW308=0,0,        _xll.qDateNext($AW307,BD$17,"M",TRUE,Currency2))</f>
        <v>0</v>
      </c>
      <c r="BE307" s="699">
        <f>IF($AW308=0,0,        _xll.qDateNext($AW307,BE$17,"M",TRUE,Currency2))</f>
        <v>0</v>
      </c>
      <c r="BF307" s="699">
        <f>IF($AW308=0,0,        _xll.qDateNext($AW307,BF$17,"M",TRUE,Currency2))</f>
        <v>0</v>
      </c>
      <c r="BG307" s="699">
        <f>IF($AW308=0,0,        _xll.qDateNext($AW307,BG$17,"M",TRUE,Currency2))</f>
        <v>0</v>
      </c>
      <c r="BH307" s="703">
        <v>0</v>
      </c>
      <c r="BI307" s="703">
        <v>0</v>
      </c>
      <c r="BJ307" s="703">
        <v>0</v>
      </c>
      <c r="BK307" s="703">
        <v>0</v>
      </c>
      <c r="BL307" s="703">
        <f t="shared" si="67"/>
        <v>0</v>
      </c>
      <c r="BM307" s="703">
        <f t="shared" si="68"/>
        <v>0</v>
      </c>
      <c r="BN307" s="703">
        <v>0</v>
      </c>
      <c r="BO307" s="703">
        <v>0</v>
      </c>
      <c r="BP307" s="685">
        <v>0</v>
      </c>
      <c r="BQ307" s="667"/>
      <c r="BR307" s="670">
        <f>IF(AW308=0,0,             IF(ISNUMBER(BQ307),BQ307,             IF(ISTEXT(BQ307),INDEX(BH307:BO307,MATCH(BQ307,$BH$17:$BO$17,0)),           IF(BP307="INT",_xll.qInterp(AW308,AZ307:BG307,BH307:BO307),       INDEX(BH307:BO307,MATCH(BP307,$BH$17:$BO$17,0))))))</f>
        <v>0</v>
      </c>
      <c r="BS307" s="731">
        <f t="shared" si="62"/>
        <v>0</v>
      </c>
      <c r="BT307" s="406">
        <f t="shared" si="63"/>
        <v>0</v>
      </c>
      <c r="BU307" s="284">
        <f>IF($AW308,_xll.qDateYears($AW307,$AW308,DCC_Leg2_Fixed),0)</f>
        <v>0</v>
      </c>
      <c r="BV307" s="284">
        <f>IF($AW308,_xll.qDateYears($AW307,$AW308,DCC_Leg2_Float),0)</f>
        <v>0</v>
      </c>
      <c r="BX307" s="350">
        <f t="shared" si="69"/>
        <v>0</v>
      </c>
      <c r="BY307" s="375">
        <f>IF(GenType_2a="Fixed",GenRate_2a%*$BT306*BU306,          IF(GenType_2a="Float",$BT306*(_xll.qGetFwdRate($J$18,$AW306,$AW307,"T",DCC_Leg2_Float)%+GenRate_2a%%)*$BV306,        IF(GenType_2a="bp (Fixed)",GenRate_2a%%*$BU306*$BT306,   IF(GenType_2a="bp (Float)",GenRate_2a%%*$BT306*$BV306,0))))</f>
        <v>0</v>
      </c>
      <c r="BZ307" s="561"/>
      <c r="CB307" s="341">
        <f t="shared" si="71"/>
        <v>0</v>
      </c>
      <c r="CC307" s="563"/>
      <c r="CD307" s="356"/>
      <c r="CE307" s="341">
        <v>0</v>
      </c>
      <c r="CF307" s="563"/>
      <c r="CG307" s="356"/>
    </row>
    <row r="308" spans="15:85">
      <c r="O308" s="122">
        <v>0</v>
      </c>
      <c r="P308" s="128">
        <f t="shared" si="58"/>
        <v>0</v>
      </c>
      <c r="Q308" s="126">
        <v>0</v>
      </c>
      <c r="R308" s="699">
        <f>IF($O309=0,0,        _xll.qDateNext($O308,R$17,"M",TRUE,Currency1))</f>
        <v>0</v>
      </c>
      <c r="S308" s="699">
        <f>IF($O309=0,0,        _xll.qDateNext($O308,S$17,"M",TRUE,Currency1))</f>
        <v>0</v>
      </c>
      <c r="T308" s="699">
        <f>IF($O309=0,0,        _xll.qDateNext($O308,T$17,"M",TRUE,Currency1))</f>
        <v>0</v>
      </c>
      <c r="U308" s="699">
        <f>IF($O309=0,0,        _xll.qDateNext($O308,U$17,"M",TRUE,Currency1))</f>
        <v>0</v>
      </c>
      <c r="V308" s="699">
        <f>IF($O309=0,0,        _xll.qDateNext($O308,V$17,"M",TRUE,Currency1))</f>
        <v>0</v>
      </c>
      <c r="W308" s="699">
        <f>IF($O309=0,0,        _xll.qDateNext($O308,W$17,"M",TRUE,Currency1))</f>
        <v>0</v>
      </c>
      <c r="X308" s="699">
        <f>IF($O309=0,0,        _xll.qDateNext($O308,X$17,"M",TRUE,Currency1))</f>
        <v>0</v>
      </c>
      <c r="Y308" s="699">
        <f>IF($O309=0,0,        _xll.qDateNext($O308,Y$17,"M",TRUE,Currency1))</f>
        <v>0</v>
      </c>
      <c r="Z308" s="703">
        <f>IF($O309=0,0,           IF(FRM,_xll.qGetFwdRate(Z$14,$O308,R308,"T",DCC_Leg1_Float),_xll.qGetFwdRate(Z$14,$O308,$O309,"T",DCC_Leg1_Float)))</f>
        <v>0</v>
      </c>
      <c r="AA308" s="703">
        <f>IF($O309=0,0,           IF(FRM,_xll.qGetFwdRate(AA$14,$O308,S308,"T",DCC_Leg1_Float),_xll.qGetFwdRate(AA$14,$O308,$O309,"T",DCC_Leg1_Float)))</f>
        <v>0</v>
      </c>
      <c r="AB308" s="703">
        <f t="shared" si="59"/>
        <v>0</v>
      </c>
      <c r="AC308" s="703">
        <f>IF($O309=0,0,           IF(FRM,_xll.qGetFwdRate(AC$14,$O308,U308,"T",DCC_Leg1_Float),_xll.qGetFwdRate(AC$14,$O308,$O309,"T",DCC_Leg1_Float)))</f>
        <v>0</v>
      </c>
      <c r="AD308" s="703">
        <f t="shared" si="64"/>
        <v>0</v>
      </c>
      <c r="AE308" s="703">
        <f t="shared" si="65"/>
        <v>0</v>
      </c>
      <c r="AF308" s="703">
        <f>IF($O309=0,0,           IF(FRM,_xll.qGetFwdRate(AF$14,$O308,X308,"T",DCC_Leg1_Float),_xll.qGetFwdRate(AF$14,$O308,$O309,"T",DCC_Leg1_Float)))</f>
        <v>0</v>
      </c>
      <c r="AG308" s="703">
        <f>IF($O309=0,0,           IF(FRM,_xll.qGetFwdRate(AG$14,$O308,Y308,"T",DCC_Leg1_Float),_xll.qGetFwdRate(AG$14,$O308,$O309,"T",DCC_Leg1_Float)))</f>
        <v>0</v>
      </c>
      <c r="AH308" s="685">
        <v>0</v>
      </c>
      <c r="AI308" s="667"/>
      <c r="AJ308" s="670">
        <f>IF(O309=0,0,             IF(ISNUMBER(AI308),AI308,             IF(ISTEXT(AI308),INDEX(Z308:AG308,MATCH(AI308,$Z$17:$AG$17,0)),           IF(AH308="INT",_xll.qInterp(O309,R308:Y308,Z308:AG308),       INDEX(Z308:AG308,MATCH(AH308,$Z$17:$AG$17,0))))))</f>
        <v>0</v>
      </c>
      <c r="AK308" s="732">
        <v>20</v>
      </c>
      <c r="AL308" s="721">
        <f t="shared" si="60"/>
        <v>0</v>
      </c>
      <c r="AM308" s="284">
        <f>IF($O309,_xll.qDateYears($O308,$O309,DCC_Leg1_Fixed),0)</f>
        <v>0</v>
      </c>
      <c r="AN308" s="284">
        <f>IF($O309,_xll.qDateYears($O308,$O309,DCC_Leg1_Float),0)</f>
        <v>0</v>
      </c>
      <c r="AP308" s="350">
        <f t="shared" si="66"/>
        <v>0</v>
      </c>
      <c r="AQ308" s="375">
        <f>IF(GenType_1a="Fixed",GenRate_1a%*$AL307*AM307,          IF(GenType_1a="Float",$AL307*(_xll.qGetFwdRate($D$18,$O307,$O308,"T",DCC_Leg1_Float)%+GenRate_1a%%)*$AN307,        IF(GenType_1a="bp (Fixed)",GenRate_1a%%*$AM307*$AL307,   IF(GenType_1a="bp (Float)",GenRate_1a%%*$AL307*$AN307,0))))</f>
        <v>0</v>
      </c>
      <c r="AR308" s="561"/>
      <c r="AT308" s="341">
        <f t="shared" si="70"/>
        <v>0</v>
      </c>
      <c r="AV308" s="356"/>
      <c r="AW308" s="122">
        <v>0</v>
      </c>
      <c r="AX308" s="128">
        <f t="shared" si="61"/>
        <v>0</v>
      </c>
      <c r="AY308" s="357">
        <v>0</v>
      </c>
      <c r="AZ308" s="699">
        <f>IF($AW309=0,0,        _xll.qDateNext($AW308,AZ$17,"M",TRUE,Currency2))</f>
        <v>0</v>
      </c>
      <c r="BA308" s="699">
        <f>IF($AW309=0,0,        _xll.qDateNext($AW308,BA$17,"M",TRUE,Currency2))</f>
        <v>0</v>
      </c>
      <c r="BB308" s="699">
        <f>IF($AW309=0,0,        _xll.qDateNext($AW308,BB$17,"M",TRUE,Currency2))</f>
        <v>0</v>
      </c>
      <c r="BC308" s="699">
        <f>IF($AW309=0,0,        _xll.qDateNext($AW308,BC$17,"M",TRUE,Currency2))</f>
        <v>0</v>
      </c>
      <c r="BD308" s="699">
        <f>IF($AW309=0,0,        _xll.qDateNext($AW308,BD$17,"M",TRUE,Currency2))</f>
        <v>0</v>
      </c>
      <c r="BE308" s="699">
        <f>IF($AW309=0,0,        _xll.qDateNext($AW308,BE$17,"M",TRUE,Currency2))</f>
        <v>0</v>
      </c>
      <c r="BF308" s="699">
        <f>IF($AW309=0,0,        _xll.qDateNext($AW308,BF$17,"M",TRUE,Currency2))</f>
        <v>0</v>
      </c>
      <c r="BG308" s="699">
        <f>IF($AW309=0,0,        _xll.qDateNext($AW308,BG$17,"M",TRUE,Currency2))</f>
        <v>0</v>
      </c>
      <c r="BH308" s="703">
        <v>0</v>
      </c>
      <c r="BI308" s="703">
        <v>0</v>
      </c>
      <c r="BJ308" s="703">
        <v>0</v>
      </c>
      <c r="BK308" s="703">
        <v>0</v>
      </c>
      <c r="BL308" s="703">
        <f t="shared" si="67"/>
        <v>0</v>
      </c>
      <c r="BM308" s="703">
        <f t="shared" si="68"/>
        <v>0</v>
      </c>
      <c r="BN308" s="703">
        <v>0</v>
      </c>
      <c r="BO308" s="703">
        <v>0</v>
      </c>
      <c r="BP308" s="685">
        <v>0</v>
      </c>
      <c r="BQ308" s="667"/>
      <c r="BR308" s="670">
        <f>IF(AW309=0,0,             IF(ISNUMBER(BQ308),BQ308,             IF(ISTEXT(BQ308),INDEX(BH308:BO308,MATCH(BQ308,$BH$17:$BO$17,0)),           IF(BP308="INT",_xll.qInterp(AW309,AZ308:BG308,BH308:BO308),       INDEX(BH308:BO308,MATCH(BP308,$BH$17:$BO$17,0))))))</f>
        <v>0</v>
      </c>
      <c r="BS308" s="731">
        <f t="shared" si="62"/>
        <v>0</v>
      </c>
      <c r="BT308" s="406">
        <f t="shared" si="63"/>
        <v>0</v>
      </c>
      <c r="BU308" s="284">
        <f>IF($AW309,_xll.qDateYears($AW308,$AW309,DCC_Leg2_Fixed),0)</f>
        <v>0</v>
      </c>
      <c r="BV308" s="284">
        <f>IF($AW309,_xll.qDateYears($AW308,$AW309,DCC_Leg2_Float),0)</f>
        <v>0</v>
      </c>
      <c r="BX308" s="350">
        <f t="shared" si="69"/>
        <v>0</v>
      </c>
      <c r="BY308" s="375">
        <f>IF(GenType_2a="Fixed",GenRate_2a%*$BT307*BU307,          IF(GenType_2a="Float",$BT307*(_xll.qGetFwdRate($J$18,$AW307,$AW308,"T",DCC_Leg2_Float)%+GenRate_2a%%)*$BV307,        IF(GenType_2a="bp (Fixed)",GenRate_2a%%*$BU307*$BT307,   IF(GenType_2a="bp (Float)",GenRate_2a%%*$BT307*$BV307,0))))</f>
        <v>0</v>
      </c>
      <c r="BZ308" s="561"/>
      <c r="CB308" s="341">
        <f t="shared" si="71"/>
        <v>0</v>
      </c>
      <c r="CC308" s="563"/>
      <c r="CD308" s="356"/>
      <c r="CE308" s="341">
        <v>0</v>
      </c>
      <c r="CF308" s="563"/>
      <c r="CG308" s="356"/>
    </row>
    <row r="309" spans="15:85">
      <c r="O309" s="122">
        <v>0</v>
      </c>
      <c r="P309" s="128">
        <f t="shared" si="58"/>
        <v>0</v>
      </c>
      <c r="Q309" s="126">
        <v>0</v>
      </c>
      <c r="R309" s="699">
        <f>IF($O310=0,0,        _xll.qDateNext($O309,R$17,"M",TRUE,Currency1))</f>
        <v>0</v>
      </c>
      <c r="S309" s="699">
        <f>IF($O310=0,0,        _xll.qDateNext($O309,S$17,"M",TRUE,Currency1))</f>
        <v>0</v>
      </c>
      <c r="T309" s="699">
        <f>IF($O310=0,0,        _xll.qDateNext($O309,T$17,"M",TRUE,Currency1))</f>
        <v>0</v>
      </c>
      <c r="U309" s="699">
        <f>IF($O310=0,0,        _xll.qDateNext($O309,U$17,"M",TRUE,Currency1))</f>
        <v>0</v>
      </c>
      <c r="V309" s="699">
        <f>IF($O310=0,0,        _xll.qDateNext($O309,V$17,"M",TRUE,Currency1))</f>
        <v>0</v>
      </c>
      <c r="W309" s="699">
        <f>IF($O310=0,0,        _xll.qDateNext($O309,W$17,"M",TRUE,Currency1))</f>
        <v>0</v>
      </c>
      <c r="X309" s="699">
        <f>IF($O310=0,0,        _xll.qDateNext($O309,X$17,"M",TRUE,Currency1))</f>
        <v>0</v>
      </c>
      <c r="Y309" s="699">
        <f>IF($O310=0,0,        _xll.qDateNext($O309,Y$17,"M",TRUE,Currency1))</f>
        <v>0</v>
      </c>
      <c r="Z309" s="703">
        <f>IF($O310=0,0,           IF(FRM,_xll.qGetFwdRate(Z$14,$O309,R309,"T",DCC_Leg1_Float),_xll.qGetFwdRate(Z$14,$O309,$O310,"T",DCC_Leg1_Float)))</f>
        <v>0</v>
      </c>
      <c r="AA309" s="703">
        <f>IF($O310=0,0,           IF(FRM,_xll.qGetFwdRate(AA$14,$O309,S309,"T",DCC_Leg1_Float),_xll.qGetFwdRate(AA$14,$O309,$O310,"T",DCC_Leg1_Float)))</f>
        <v>0</v>
      </c>
      <c r="AB309" s="703">
        <f t="shared" si="59"/>
        <v>0</v>
      </c>
      <c r="AC309" s="703">
        <f>IF($O310=0,0,           IF(FRM,_xll.qGetFwdRate(AC$14,$O309,U309,"T",DCC_Leg1_Float),_xll.qGetFwdRate(AC$14,$O309,$O310,"T",DCC_Leg1_Float)))</f>
        <v>0</v>
      </c>
      <c r="AD309" s="703">
        <f t="shared" si="64"/>
        <v>0</v>
      </c>
      <c r="AE309" s="703">
        <f t="shared" si="65"/>
        <v>0</v>
      </c>
      <c r="AF309" s="703">
        <f>IF($O310=0,0,           IF(FRM,_xll.qGetFwdRate(AF$14,$O309,X309,"T",DCC_Leg1_Float),_xll.qGetFwdRate(AF$14,$O309,$O310,"T",DCC_Leg1_Float)))</f>
        <v>0</v>
      </c>
      <c r="AG309" s="703">
        <f>IF($O310=0,0,           IF(FRM,_xll.qGetFwdRate(AG$14,$O309,Y309,"T",DCC_Leg1_Float),_xll.qGetFwdRate(AG$14,$O309,$O310,"T",DCC_Leg1_Float)))</f>
        <v>0</v>
      </c>
      <c r="AH309" s="685">
        <v>0</v>
      </c>
      <c r="AI309" s="667"/>
      <c r="AJ309" s="670">
        <f>IF(O310=0,0,             IF(ISNUMBER(AI309),AI309,             IF(ISTEXT(AI309),INDEX(Z309:AG309,MATCH(AI309,$Z$17:$AG$17,0)),           IF(AH309="INT",_xll.qInterp(O310,R309:Y309,Z309:AG309),       INDEX(Z309:AG309,MATCH(AH309,$Z$17:$AG$17,0))))))</f>
        <v>0</v>
      </c>
      <c r="AK309" s="732">
        <v>20</v>
      </c>
      <c r="AL309" s="721">
        <f t="shared" si="60"/>
        <v>0</v>
      </c>
      <c r="AM309" s="284">
        <f>IF($O310,_xll.qDateYears($O309,$O310,DCC_Leg1_Fixed),0)</f>
        <v>0</v>
      </c>
      <c r="AN309" s="284">
        <f>IF($O310,_xll.qDateYears($O309,$O310,DCC_Leg1_Float),0)</f>
        <v>0</v>
      </c>
      <c r="AP309" s="350">
        <f t="shared" si="66"/>
        <v>0</v>
      </c>
      <c r="AQ309" s="375">
        <f>IF(GenType_1a="Fixed",GenRate_1a%*$AL308*AM308,          IF(GenType_1a="Float",$AL308*(_xll.qGetFwdRate($D$18,$O308,$O309,"T",DCC_Leg1_Float)%+GenRate_1a%%)*$AN308,        IF(GenType_1a="bp (Fixed)",GenRate_1a%%*$AM308*$AL308,   IF(GenType_1a="bp (Float)",GenRate_1a%%*$AL308*$AN308,0))))</f>
        <v>0</v>
      </c>
      <c r="AR309" s="561"/>
      <c r="AT309" s="341">
        <f t="shared" si="70"/>
        <v>0</v>
      </c>
      <c r="AV309" s="356"/>
      <c r="AW309" s="122">
        <v>0</v>
      </c>
      <c r="AX309" s="128">
        <f t="shared" si="61"/>
        <v>0</v>
      </c>
      <c r="AY309" s="357">
        <v>0</v>
      </c>
      <c r="AZ309" s="699">
        <f>IF($AW310=0,0,        _xll.qDateNext($AW309,AZ$17,"M",TRUE,Currency2))</f>
        <v>0</v>
      </c>
      <c r="BA309" s="699">
        <f>IF($AW310=0,0,        _xll.qDateNext($AW309,BA$17,"M",TRUE,Currency2))</f>
        <v>0</v>
      </c>
      <c r="BB309" s="699">
        <f>IF($AW310=0,0,        _xll.qDateNext($AW309,BB$17,"M",TRUE,Currency2))</f>
        <v>0</v>
      </c>
      <c r="BC309" s="699">
        <f>IF($AW310=0,0,        _xll.qDateNext($AW309,BC$17,"M",TRUE,Currency2))</f>
        <v>0</v>
      </c>
      <c r="BD309" s="699">
        <f>IF($AW310=0,0,        _xll.qDateNext($AW309,BD$17,"M",TRUE,Currency2))</f>
        <v>0</v>
      </c>
      <c r="BE309" s="699">
        <f>IF($AW310=0,0,        _xll.qDateNext($AW309,BE$17,"M",TRUE,Currency2))</f>
        <v>0</v>
      </c>
      <c r="BF309" s="699">
        <f>IF($AW310=0,0,        _xll.qDateNext($AW309,BF$17,"M",TRUE,Currency2))</f>
        <v>0</v>
      </c>
      <c r="BG309" s="699">
        <f>IF($AW310=0,0,        _xll.qDateNext($AW309,BG$17,"M",TRUE,Currency2))</f>
        <v>0</v>
      </c>
      <c r="BH309" s="703">
        <v>0</v>
      </c>
      <c r="BI309" s="703">
        <v>0</v>
      </c>
      <c r="BJ309" s="703">
        <v>0</v>
      </c>
      <c r="BK309" s="703">
        <v>0</v>
      </c>
      <c r="BL309" s="703">
        <f t="shared" si="67"/>
        <v>0</v>
      </c>
      <c r="BM309" s="703">
        <f t="shared" si="68"/>
        <v>0</v>
      </c>
      <c r="BN309" s="703">
        <v>0</v>
      </c>
      <c r="BO309" s="703">
        <v>0</v>
      </c>
      <c r="BP309" s="685">
        <v>0</v>
      </c>
      <c r="BQ309" s="667"/>
      <c r="BR309" s="670">
        <f>IF(AW310=0,0,             IF(ISNUMBER(BQ309),BQ309,             IF(ISTEXT(BQ309),INDEX(BH309:BO309,MATCH(BQ309,$BH$17:$BO$17,0)),           IF(BP309="INT",_xll.qInterp(AW310,AZ309:BG309,BH309:BO309),       INDEX(BH309:BO309,MATCH(BP309,$BH$17:$BO$17,0))))))</f>
        <v>0</v>
      </c>
      <c r="BS309" s="731">
        <f t="shared" si="62"/>
        <v>0</v>
      </c>
      <c r="BT309" s="406">
        <f t="shared" si="63"/>
        <v>0</v>
      </c>
      <c r="BU309" s="284">
        <f>IF($AW310,_xll.qDateYears($AW309,$AW310,DCC_Leg2_Fixed),0)</f>
        <v>0</v>
      </c>
      <c r="BV309" s="284">
        <f>IF($AW310,_xll.qDateYears($AW309,$AW310,DCC_Leg2_Float),0)</f>
        <v>0</v>
      </c>
      <c r="BX309" s="350">
        <f t="shared" si="69"/>
        <v>0</v>
      </c>
      <c r="BY309" s="375">
        <f>IF(GenType_2a="Fixed",GenRate_2a%*$BT308*BU308,          IF(GenType_2a="Float",$BT308*(_xll.qGetFwdRate($J$18,$AW308,$AW309,"T",DCC_Leg2_Float)%+GenRate_2a%%)*$BV308,        IF(GenType_2a="bp (Fixed)",GenRate_2a%%*$BU308*$BT308,   IF(GenType_2a="bp (Float)",GenRate_2a%%*$BT308*$BV308,0))))</f>
        <v>0</v>
      </c>
      <c r="BZ309" s="561"/>
      <c r="CB309" s="341">
        <f t="shared" si="71"/>
        <v>0</v>
      </c>
      <c r="CC309" s="563"/>
      <c r="CD309" s="356"/>
      <c r="CE309" s="341">
        <v>0</v>
      </c>
      <c r="CF309" s="563"/>
      <c r="CG309" s="356"/>
    </row>
    <row r="310" spans="15:85">
      <c r="O310" s="122">
        <v>0</v>
      </c>
      <c r="P310" s="128">
        <f t="shared" si="58"/>
        <v>0</v>
      </c>
      <c r="Q310" s="126">
        <v>0</v>
      </c>
      <c r="R310" s="699">
        <f>IF($O311=0,0,        _xll.qDateNext($O310,R$17,"M",TRUE,Currency1))</f>
        <v>0</v>
      </c>
      <c r="S310" s="699">
        <f>IF($O311=0,0,        _xll.qDateNext($O310,S$17,"M",TRUE,Currency1))</f>
        <v>0</v>
      </c>
      <c r="T310" s="699">
        <f>IF($O311=0,0,        _xll.qDateNext($O310,T$17,"M",TRUE,Currency1))</f>
        <v>0</v>
      </c>
      <c r="U310" s="699">
        <f>IF($O311=0,0,        _xll.qDateNext($O310,U$17,"M",TRUE,Currency1))</f>
        <v>0</v>
      </c>
      <c r="V310" s="699">
        <f>IF($O311=0,0,        _xll.qDateNext($O310,V$17,"M",TRUE,Currency1))</f>
        <v>0</v>
      </c>
      <c r="W310" s="699">
        <f>IF($O311=0,0,        _xll.qDateNext($O310,W$17,"M",TRUE,Currency1))</f>
        <v>0</v>
      </c>
      <c r="X310" s="699">
        <f>IF($O311=0,0,        _xll.qDateNext($O310,X$17,"M",TRUE,Currency1))</f>
        <v>0</v>
      </c>
      <c r="Y310" s="699">
        <f>IF($O311=0,0,        _xll.qDateNext($O310,Y$17,"M",TRUE,Currency1))</f>
        <v>0</v>
      </c>
      <c r="Z310" s="703">
        <f>IF($O311=0,0,           IF(FRM,_xll.qGetFwdRate(Z$14,$O310,R310,"T",DCC_Leg1_Float),_xll.qGetFwdRate(Z$14,$O310,$O311,"T",DCC_Leg1_Float)))</f>
        <v>0</v>
      </c>
      <c r="AA310" s="703">
        <f>IF($O311=0,0,           IF(FRM,_xll.qGetFwdRate(AA$14,$O310,S310,"T",DCC_Leg1_Float),_xll.qGetFwdRate(AA$14,$O310,$O311,"T",DCC_Leg1_Float)))</f>
        <v>0</v>
      </c>
      <c r="AB310" s="703">
        <f t="shared" si="59"/>
        <v>0</v>
      </c>
      <c r="AC310" s="703">
        <f>IF($O311=0,0,           IF(FRM,_xll.qGetFwdRate(AC$14,$O310,U310,"T",DCC_Leg1_Float),_xll.qGetFwdRate(AC$14,$O310,$O311,"T",DCC_Leg1_Float)))</f>
        <v>0</v>
      </c>
      <c r="AD310" s="703">
        <f t="shared" si="64"/>
        <v>0</v>
      </c>
      <c r="AE310" s="703">
        <f t="shared" si="65"/>
        <v>0</v>
      </c>
      <c r="AF310" s="703">
        <f>IF($O311=0,0,           IF(FRM,_xll.qGetFwdRate(AF$14,$O310,X310,"T",DCC_Leg1_Float),_xll.qGetFwdRate(AF$14,$O310,$O311,"T",DCC_Leg1_Float)))</f>
        <v>0</v>
      </c>
      <c r="AG310" s="703">
        <f>IF($O311=0,0,           IF(FRM,_xll.qGetFwdRate(AG$14,$O310,Y310,"T",DCC_Leg1_Float),_xll.qGetFwdRate(AG$14,$O310,$O311,"T",DCC_Leg1_Float)))</f>
        <v>0</v>
      </c>
      <c r="AH310" s="685">
        <v>0</v>
      </c>
      <c r="AI310" s="667"/>
      <c r="AJ310" s="670">
        <f>IF(O311=0,0,             IF(ISNUMBER(AI310),AI310,             IF(ISTEXT(AI310),INDEX(Z310:AG310,MATCH(AI310,$Z$17:$AG$17,0)),           IF(AH310="INT",_xll.qInterp(O311,R310:Y310,Z310:AG310),       INDEX(Z310:AG310,MATCH(AH310,$Z$17:$AG$17,0))))))</f>
        <v>0</v>
      </c>
      <c r="AK310" s="732">
        <v>20</v>
      </c>
      <c r="AL310" s="721">
        <f t="shared" si="60"/>
        <v>0</v>
      </c>
      <c r="AM310" s="284">
        <f>IF($O311,_xll.qDateYears($O310,$O311,DCC_Leg1_Fixed),0)</f>
        <v>0</v>
      </c>
      <c r="AN310" s="284">
        <f>IF($O311,_xll.qDateYears($O310,$O311,DCC_Leg1_Float),0)</f>
        <v>0</v>
      </c>
      <c r="AP310" s="350">
        <f t="shared" si="66"/>
        <v>0</v>
      </c>
      <c r="AQ310" s="375">
        <f>IF(GenType_1a="Fixed",GenRate_1a%*$AL309*AM309,          IF(GenType_1a="Float",$AL309*(_xll.qGetFwdRate($D$18,$O309,$O310,"T",DCC_Leg1_Float)%+GenRate_1a%%)*$AN309,        IF(GenType_1a="bp (Fixed)",GenRate_1a%%*$AM309*$AL309,   IF(GenType_1a="bp (Float)",GenRate_1a%%*$AL309*$AN309,0))))</f>
        <v>0</v>
      </c>
      <c r="AR310" s="561"/>
      <c r="AT310" s="341">
        <f t="shared" si="70"/>
        <v>0</v>
      </c>
      <c r="AV310" s="356"/>
      <c r="AW310" s="122">
        <v>0</v>
      </c>
      <c r="AX310" s="128">
        <f t="shared" si="61"/>
        <v>0</v>
      </c>
      <c r="AY310" s="357">
        <v>0</v>
      </c>
      <c r="AZ310" s="699">
        <f>IF($AW311=0,0,        _xll.qDateNext($AW310,AZ$17,"M",TRUE,Currency2))</f>
        <v>0</v>
      </c>
      <c r="BA310" s="699">
        <f>IF($AW311=0,0,        _xll.qDateNext($AW310,BA$17,"M",TRUE,Currency2))</f>
        <v>0</v>
      </c>
      <c r="BB310" s="699">
        <f>IF($AW311=0,0,        _xll.qDateNext($AW310,BB$17,"M",TRUE,Currency2))</f>
        <v>0</v>
      </c>
      <c r="BC310" s="699">
        <f>IF($AW311=0,0,        _xll.qDateNext($AW310,BC$17,"M",TRUE,Currency2))</f>
        <v>0</v>
      </c>
      <c r="BD310" s="699">
        <f>IF($AW311=0,0,        _xll.qDateNext($AW310,BD$17,"M",TRUE,Currency2))</f>
        <v>0</v>
      </c>
      <c r="BE310" s="699">
        <f>IF($AW311=0,0,        _xll.qDateNext($AW310,BE$17,"M",TRUE,Currency2))</f>
        <v>0</v>
      </c>
      <c r="BF310" s="699">
        <f>IF($AW311=0,0,        _xll.qDateNext($AW310,BF$17,"M",TRUE,Currency2))</f>
        <v>0</v>
      </c>
      <c r="BG310" s="699">
        <f>IF($AW311=0,0,        _xll.qDateNext($AW310,BG$17,"M",TRUE,Currency2))</f>
        <v>0</v>
      </c>
      <c r="BH310" s="703">
        <v>0</v>
      </c>
      <c r="BI310" s="703">
        <v>0</v>
      </c>
      <c r="BJ310" s="703">
        <v>0</v>
      </c>
      <c r="BK310" s="703">
        <v>0</v>
      </c>
      <c r="BL310" s="703">
        <f t="shared" si="67"/>
        <v>0</v>
      </c>
      <c r="BM310" s="703">
        <f t="shared" si="68"/>
        <v>0</v>
      </c>
      <c r="BN310" s="703">
        <v>0</v>
      </c>
      <c r="BO310" s="703">
        <v>0</v>
      </c>
      <c r="BP310" s="685">
        <v>0</v>
      </c>
      <c r="BQ310" s="667"/>
      <c r="BR310" s="670">
        <f>IF(AW311=0,0,             IF(ISNUMBER(BQ310),BQ310,             IF(ISTEXT(BQ310),INDEX(BH310:BO310,MATCH(BQ310,$BH$17:$BO$17,0)),           IF(BP310="INT",_xll.qInterp(AW311,AZ310:BG310,BH310:BO310),       INDEX(BH310:BO310,MATCH(BP310,$BH$17:$BO$17,0))))))</f>
        <v>0</v>
      </c>
      <c r="BS310" s="731">
        <f t="shared" si="62"/>
        <v>0</v>
      </c>
      <c r="BT310" s="406">
        <f t="shared" si="63"/>
        <v>0</v>
      </c>
      <c r="BU310" s="284">
        <f>IF($AW311,_xll.qDateYears($AW310,$AW311,DCC_Leg2_Fixed),0)</f>
        <v>0</v>
      </c>
      <c r="BV310" s="284">
        <f>IF($AW311,_xll.qDateYears($AW310,$AW311,DCC_Leg2_Float),0)</f>
        <v>0</v>
      </c>
      <c r="BX310" s="350">
        <f t="shared" si="69"/>
        <v>0</v>
      </c>
      <c r="BY310" s="375">
        <f>IF(GenType_2a="Fixed",GenRate_2a%*$BT309*BU309,          IF(GenType_2a="Float",$BT309*(_xll.qGetFwdRate($J$18,$AW309,$AW310,"T",DCC_Leg2_Float)%+GenRate_2a%%)*$BV309,        IF(GenType_2a="bp (Fixed)",GenRate_2a%%*$BU309*$BT309,   IF(GenType_2a="bp (Float)",GenRate_2a%%*$BT309*$BV309,0))))</f>
        <v>0</v>
      </c>
      <c r="BZ310" s="561"/>
      <c r="CB310" s="341">
        <f t="shared" si="71"/>
        <v>0</v>
      </c>
      <c r="CC310" s="563"/>
      <c r="CD310" s="356"/>
      <c r="CE310" s="341">
        <v>0</v>
      </c>
      <c r="CF310" s="563"/>
      <c r="CG310" s="356"/>
    </row>
    <row r="311" spans="15:85">
      <c r="O311" s="122">
        <v>0</v>
      </c>
      <c r="P311" s="128">
        <f t="shared" si="58"/>
        <v>0</v>
      </c>
      <c r="Q311" s="126">
        <v>0</v>
      </c>
      <c r="R311" s="699">
        <f>IF($O312=0,0,        _xll.qDateNext($O311,R$17,"M",TRUE,Currency1))</f>
        <v>0</v>
      </c>
      <c r="S311" s="699">
        <f>IF($O312=0,0,        _xll.qDateNext($O311,S$17,"M",TRUE,Currency1))</f>
        <v>0</v>
      </c>
      <c r="T311" s="699">
        <f>IF($O312=0,0,        _xll.qDateNext($O311,T$17,"M",TRUE,Currency1))</f>
        <v>0</v>
      </c>
      <c r="U311" s="699">
        <f>IF($O312=0,0,        _xll.qDateNext($O311,U$17,"M",TRUE,Currency1))</f>
        <v>0</v>
      </c>
      <c r="V311" s="699">
        <f>IF($O312=0,0,        _xll.qDateNext($O311,V$17,"M",TRUE,Currency1))</f>
        <v>0</v>
      </c>
      <c r="W311" s="699">
        <f>IF($O312=0,0,        _xll.qDateNext($O311,W$17,"M",TRUE,Currency1))</f>
        <v>0</v>
      </c>
      <c r="X311" s="699">
        <f>IF($O312=0,0,        _xll.qDateNext($O311,X$17,"M",TRUE,Currency1))</f>
        <v>0</v>
      </c>
      <c r="Y311" s="699">
        <f>IF($O312=0,0,        _xll.qDateNext($O311,Y$17,"M",TRUE,Currency1))</f>
        <v>0</v>
      </c>
      <c r="Z311" s="703">
        <f>IF($O312=0,0,           IF(FRM,_xll.qGetFwdRate(Z$14,$O311,R311,"T",DCC_Leg1_Float),_xll.qGetFwdRate(Z$14,$O311,$O312,"T",DCC_Leg1_Float)))</f>
        <v>0</v>
      </c>
      <c r="AA311" s="703">
        <f>IF($O312=0,0,           IF(FRM,_xll.qGetFwdRate(AA$14,$O311,S311,"T",DCC_Leg1_Float),_xll.qGetFwdRate(AA$14,$O311,$O312,"T",DCC_Leg1_Float)))</f>
        <v>0</v>
      </c>
      <c r="AB311" s="703">
        <f t="shared" si="59"/>
        <v>0</v>
      </c>
      <c r="AC311" s="703">
        <f>IF($O312=0,0,           IF(FRM,_xll.qGetFwdRate(AC$14,$O311,U311,"T",DCC_Leg1_Float),_xll.qGetFwdRate(AC$14,$O311,$O312,"T",DCC_Leg1_Float)))</f>
        <v>0</v>
      </c>
      <c r="AD311" s="703">
        <f t="shared" si="64"/>
        <v>0</v>
      </c>
      <c r="AE311" s="703">
        <f t="shared" si="65"/>
        <v>0</v>
      </c>
      <c r="AF311" s="703">
        <f>IF($O312=0,0,           IF(FRM,_xll.qGetFwdRate(AF$14,$O311,X311,"T",DCC_Leg1_Float),_xll.qGetFwdRate(AF$14,$O311,$O312,"T",DCC_Leg1_Float)))</f>
        <v>0</v>
      </c>
      <c r="AG311" s="703">
        <f>IF($O312=0,0,           IF(FRM,_xll.qGetFwdRate(AG$14,$O311,Y311,"T",DCC_Leg1_Float),_xll.qGetFwdRate(AG$14,$O311,$O312,"T",DCC_Leg1_Float)))</f>
        <v>0</v>
      </c>
      <c r="AH311" s="685">
        <v>0</v>
      </c>
      <c r="AI311" s="667"/>
      <c r="AJ311" s="670">
        <f>IF(O312=0,0,             IF(ISNUMBER(AI311),AI311,             IF(ISTEXT(AI311),INDEX(Z311:AG311,MATCH(AI311,$Z$17:$AG$17,0)),           IF(AH311="INT",_xll.qInterp(O312,R311:Y311,Z311:AG311),       INDEX(Z311:AG311,MATCH(AH311,$Z$17:$AG$17,0))))))</f>
        <v>0</v>
      </c>
      <c r="AK311" s="732">
        <v>20</v>
      </c>
      <c r="AL311" s="721">
        <f t="shared" si="60"/>
        <v>0</v>
      </c>
      <c r="AM311" s="284">
        <f>IF($O312,_xll.qDateYears($O311,$O312,DCC_Leg1_Fixed),0)</f>
        <v>0</v>
      </c>
      <c r="AN311" s="284">
        <f>IF($O312,_xll.qDateYears($O311,$O312,DCC_Leg1_Float),0)</f>
        <v>0</v>
      </c>
      <c r="AP311" s="350">
        <f t="shared" si="66"/>
        <v>0</v>
      </c>
      <c r="AQ311" s="375">
        <f>IF(GenType_1a="Fixed",GenRate_1a%*$AL310*AM310,          IF(GenType_1a="Float",$AL310*(_xll.qGetFwdRate($D$18,$O310,$O311,"T",DCC_Leg1_Float)%+GenRate_1a%%)*$AN310,        IF(GenType_1a="bp (Fixed)",GenRate_1a%%*$AM310*$AL310,   IF(GenType_1a="bp (Float)",GenRate_1a%%*$AL310*$AN310,0))))</f>
        <v>0</v>
      </c>
      <c r="AR311" s="561"/>
      <c r="AT311" s="341">
        <f t="shared" si="70"/>
        <v>0</v>
      </c>
      <c r="AV311" s="356"/>
      <c r="AW311" s="122">
        <v>0</v>
      </c>
      <c r="AX311" s="128">
        <f t="shared" si="61"/>
        <v>0</v>
      </c>
      <c r="AY311" s="357">
        <v>0</v>
      </c>
      <c r="AZ311" s="699">
        <f>IF($AW312=0,0,        _xll.qDateNext($AW311,AZ$17,"M",TRUE,Currency2))</f>
        <v>0</v>
      </c>
      <c r="BA311" s="699">
        <f>IF($AW312=0,0,        _xll.qDateNext($AW311,BA$17,"M",TRUE,Currency2))</f>
        <v>0</v>
      </c>
      <c r="BB311" s="699">
        <f>IF($AW312=0,0,        _xll.qDateNext($AW311,BB$17,"M",TRUE,Currency2))</f>
        <v>0</v>
      </c>
      <c r="BC311" s="699">
        <f>IF($AW312=0,0,        _xll.qDateNext($AW311,BC$17,"M",TRUE,Currency2))</f>
        <v>0</v>
      </c>
      <c r="BD311" s="699">
        <f>IF($AW312=0,0,        _xll.qDateNext($AW311,BD$17,"M",TRUE,Currency2))</f>
        <v>0</v>
      </c>
      <c r="BE311" s="699">
        <f>IF($AW312=0,0,        _xll.qDateNext($AW311,BE$17,"M",TRUE,Currency2))</f>
        <v>0</v>
      </c>
      <c r="BF311" s="699">
        <f>IF($AW312=0,0,        _xll.qDateNext($AW311,BF$17,"M",TRUE,Currency2))</f>
        <v>0</v>
      </c>
      <c r="BG311" s="699">
        <f>IF($AW312=0,0,        _xll.qDateNext($AW311,BG$17,"M",TRUE,Currency2))</f>
        <v>0</v>
      </c>
      <c r="BH311" s="703">
        <v>0</v>
      </c>
      <c r="BI311" s="703">
        <v>0</v>
      </c>
      <c r="BJ311" s="703">
        <v>0</v>
      </c>
      <c r="BK311" s="703">
        <v>0</v>
      </c>
      <c r="BL311" s="703">
        <f t="shared" si="67"/>
        <v>0</v>
      </c>
      <c r="BM311" s="703">
        <f t="shared" si="68"/>
        <v>0</v>
      </c>
      <c r="BN311" s="703">
        <v>0</v>
      </c>
      <c r="BO311" s="703">
        <v>0</v>
      </c>
      <c r="BP311" s="685">
        <v>0</v>
      </c>
      <c r="BQ311" s="667"/>
      <c r="BR311" s="670">
        <f>IF(AW312=0,0,             IF(ISNUMBER(BQ311),BQ311,             IF(ISTEXT(BQ311),INDEX(BH311:BO311,MATCH(BQ311,$BH$17:$BO$17,0)),           IF(BP311="INT",_xll.qInterp(AW312,AZ311:BG311,BH311:BO311),       INDEX(BH311:BO311,MATCH(BP311,$BH$17:$BO$17,0))))))</f>
        <v>0</v>
      </c>
      <c r="BS311" s="731">
        <f t="shared" si="62"/>
        <v>0</v>
      </c>
      <c r="BT311" s="406">
        <f t="shared" si="63"/>
        <v>0</v>
      </c>
      <c r="BU311" s="284">
        <f>IF($AW312,_xll.qDateYears($AW311,$AW312,DCC_Leg2_Fixed),0)</f>
        <v>0</v>
      </c>
      <c r="BV311" s="284">
        <f>IF($AW312,_xll.qDateYears($AW311,$AW312,DCC_Leg2_Float),0)</f>
        <v>0</v>
      </c>
      <c r="BX311" s="350">
        <f t="shared" si="69"/>
        <v>0</v>
      </c>
      <c r="BY311" s="375">
        <f>IF(GenType_2a="Fixed",GenRate_2a%*$BT310*BU310,          IF(GenType_2a="Float",$BT310*(_xll.qGetFwdRate($J$18,$AW310,$AW311,"T",DCC_Leg2_Float)%+GenRate_2a%%)*$BV310,        IF(GenType_2a="bp (Fixed)",GenRate_2a%%*$BU310*$BT310,   IF(GenType_2a="bp (Float)",GenRate_2a%%*$BT310*$BV310,0))))</f>
        <v>0</v>
      </c>
      <c r="BZ311" s="561"/>
      <c r="CB311" s="341">
        <f t="shared" si="71"/>
        <v>0</v>
      </c>
      <c r="CC311" s="563"/>
      <c r="CD311" s="356"/>
      <c r="CE311" s="341">
        <v>0</v>
      </c>
      <c r="CF311" s="563"/>
      <c r="CG311" s="356"/>
    </row>
    <row r="312" spans="15:85">
      <c r="O312" s="122">
        <v>0</v>
      </c>
      <c r="P312" s="128">
        <f t="shared" si="58"/>
        <v>0</v>
      </c>
      <c r="Q312" s="126">
        <v>0</v>
      </c>
      <c r="R312" s="699">
        <f>IF($O313=0,0,        _xll.qDateNext($O312,R$17,"M",TRUE,Currency1))</f>
        <v>0</v>
      </c>
      <c r="S312" s="699">
        <f>IF($O313=0,0,        _xll.qDateNext($O312,S$17,"M",TRUE,Currency1))</f>
        <v>0</v>
      </c>
      <c r="T312" s="699">
        <f>IF($O313=0,0,        _xll.qDateNext($O312,T$17,"M",TRUE,Currency1))</f>
        <v>0</v>
      </c>
      <c r="U312" s="699">
        <f>IF($O313=0,0,        _xll.qDateNext($O312,U$17,"M",TRUE,Currency1))</f>
        <v>0</v>
      </c>
      <c r="V312" s="699">
        <f>IF($O313=0,0,        _xll.qDateNext($O312,V$17,"M",TRUE,Currency1))</f>
        <v>0</v>
      </c>
      <c r="W312" s="699">
        <f>IF($O313=0,0,        _xll.qDateNext($O312,W$17,"M",TRUE,Currency1))</f>
        <v>0</v>
      </c>
      <c r="X312" s="699">
        <f>IF($O313=0,0,        _xll.qDateNext($O312,X$17,"M",TRUE,Currency1))</f>
        <v>0</v>
      </c>
      <c r="Y312" s="699">
        <f>IF($O313=0,0,        _xll.qDateNext($O312,Y$17,"M",TRUE,Currency1))</f>
        <v>0</v>
      </c>
      <c r="Z312" s="703">
        <f>IF($O313=0,0,           IF(FRM,_xll.qGetFwdRate(Z$14,$O312,R312,"T",DCC_Leg1_Float),_xll.qGetFwdRate(Z$14,$O312,$O313,"T",DCC_Leg1_Float)))</f>
        <v>0</v>
      </c>
      <c r="AA312" s="703">
        <f>IF($O313=0,0,           IF(FRM,_xll.qGetFwdRate(AA$14,$O312,S312,"T",DCC_Leg1_Float),_xll.qGetFwdRate(AA$14,$O312,$O313,"T",DCC_Leg1_Float)))</f>
        <v>0</v>
      </c>
      <c r="AB312" s="703">
        <f t="shared" si="59"/>
        <v>0</v>
      </c>
      <c r="AC312" s="703">
        <f>IF($O313=0,0,           IF(FRM,_xll.qGetFwdRate(AC$14,$O312,U312,"T",DCC_Leg1_Float),_xll.qGetFwdRate(AC$14,$O312,$O313,"T",DCC_Leg1_Float)))</f>
        <v>0</v>
      </c>
      <c r="AD312" s="703">
        <f t="shared" si="64"/>
        <v>0</v>
      </c>
      <c r="AE312" s="703">
        <f t="shared" si="65"/>
        <v>0</v>
      </c>
      <c r="AF312" s="703">
        <f>IF($O313=0,0,           IF(FRM,_xll.qGetFwdRate(AF$14,$O312,X312,"T",DCC_Leg1_Float),_xll.qGetFwdRate(AF$14,$O312,$O313,"T",DCC_Leg1_Float)))</f>
        <v>0</v>
      </c>
      <c r="AG312" s="703">
        <f>IF($O313=0,0,           IF(FRM,_xll.qGetFwdRate(AG$14,$O312,Y312,"T",DCC_Leg1_Float),_xll.qGetFwdRate(AG$14,$O312,$O313,"T",DCC_Leg1_Float)))</f>
        <v>0</v>
      </c>
      <c r="AH312" s="685">
        <v>0</v>
      </c>
      <c r="AI312" s="667"/>
      <c r="AJ312" s="670">
        <f>IF(O313=0,0,             IF(ISNUMBER(AI312),AI312,             IF(ISTEXT(AI312),INDEX(Z312:AG312,MATCH(AI312,$Z$17:$AG$17,0)),           IF(AH312="INT",_xll.qInterp(O313,R312:Y312,Z312:AG312),       INDEX(Z312:AG312,MATCH(AH312,$Z$17:$AG$17,0))))))</f>
        <v>0</v>
      </c>
      <c r="AK312" s="732">
        <v>20</v>
      </c>
      <c r="AL312" s="721">
        <f t="shared" si="60"/>
        <v>0</v>
      </c>
      <c r="AM312" s="284">
        <f>IF($O313,_xll.qDateYears($O312,$O313,DCC_Leg1_Fixed),0)</f>
        <v>0</v>
      </c>
      <c r="AN312" s="284">
        <f>IF($O313,_xll.qDateYears($O312,$O313,DCC_Leg1_Float),0)</f>
        <v>0</v>
      </c>
      <c r="AP312" s="350">
        <f t="shared" si="66"/>
        <v>0</v>
      </c>
      <c r="AQ312" s="375">
        <f>IF(GenType_1a="Fixed",GenRate_1a%*$AL311*AM311,          IF(GenType_1a="Float",$AL311*(_xll.qGetFwdRate($D$18,$O311,$O312,"T",DCC_Leg1_Float)%+GenRate_1a%%)*$AN311,        IF(GenType_1a="bp (Fixed)",GenRate_1a%%*$AM311*$AL311,   IF(GenType_1a="bp (Float)",GenRate_1a%%*$AL311*$AN311,0))))</f>
        <v>0</v>
      </c>
      <c r="AR312" s="561"/>
      <c r="AT312" s="341">
        <f t="shared" si="70"/>
        <v>0</v>
      </c>
      <c r="AV312" s="356"/>
      <c r="AW312" s="122">
        <v>0</v>
      </c>
      <c r="AX312" s="128">
        <f t="shared" si="61"/>
        <v>0</v>
      </c>
      <c r="AY312" s="357">
        <v>0</v>
      </c>
      <c r="AZ312" s="699">
        <f>IF($AW313=0,0,        _xll.qDateNext($AW312,AZ$17,"M",TRUE,Currency2))</f>
        <v>0</v>
      </c>
      <c r="BA312" s="699">
        <f>IF($AW313=0,0,        _xll.qDateNext($AW312,BA$17,"M",TRUE,Currency2))</f>
        <v>0</v>
      </c>
      <c r="BB312" s="699">
        <f>IF($AW313=0,0,        _xll.qDateNext($AW312,BB$17,"M",TRUE,Currency2))</f>
        <v>0</v>
      </c>
      <c r="BC312" s="699">
        <f>IF($AW313=0,0,        _xll.qDateNext($AW312,BC$17,"M",TRUE,Currency2))</f>
        <v>0</v>
      </c>
      <c r="BD312" s="699">
        <f>IF($AW313=0,0,        _xll.qDateNext($AW312,BD$17,"M",TRUE,Currency2))</f>
        <v>0</v>
      </c>
      <c r="BE312" s="699">
        <f>IF($AW313=0,0,        _xll.qDateNext($AW312,BE$17,"M",TRUE,Currency2))</f>
        <v>0</v>
      </c>
      <c r="BF312" s="699">
        <f>IF($AW313=0,0,        _xll.qDateNext($AW312,BF$17,"M",TRUE,Currency2))</f>
        <v>0</v>
      </c>
      <c r="BG312" s="699">
        <f>IF($AW313=0,0,        _xll.qDateNext($AW312,BG$17,"M",TRUE,Currency2))</f>
        <v>0</v>
      </c>
      <c r="BH312" s="703">
        <v>0</v>
      </c>
      <c r="BI312" s="703">
        <v>0</v>
      </c>
      <c r="BJ312" s="703">
        <v>0</v>
      </c>
      <c r="BK312" s="703">
        <v>0</v>
      </c>
      <c r="BL312" s="703">
        <f t="shared" si="67"/>
        <v>0</v>
      </c>
      <c r="BM312" s="703">
        <f t="shared" si="68"/>
        <v>0</v>
      </c>
      <c r="BN312" s="703">
        <v>0</v>
      </c>
      <c r="BO312" s="703">
        <v>0</v>
      </c>
      <c r="BP312" s="685">
        <v>0</v>
      </c>
      <c r="BQ312" s="667"/>
      <c r="BR312" s="670">
        <f>IF(AW313=0,0,             IF(ISNUMBER(BQ312),BQ312,             IF(ISTEXT(BQ312),INDEX(BH312:BO312,MATCH(BQ312,$BH$17:$BO$17,0)),           IF(BP312="INT",_xll.qInterp(AW313,AZ312:BG312,BH312:BO312),       INDEX(BH312:BO312,MATCH(BP312,$BH$17:$BO$17,0))))))</f>
        <v>0</v>
      </c>
      <c r="BS312" s="731">
        <f t="shared" si="62"/>
        <v>0</v>
      </c>
      <c r="BT312" s="406">
        <f t="shared" si="63"/>
        <v>0</v>
      </c>
      <c r="BU312" s="284">
        <f>IF($AW313,_xll.qDateYears($AW312,$AW313,DCC_Leg2_Fixed),0)</f>
        <v>0</v>
      </c>
      <c r="BV312" s="284">
        <f>IF($AW313,_xll.qDateYears($AW312,$AW313,DCC_Leg2_Float),0)</f>
        <v>0</v>
      </c>
      <c r="BX312" s="350">
        <f t="shared" si="69"/>
        <v>0</v>
      </c>
      <c r="BY312" s="375">
        <f>IF(GenType_2a="Fixed",GenRate_2a%*$BT311*BU311,          IF(GenType_2a="Float",$BT311*(_xll.qGetFwdRate($J$18,$AW311,$AW312,"T",DCC_Leg2_Float)%+GenRate_2a%%)*$BV311,        IF(GenType_2a="bp (Fixed)",GenRate_2a%%*$BU311*$BT311,   IF(GenType_2a="bp (Float)",GenRate_2a%%*$BT311*$BV311,0))))</f>
        <v>0</v>
      </c>
      <c r="BZ312" s="561"/>
      <c r="CB312" s="341">
        <f t="shared" si="71"/>
        <v>0</v>
      </c>
      <c r="CC312" s="563"/>
      <c r="CD312" s="356"/>
      <c r="CE312" s="341">
        <v>0</v>
      </c>
      <c r="CF312" s="563"/>
      <c r="CG312" s="356"/>
    </row>
    <row r="313" spans="15:85">
      <c r="O313" s="122">
        <v>0</v>
      </c>
      <c r="P313" s="128">
        <f t="shared" si="58"/>
        <v>0</v>
      </c>
      <c r="Q313" s="126">
        <v>0</v>
      </c>
      <c r="R313" s="699">
        <f>IF($O314=0,0,        _xll.qDateNext($O313,R$17,"M",TRUE,Currency1))</f>
        <v>0</v>
      </c>
      <c r="S313" s="699">
        <f>IF($O314=0,0,        _xll.qDateNext($O313,S$17,"M",TRUE,Currency1))</f>
        <v>0</v>
      </c>
      <c r="T313" s="699">
        <f>IF($O314=0,0,        _xll.qDateNext($O313,T$17,"M",TRUE,Currency1))</f>
        <v>0</v>
      </c>
      <c r="U313" s="699">
        <f>IF($O314=0,0,        _xll.qDateNext($O313,U$17,"M",TRUE,Currency1))</f>
        <v>0</v>
      </c>
      <c r="V313" s="699">
        <f>IF($O314=0,0,        _xll.qDateNext($O313,V$17,"M",TRUE,Currency1))</f>
        <v>0</v>
      </c>
      <c r="W313" s="699">
        <f>IF($O314=0,0,        _xll.qDateNext($O313,W$17,"M",TRUE,Currency1))</f>
        <v>0</v>
      </c>
      <c r="X313" s="699">
        <f>IF($O314=0,0,        _xll.qDateNext($O313,X$17,"M",TRUE,Currency1))</f>
        <v>0</v>
      </c>
      <c r="Y313" s="699">
        <f>IF($O314=0,0,        _xll.qDateNext($O313,Y$17,"M",TRUE,Currency1))</f>
        <v>0</v>
      </c>
      <c r="Z313" s="703">
        <f>IF($O314=0,0,           IF(FRM,_xll.qGetFwdRate(Z$14,$O313,R313,"T",DCC_Leg1_Float),_xll.qGetFwdRate(Z$14,$O313,$O314,"T",DCC_Leg1_Float)))</f>
        <v>0</v>
      </c>
      <c r="AA313" s="703">
        <f>IF($O314=0,0,           IF(FRM,_xll.qGetFwdRate(AA$14,$O313,S313,"T",DCC_Leg1_Float),_xll.qGetFwdRate(AA$14,$O313,$O314,"T",DCC_Leg1_Float)))</f>
        <v>0</v>
      </c>
      <c r="AB313" s="703">
        <f t="shared" si="59"/>
        <v>0</v>
      </c>
      <c r="AC313" s="703">
        <f>IF($O314=0,0,           IF(FRM,_xll.qGetFwdRate(AC$14,$O313,U313,"T",DCC_Leg1_Float),_xll.qGetFwdRate(AC$14,$O313,$O314,"T",DCC_Leg1_Float)))</f>
        <v>0</v>
      </c>
      <c r="AD313" s="703">
        <f t="shared" si="64"/>
        <v>0</v>
      </c>
      <c r="AE313" s="703">
        <f t="shared" si="65"/>
        <v>0</v>
      </c>
      <c r="AF313" s="703">
        <f>IF($O314=0,0,           IF(FRM,_xll.qGetFwdRate(AF$14,$O313,X313,"T",DCC_Leg1_Float),_xll.qGetFwdRate(AF$14,$O313,$O314,"T",DCC_Leg1_Float)))</f>
        <v>0</v>
      </c>
      <c r="AG313" s="703">
        <f>IF($O314=0,0,           IF(FRM,_xll.qGetFwdRate(AG$14,$O313,Y313,"T",DCC_Leg1_Float),_xll.qGetFwdRate(AG$14,$O313,$O314,"T",DCC_Leg1_Float)))</f>
        <v>0</v>
      </c>
      <c r="AH313" s="685">
        <v>0</v>
      </c>
      <c r="AI313" s="667"/>
      <c r="AJ313" s="670">
        <f>IF(O314=0,0,             IF(ISNUMBER(AI313),AI313,             IF(ISTEXT(AI313),INDEX(Z313:AG313,MATCH(AI313,$Z$17:$AG$17,0)),           IF(AH313="INT",_xll.qInterp(O314,R313:Y313,Z313:AG313),       INDEX(Z313:AG313,MATCH(AH313,$Z$17:$AG$17,0))))))</f>
        <v>0</v>
      </c>
      <c r="AK313" s="732">
        <v>20</v>
      </c>
      <c r="AL313" s="721">
        <f t="shared" si="60"/>
        <v>0</v>
      </c>
      <c r="AM313" s="284">
        <f>IF($O314,_xll.qDateYears($O313,$O314,DCC_Leg1_Fixed),0)</f>
        <v>0</v>
      </c>
      <c r="AN313" s="284">
        <f>IF($O314,_xll.qDateYears($O313,$O314,DCC_Leg1_Float),0)</f>
        <v>0</v>
      </c>
      <c r="AP313" s="350">
        <f t="shared" si="66"/>
        <v>0</v>
      </c>
      <c r="AQ313" s="375">
        <f>IF(GenType_1a="Fixed",GenRate_1a%*$AL312*AM312,          IF(GenType_1a="Float",$AL312*(_xll.qGetFwdRate($D$18,$O312,$O313,"T",DCC_Leg1_Float)%+GenRate_1a%%)*$AN312,        IF(GenType_1a="bp (Fixed)",GenRate_1a%%*$AM312*$AL312,   IF(GenType_1a="bp (Float)",GenRate_1a%%*$AL312*$AN312,0))))</f>
        <v>0</v>
      </c>
      <c r="AR313" s="561"/>
      <c r="AT313" s="341">
        <f t="shared" si="70"/>
        <v>0</v>
      </c>
      <c r="AV313" s="356"/>
      <c r="AW313" s="122">
        <v>0</v>
      </c>
      <c r="AX313" s="128">
        <f t="shared" si="61"/>
        <v>0</v>
      </c>
      <c r="AY313" s="357">
        <v>0</v>
      </c>
      <c r="AZ313" s="699">
        <f>IF($AW314=0,0,        _xll.qDateNext($AW313,AZ$17,"M",TRUE,Currency2))</f>
        <v>0</v>
      </c>
      <c r="BA313" s="699">
        <f>IF($AW314=0,0,        _xll.qDateNext($AW313,BA$17,"M",TRUE,Currency2))</f>
        <v>0</v>
      </c>
      <c r="BB313" s="699">
        <f>IF($AW314=0,0,        _xll.qDateNext($AW313,BB$17,"M",TRUE,Currency2))</f>
        <v>0</v>
      </c>
      <c r="BC313" s="699">
        <f>IF($AW314=0,0,        _xll.qDateNext($AW313,BC$17,"M",TRUE,Currency2))</f>
        <v>0</v>
      </c>
      <c r="BD313" s="699">
        <f>IF($AW314=0,0,        _xll.qDateNext($AW313,BD$17,"M",TRUE,Currency2))</f>
        <v>0</v>
      </c>
      <c r="BE313" s="699">
        <f>IF($AW314=0,0,        _xll.qDateNext($AW313,BE$17,"M",TRUE,Currency2))</f>
        <v>0</v>
      </c>
      <c r="BF313" s="699">
        <f>IF($AW314=0,0,        _xll.qDateNext($AW313,BF$17,"M",TRUE,Currency2))</f>
        <v>0</v>
      </c>
      <c r="BG313" s="699">
        <f>IF($AW314=0,0,        _xll.qDateNext($AW313,BG$17,"M",TRUE,Currency2))</f>
        <v>0</v>
      </c>
      <c r="BH313" s="703">
        <v>0</v>
      </c>
      <c r="BI313" s="703">
        <v>0</v>
      </c>
      <c r="BJ313" s="703">
        <v>0</v>
      </c>
      <c r="BK313" s="703">
        <v>0</v>
      </c>
      <c r="BL313" s="703">
        <f t="shared" si="67"/>
        <v>0</v>
      </c>
      <c r="BM313" s="703">
        <f t="shared" si="68"/>
        <v>0</v>
      </c>
      <c r="BN313" s="703">
        <v>0</v>
      </c>
      <c r="BO313" s="703">
        <v>0</v>
      </c>
      <c r="BP313" s="685">
        <v>0</v>
      </c>
      <c r="BQ313" s="667"/>
      <c r="BR313" s="670">
        <f>IF(AW314=0,0,             IF(ISNUMBER(BQ313),BQ313,             IF(ISTEXT(BQ313),INDEX(BH313:BO313,MATCH(BQ313,$BH$17:$BO$17,0)),           IF(BP313="INT",_xll.qInterp(AW314,AZ313:BG313,BH313:BO313),       INDEX(BH313:BO313,MATCH(BP313,$BH$17:$BO$17,0))))))</f>
        <v>0</v>
      </c>
      <c r="BS313" s="731">
        <f t="shared" si="62"/>
        <v>0</v>
      </c>
      <c r="BT313" s="406">
        <f t="shared" si="63"/>
        <v>0</v>
      </c>
      <c r="BU313" s="284">
        <f>IF($AW314,_xll.qDateYears($AW313,$AW314,DCC_Leg2_Fixed),0)</f>
        <v>0</v>
      </c>
      <c r="BV313" s="284">
        <f>IF($AW314,_xll.qDateYears($AW313,$AW314,DCC_Leg2_Float),0)</f>
        <v>0</v>
      </c>
      <c r="BX313" s="350">
        <f t="shared" si="69"/>
        <v>0</v>
      </c>
      <c r="BY313" s="375">
        <f>IF(GenType_2a="Fixed",GenRate_2a%*$BT312*BU312,          IF(GenType_2a="Float",$BT312*(_xll.qGetFwdRate($J$18,$AW312,$AW313,"T",DCC_Leg2_Float)%+GenRate_2a%%)*$BV312,        IF(GenType_2a="bp (Fixed)",GenRate_2a%%*$BU312*$BT312,   IF(GenType_2a="bp (Float)",GenRate_2a%%*$BT312*$BV312,0))))</f>
        <v>0</v>
      </c>
      <c r="BZ313" s="561"/>
      <c r="CB313" s="341">
        <f t="shared" si="71"/>
        <v>0</v>
      </c>
      <c r="CC313" s="563"/>
      <c r="CD313" s="356"/>
      <c r="CE313" s="341">
        <v>0</v>
      </c>
      <c r="CF313" s="563"/>
      <c r="CG313" s="356"/>
    </row>
    <row r="314" spans="15:85">
      <c r="O314" s="122">
        <v>0</v>
      </c>
      <c r="P314" s="128">
        <f t="shared" si="58"/>
        <v>0</v>
      </c>
      <c r="Q314" s="126">
        <v>0</v>
      </c>
      <c r="R314" s="699">
        <f>IF($O315=0,0,        _xll.qDateNext($O314,R$17,"M",TRUE,Currency1))</f>
        <v>0</v>
      </c>
      <c r="S314" s="699">
        <f>IF($O315=0,0,        _xll.qDateNext($O314,S$17,"M",TRUE,Currency1))</f>
        <v>0</v>
      </c>
      <c r="T314" s="699">
        <f>IF($O315=0,0,        _xll.qDateNext($O314,T$17,"M",TRUE,Currency1))</f>
        <v>0</v>
      </c>
      <c r="U314" s="699">
        <f>IF($O315=0,0,        _xll.qDateNext($O314,U$17,"M",TRUE,Currency1))</f>
        <v>0</v>
      </c>
      <c r="V314" s="699">
        <f>IF($O315=0,0,        _xll.qDateNext($O314,V$17,"M",TRUE,Currency1))</f>
        <v>0</v>
      </c>
      <c r="W314" s="699">
        <f>IF($O315=0,0,        _xll.qDateNext($O314,W$17,"M",TRUE,Currency1))</f>
        <v>0</v>
      </c>
      <c r="X314" s="699">
        <f>IF($O315=0,0,        _xll.qDateNext($O314,X$17,"M",TRUE,Currency1))</f>
        <v>0</v>
      </c>
      <c r="Y314" s="699">
        <f>IF($O315=0,0,        _xll.qDateNext($O314,Y$17,"M",TRUE,Currency1))</f>
        <v>0</v>
      </c>
      <c r="Z314" s="703">
        <f>IF($O315=0,0,           IF(FRM,_xll.qGetFwdRate(Z$14,$O314,R314,"T",DCC_Leg1_Float),_xll.qGetFwdRate(Z$14,$O314,$O315,"T",DCC_Leg1_Float)))</f>
        <v>0</v>
      </c>
      <c r="AA314" s="703">
        <f>IF($O315=0,0,           IF(FRM,_xll.qGetFwdRate(AA$14,$O314,S314,"T",DCC_Leg1_Float),_xll.qGetFwdRate(AA$14,$O314,$O315,"T",DCC_Leg1_Float)))</f>
        <v>0</v>
      </c>
      <c r="AB314" s="703">
        <f t="shared" si="59"/>
        <v>0</v>
      </c>
      <c r="AC314" s="703">
        <f>IF($O315=0,0,           IF(FRM,_xll.qGetFwdRate(AC$14,$O314,U314,"T",DCC_Leg1_Float),_xll.qGetFwdRate(AC$14,$O314,$O315,"T",DCC_Leg1_Float)))</f>
        <v>0</v>
      </c>
      <c r="AD314" s="703">
        <f t="shared" si="64"/>
        <v>0</v>
      </c>
      <c r="AE314" s="703">
        <f t="shared" si="65"/>
        <v>0</v>
      </c>
      <c r="AF314" s="703">
        <f>IF($O315=0,0,           IF(FRM,_xll.qGetFwdRate(AF$14,$O314,X314,"T",DCC_Leg1_Float),_xll.qGetFwdRate(AF$14,$O314,$O315,"T",DCC_Leg1_Float)))</f>
        <v>0</v>
      </c>
      <c r="AG314" s="703">
        <f>IF($O315=0,0,           IF(FRM,_xll.qGetFwdRate(AG$14,$O314,Y314,"T",DCC_Leg1_Float),_xll.qGetFwdRate(AG$14,$O314,$O315,"T",DCC_Leg1_Float)))</f>
        <v>0</v>
      </c>
      <c r="AH314" s="685">
        <v>0</v>
      </c>
      <c r="AI314" s="667"/>
      <c r="AJ314" s="670">
        <f>IF(O315=0,0,             IF(ISNUMBER(AI314),AI314,             IF(ISTEXT(AI314),INDEX(Z314:AG314,MATCH(AI314,$Z$17:$AG$17,0)),           IF(AH314="INT",_xll.qInterp(O315,R314:Y314,Z314:AG314),       INDEX(Z314:AG314,MATCH(AH314,$Z$17:$AG$17,0))))))</f>
        <v>0</v>
      </c>
      <c r="AK314" s="732">
        <v>20</v>
      </c>
      <c r="AL314" s="721">
        <f t="shared" si="60"/>
        <v>0</v>
      </c>
      <c r="AM314" s="284">
        <f>IF($O315,_xll.qDateYears($O314,$O315,DCC_Leg1_Fixed),0)</f>
        <v>0</v>
      </c>
      <c r="AN314" s="284">
        <f>IF($O315,_xll.qDateYears($O314,$O315,DCC_Leg1_Float),0)</f>
        <v>0</v>
      </c>
      <c r="AP314" s="350">
        <f t="shared" si="66"/>
        <v>0</v>
      </c>
      <c r="AQ314" s="375">
        <f>IF(GenType_1a="Fixed",GenRate_1a%*$AL313*AM313,          IF(GenType_1a="Float",$AL313*(_xll.qGetFwdRate($D$18,$O313,$O314,"T",DCC_Leg1_Float)%+GenRate_1a%%)*$AN313,        IF(GenType_1a="bp (Fixed)",GenRate_1a%%*$AM313*$AL313,   IF(GenType_1a="bp (Float)",GenRate_1a%%*$AL313*$AN313,0))))</f>
        <v>0</v>
      </c>
      <c r="AR314" s="561"/>
      <c r="AT314" s="341">
        <f t="shared" si="70"/>
        <v>0</v>
      </c>
      <c r="AV314" s="356"/>
      <c r="AW314" s="122">
        <v>0</v>
      </c>
      <c r="AX314" s="128">
        <f t="shared" si="61"/>
        <v>0</v>
      </c>
      <c r="AY314" s="357">
        <v>0</v>
      </c>
      <c r="AZ314" s="699">
        <f>IF($AW315=0,0,        _xll.qDateNext($AW314,AZ$17,"M",TRUE,Currency2))</f>
        <v>0</v>
      </c>
      <c r="BA314" s="699">
        <f>IF($AW315=0,0,        _xll.qDateNext($AW314,BA$17,"M",TRUE,Currency2))</f>
        <v>0</v>
      </c>
      <c r="BB314" s="699">
        <f>IF($AW315=0,0,        _xll.qDateNext($AW314,BB$17,"M",TRUE,Currency2))</f>
        <v>0</v>
      </c>
      <c r="BC314" s="699">
        <f>IF($AW315=0,0,        _xll.qDateNext($AW314,BC$17,"M",TRUE,Currency2))</f>
        <v>0</v>
      </c>
      <c r="BD314" s="699">
        <f>IF($AW315=0,0,        _xll.qDateNext($AW314,BD$17,"M",TRUE,Currency2))</f>
        <v>0</v>
      </c>
      <c r="BE314" s="699">
        <f>IF($AW315=0,0,        _xll.qDateNext($AW314,BE$17,"M",TRUE,Currency2))</f>
        <v>0</v>
      </c>
      <c r="BF314" s="699">
        <f>IF($AW315=0,0,        _xll.qDateNext($AW314,BF$17,"M",TRUE,Currency2))</f>
        <v>0</v>
      </c>
      <c r="BG314" s="699">
        <f>IF($AW315=0,0,        _xll.qDateNext($AW314,BG$17,"M",TRUE,Currency2))</f>
        <v>0</v>
      </c>
      <c r="BH314" s="703">
        <v>0</v>
      </c>
      <c r="BI314" s="703">
        <v>0</v>
      </c>
      <c r="BJ314" s="703">
        <v>0</v>
      </c>
      <c r="BK314" s="703">
        <v>0</v>
      </c>
      <c r="BL314" s="703">
        <f t="shared" si="67"/>
        <v>0</v>
      </c>
      <c r="BM314" s="703">
        <f t="shared" si="68"/>
        <v>0</v>
      </c>
      <c r="BN314" s="703">
        <v>0</v>
      </c>
      <c r="BO314" s="703">
        <v>0</v>
      </c>
      <c r="BP314" s="685">
        <v>0</v>
      </c>
      <c r="BQ314" s="667"/>
      <c r="BR314" s="670">
        <f>IF(AW315=0,0,             IF(ISNUMBER(BQ314),BQ314,             IF(ISTEXT(BQ314),INDEX(BH314:BO314,MATCH(BQ314,$BH$17:$BO$17,0)),           IF(BP314="INT",_xll.qInterp(AW315,AZ314:BG314,BH314:BO314),       INDEX(BH314:BO314,MATCH(BP314,$BH$17:$BO$17,0))))))</f>
        <v>0</v>
      </c>
      <c r="BS314" s="731">
        <f t="shared" si="62"/>
        <v>0</v>
      </c>
      <c r="BT314" s="406">
        <f t="shared" si="63"/>
        <v>0</v>
      </c>
      <c r="BU314" s="284">
        <f>IF($AW315,_xll.qDateYears($AW314,$AW315,DCC_Leg2_Fixed),0)</f>
        <v>0</v>
      </c>
      <c r="BV314" s="284">
        <f>IF($AW315,_xll.qDateYears($AW314,$AW315,DCC_Leg2_Float),0)</f>
        <v>0</v>
      </c>
      <c r="BX314" s="350">
        <f t="shared" si="69"/>
        <v>0</v>
      </c>
      <c r="BY314" s="375">
        <f>IF(GenType_2a="Fixed",GenRate_2a%*$BT313*BU313,          IF(GenType_2a="Float",$BT313*(_xll.qGetFwdRate($J$18,$AW313,$AW314,"T",DCC_Leg2_Float)%+GenRate_2a%%)*$BV313,        IF(GenType_2a="bp (Fixed)",GenRate_2a%%*$BU313*$BT313,   IF(GenType_2a="bp (Float)",GenRate_2a%%*$BT313*$BV313,0))))</f>
        <v>0</v>
      </c>
      <c r="BZ314" s="561"/>
      <c r="CB314" s="341">
        <f t="shared" si="71"/>
        <v>0</v>
      </c>
      <c r="CC314" s="563"/>
      <c r="CD314" s="356"/>
      <c r="CE314" s="341">
        <v>0</v>
      </c>
      <c r="CF314" s="563"/>
      <c r="CG314" s="356"/>
    </row>
    <row r="315" spans="15:85">
      <c r="O315" s="122">
        <v>0</v>
      </c>
      <c r="P315" s="128">
        <f t="shared" si="58"/>
        <v>0</v>
      </c>
      <c r="Q315" s="126">
        <v>0</v>
      </c>
      <c r="R315" s="699">
        <f>IF($O316=0,0,        _xll.qDateNext($O315,R$17,"M",TRUE,Currency1))</f>
        <v>0</v>
      </c>
      <c r="S315" s="699">
        <f>IF($O316=0,0,        _xll.qDateNext($O315,S$17,"M",TRUE,Currency1))</f>
        <v>0</v>
      </c>
      <c r="T315" s="699">
        <f>IF($O316=0,0,        _xll.qDateNext($O315,T$17,"M",TRUE,Currency1))</f>
        <v>0</v>
      </c>
      <c r="U315" s="699">
        <f>IF($O316=0,0,        _xll.qDateNext($O315,U$17,"M",TRUE,Currency1))</f>
        <v>0</v>
      </c>
      <c r="V315" s="699">
        <f>IF($O316=0,0,        _xll.qDateNext($O315,V$17,"M",TRUE,Currency1))</f>
        <v>0</v>
      </c>
      <c r="W315" s="699">
        <f>IF($O316=0,0,        _xll.qDateNext($O315,W$17,"M",TRUE,Currency1))</f>
        <v>0</v>
      </c>
      <c r="X315" s="699">
        <f>IF($O316=0,0,        _xll.qDateNext($O315,X$17,"M",TRUE,Currency1))</f>
        <v>0</v>
      </c>
      <c r="Y315" s="699">
        <f>IF($O316=0,0,        _xll.qDateNext($O315,Y$17,"M",TRUE,Currency1))</f>
        <v>0</v>
      </c>
      <c r="Z315" s="703">
        <f>IF($O316=0,0,           IF(FRM,_xll.qGetFwdRate(Z$14,$O315,R315,"T",DCC_Leg1_Float),_xll.qGetFwdRate(Z$14,$O315,$O316,"T",DCC_Leg1_Float)))</f>
        <v>0</v>
      </c>
      <c r="AA315" s="703">
        <f>IF($O316=0,0,           IF(FRM,_xll.qGetFwdRate(AA$14,$O315,S315,"T",DCC_Leg1_Float),_xll.qGetFwdRate(AA$14,$O315,$O316,"T",DCC_Leg1_Float)))</f>
        <v>0</v>
      </c>
      <c r="AB315" s="703">
        <f t="shared" si="59"/>
        <v>0</v>
      </c>
      <c r="AC315" s="703">
        <f>IF($O316=0,0,           IF(FRM,_xll.qGetFwdRate(AC$14,$O315,U315,"T",DCC_Leg1_Float),_xll.qGetFwdRate(AC$14,$O315,$O316,"T",DCC_Leg1_Float)))</f>
        <v>0</v>
      </c>
      <c r="AD315" s="703">
        <f t="shared" si="64"/>
        <v>0</v>
      </c>
      <c r="AE315" s="703">
        <f t="shared" si="65"/>
        <v>0</v>
      </c>
      <c r="AF315" s="703">
        <f>IF($O316=0,0,           IF(FRM,_xll.qGetFwdRate(AF$14,$O315,X315,"T",DCC_Leg1_Float),_xll.qGetFwdRate(AF$14,$O315,$O316,"T",DCC_Leg1_Float)))</f>
        <v>0</v>
      </c>
      <c r="AG315" s="703">
        <f>IF($O316=0,0,           IF(FRM,_xll.qGetFwdRate(AG$14,$O315,Y315,"T",DCC_Leg1_Float),_xll.qGetFwdRate(AG$14,$O315,$O316,"T",DCC_Leg1_Float)))</f>
        <v>0</v>
      </c>
      <c r="AH315" s="685">
        <v>0</v>
      </c>
      <c r="AI315" s="667"/>
      <c r="AJ315" s="670">
        <f>IF(O316=0,0,             IF(ISNUMBER(AI315),AI315,             IF(ISTEXT(AI315),INDEX(Z315:AG315,MATCH(AI315,$Z$17:$AG$17,0)),           IF(AH315="INT",_xll.qInterp(O316,R315:Y315,Z315:AG315),       INDEX(Z315:AG315,MATCH(AH315,$Z$17:$AG$17,0))))))</f>
        <v>0</v>
      </c>
      <c r="AK315" s="732">
        <v>20</v>
      </c>
      <c r="AL315" s="721">
        <f t="shared" si="60"/>
        <v>0</v>
      </c>
      <c r="AM315" s="284">
        <f>IF($O316,_xll.qDateYears($O315,$O316,DCC_Leg1_Fixed),0)</f>
        <v>0</v>
      </c>
      <c r="AN315" s="284">
        <f>IF($O316,_xll.qDateYears($O315,$O316,DCC_Leg1_Float),0)</f>
        <v>0</v>
      </c>
      <c r="AP315" s="350">
        <f t="shared" si="66"/>
        <v>0</v>
      </c>
      <c r="AQ315" s="375">
        <f>IF(GenType_1a="Fixed",GenRate_1a%*$AL314*AM314,          IF(GenType_1a="Float",$AL314*(_xll.qGetFwdRate($D$18,$O314,$O315,"T",DCC_Leg1_Float)%+GenRate_1a%%)*$AN314,        IF(GenType_1a="bp (Fixed)",GenRate_1a%%*$AM314*$AL314,   IF(GenType_1a="bp (Float)",GenRate_1a%%*$AL314*$AN314,0))))</f>
        <v>0</v>
      </c>
      <c r="AR315" s="561"/>
      <c r="AT315" s="341">
        <f t="shared" si="70"/>
        <v>0</v>
      </c>
      <c r="AV315" s="356"/>
      <c r="AW315" s="122">
        <v>0</v>
      </c>
      <c r="AX315" s="128">
        <f t="shared" si="61"/>
        <v>0</v>
      </c>
      <c r="AY315" s="357">
        <v>0</v>
      </c>
      <c r="AZ315" s="699">
        <f>IF($AW316=0,0,        _xll.qDateNext($AW315,AZ$17,"M",TRUE,Currency2))</f>
        <v>0</v>
      </c>
      <c r="BA315" s="699">
        <f>IF($AW316=0,0,        _xll.qDateNext($AW315,BA$17,"M",TRUE,Currency2))</f>
        <v>0</v>
      </c>
      <c r="BB315" s="699">
        <f>IF($AW316=0,0,        _xll.qDateNext($AW315,BB$17,"M",TRUE,Currency2))</f>
        <v>0</v>
      </c>
      <c r="BC315" s="699">
        <f>IF($AW316=0,0,        _xll.qDateNext($AW315,BC$17,"M",TRUE,Currency2))</f>
        <v>0</v>
      </c>
      <c r="BD315" s="699">
        <f>IF($AW316=0,0,        _xll.qDateNext($AW315,BD$17,"M",TRUE,Currency2))</f>
        <v>0</v>
      </c>
      <c r="BE315" s="699">
        <f>IF($AW316=0,0,        _xll.qDateNext($AW315,BE$17,"M",TRUE,Currency2))</f>
        <v>0</v>
      </c>
      <c r="BF315" s="699">
        <f>IF($AW316=0,0,        _xll.qDateNext($AW315,BF$17,"M",TRUE,Currency2))</f>
        <v>0</v>
      </c>
      <c r="BG315" s="699">
        <f>IF($AW316=0,0,        _xll.qDateNext($AW315,BG$17,"M",TRUE,Currency2))</f>
        <v>0</v>
      </c>
      <c r="BH315" s="703">
        <v>0</v>
      </c>
      <c r="BI315" s="703">
        <v>0</v>
      </c>
      <c r="BJ315" s="703">
        <v>0</v>
      </c>
      <c r="BK315" s="703">
        <v>0</v>
      </c>
      <c r="BL315" s="703">
        <f t="shared" si="67"/>
        <v>0</v>
      </c>
      <c r="BM315" s="703">
        <f t="shared" si="68"/>
        <v>0</v>
      </c>
      <c r="BN315" s="703">
        <v>0</v>
      </c>
      <c r="BO315" s="703">
        <v>0</v>
      </c>
      <c r="BP315" s="685">
        <v>0</v>
      </c>
      <c r="BQ315" s="667"/>
      <c r="BR315" s="670">
        <f>IF(AW316=0,0,             IF(ISNUMBER(BQ315),BQ315,             IF(ISTEXT(BQ315),INDEX(BH315:BO315,MATCH(BQ315,$BH$17:$BO$17,0)),           IF(BP315="INT",_xll.qInterp(AW316,AZ315:BG315,BH315:BO315),       INDEX(BH315:BO315,MATCH(BP315,$BH$17:$BO$17,0))))))</f>
        <v>0</v>
      </c>
      <c r="BS315" s="731">
        <f t="shared" si="62"/>
        <v>0</v>
      </c>
      <c r="BT315" s="406">
        <f t="shared" si="63"/>
        <v>0</v>
      </c>
      <c r="BU315" s="284">
        <f>IF($AW316,_xll.qDateYears($AW315,$AW316,DCC_Leg2_Fixed),0)</f>
        <v>0</v>
      </c>
      <c r="BV315" s="284">
        <f>IF($AW316,_xll.qDateYears($AW315,$AW316,DCC_Leg2_Float),0)</f>
        <v>0</v>
      </c>
      <c r="BX315" s="350">
        <f t="shared" si="69"/>
        <v>0</v>
      </c>
      <c r="BY315" s="375">
        <f>IF(GenType_2a="Fixed",GenRate_2a%*$BT314*BU314,          IF(GenType_2a="Float",$BT314*(_xll.qGetFwdRate($J$18,$AW314,$AW315,"T",DCC_Leg2_Float)%+GenRate_2a%%)*$BV314,        IF(GenType_2a="bp (Fixed)",GenRate_2a%%*$BU314*$BT314,   IF(GenType_2a="bp (Float)",GenRate_2a%%*$BT314*$BV314,0))))</f>
        <v>0</v>
      </c>
      <c r="BZ315" s="561"/>
      <c r="CB315" s="341">
        <f t="shared" si="71"/>
        <v>0</v>
      </c>
      <c r="CC315" s="563"/>
      <c r="CD315" s="356"/>
      <c r="CE315" s="341">
        <v>0</v>
      </c>
      <c r="CF315" s="563"/>
      <c r="CG315" s="356"/>
    </row>
    <row r="316" spans="15:85">
      <c r="O316" s="122">
        <v>0</v>
      </c>
      <c r="P316" s="128">
        <f t="shared" si="58"/>
        <v>0</v>
      </c>
      <c r="Q316" s="126">
        <v>0</v>
      </c>
      <c r="R316" s="699">
        <f>IF($O317=0,0,        _xll.qDateNext($O316,R$17,"M",TRUE,Currency1))</f>
        <v>0</v>
      </c>
      <c r="S316" s="699">
        <f>IF($O317=0,0,        _xll.qDateNext($O316,S$17,"M",TRUE,Currency1))</f>
        <v>0</v>
      </c>
      <c r="T316" s="699">
        <f>IF($O317=0,0,        _xll.qDateNext($O316,T$17,"M",TRUE,Currency1))</f>
        <v>0</v>
      </c>
      <c r="U316" s="699">
        <f>IF($O317=0,0,        _xll.qDateNext($O316,U$17,"M",TRUE,Currency1))</f>
        <v>0</v>
      </c>
      <c r="V316" s="699">
        <f>IF($O317=0,0,        _xll.qDateNext($O316,V$17,"M",TRUE,Currency1))</f>
        <v>0</v>
      </c>
      <c r="W316" s="699">
        <f>IF($O317=0,0,        _xll.qDateNext($O316,W$17,"M",TRUE,Currency1))</f>
        <v>0</v>
      </c>
      <c r="X316" s="699">
        <f>IF($O317=0,0,        _xll.qDateNext($O316,X$17,"M",TRUE,Currency1))</f>
        <v>0</v>
      </c>
      <c r="Y316" s="699">
        <f>IF($O317=0,0,        _xll.qDateNext($O316,Y$17,"M",TRUE,Currency1))</f>
        <v>0</v>
      </c>
      <c r="Z316" s="703">
        <f>IF($O317=0,0,           IF(FRM,_xll.qGetFwdRate(Z$14,$O316,R316,"T",DCC_Leg1_Float),_xll.qGetFwdRate(Z$14,$O316,$O317,"T",DCC_Leg1_Float)))</f>
        <v>0</v>
      </c>
      <c r="AA316" s="703">
        <f>IF($O317=0,0,           IF(FRM,_xll.qGetFwdRate(AA$14,$O316,S316,"T",DCC_Leg1_Float),_xll.qGetFwdRate(AA$14,$O316,$O317,"T",DCC_Leg1_Float)))</f>
        <v>0</v>
      </c>
      <c r="AB316" s="703">
        <f t="shared" si="59"/>
        <v>0</v>
      </c>
      <c r="AC316" s="703">
        <f>IF($O317=0,0,           IF(FRM,_xll.qGetFwdRate(AC$14,$O316,U316,"T",DCC_Leg1_Float),_xll.qGetFwdRate(AC$14,$O316,$O317,"T",DCC_Leg1_Float)))</f>
        <v>0</v>
      </c>
      <c r="AD316" s="703">
        <f t="shared" si="64"/>
        <v>0</v>
      </c>
      <c r="AE316" s="703">
        <f t="shared" si="65"/>
        <v>0</v>
      </c>
      <c r="AF316" s="703">
        <f>IF($O317=0,0,           IF(FRM,_xll.qGetFwdRate(AF$14,$O316,X316,"T",DCC_Leg1_Float),_xll.qGetFwdRate(AF$14,$O316,$O317,"T",DCC_Leg1_Float)))</f>
        <v>0</v>
      </c>
      <c r="AG316" s="703">
        <f>IF($O317=0,0,           IF(FRM,_xll.qGetFwdRate(AG$14,$O316,Y316,"T",DCC_Leg1_Float),_xll.qGetFwdRate(AG$14,$O316,$O317,"T",DCC_Leg1_Float)))</f>
        <v>0</v>
      </c>
      <c r="AH316" s="685">
        <v>0</v>
      </c>
      <c r="AI316" s="667"/>
      <c r="AJ316" s="670">
        <f>IF(O317=0,0,             IF(ISNUMBER(AI316),AI316,             IF(ISTEXT(AI316),INDEX(Z316:AG316,MATCH(AI316,$Z$17:$AG$17,0)),           IF(AH316="INT",_xll.qInterp(O317,R316:Y316,Z316:AG316),       INDEX(Z316:AG316,MATCH(AH316,$Z$17:$AG$17,0))))))</f>
        <v>0</v>
      </c>
      <c r="AK316" s="732">
        <v>20</v>
      </c>
      <c r="AL316" s="721">
        <f t="shared" si="60"/>
        <v>0</v>
      </c>
      <c r="AM316" s="284">
        <f>IF($O317,_xll.qDateYears($O316,$O317,DCC_Leg1_Fixed),0)</f>
        <v>0</v>
      </c>
      <c r="AN316" s="284">
        <f>IF($O317,_xll.qDateYears($O316,$O317,DCC_Leg1_Float),0)</f>
        <v>0</v>
      </c>
      <c r="AP316" s="350">
        <f t="shared" si="66"/>
        <v>0</v>
      </c>
      <c r="AQ316" s="375">
        <f>IF(GenType_1a="Fixed",GenRate_1a%*$AL315*AM315,          IF(GenType_1a="Float",$AL315*(_xll.qGetFwdRate($D$18,$O315,$O316,"T",DCC_Leg1_Float)%+GenRate_1a%%)*$AN315,        IF(GenType_1a="bp (Fixed)",GenRate_1a%%*$AM315*$AL315,   IF(GenType_1a="bp (Float)",GenRate_1a%%*$AL315*$AN315,0))))</f>
        <v>0</v>
      </c>
      <c r="AR316" s="561"/>
      <c r="AT316" s="341">
        <f t="shared" si="70"/>
        <v>0</v>
      </c>
      <c r="AV316" s="356"/>
      <c r="AW316" s="122">
        <v>0</v>
      </c>
      <c r="AX316" s="128">
        <f t="shared" si="61"/>
        <v>0</v>
      </c>
      <c r="AY316" s="357">
        <v>0</v>
      </c>
      <c r="AZ316" s="699">
        <f>IF($AW317=0,0,        _xll.qDateNext($AW316,AZ$17,"M",TRUE,Currency2))</f>
        <v>0</v>
      </c>
      <c r="BA316" s="699">
        <f>IF($AW317=0,0,        _xll.qDateNext($AW316,BA$17,"M",TRUE,Currency2))</f>
        <v>0</v>
      </c>
      <c r="BB316" s="699">
        <f>IF($AW317=0,0,        _xll.qDateNext($AW316,BB$17,"M",TRUE,Currency2))</f>
        <v>0</v>
      </c>
      <c r="BC316" s="699">
        <f>IF($AW317=0,0,        _xll.qDateNext($AW316,BC$17,"M",TRUE,Currency2))</f>
        <v>0</v>
      </c>
      <c r="BD316" s="699">
        <f>IF($AW317=0,0,        _xll.qDateNext($AW316,BD$17,"M",TRUE,Currency2))</f>
        <v>0</v>
      </c>
      <c r="BE316" s="699">
        <f>IF($AW317=0,0,        _xll.qDateNext($AW316,BE$17,"M",TRUE,Currency2))</f>
        <v>0</v>
      </c>
      <c r="BF316" s="699">
        <f>IF($AW317=0,0,        _xll.qDateNext($AW316,BF$17,"M",TRUE,Currency2))</f>
        <v>0</v>
      </c>
      <c r="BG316" s="699">
        <f>IF($AW317=0,0,        _xll.qDateNext($AW316,BG$17,"M",TRUE,Currency2))</f>
        <v>0</v>
      </c>
      <c r="BH316" s="703">
        <v>0</v>
      </c>
      <c r="BI316" s="703">
        <v>0</v>
      </c>
      <c r="BJ316" s="703">
        <v>0</v>
      </c>
      <c r="BK316" s="703">
        <v>0</v>
      </c>
      <c r="BL316" s="703">
        <f t="shared" si="67"/>
        <v>0</v>
      </c>
      <c r="BM316" s="703">
        <f t="shared" si="68"/>
        <v>0</v>
      </c>
      <c r="BN316" s="703">
        <v>0</v>
      </c>
      <c r="BO316" s="703">
        <v>0</v>
      </c>
      <c r="BP316" s="685">
        <v>0</v>
      </c>
      <c r="BQ316" s="667"/>
      <c r="BR316" s="670">
        <f>IF(AW317=0,0,             IF(ISNUMBER(BQ316),BQ316,             IF(ISTEXT(BQ316),INDEX(BH316:BO316,MATCH(BQ316,$BH$17:$BO$17,0)),           IF(BP316="INT",_xll.qInterp(AW317,AZ316:BG316,BH316:BO316),       INDEX(BH316:BO316,MATCH(BP316,$BH$17:$BO$17,0))))))</f>
        <v>0</v>
      </c>
      <c r="BS316" s="731">
        <f t="shared" si="62"/>
        <v>0</v>
      </c>
      <c r="BT316" s="406">
        <f t="shared" si="63"/>
        <v>0</v>
      </c>
      <c r="BU316" s="284">
        <f>IF($AW317,_xll.qDateYears($AW316,$AW317,DCC_Leg2_Fixed),0)</f>
        <v>0</v>
      </c>
      <c r="BV316" s="284">
        <f>IF($AW317,_xll.qDateYears($AW316,$AW317,DCC_Leg2_Float),0)</f>
        <v>0</v>
      </c>
      <c r="BX316" s="350">
        <f t="shared" si="69"/>
        <v>0</v>
      </c>
      <c r="BY316" s="375">
        <f>IF(GenType_2a="Fixed",GenRate_2a%*$BT315*BU315,          IF(GenType_2a="Float",$BT315*(_xll.qGetFwdRate($J$18,$AW315,$AW316,"T",DCC_Leg2_Float)%+GenRate_2a%%)*$BV315,        IF(GenType_2a="bp (Fixed)",GenRate_2a%%*$BU315*$BT315,   IF(GenType_2a="bp (Float)",GenRate_2a%%*$BT315*$BV315,0))))</f>
        <v>0</v>
      </c>
      <c r="BZ316" s="561"/>
      <c r="CB316" s="341">
        <f t="shared" si="71"/>
        <v>0</v>
      </c>
      <c r="CC316" s="563"/>
      <c r="CD316" s="356"/>
      <c r="CE316" s="341">
        <v>0</v>
      </c>
      <c r="CF316" s="563"/>
      <c r="CG316" s="356"/>
    </row>
    <row r="317" spans="15:85">
      <c r="O317" s="122">
        <v>0</v>
      </c>
      <c r="P317" s="128">
        <f t="shared" si="58"/>
        <v>0</v>
      </c>
      <c r="Q317" s="126">
        <v>0</v>
      </c>
      <c r="R317" s="699">
        <f>IF($O318=0,0,        _xll.qDateNext($O317,R$17,"M",TRUE,Currency1))</f>
        <v>0</v>
      </c>
      <c r="S317" s="699">
        <f>IF($O318=0,0,        _xll.qDateNext($O317,S$17,"M",TRUE,Currency1))</f>
        <v>0</v>
      </c>
      <c r="T317" s="699">
        <f>IF($O318=0,0,        _xll.qDateNext($O317,T$17,"M",TRUE,Currency1))</f>
        <v>0</v>
      </c>
      <c r="U317" s="699">
        <f>IF($O318=0,0,        _xll.qDateNext($O317,U$17,"M",TRUE,Currency1))</f>
        <v>0</v>
      </c>
      <c r="V317" s="699">
        <f>IF($O318=0,0,        _xll.qDateNext($O317,V$17,"M",TRUE,Currency1))</f>
        <v>0</v>
      </c>
      <c r="W317" s="699">
        <f>IF($O318=0,0,        _xll.qDateNext($O317,W$17,"M",TRUE,Currency1))</f>
        <v>0</v>
      </c>
      <c r="X317" s="699">
        <f>IF($O318=0,0,        _xll.qDateNext($O317,X$17,"M",TRUE,Currency1))</f>
        <v>0</v>
      </c>
      <c r="Y317" s="699">
        <f>IF($O318=0,0,        _xll.qDateNext($O317,Y$17,"M",TRUE,Currency1))</f>
        <v>0</v>
      </c>
      <c r="Z317" s="703">
        <f>IF($O318=0,0,           IF(FRM,_xll.qGetFwdRate(Z$14,$O317,R317,"T",DCC_Leg1_Float),_xll.qGetFwdRate(Z$14,$O317,$O318,"T",DCC_Leg1_Float)))</f>
        <v>0</v>
      </c>
      <c r="AA317" s="703">
        <f>IF($O318=0,0,           IF(FRM,_xll.qGetFwdRate(AA$14,$O317,S317,"T",DCC_Leg1_Float),_xll.qGetFwdRate(AA$14,$O317,$O318,"T",DCC_Leg1_Float)))</f>
        <v>0</v>
      </c>
      <c r="AB317" s="703">
        <f t="shared" si="59"/>
        <v>0</v>
      </c>
      <c r="AC317" s="703">
        <f>IF($O318=0,0,           IF(FRM,_xll.qGetFwdRate(AC$14,$O317,U317,"T",DCC_Leg1_Float),_xll.qGetFwdRate(AC$14,$O317,$O318,"T",DCC_Leg1_Float)))</f>
        <v>0</v>
      </c>
      <c r="AD317" s="703">
        <f t="shared" si="64"/>
        <v>0</v>
      </c>
      <c r="AE317" s="703">
        <f t="shared" si="65"/>
        <v>0</v>
      </c>
      <c r="AF317" s="703">
        <f>IF($O318=0,0,           IF(FRM,_xll.qGetFwdRate(AF$14,$O317,X317,"T",DCC_Leg1_Float),_xll.qGetFwdRate(AF$14,$O317,$O318,"T",DCC_Leg1_Float)))</f>
        <v>0</v>
      </c>
      <c r="AG317" s="703">
        <f>IF($O318=0,0,           IF(FRM,_xll.qGetFwdRate(AG$14,$O317,Y317,"T",DCC_Leg1_Float),_xll.qGetFwdRate(AG$14,$O317,$O318,"T",DCC_Leg1_Float)))</f>
        <v>0</v>
      </c>
      <c r="AH317" s="685">
        <v>0</v>
      </c>
      <c r="AI317" s="667"/>
      <c r="AJ317" s="670">
        <f>IF(O318=0,0,             IF(ISNUMBER(AI317),AI317,             IF(ISTEXT(AI317),INDEX(Z317:AG317,MATCH(AI317,$Z$17:$AG$17,0)),           IF(AH317="INT",_xll.qInterp(O318,R317:Y317,Z317:AG317),       INDEX(Z317:AG317,MATCH(AH317,$Z$17:$AG$17,0))))))</f>
        <v>0</v>
      </c>
      <c r="AK317" s="732">
        <v>20</v>
      </c>
      <c r="AL317" s="721">
        <f t="shared" si="60"/>
        <v>0</v>
      </c>
      <c r="AM317" s="284">
        <f>IF($O318,_xll.qDateYears($O317,$O318,DCC_Leg1_Fixed),0)</f>
        <v>0</v>
      </c>
      <c r="AN317" s="284">
        <f>IF($O318,_xll.qDateYears($O317,$O318,DCC_Leg1_Float),0)</f>
        <v>0</v>
      </c>
      <c r="AP317" s="350">
        <f t="shared" si="66"/>
        <v>0</v>
      </c>
      <c r="AQ317" s="375">
        <f>IF(GenType_1a="Fixed",GenRate_1a%*$AL316*AM316,          IF(GenType_1a="Float",$AL316*(_xll.qGetFwdRate($D$18,$O316,$O317,"T",DCC_Leg1_Float)%+GenRate_1a%%)*$AN316,        IF(GenType_1a="bp (Fixed)",GenRate_1a%%*$AM316*$AL316,   IF(GenType_1a="bp (Float)",GenRate_1a%%*$AL316*$AN316,0))))</f>
        <v>0</v>
      </c>
      <c r="AR317" s="561"/>
      <c r="AT317" s="341">
        <f t="shared" si="70"/>
        <v>0</v>
      </c>
      <c r="AV317" s="356"/>
      <c r="AW317" s="122">
        <v>0</v>
      </c>
      <c r="AX317" s="128">
        <f t="shared" si="61"/>
        <v>0</v>
      </c>
      <c r="AY317" s="357">
        <v>0</v>
      </c>
      <c r="AZ317" s="699">
        <f>IF($AW318=0,0,        _xll.qDateNext($AW317,AZ$17,"M",TRUE,Currency2))</f>
        <v>0</v>
      </c>
      <c r="BA317" s="699">
        <f>IF($AW318=0,0,        _xll.qDateNext($AW317,BA$17,"M",TRUE,Currency2))</f>
        <v>0</v>
      </c>
      <c r="BB317" s="699">
        <f>IF($AW318=0,0,        _xll.qDateNext($AW317,BB$17,"M",TRUE,Currency2))</f>
        <v>0</v>
      </c>
      <c r="BC317" s="699">
        <f>IF($AW318=0,0,        _xll.qDateNext($AW317,BC$17,"M",TRUE,Currency2))</f>
        <v>0</v>
      </c>
      <c r="BD317" s="699">
        <f>IF($AW318=0,0,        _xll.qDateNext($AW317,BD$17,"M",TRUE,Currency2))</f>
        <v>0</v>
      </c>
      <c r="BE317" s="699">
        <f>IF($AW318=0,0,        _xll.qDateNext($AW317,BE$17,"M",TRUE,Currency2))</f>
        <v>0</v>
      </c>
      <c r="BF317" s="699">
        <f>IF($AW318=0,0,        _xll.qDateNext($AW317,BF$17,"M",TRUE,Currency2))</f>
        <v>0</v>
      </c>
      <c r="BG317" s="699">
        <f>IF($AW318=0,0,        _xll.qDateNext($AW317,BG$17,"M",TRUE,Currency2))</f>
        <v>0</v>
      </c>
      <c r="BH317" s="703">
        <v>0</v>
      </c>
      <c r="BI317" s="703">
        <v>0</v>
      </c>
      <c r="BJ317" s="703">
        <v>0</v>
      </c>
      <c r="BK317" s="703">
        <v>0</v>
      </c>
      <c r="BL317" s="703">
        <f t="shared" si="67"/>
        <v>0</v>
      </c>
      <c r="BM317" s="703">
        <f t="shared" si="68"/>
        <v>0</v>
      </c>
      <c r="BN317" s="703">
        <v>0</v>
      </c>
      <c r="BO317" s="703">
        <v>0</v>
      </c>
      <c r="BP317" s="685">
        <v>0</v>
      </c>
      <c r="BQ317" s="667"/>
      <c r="BR317" s="670">
        <f>IF(AW318=0,0,             IF(ISNUMBER(BQ317),BQ317,             IF(ISTEXT(BQ317),INDEX(BH317:BO317,MATCH(BQ317,$BH$17:$BO$17,0)),           IF(BP317="INT",_xll.qInterp(AW318,AZ317:BG317,BH317:BO317),       INDEX(BH317:BO317,MATCH(BP317,$BH$17:$BO$17,0))))))</f>
        <v>0</v>
      </c>
      <c r="BS317" s="731">
        <f t="shared" si="62"/>
        <v>0</v>
      </c>
      <c r="BT317" s="406">
        <f t="shared" si="63"/>
        <v>0</v>
      </c>
      <c r="BU317" s="284">
        <f>IF($AW318,_xll.qDateYears($AW317,$AW318,DCC_Leg2_Fixed),0)</f>
        <v>0</v>
      </c>
      <c r="BV317" s="284">
        <f>IF($AW318,_xll.qDateYears($AW317,$AW318,DCC_Leg2_Float),0)</f>
        <v>0</v>
      </c>
      <c r="BX317" s="350">
        <f t="shared" si="69"/>
        <v>0</v>
      </c>
      <c r="BY317" s="375">
        <f>IF(GenType_2a="Fixed",GenRate_2a%*$BT316*BU316,          IF(GenType_2a="Float",$BT316*(_xll.qGetFwdRate($J$18,$AW316,$AW317,"T",DCC_Leg2_Float)%+GenRate_2a%%)*$BV316,        IF(GenType_2a="bp (Fixed)",GenRate_2a%%*$BU316*$BT316,   IF(GenType_2a="bp (Float)",GenRate_2a%%*$BT316*$BV316,0))))</f>
        <v>0</v>
      </c>
      <c r="BZ317" s="561"/>
      <c r="CB317" s="341">
        <f t="shared" si="71"/>
        <v>0</v>
      </c>
      <c r="CC317" s="563"/>
      <c r="CD317" s="356"/>
      <c r="CE317" s="341">
        <v>0</v>
      </c>
      <c r="CF317" s="563"/>
      <c r="CG317" s="356"/>
    </row>
    <row r="318" spans="15:85">
      <c r="O318" s="122">
        <v>0</v>
      </c>
      <c r="P318" s="128">
        <f t="shared" si="58"/>
        <v>0</v>
      </c>
      <c r="Q318" s="126">
        <v>0</v>
      </c>
      <c r="R318" s="699">
        <f>IF($O319=0,0,        _xll.qDateNext($O318,R$17,"M",TRUE,Currency1))</f>
        <v>0</v>
      </c>
      <c r="S318" s="699">
        <f>IF($O319=0,0,        _xll.qDateNext($O318,S$17,"M",TRUE,Currency1))</f>
        <v>0</v>
      </c>
      <c r="T318" s="699">
        <f>IF($O319=0,0,        _xll.qDateNext($O318,T$17,"M",TRUE,Currency1))</f>
        <v>0</v>
      </c>
      <c r="U318" s="699">
        <f>IF($O319=0,0,        _xll.qDateNext($O318,U$17,"M",TRUE,Currency1))</f>
        <v>0</v>
      </c>
      <c r="V318" s="699">
        <f>IF($O319=0,0,        _xll.qDateNext($O318,V$17,"M",TRUE,Currency1))</f>
        <v>0</v>
      </c>
      <c r="W318" s="699">
        <f>IF($O319=0,0,        _xll.qDateNext($O318,W$17,"M",TRUE,Currency1))</f>
        <v>0</v>
      </c>
      <c r="X318" s="699">
        <f>IF($O319=0,0,        _xll.qDateNext($O318,X$17,"M",TRUE,Currency1))</f>
        <v>0</v>
      </c>
      <c r="Y318" s="699">
        <f>IF($O319=0,0,        _xll.qDateNext($O318,Y$17,"M",TRUE,Currency1))</f>
        <v>0</v>
      </c>
      <c r="Z318" s="703">
        <f>IF($O319=0,0,           IF(FRM,_xll.qGetFwdRate(Z$14,$O318,R318,"T",DCC_Leg1_Float),_xll.qGetFwdRate(Z$14,$O318,$O319,"T",DCC_Leg1_Float)))</f>
        <v>0</v>
      </c>
      <c r="AA318" s="703">
        <f>IF($O319=0,0,           IF(FRM,_xll.qGetFwdRate(AA$14,$O318,S318,"T",DCC_Leg1_Float),_xll.qGetFwdRate(AA$14,$O318,$O319,"T",DCC_Leg1_Float)))</f>
        <v>0</v>
      </c>
      <c r="AB318" s="703">
        <f t="shared" si="59"/>
        <v>0</v>
      </c>
      <c r="AC318" s="703">
        <f>IF($O319=0,0,           IF(FRM,_xll.qGetFwdRate(AC$14,$O318,U318,"T",DCC_Leg1_Float),_xll.qGetFwdRate(AC$14,$O318,$O319,"T",DCC_Leg1_Float)))</f>
        <v>0</v>
      </c>
      <c r="AD318" s="703">
        <f t="shared" si="64"/>
        <v>0</v>
      </c>
      <c r="AE318" s="703">
        <f t="shared" si="65"/>
        <v>0</v>
      </c>
      <c r="AF318" s="703">
        <f>IF($O319=0,0,           IF(FRM,_xll.qGetFwdRate(AF$14,$O318,X318,"T",DCC_Leg1_Float),_xll.qGetFwdRate(AF$14,$O318,$O319,"T",DCC_Leg1_Float)))</f>
        <v>0</v>
      </c>
      <c r="AG318" s="703">
        <f>IF($O319=0,0,           IF(FRM,_xll.qGetFwdRate(AG$14,$O318,Y318,"T",DCC_Leg1_Float),_xll.qGetFwdRate(AG$14,$O318,$O319,"T",DCC_Leg1_Float)))</f>
        <v>0</v>
      </c>
      <c r="AH318" s="685">
        <v>0</v>
      </c>
      <c r="AI318" s="667"/>
      <c r="AJ318" s="670">
        <f>IF(O319=0,0,             IF(ISNUMBER(AI318),AI318,             IF(ISTEXT(AI318),INDEX(Z318:AG318,MATCH(AI318,$Z$17:$AG$17,0)),           IF(AH318="INT",_xll.qInterp(O319,R318:Y318,Z318:AG318),       INDEX(Z318:AG318,MATCH(AH318,$Z$17:$AG$17,0))))))</f>
        <v>0</v>
      </c>
      <c r="AK318" s="732">
        <v>20</v>
      </c>
      <c r="AL318" s="721">
        <f t="shared" si="60"/>
        <v>0</v>
      </c>
      <c r="AM318" s="284">
        <f>IF($O319,_xll.qDateYears($O318,$O319,DCC_Leg1_Fixed),0)</f>
        <v>0</v>
      </c>
      <c r="AN318" s="284">
        <f>IF($O319,_xll.qDateYears($O318,$O319,DCC_Leg1_Float),0)</f>
        <v>0</v>
      </c>
      <c r="AP318" s="350">
        <f t="shared" si="66"/>
        <v>0</v>
      </c>
      <c r="AQ318" s="375">
        <f>IF(GenType_1a="Fixed",GenRate_1a%*$AL317*AM317,          IF(GenType_1a="Float",$AL317*(_xll.qGetFwdRate($D$18,$O317,$O318,"T",DCC_Leg1_Float)%+GenRate_1a%%)*$AN317,        IF(GenType_1a="bp (Fixed)",GenRate_1a%%*$AM317*$AL317,   IF(GenType_1a="bp (Float)",GenRate_1a%%*$AL317*$AN317,0))))</f>
        <v>0</v>
      </c>
      <c r="AR318" s="561"/>
      <c r="AT318" s="341">
        <f t="shared" si="70"/>
        <v>0</v>
      </c>
      <c r="AV318" s="356"/>
      <c r="AW318" s="122">
        <v>0</v>
      </c>
      <c r="AX318" s="128">
        <f t="shared" si="61"/>
        <v>0</v>
      </c>
      <c r="AY318" s="357">
        <v>0</v>
      </c>
      <c r="AZ318" s="699">
        <f>IF($AW319=0,0,        _xll.qDateNext($AW318,AZ$17,"M",TRUE,Currency2))</f>
        <v>0</v>
      </c>
      <c r="BA318" s="699">
        <f>IF($AW319=0,0,        _xll.qDateNext($AW318,BA$17,"M",TRUE,Currency2))</f>
        <v>0</v>
      </c>
      <c r="BB318" s="699">
        <f>IF($AW319=0,0,        _xll.qDateNext($AW318,BB$17,"M",TRUE,Currency2))</f>
        <v>0</v>
      </c>
      <c r="BC318" s="699">
        <f>IF($AW319=0,0,        _xll.qDateNext($AW318,BC$17,"M",TRUE,Currency2))</f>
        <v>0</v>
      </c>
      <c r="BD318" s="699">
        <f>IF($AW319=0,0,        _xll.qDateNext($AW318,BD$17,"M",TRUE,Currency2))</f>
        <v>0</v>
      </c>
      <c r="BE318" s="699">
        <f>IF($AW319=0,0,        _xll.qDateNext($AW318,BE$17,"M",TRUE,Currency2))</f>
        <v>0</v>
      </c>
      <c r="BF318" s="699">
        <f>IF($AW319=0,0,        _xll.qDateNext($AW318,BF$17,"M",TRUE,Currency2))</f>
        <v>0</v>
      </c>
      <c r="BG318" s="699">
        <f>IF($AW319=0,0,        _xll.qDateNext($AW318,BG$17,"M",TRUE,Currency2))</f>
        <v>0</v>
      </c>
      <c r="BH318" s="703">
        <v>0</v>
      </c>
      <c r="BI318" s="703">
        <v>0</v>
      </c>
      <c r="BJ318" s="703">
        <v>0</v>
      </c>
      <c r="BK318" s="703">
        <v>0</v>
      </c>
      <c r="BL318" s="703">
        <f t="shared" si="67"/>
        <v>0</v>
      </c>
      <c r="BM318" s="703">
        <f t="shared" si="68"/>
        <v>0</v>
      </c>
      <c r="BN318" s="703">
        <v>0</v>
      </c>
      <c r="BO318" s="703">
        <v>0</v>
      </c>
      <c r="BP318" s="685">
        <v>0</v>
      </c>
      <c r="BQ318" s="667"/>
      <c r="BR318" s="670">
        <f>IF(AW319=0,0,             IF(ISNUMBER(BQ318),BQ318,             IF(ISTEXT(BQ318),INDEX(BH318:BO318,MATCH(BQ318,$BH$17:$BO$17,0)),           IF(BP318="INT",_xll.qInterp(AW319,AZ318:BG318,BH318:BO318),       INDEX(BH318:BO318,MATCH(BP318,$BH$17:$BO$17,0))))))</f>
        <v>0</v>
      </c>
      <c r="BS318" s="731">
        <f t="shared" si="62"/>
        <v>0</v>
      </c>
      <c r="BT318" s="406">
        <f t="shared" si="63"/>
        <v>0</v>
      </c>
      <c r="BU318" s="284">
        <f>IF($AW319,_xll.qDateYears($AW318,$AW319,DCC_Leg2_Fixed),0)</f>
        <v>0</v>
      </c>
      <c r="BV318" s="284">
        <f>IF($AW319,_xll.qDateYears($AW318,$AW319,DCC_Leg2_Float),0)</f>
        <v>0</v>
      </c>
      <c r="BX318" s="350">
        <f t="shared" si="69"/>
        <v>0</v>
      </c>
      <c r="BY318" s="375">
        <f>IF(GenType_2a="Fixed",GenRate_2a%*$BT317*BU317,          IF(GenType_2a="Float",$BT317*(_xll.qGetFwdRate($J$18,$AW317,$AW318,"T",DCC_Leg2_Float)%+GenRate_2a%%)*$BV317,        IF(GenType_2a="bp (Fixed)",GenRate_2a%%*$BU317*$BT317,   IF(GenType_2a="bp (Float)",GenRate_2a%%*$BT317*$BV317,0))))</f>
        <v>0</v>
      </c>
      <c r="BZ318" s="561"/>
      <c r="CB318" s="341">
        <f t="shared" si="71"/>
        <v>0</v>
      </c>
      <c r="CC318" s="563"/>
      <c r="CD318" s="356"/>
      <c r="CE318" s="341">
        <v>0</v>
      </c>
      <c r="CF318" s="563"/>
      <c r="CG318" s="356"/>
    </row>
    <row r="319" spans="15:85">
      <c r="O319" s="122">
        <v>0</v>
      </c>
      <c r="P319" s="128">
        <f t="shared" si="58"/>
        <v>0</v>
      </c>
      <c r="Q319" s="126">
        <v>0</v>
      </c>
      <c r="R319" s="699">
        <f>IF($O320=0,0,        _xll.qDateNext($O319,R$17,"M",TRUE,Currency1))</f>
        <v>0</v>
      </c>
      <c r="S319" s="699">
        <f>IF($O320=0,0,        _xll.qDateNext($O319,S$17,"M",TRUE,Currency1))</f>
        <v>0</v>
      </c>
      <c r="T319" s="699">
        <f>IF($O320=0,0,        _xll.qDateNext($O319,T$17,"M",TRUE,Currency1))</f>
        <v>0</v>
      </c>
      <c r="U319" s="699">
        <f>IF($O320=0,0,        _xll.qDateNext($O319,U$17,"M",TRUE,Currency1))</f>
        <v>0</v>
      </c>
      <c r="V319" s="699">
        <f>IF($O320=0,0,        _xll.qDateNext($O319,V$17,"M",TRUE,Currency1))</f>
        <v>0</v>
      </c>
      <c r="W319" s="699">
        <f>IF($O320=0,0,        _xll.qDateNext($O319,W$17,"M",TRUE,Currency1))</f>
        <v>0</v>
      </c>
      <c r="X319" s="699">
        <f>IF($O320=0,0,        _xll.qDateNext($O319,X$17,"M",TRUE,Currency1))</f>
        <v>0</v>
      </c>
      <c r="Y319" s="699">
        <f>IF($O320=0,0,        _xll.qDateNext($O319,Y$17,"M",TRUE,Currency1))</f>
        <v>0</v>
      </c>
      <c r="Z319" s="703">
        <f>IF($O320=0,0,           IF(FRM,_xll.qGetFwdRate(Z$14,$O319,R319,"T",DCC_Leg1_Float),_xll.qGetFwdRate(Z$14,$O319,$O320,"T",DCC_Leg1_Float)))</f>
        <v>0</v>
      </c>
      <c r="AA319" s="703">
        <f>IF($O320=0,0,           IF(FRM,_xll.qGetFwdRate(AA$14,$O319,S319,"T",DCC_Leg1_Float),_xll.qGetFwdRate(AA$14,$O319,$O320,"T",DCC_Leg1_Float)))</f>
        <v>0</v>
      </c>
      <c r="AB319" s="703">
        <f t="shared" si="59"/>
        <v>0</v>
      </c>
      <c r="AC319" s="703">
        <f>IF($O320=0,0,           IF(FRM,_xll.qGetFwdRate(AC$14,$O319,U319,"T",DCC_Leg1_Float),_xll.qGetFwdRate(AC$14,$O319,$O320,"T",DCC_Leg1_Float)))</f>
        <v>0</v>
      </c>
      <c r="AD319" s="703">
        <f t="shared" si="64"/>
        <v>0</v>
      </c>
      <c r="AE319" s="703">
        <f t="shared" si="65"/>
        <v>0</v>
      </c>
      <c r="AF319" s="703">
        <f>IF($O320=0,0,           IF(FRM,_xll.qGetFwdRate(AF$14,$O319,X319,"T",DCC_Leg1_Float),_xll.qGetFwdRate(AF$14,$O319,$O320,"T",DCC_Leg1_Float)))</f>
        <v>0</v>
      </c>
      <c r="AG319" s="703">
        <f>IF($O320=0,0,           IF(FRM,_xll.qGetFwdRate(AG$14,$O319,Y319,"T",DCC_Leg1_Float),_xll.qGetFwdRate(AG$14,$O319,$O320,"T",DCC_Leg1_Float)))</f>
        <v>0</v>
      </c>
      <c r="AH319" s="685">
        <v>0</v>
      </c>
      <c r="AI319" s="667"/>
      <c r="AJ319" s="670">
        <f>IF(O320=0,0,             IF(ISNUMBER(AI319),AI319,             IF(ISTEXT(AI319),INDEX(Z319:AG319,MATCH(AI319,$Z$17:$AG$17,0)),           IF(AH319="INT",_xll.qInterp(O320,R319:Y319,Z319:AG319),       INDEX(Z319:AG319,MATCH(AH319,$Z$17:$AG$17,0))))))</f>
        <v>0</v>
      </c>
      <c r="AK319" s="732">
        <v>20</v>
      </c>
      <c r="AL319" s="721">
        <f t="shared" si="60"/>
        <v>0</v>
      </c>
      <c r="AM319" s="284">
        <f>IF($O320,_xll.qDateYears($O319,$O320,DCC_Leg1_Fixed),0)</f>
        <v>0</v>
      </c>
      <c r="AN319" s="284">
        <f>IF($O320,_xll.qDateYears($O319,$O320,DCC_Leg1_Float),0)</f>
        <v>0</v>
      </c>
      <c r="AP319" s="350">
        <f t="shared" si="66"/>
        <v>0</v>
      </c>
      <c r="AQ319" s="375">
        <f>IF(GenType_1a="Fixed",GenRate_1a%*$AL318*AM318,          IF(GenType_1a="Float",$AL318*(_xll.qGetFwdRate($D$18,$O318,$O319,"T",DCC_Leg1_Float)%+GenRate_1a%%)*$AN318,        IF(GenType_1a="bp (Fixed)",GenRate_1a%%*$AM318*$AL318,   IF(GenType_1a="bp (Float)",GenRate_1a%%*$AL318*$AN318,0))))</f>
        <v>0</v>
      </c>
      <c r="AR319" s="561"/>
      <c r="AT319" s="341">
        <f t="shared" si="70"/>
        <v>0</v>
      </c>
      <c r="AV319" s="356"/>
      <c r="AW319" s="122">
        <v>0</v>
      </c>
      <c r="AX319" s="128">
        <f t="shared" si="61"/>
        <v>0</v>
      </c>
      <c r="AY319" s="357">
        <v>0</v>
      </c>
      <c r="AZ319" s="699">
        <f>IF($AW320=0,0,        _xll.qDateNext($AW319,AZ$17,"M",TRUE,Currency2))</f>
        <v>0</v>
      </c>
      <c r="BA319" s="699">
        <f>IF($AW320=0,0,        _xll.qDateNext($AW319,BA$17,"M",TRUE,Currency2))</f>
        <v>0</v>
      </c>
      <c r="BB319" s="699">
        <f>IF($AW320=0,0,        _xll.qDateNext($AW319,BB$17,"M",TRUE,Currency2))</f>
        <v>0</v>
      </c>
      <c r="BC319" s="699">
        <f>IF($AW320=0,0,        _xll.qDateNext($AW319,BC$17,"M",TRUE,Currency2))</f>
        <v>0</v>
      </c>
      <c r="BD319" s="699">
        <f>IF($AW320=0,0,        _xll.qDateNext($AW319,BD$17,"M",TRUE,Currency2))</f>
        <v>0</v>
      </c>
      <c r="BE319" s="699">
        <f>IF($AW320=0,0,        _xll.qDateNext($AW319,BE$17,"M",TRUE,Currency2))</f>
        <v>0</v>
      </c>
      <c r="BF319" s="699">
        <f>IF($AW320=0,0,        _xll.qDateNext($AW319,BF$17,"M",TRUE,Currency2))</f>
        <v>0</v>
      </c>
      <c r="BG319" s="699">
        <f>IF($AW320=0,0,        _xll.qDateNext($AW319,BG$17,"M",TRUE,Currency2))</f>
        <v>0</v>
      </c>
      <c r="BH319" s="703">
        <v>0</v>
      </c>
      <c r="BI319" s="703">
        <v>0</v>
      </c>
      <c r="BJ319" s="703">
        <v>0</v>
      </c>
      <c r="BK319" s="703">
        <v>0</v>
      </c>
      <c r="BL319" s="703">
        <f t="shared" si="67"/>
        <v>0</v>
      </c>
      <c r="BM319" s="703">
        <f t="shared" si="68"/>
        <v>0</v>
      </c>
      <c r="BN319" s="703">
        <v>0</v>
      </c>
      <c r="BO319" s="703">
        <v>0</v>
      </c>
      <c r="BP319" s="685">
        <v>0</v>
      </c>
      <c r="BQ319" s="667"/>
      <c r="BR319" s="670">
        <f>IF(AW320=0,0,             IF(ISNUMBER(BQ319),BQ319,             IF(ISTEXT(BQ319),INDEX(BH319:BO319,MATCH(BQ319,$BH$17:$BO$17,0)),           IF(BP319="INT",_xll.qInterp(AW320,AZ319:BG319,BH319:BO319),       INDEX(BH319:BO319,MATCH(BP319,$BH$17:$BO$17,0))))))</f>
        <v>0</v>
      </c>
      <c r="BS319" s="731">
        <f t="shared" si="62"/>
        <v>0</v>
      </c>
      <c r="BT319" s="406">
        <f t="shared" si="63"/>
        <v>0</v>
      </c>
      <c r="BU319" s="284">
        <f>IF($AW320,_xll.qDateYears($AW319,$AW320,DCC_Leg2_Fixed),0)</f>
        <v>0</v>
      </c>
      <c r="BV319" s="284">
        <f>IF($AW320,_xll.qDateYears($AW319,$AW320,DCC_Leg2_Float),0)</f>
        <v>0</v>
      </c>
      <c r="BX319" s="350">
        <f t="shared" si="69"/>
        <v>0</v>
      </c>
      <c r="BY319" s="375">
        <f>IF(GenType_2a="Fixed",GenRate_2a%*$BT318*BU318,          IF(GenType_2a="Float",$BT318*(_xll.qGetFwdRate($J$18,$AW318,$AW319,"T",DCC_Leg2_Float)%+GenRate_2a%%)*$BV318,        IF(GenType_2a="bp (Fixed)",GenRate_2a%%*$BU318*$BT318,   IF(GenType_2a="bp (Float)",GenRate_2a%%*$BT318*$BV318,0))))</f>
        <v>0</v>
      </c>
      <c r="BZ319" s="561"/>
      <c r="CB319" s="341">
        <f t="shared" si="71"/>
        <v>0</v>
      </c>
      <c r="CC319" s="563"/>
      <c r="CD319" s="356"/>
      <c r="CE319" s="341">
        <v>0</v>
      </c>
      <c r="CF319" s="563"/>
      <c r="CG319" s="356"/>
    </row>
    <row r="320" spans="15:85">
      <c r="O320" s="122">
        <v>0</v>
      </c>
      <c r="P320" s="128">
        <f t="shared" si="58"/>
        <v>0</v>
      </c>
      <c r="Q320" s="126">
        <v>0</v>
      </c>
      <c r="R320" s="699">
        <f>IF($O321=0,0,        _xll.qDateNext($O320,R$17,"M",TRUE,Currency1))</f>
        <v>0</v>
      </c>
      <c r="S320" s="699">
        <f>IF($O321=0,0,        _xll.qDateNext($O320,S$17,"M",TRUE,Currency1))</f>
        <v>0</v>
      </c>
      <c r="T320" s="699">
        <f>IF($O321=0,0,        _xll.qDateNext($O320,T$17,"M",TRUE,Currency1))</f>
        <v>0</v>
      </c>
      <c r="U320" s="699">
        <f>IF($O321=0,0,        _xll.qDateNext($O320,U$17,"M",TRUE,Currency1))</f>
        <v>0</v>
      </c>
      <c r="V320" s="699">
        <f>IF($O321=0,0,        _xll.qDateNext($O320,V$17,"M",TRUE,Currency1))</f>
        <v>0</v>
      </c>
      <c r="W320" s="699">
        <f>IF($O321=0,0,        _xll.qDateNext($O320,W$17,"M",TRUE,Currency1))</f>
        <v>0</v>
      </c>
      <c r="X320" s="699">
        <f>IF($O321=0,0,        _xll.qDateNext($O320,X$17,"M",TRUE,Currency1))</f>
        <v>0</v>
      </c>
      <c r="Y320" s="699">
        <f>IF($O321=0,0,        _xll.qDateNext($O320,Y$17,"M",TRUE,Currency1))</f>
        <v>0</v>
      </c>
      <c r="Z320" s="703">
        <f>IF($O321=0,0,           IF(FRM,_xll.qGetFwdRate(Z$14,$O320,R320,"T",DCC_Leg1_Float),_xll.qGetFwdRate(Z$14,$O320,$O321,"T",DCC_Leg1_Float)))</f>
        <v>0</v>
      </c>
      <c r="AA320" s="703">
        <f>IF($O321=0,0,           IF(FRM,_xll.qGetFwdRate(AA$14,$O320,S320,"T",DCC_Leg1_Float),_xll.qGetFwdRate(AA$14,$O320,$O321,"T",DCC_Leg1_Float)))</f>
        <v>0</v>
      </c>
      <c r="AB320" s="703">
        <f t="shared" si="59"/>
        <v>0</v>
      </c>
      <c r="AC320" s="703">
        <f>IF($O321=0,0,           IF(FRM,_xll.qGetFwdRate(AC$14,$O320,U320,"T",DCC_Leg1_Float),_xll.qGetFwdRate(AC$14,$O320,$O321,"T",DCC_Leg1_Float)))</f>
        <v>0</v>
      </c>
      <c r="AD320" s="703">
        <f t="shared" si="64"/>
        <v>0</v>
      </c>
      <c r="AE320" s="703">
        <f t="shared" si="65"/>
        <v>0</v>
      </c>
      <c r="AF320" s="703">
        <f>IF($O321=0,0,           IF(FRM,_xll.qGetFwdRate(AF$14,$O320,X320,"T",DCC_Leg1_Float),_xll.qGetFwdRate(AF$14,$O320,$O321,"T",DCC_Leg1_Float)))</f>
        <v>0</v>
      </c>
      <c r="AG320" s="703">
        <f>IF($O321=0,0,           IF(FRM,_xll.qGetFwdRate(AG$14,$O320,Y320,"T",DCC_Leg1_Float),_xll.qGetFwdRate(AG$14,$O320,$O321,"T",DCC_Leg1_Float)))</f>
        <v>0</v>
      </c>
      <c r="AH320" s="685">
        <v>0</v>
      </c>
      <c r="AI320" s="667"/>
      <c r="AJ320" s="670">
        <f>IF(O321=0,0,             IF(ISNUMBER(AI320),AI320,             IF(ISTEXT(AI320),INDEX(Z320:AG320,MATCH(AI320,$Z$17:$AG$17,0)),           IF(AH320="INT",_xll.qInterp(O321,R320:Y320,Z320:AG320),       INDEX(Z320:AG320,MATCH(AH320,$Z$17:$AG$17,0))))))</f>
        <v>0</v>
      </c>
      <c r="AK320" s="732">
        <v>20</v>
      </c>
      <c r="AL320" s="721">
        <f t="shared" si="60"/>
        <v>0</v>
      </c>
      <c r="AM320" s="284">
        <f>IF($O321,_xll.qDateYears($O320,$O321,DCC_Leg1_Fixed),0)</f>
        <v>0</v>
      </c>
      <c r="AN320" s="284">
        <f>IF($O321,_xll.qDateYears($O320,$O321,DCC_Leg1_Float),0)</f>
        <v>0</v>
      </c>
      <c r="AP320" s="350">
        <f t="shared" si="66"/>
        <v>0</v>
      </c>
      <c r="AQ320" s="375">
        <f>IF(GenType_1a="Fixed",GenRate_1a%*$AL319*AM319,          IF(GenType_1a="Float",$AL319*(_xll.qGetFwdRate($D$18,$O319,$O320,"T",DCC_Leg1_Float)%+GenRate_1a%%)*$AN319,        IF(GenType_1a="bp (Fixed)",GenRate_1a%%*$AM319*$AL319,   IF(GenType_1a="bp (Float)",GenRate_1a%%*$AL319*$AN319,0))))</f>
        <v>0</v>
      </c>
      <c r="AR320" s="561"/>
      <c r="AT320" s="341">
        <f t="shared" si="70"/>
        <v>0</v>
      </c>
      <c r="AV320" s="356"/>
      <c r="AW320" s="122">
        <v>0</v>
      </c>
      <c r="AX320" s="128">
        <f t="shared" si="61"/>
        <v>0</v>
      </c>
      <c r="AY320" s="357">
        <v>0</v>
      </c>
      <c r="AZ320" s="699">
        <f>IF($AW321=0,0,        _xll.qDateNext($AW320,AZ$17,"M",TRUE,Currency2))</f>
        <v>0</v>
      </c>
      <c r="BA320" s="699">
        <f>IF($AW321=0,0,        _xll.qDateNext($AW320,BA$17,"M",TRUE,Currency2))</f>
        <v>0</v>
      </c>
      <c r="BB320" s="699">
        <f>IF($AW321=0,0,        _xll.qDateNext($AW320,BB$17,"M",TRUE,Currency2))</f>
        <v>0</v>
      </c>
      <c r="BC320" s="699">
        <f>IF($AW321=0,0,        _xll.qDateNext($AW320,BC$17,"M",TRUE,Currency2))</f>
        <v>0</v>
      </c>
      <c r="BD320" s="699">
        <f>IF($AW321=0,0,        _xll.qDateNext($AW320,BD$17,"M",TRUE,Currency2))</f>
        <v>0</v>
      </c>
      <c r="BE320" s="699">
        <f>IF($AW321=0,0,        _xll.qDateNext($AW320,BE$17,"M",TRUE,Currency2))</f>
        <v>0</v>
      </c>
      <c r="BF320" s="699">
        <f>IF($AW321=0,0,        _xll.qDateNext($AW320,BF$17,"M",TRUE,Currency2))</f>
        <v>0</v>
      </c>
      <c r="BG320" s="699">
        <f>IF($AW321=0,0,        _xll.qDateNext($AW320,BG$17,"M",TRUE,Currency2))</f>
        <v>0</v>
      </c>
      <c r="BH320" s="703">
        <v>0</v>
      </c>
      <c r="BI320" s="703">
        <v>0</v>
      </c>
      <c r="BJ320" s="703">
        <v>0</v>
      </c>
      <c r="BK320" s="703">
        <v>0</v>
      </c>
      <c r="BL320" s="703">
        <f t="shared" si="67"/>
        <v>0</v>
      </c>
      <c r="BM320" s="703">
        <f t="shared" si="68"/>
        <v>0</v>
      </c>
      <c r="BN320" s="703">
        <v>0</v>
      </c>
      <c r="BO320" s="703">
        <v>0</v>
      </c>
      <c r="BP320" s="685">
        <v>0</v>
      </c>
      <c r="BQ320" s="667"/>
      <c r="BR320" s="670">
        <f>IF(AW321=0,0,             IF(ISNUMBER(BQ320),BQ320,             IF(ISTEXT(BQ320),INDEX(BH320:BO320,MATCH(BQ320,$BH$17:$BO$17,0)),           IF(BP320="INT",_xll.qInterp(AW321,AZ320:BG320,BH320:BO320),       INDEX(BH320:BO320,MATCH(BP320,$BH$17:$BO$17,0))))))</f>
        <v>0</v>
      </c>
      <c r="BS320" s="731">
        <f t="shared" si="62"/>
        <v>0</v>
      </c>
      <c r="BT320" s="406">
        <f t="shared" si="63"/>
        <v>0</v>
      </c>
      <c r="BU320" s="284">
        <f>IF($AW321,_xll.qDateYears($AW320,$AW321,DCC_Leg2_Fixed),0)</f>
        <v>0</v>
      </c>
      <c r="BV320" s="284">
        <f>IF($AW321,_xll.qDateYears($AW320,$AW321,DCC_Leg2_Float),0)</f>
        <v>0</v>
      </c>
      <c r="BX320" s="350">
        <f t="shared" si="69"/>
        <v>0</v>
      </c>
      <c r="BY320" s="375">
        <f>IF(GenType_2a="Fixed",GenRate_2a%*$BT319*BU319,          IF(GenType_2a="Float",$BT319*(_xll.qGetFwdRate($J$18,$AW319,$AW320,"T",DCC_Leg2_Float)%+GenRate_2a%%)*$BV319,        IF(GenType_2a="bp (Fixed)",GenRate_2a%%*$BU319*$BT319,   IF(GenType_2a="bp (Float)",GenRate_2a%%*$BT319*$BV319,0))))</f>
        <v>0</v>
      </c>
      <c r="BZ320" s="561"/>
      <c r="CB320" s="341">
        <f t="shared" si="71"/>
        <v>0</v>
      </c>
      <c r="CC320" s="563"/>
      <c r="CD320" s="356"/>
      <c r="CE320" s="341">
        <v>0</v>
      </c>
      <c r="CF320" s="563"/>
      <c r="CG320" s="356"/>
    </row>
    <row r="321" spans="15:85">
      <c r="O321" s="122">
        <v>0</v>
      </c>
      <c r="P321" s="128">
        <f t="shared" si="58"/>
        <v>0</v>
      </c>
      <c r="Q321" s="126">
        <v>0</v>
      </c>
      <c r="R321" s="699">
        <f>IF($O322=0,0,        _xll.qDateNext($O321,R$17,"M",TRUE,Currency1))</f>
        <v>0</v>
      </c>
      <c r="S321" s="699">
        <f>IF($O322=0,0,        _xll.qDateNext($O321,S$17,"M",TRUE,Currency1))</f>
        <v>0</v>
      </c>
      <c r="T321" s="699">
        <f>IF($O322=0,0,        _xll.qDateNext($O321,T$17,"M",TRUE,Currency1))</f>
        <v>0</v>
      </c>
      <c r="U321" s="699">
        <f>IF($O322=0,0,        _xll.qDateNext($O321,U$17,"M",TRUE,Currency1))</f>
        <v>0</v>
      </c>
      <c r="V321" s="699">
        <f>IF($O322=0,0,        _xll.qDateNext($O321,V$17,"M",TRUE,Currency1))</f>
        <v>0</v>
      </c>
      <c r="W321" s="699">
        <f>IF($O322=0,0,        _xll.qDateNext($O321,W$17,"M",TRUE,Currency1))</f>
        <v>0</v>
      </c>
      <c r="X321" s="699">
        <f>IF($O322=0,0,        _xll.qDateNext($O321,X$17,"M",TRUE,Currency1))</f>
        <v>0</v>
      </c>
      <c r="Y321" s="699">
        <f>IF($O322=0,0,        _xll.qDateNext($O321,Y$17,"M",TRUE,Currency1))</f>
        <v>0</v>
      </c>
      <c r="Z321" s="703">
        <f>IF($O322=0,0,           IF(FRM,_xll.qGetFwdRate(Z$14,$O321,R321,"T",DCC_Leg1_Float),_xll.qGetFwdRate(Z$14,$O321,$O322,"T",DCC_Leg1_Float)))</f>
        <v>0</v>
      </c>
      <c r="AA321" s="703">
        <f>IF($O322=0,0,           IF(FRM,_xll.qGetFwdRate(AA$14,$O321,S321,"T",DCC_Leg1_Float),_xll.qGetFwdRate(AA$14,$O321,$O322,"T",DCC_Leg1_Float)))</f>
        <v>0</v>
      </c>
      <c r="AB321" s="703">
        <f t="shared" si="59"/>
        <v>0</v>
      </c>
      <c r="AC321" s="703">
        <f>IF($O322=0,0,           IF(FRM,_xll.qGetFwdRate(AC$14,$O321,U321,"T",DCC_Leg1_Float),_xll.qGetFwdRate(AC$14,$O321,$O322,"T",DCC_Leg1_Float)))</f>
        <v>0</v>
      </c>
      <c r="AD321" s="703">
        <f t="shared" si="64"/>
        <v>0</v>
      </c>
      <c r="AE321" s="703">
        <f t="shared" si="65"/>
        <v>0</v>
      </c>
      <c r="AF321" s="703">
        <f>IF($O322=0,0,           IF(FRM,_xll.qGetFwdRate(AF$14,$O321,X321,"T",DCC_Leg1_Float),_xll.qGetFwdRate(AF$14,$O321,$O322,"T",DCC_Leg1_Float)))</f>
        <v>0</v>
      </c>
      <c r="AG321" s="703">
        <f>IF($O322=0,0,           IF(FRM,_xll.qGetFwdRate(AG$14,$O321,Y321,"T",DCC_Leg1_Float),_xll.qGetFwdRate(AG$14,$O321,$O322,"T",DCC_Leg1_Float)))</f>
        <v>0</v>
      </c>
      <c r="AH321" s="685">
        <v>0</v>
      </c>
      <c r="AI321" s="667"/>
      <c r="AJ321" s="670">
        <f>IF(O322=0,0,             IF(ISNUMBER(AI321),AI321,             IF(ISTEXT(AI321),INDEX(Z321:AG321,MATCH(AI321,$Z$17:$AG$17,0)),           IF(AH321="INT",_xll.qInterp(O322,R321:Y321,Z321:AG321),       INDEX(Z321:AG321,MATCH(AH321,$Z$17:$AG$17,0))))))</f>
        <v>0</v>
      </c>
      <c r="AK321" s="732">
        <v>20</v>
      </c>
      <c r="AL321" s="721">
        <f t="shared" si="60"/>
        <v>0</v>
      </c>
      <c r="AM321" s="284">
        <f>IF($O322,_xll.qDateYears($O321,$O322,DCC_Leg1_Fixed),0)</f>
        <v>0</v>
      </c>
      <c r="AN321" s="284">
        <f>IF($O322,_xll.qDateYears($O321,$O322,DCC_Leg1_Float),0)</f>
        <v>0</v>
      </c>
      <c r="AP321" s="350">
        <f t="shared" si="66"/>
        <v>0</v>
      </c>
      <c r="AQ321" s="375">
        <f>IF(GenType_1a="Fixed",GenRate_1a%*$AL320*AM320,          IF(GenType_1a="Float",$AL320*(_xll.qGetFwdRate($D$18,$O320,$O321,"T",DCC_Leg1_Float)%+GenRate_1a%%)*$AN320,        IF(GenType_1a="bp (Fixed)",GenRate_1a%%*$AM320*$AL320,   IF(GenType_1a="bp (Float)",GenRate_1a%%*$AL320*$AN320,0))))</f>
        <v>0</v>
      </c>
      <c r="AR321" s="561"/>
      <c r="AT321" s="341">
        <f t="shared" si="70"/>
        <v>0</v>
      </c>
      <c r="AV321" s="356"/>
      <c r="AW321" s="122">
        <v>0</v>
      </c>
      <c r="AX321" s="128">
        <f t="shared" si="61"/>
        <v>0</v>
      </c>
      <c r="AY321" s="357">
        <v>0</v>
      </c>
      <c r="AZ321" s="699">
        <f>IF($AW322=0,0,        _xll.qDateNext($AW321,AZ$17,"M",TRUE,Currency2))</f>
        <v>0</v>
      </c>
      <c r="BA321" s="699">
        <f>IF($AW322=0,0,        _xll.qDateNext($AW321,BA$17,"M",TRUE,Currency2))</f>
        <v>0</v>
      </c>
      <c r="BB321" s="699">
        <f>IF($AW322=0,0,        _xll.qDateNext($AW321,BB$17,"M",TRUE,Currency2))</f>
        <v>0</v>
      </c>
      <c r="BC321" s="699">
        <f>IF($AW322=0,0,        _xll.qDateNext($AW321,BC$17,"M",TRUE,Currency2))</f>
        <v>0</v>
      </c>
      <c r="BD321" s="699">
        <f>IF($AW322=0,0,        _xll.qDateNext($AW321,BD$17,"M",TRUE,Currency2))</f>
        <v>0</v>
      </c>
      <c r="BE321" s="699">
        <f>IF($AW322=0,0,        _xll.qDateNext($AW321,BE$17,"M",TRUE,Currency2))</f>
        <v>0</v>
      </c>
      <c r="BF321" s="699">
        <f>IF($AW322=0,0,        _xll.qDateNext($AW321,BF$17,"M",TRUE,Currency2))</f>
        <v>0</v>
      </c>
      <c r="BG321" s="699">
        <f>IF($AW322=0,0,        _xll.qDateNext($AW321,BG$17,"M",TRUE,Currency2))</f>
        <v>0</v>
      </c>
      <c r="BH321" s="703">
        <v>0</v>
      </c>
      <c r="BI321" s="703">
        <v>0</v>
      </c>
      <c r="BJ321" s="703">
        <v>0</v>
      </c>
      <c r="BK321" s="703">
        <v>0</v>
      </c>
      <c r="BL321" s="703">
        <f t="shared" si="67"/>
        <v>0</v>
      </c>
      <c r="BM321" s="703">
        <f t="shared" si="68"/>
        <v>0</v>
      </c>
      <c r="BN321" s="703">
        <v>0</v>
      </c>
      <c r="BO321" s="703">
        <v>0</v>
      </c>
      <c r="BP321" s="685">
        <v>0</v>
      </c>
      <c r="BQ321" s="667"/>
      <c r="BR321" s="670">
        <f>IF(AW322=0,0,             IF(ISNUMBER(BQ321),BQ321,             IF(ISTEXT(BQ321),INDEX(BH321:BO321,MATCH(BQ321,$BH$17:$BO$17,0)),           IF(BP321="INT",_xll.qInterp(AW322,AZ321:BG321,BH321:BO321),       INDEX(BH321:BO321,MATCH(BP321,$BH$17:$BO$17,0))))))</f>
        <v>0</v>
      </c>
      <c r="BS321" s="731">
        <f t="shared" si="62"/>
        <v>0</v>
      </c>
      <c r="BT321" s="406">
        <f t="shared" si="63"/>
        <v>0</v>
      </c>
      <c r="BU321" s="284">
        <f>IF($AW322,_xll.qDateYears($AW321,$AW322,DCC_Leg2_Fixed),0)</f>
        <v>0</v>
      </c>
      <c r="BV321" s="284">
        <f>IF($AW322,_xll.qDateYears($AW321,$AW322,DCC_Leg2_Float),0)</f>
        <v>0</v>
      </c>
      <c r="BX321" s="350">
        <f t="shared" si="69"/>
        <v>0</v>
      </c>
      <c r="BY321" s="375">
        <f>IF(GenType_2a="Fixed",GenRate_2a%*$BT320*BU320,          IF(GenType_2a="Float",$BT320*(_xll.qGetFwdRate($J$18,$AW320,$AW321,"T",DCC_Leg2_Float)%+GenRate_2a%%)*$BV320,        IF(GenType_2a="bp (Fixed)",GenRate_2a%%*$BU320*$BT320,   IF(GenType_2a="bp (Float)",GenRate_2a%%*$BT320*$BV320,0))))</f>
        <v>0</v>
      </c>
      <c r="BZ321" s="561"/>
      <c r="CB321" s="341">
        <f t="shared" si="71"/>
        <v>0</v>
      </c>
      <c r="CC321" s="563"/>
      <c r="CD321" s="356"/>
      <c r="CE321" s="341">
        <v>0</v>
      </c>
      <c r="CF321" s="563"/>
      <c r="CG321" s="356"/>
    </row>
    <row r="322" spans="15:85">
      <c r="O322" s="122">
        <v>0</v>
      </c>
      <c r="P322" s="128">
        <f t="shared" si="58"/>
        <v>0</v>
      </c>
      <c r="Q322" s="126">
        <v>0</v>
      </c>
      <c r="R322" s="699">
        <f>IF($O323=0,0,        _xll.qDateNext($O322,R$17,"M",TRUE,Currency1))</f>
        <v>0</v>
      </c>
      <c r="S322" s="699">
        <f>IF($O323=0,0,        _xll.qDateNext($O322,S$17,"M",TRUE,Currency1))</f>
        <v>0</v>
      </c>
      <c r="T322" s="699">
        <f>IF($O323=0,0,        _xll.qDateNext($O322,T$17,"M",TRUE,Currency1))</f>
        <v>0</v>
      </c>
      <c r="U322" s="699">
        <f>IF($O323=0,0,        _xll.qDateNext($O322,U$17,"M",TRUE,Currency1))</f>
        <v>0</v>
      </c>
      <c r="V322" s="699">
        <f>IF($O323=0,0,        _xll.qDateNext($O322,V$17,"M",TRUE,Currency1))</f>
        <v>0</v>
      </c>
      <c r="W322" s="699">
        <f>IF($O323=0,0,        _xll.qDateNext($O322,W$17,"M",TRUE,Currency1))</f>
        <v>0</v>
      </c>
      <c r="X322" s="699">
        <f>IF($O323=0,0,        _xll.qDateNext($O322,X$17,"M",TRUE,Currency1))</f>
        <v>0</v>
      </c>
      <c r="Y322" s="699">
        <f>IF($O323=0,0,        _xll.qDateNext($O322,Y$17,"M",TRUE,Currency1))</f>
        <v>0</v>
      </c>
      <c r="Z322" s="703">
        <f>IF($O323=0,0,           IF(FRM,_xll.qGetFwdRate(Z$14,$O322,R322,"T",DCC_Leg1_Float),_xll.qGetFwdRate(Z$14,$O322,$O323,"T",DCC_Leg1_Float)))</f>
        <v>0</v>
      </c>
      <c r="AA322" s="703">
        <f>IF($O323=0,0,           IF(FRM,_xll.qGetFwdRate(AA$14,$O322,S322,"T",DCC_Leg1_Float),_xll.qGetFwdRate(AA$14,$O322,$O323,"T",DCC_Leg1_Float)))</f>
        <v>0</v>
      </c>
      <c r="AB322" s="703">
        <f t="shared" si="59"/>
        <v>0</v>
      </c>
      <c r="AC322" s="703">
        <f>IF($O323=0,0,           IF(FRM,_xll.qGetFwdRate(AC$14,$O322,U322,"T",DCC_Leg1_Float),_xll.qGetFwdRate(AC$14,$O322,$O323,"T",DCC_Leg1_Float)))</f>
        <v>0</v>
      </c>
      <c r="AD322" s="703">
        <f t="shared" si="64"/>
        <v>0</v>
      </c>
      <c r="AE322" s="703">
        <f t="shared" si="65"/>
        <v>0</v>
      </c>
      <c r="AF322" s="703">
        <f>IF($O323=0,0,           IF(FRM,_xll.qGetFwdRate(AF$14,$O322,X322,"T",DCC_Leg1_Float),_xll.qGetFwdRate(AF$14,$O322,$O323,"T",DCC_Leg1_Float)))</f>
        <v>0</v>
      </c>
      <c r="AG322" s="703">
        <f>IF($O323=0,0,           IF(FRM,_xll.qGetFwdRate(AG$14,$O322,Y322,"T",DCC_Leg1_Float),_xll.qGetFwdRate(AG$14,$O322,$O323,"T",DCC_Leg1_Float)))</f>
        <v>0</v>
      </c>
      <c r="AH322" s="685">
        <v>0</v>
      </c>
      <c r="AI322" s="667"/>
      <c r="AJ322" s="670">
        <f>IF(O323=0,0,             IF(ISNUMBER(AI322),AI322,             IF(ISTEXT(AI322),INDEX(Z322:AG322,MATCH(AI322,$Z$17:$AG$17,0)),           IF(AH322="INT",_xll.qInterp(O323,R322:Y322,Z322:AG322),       INDEX(Z322:AG322,MATCH(AH322,$Z$17:$AG$17,0))))))</f>
        <v>0</v>
      </c>
      <c r="AK322" s="732">
        <v>20</v>
      </c>
      <c r="AL322" s="721">
        <f t="shared" si="60"/>
        <v>0</v>
      </c>
      <c r="AM322" s="284">
        <f>IF($O323,_xll.qDateYears($O322,$O323,DCC_Leg1_Fixed),0)</f>
        <v>0</v>
      </c>
      <c r="AN322" s="284">
        <f>IF($O323,_xll.qDateYears($O322,$O323,DCC_Leg1_Float),0)</f>
        <v>0</v>
      </c>
      <c r="AP322" s="350">
        <f t="shared" si="66"/>
        <v>0</v>
      </c>
      <c r="AQ322" s="375">
        <f>IF(GenType_1a="Fixed",GenRate_1a%*$AL321*AM321,          IF(GenType_1a="Float",$AL321*(_xll.qGetFwdRate($D$18,$O321,$O322,"T",DCC_Leg1_Float)%+GenRate_1a%%)*$AN321,        IF(GenType_1a="bp (Fixed)",GenRate_1a%%*$AM321*$AL321,   IF(GenType_1a="bp (Float)",GenRate_1a%%*$AL321*$AN321,0))))</f>
        <v>0</v>
      </c>
      <c r="AR322" s="561"/>
      <c r="AT322" s="341">
        <f t="shared" si="70"/>
        <v>0</v>
      </c>
      <c r="AV322" s="356"/>
      <c r="AW322" s="122">
        <v>0</v>
      </c>
      <c r="AX322" s="128">
        <f t="shared" si="61"/>
        <v>0</v>
      </c>
      <c r="AY322" s="357">
        <v>0</v>
      </c>
      <c r="AZ322" s="699">
        <f>IF($AW323=0,0,        _xll.qDateNext($AW322,AZ$17,"M",TRUE,Currency2))</f>
        <v>0</v>
      </c>
      <c r="BA322" s="699">
        <f>IF($AW323=0,0,        _xll.qDateNext($AW322,BA$17,"M",TRUE,Currency2))</f>
        <v>0</v>
      </c>
      <c r="BB322" s="699">
        <f>IF($AW323=0,0,        _xll.qDateNext($AW322,BB$17,"M",TRUE,Currency2))</f>
        <v>0</v>
      </c>
      <c r="BC322" s="699">
        <f>IF($AW323=0,0,        _xll.qDateNext($AW322,BC$17,"M",TRUE,Currency2))</f>
        <v>0</v>
      </c>
      <c r="BD322" s="699">
        <f>IF($AW323=0,0,        _xll.qDateNext($AW322,BD$17,"M",TRUE,Currency2))</f>
        <v>0</v>
      </c>
      <c r="BE322" s="699">
        <f>IF($AW323=0,0,        _xll.qDateNext($AW322,BE$17,"M",TRUE,Currency2))</f>
        <v>0</v>
      </c>
      <c r="BF322" s="699">
        <f>IF($AW323=0,0,        _xll.qDateNext($AW322,BF$17,"M",TRUE,Currency2))</f>
        <v>0</v>
      </c>
      <c r="BG322" s="699">
        <f>IF($AW323=0,0,        _xll.qDateNext($AW322,BG$17,"M",TRUE,Currency2))</f>
        <v>0</v>
      </c>
      <c r="BH322" s="703">
        <v>0</v>
      </c>
      <c r="BI322" s="703">
        <v>0</v>
      </c>
      <c r="BJ322" s="703">
        <v>0</v>
      </c>
      <c r="BK322" s="703">
        <v>0</v>
      </c>
      <c r="BL322" s="703">
        <f t="shared" si="67"/>
        <v>0</v>
      </c>
      <c r="BM322" s="703">
        <f t="shared" si="68"/>
        <v>0</v>
      </c>
      <c r="BN322" s="703">
        <v>0</v>
      </c>
      <c r="BO322" s="703">
        <v>0</v>
      </c>
      <c r="BP322" s="685">
        <v>0</v>
      </c>
      <c r="BQ322" s="667"/>
      <c r="BR322" s="670">
        <f>IF(AW323=0,0,             IF(ISNUMBER(BQ322),BQ322,             IF(ISTEXT(BQ322),INDEX(BH322:BO322,MATCH(BQ322,$BH$17:$BO$17,0)),           IF(BP322="INT",_xll.qInterp(AW323,AZ322:BG322,BH322:BO322),       INDEX(BH322:BO322,MATCH(BP322,$BH$17:$BO$17,0))))))</f>
        <v>0</v>
      </c>
      <c r="BS322" s="731">
        <f t="shared" si="62"/>
        <v>0</v>
      </c>
      <c r="BT322" s="406">
        <f t="shared" si="63"/>
        <v>0</v>
      </c>
      <c r="BU322" s="284">
        <f>IF($AW323,_xll.qDateYears($AW322,$AW323,DCC_Leg2_Fixed),0)</f>
        <v>0</v>
      </c>
      <c r="BV322" s="284">
        <f>IF($AW323,_xll.qDateYears($AW322,$AW323,DCC_Leg2_Float),0)</f>
        <v>0</v>
      </c>
      <c r="BX322" s="350">
        <f t="shared" si="69"/>
        <v>0</v>
      </c>
      <c r="BY322" s="375">
        <f>IF(GenType_2a="Fixed",GenRate_2a%*$BT321*BU321,          IF(GenType_2a="Float",$BT321*(_xll.qGetFwdRate($J$18,$AW321,$AW322,"T",DCC_Leg2_Float)%+GenRate_2a%%)*$BV321,        IF(GenType_2a="bp (Fixed)",GenRate_2a%%*$BU321*$BT321,   IF(GenType_2a="bp (Float)",GenRate_2a%%*$BT321*$BV321,0))))</f>
        <v>0</v>
      </c>
      <c r="BZ322" s="561"/>
      <c r="CB322" s="341">
        <f t="shared" si="71"/>
        <v>0</v>
      </c>
      <c r="CC322" s="563"/>
      <c r="CD322" s="356"/>
      <c r="CE322" s="341">
        <v>0</v>
      </c>
      <c r="CF322" s="563"/>
      <c r="CG322" s="356"/>
    </row>
    <row r="323" spans="15:85">
      <c r="O323" s="122">
        <v>0</v>
      </c>
      <c r="P323" s="128">
        <f t="shared" si="58"/>
        <v>0</v>
      </c>
      <c r="Q323" s="126">
        <v>0</v>
      </c>
      <c r="R323" s="699">
        <f>IF($O324=0,0,        _xll.qDateNext($O323,R$17,"M",TRUE,Currency1))</f>
        <v>0</v>
      </c>
      <c r="S323" s="699">
        <f>IF($O324=0,0,        _xll.qDateNext($O323,S$17,"M",TRUE,Currency1))</f>
        <v>0</v>
      </c>
      <c r="T323" s="699">
        <f>IF($O324=0,0,        _xll.qDateNext($O323,T$17,"M",TRUE,Currency1))</f>
        <v>0</v>
      </c>
      <c r="U323" s="699">
        <f>IF($O324=0,0,        _xll.qDateNext($O323,U$17,"M",TRUE,Currency1))</f>
        <v>0</v>
      </c>
      <c r="V323" s="699">
        <f>IF($O324=0,0,        _xll.qDateNext($O323,V$17,"M",TRUE,Currency1))</f>
        <v>0</v>
      </c>
      <c r="W323" s="699">
        <f>IF($O324=0,0,        _xll.qDateNext($O323,W$17,"M",TRUE,Currency1))</f>
        <v>0</v>
      </c>
      <c r="X323" s="699">
        <f>IF($O324=0,0,        _xll.qDateNext($O323,X$17,"M",TRUE,Currency1))</f>
        <v>0</v>
      </c>
      <c r="Y323" s="699">
        <f>IF($O324=0,0,        _xll.qDateNext($O323,Y$17,"M",TRUE,Currency1))</f>
        <v>0</v>
      </c>
      <c r="Z323" s="703">
        <f>IF($O324=0,0,           IF(FRM,_xll.qGetFwdRate(Z$14,$O323,R323,"T",DCC_Leg1_Float),_xll.qGetFwdRate(Z$14,$O323,$O324,"T",DCC_Leg1_Float)))</f>
        <v>0</v>
      </c>
      <c r="AA323" s="703">
        <f>IF($O324=0,0,           IF(FRM,_xll.qGetFwdRate(AA$14,$O323,S323,"T",DCC_Leg1_Float),_xll.qGetFwdRate(AA$14,$O323,$O324,"T",DCC_Leg1_Float)))</f>
        <v>0</v>
      </c>
      <c r="AB323" s="703">
        <f t="shared" si="59"/>
        <v>0</v>
      </c>
      <c r="AC323" s="703">
        <f>IF($O324=0,0,           IF(FRM,_xll.qGetFwdRate(AC$14,$O323,U323,"T",DCC_Leg1_Float),_xll.qGetFwdRate(AC$14,$O323,$O324,"T",DCC_Leg1_Float)))</f>
        <v>0</v>
      </c>
      <c r="AD323" s="703">
        <f t="shared" si="64"/>
        <v>0</v>
      </c>
      <c r="AE323" s="703">
        <f t="shared" si="65"/>
        <v>0</v>
      </c>
      <c r="AF323" s="703">
        <f>IF($O324=0,0,           IF(FRM,_xll.qGetFwdRate(AF$14,$O323,X323,"T",DCC_Leg1_Float),_xll.qGetFwdRate(AF$14,$O323,$O324,"T",DCC_Leg1_Float)))</f>
        <v>0</v>
      </c>
      <c r="AG323" s="703">
        <f>IF($O324=0,0,           IF(FRM,_xll.qGetFwdRate(AG$14,$O323,Y323,"T",DCC_Leg1_Float),_xll.qGetFwdRate(AG$14,$O323,$O324,"T",DCC_Leg1_Float)))</f>
        <v>0</v>
      </c>
      <c r="AH323" s="685">
        <v>0</v>
      </c>
      <c r="AI323" s="667"/>
      <c r="AJ323" s="670">
        <f>IF(O324=0,0,             IF(ISNUMBER(AI323),AI323,             IF(ISTEXT(AI323),INDEX(Z323:AG323,MATCH(AI323,$Z$17:$AG$17,0)),           IF(AH323="INT",_xll.qInterp(O324,R323:Y323,Z323:AG323),       INDEX(Z323:AG323,MATCH(AH323,$Z$17:$AG$17,0))))))</f>
        <v>0</v>
      </c>
      <c r="AK323" s="732">
        <v>20</v>
      </c>
      <c r="AL323" s="721">
        <f t="shared" si="60"/>
        <v>0</v>
      </c>
      <c r="AM323" s="284">
        <f>IF($O324,_xll.qDateYears($O323,$O324,DCC_Leg1_Fixed),0)</f>
        <v>0</v>
      </c>
      <c r="AN323" s="284">
        <f>IF($O324,_xll.qDateYears($O323,$O324,DCC_Leg1_Float),0)</f>
        <v>0</v>
      </c>
      <c r="AP323" s="350">
        <f t="shared" si="66"/>
        <v>0</v>
      </c>
      <c r="AQ323" s="375">
        <f>IF(GenType_1a="Fixed",GenRate_1a%*$AL322*AM322,          IF(GenType_1a="Float",$AL322*(_xll.qGetFwdRate($D$18,$O322,$O323,"T",DCC_Leg1_Float)%+GenRate_1a%%)*$AN322,        IF(GenType_1a="bp (Fixed)",GenRate_1a%%*$AM322*$AL322,   IF(GenType_1a="bp (Float)",GenRate_1a%%*$AL322*$AN322,0))))</f>
        <v>0</v>
      </c>
      <c r="AR323" s="561"/>
      <c r="AT323" s="341">
        <f t="shared" si="70"/>
        <v>0</v>
      </c>
      <c r="AV323" s="356"/>
      <c r="AW323" s="122">
        <v>0</v>
      </c>
      <c r="AX323" s="128">
        <f t="shared" si="61"/>
        <v>0</v>
      </c>
      <c r="AY323" s="357">
        <v>0</v>
      </c>
      <c r="AZ323" s="699">
        <f>IF($AW324=0,0,        _xll.qDateNext($AW323,AZ$17,"M",TRUE,Currency2))</f>
        <v>0</v>
      </c>
      <c r="BA323" s="699">
        <f>IF($AW324=0,0,        _xll.qDateNext($AW323,BA$17,"M",TRUE,Currency2))</f>
        <v>0</v>
      </c>
      <c r="BB323" s="699">
        <f>IF($AW324=0,0,        _xll.qDateNext($AW323,BB$17,"M",TRUE,Currency2))</f>
        <v>0</v>
      </c>
      <c r="BC323" s="699">
        <f>IF($AW324=0,0,        _xll.qDateNext($AW323,BC$17,"M",TRUE,Currency2))</f>
        <v>0</v>
      </c>
      <c r="BD323" s="699">
        <f>IF($AW324=0,0,        _xll.qDateNext($AW323,BD$17,"M",TRUE,Currency2))</f>
        <v>0</v>
      </c>
      <c r="BE323" s="699">
        <f>IF($AW324=0,0,        _xll.qDateNext($AW323,BE$17,"M",TRUE,Currency2))</f>
        <v>0</v>
      </c>
      <c r="BF323" s="699">
        <f>IF($AW324=0,0,        _xll.qDateNext($AW323,BF$17,"M",TRUE,Currency2))</f>
        <v>0</v>
      </c>
      <c r="BG323" s="699">
        <f>IF($AW324=0,0,        _xll.qDateNext($AW323,BG$17,"M",TRUE,Currency2))</f>
        <v>0</v>
      </c>
      <c r="BH323" s="703">
        <v>0</v>
      </c>
      <c r="BI323" s="703">
        <v>0</v>
      </c>
      <c r="BJ323" s="703">
        <v>0</v>
      </c>
      <c r="BK323" s="703">
        <v>0</v>
      </c>
      <c r="BL323" s="703">
        <f t="shared" si="67"/>
        <v>0</v>
      </c>
      <c r="BM323" s="703">
        <f t="shared" si="68"/>
        <v>0</v>
      </c>
      <c r="BN323" s="703">
        <v>0</v>
      </c>
      <c r="BO323" s="703">
        <v>0</v>
      </c>
      <c r="BP323" s="685">
        <v>0</v>
      </c>
      <c r="BQ323" s="667"/>
      <c r="BR323" s="670">
        <f>IF(AW324=0,0,             IF(ISNUMBER(BQ323),BQ323,             IF(ISTEXT(BQ323),INDEX(BH323:BO323,MATCH(BQ323,$BH$17:$BO$17,0)),           IF(BP323="INT",_xll.qInterp(AW324,AZ323:BG323,BH323:BO323),       INDEX(BH323:BO323,MATCH(BP323,$BH$17:$BO$17,0))))))</f>
        <v>0</v>
      </c>
      <c r="BS323" s="731">
        <f t="shared" si="62"/>
        <v>0</v>
      </c>
      <c r="BT323" s="406">
        <f t="shared" si="63"/>
        <v>0</v>
      </c>
      <c r="BU323" s="284">
        <f>IF($AW324,_xll.qDateYears($AW323,$AW324,DCC_Leg2_Fixed),0)</f>
        <v>0</v>
      </c>
      <c r="BV323" s="284">
        <f>IF($AW324,_xll.qDateYears($AW323,$AW324,DCC_Leg2_Float),0)</f>
        <v>0</v>
      </c>
      <c r="BX323" s="350">
        <f t="shared" si="69"/>
        <v>0</v>
      </c>
      <c r="BY323" s="375">
        <f>IF(GenType_2a="Fixed",GenRate_2a%*$BT322*BU322,          IF(GenType_2a="Float",$BT322*(_xll.qGetFwdRate($J$18,$AW322,$AW323,"T",DCC_Leg2_Float)%+GenRate_2a%%)*$BV322,        IF(GenType_2a="bp (Fixed)",GenRate_2a%%*$BU322*$BT322,   IF(GenType_2a="bp (Float)",GenRate_2a%%*$BT322*$BV322,0))))</f>
        <v>0</v>
      </c>
      <c r="BZ323" s="561"/>
      <c r="CB323" s="341">
        <f t="shared" si="71"/>
        <v>0</v>
      </c>
      <c r="CC323" s="563"/>
      <c r="CD323" s="356"/>
      <c r="CE323" s="341">
        <v>0</v>
      </c>
      <c r="CF323" s="563"/>
      <c r="CG323" s="356"/>
    </row>
    <row r="324" spans="15:85">
      <c r="O324" s="122">
        <v>0</v>
      </c>
      <c r="P324" s="128">
        <f t="shared" si="58"/>
        <v>0</v>
      </c>
      <c r="Q324" s="126">
        <v>0</v>
      </c>
      <c r="R324" s="699">
        <f>IF($O325=0,0,        _xll.qDateNext($O324,R$17,"M",TRUE,Currency1))</f>
        <v>0</v>
      </c>
      <c r="S324" s="699">
        <f>IF($O325=0,0,        _xll.qDateNext($O324,S$17,"M",TRUE,Currency1))</f>
        <v>0</v>
      </c>
      <c r="T324" s="699">
        <f>IF($O325=0,0,        _xll.qDateNext($O324,T$17,"M",TRUE,Currency1))</f>
        <v>0</v>
      </c>
      <c r="U324" s="699">
        <f>IF($O325=0,0,        _xll.qDateNext($O324,U$17,"M",TRUE,Currency1))</f>
        <v>0</v>
      </c>
      <c r="V324" s="699">
        <f>IF($O325=0,0,        _xll.qDateNext($O324,V$17,"M",TRUE,Currency1))</f>
        <v>0</v>
      </c>
      <c r="W324" s="699">
        <f>IF($O325=0,0,        _xll.qDateNext($O324,W$17,"M",TRUE,Currency1))</f>
        <v>0</v>
      </c>
      <c r="X324" s="699">
        <f>IF($O325=0,0,        _xll.qDateNext($O324,X$17,"M",TRUE,Currency1))</f>
        <v>0</v>
      </c>
      <c r="Y324" s="699">
        <f>IF($O325=0,0,        _xll.qDateNext($O324,Y$17,"M",TRUE,Currency1))</f>
        <v>0</v>
      </c>
      <c r="Z324" s="703">
        <f>IF($O325=0,0,           IF(FRM,_xll.qGetFwdRate(Z$14,$O324,R324,"T",DCC_Leg1_Float),_xll.qGetFwdRate(Z$14,$O324,$O325,"T",DCC_Leg1_Float)))</f>
        <v>0</v>
      </c>
      <c r="AA324" s="703">
        <f>IF($O325=0,0,           IF(FRM,_xll.qGetFwdRate(AA$14,$O324,S324,"T",DCC_Leg1_Float),_xll.qGetFwdRate(AA$14,$O324,$O325,"T",DCC_Leg1_Float)))</f>
        <v>0</v>
      </c>
      <c r="AB324" s="703">
        <f t="shared" si="59"/>
        <v>0</v>
      </c>
      <c r="AC324" s="703">
        <f>IF($O325=0,0,           IF(FRM,_xll.qGetFwdRate(AC$14,$O324,U324,"T",DCC_Leg1_Float),_xll.qGetFwdRate(AC$14,$O324,$O325,"T",DCC_Leg1_Float)))</f>
        <v>0</v>
      </c>
      <c r="AD324" s="703">
        <f t="shared" si="64"/>
        <v>0</v>
      </c>
      <c r="AE324" s="703">
        <f t="shared" si="65"/>
        <v>0</v>
      </c>
      <c r="AF324" s="703">
        <f>IF($O325=0,0,           IF(FRM,_xll.qGetFwdRate(AF$14,$O324,X324,"T",DCC_Leg1_Float),_xll.qGetFwdRate(AF$14,$O324,$O325,"T",DCC_Leg1_Float)))</f>
        <v>0</v>
      </c>
      <c r="AG324" s="703">
        <f>IF($O325=0,0,           IF(FRM,_xll.qGetFwdRate(AG$14,$O324,Y324,"T",DCC_Leg1_Float),_xll.qGetFwdRate(AG$14,$O324,$O325,"T",DCC_Leg1_Float)))</f>
        <v>0</v>
      </c>
      <c r="AH324" s="685">
        <v>0</v>
      </c>
      <c r="AI324" s="667"/>
      <c r="AJ324" s="670">
        <f>IF(O325=0,0,             IF(ISNUMBER(AI324),AI324,             IF(ISTEXT(AI324),INDEX(Z324:AG324,MATCH(AI324,$Z$17:$AG$17,0)),           IF(AH324="INT",_xll.qInterp(O325,R324:Y324,Z324:AG324),       INDEX(Z324:AG324,MATCH(AH324,$Z$17:$AG$17,0))))))</f>
        <v>0</v>
      </c>
      <c r="AK324" s="732">
        <v>20</v>
      </c>
      <c r="AL324" s="721">
        <f t="shared" si="60"/>
        <v>0</v>
      </c>
      <c r="AM324" s="284">
        <f>IF($O325,_xll.qDateYears($O324,$O325,DCC_Leg1_Fixed),0)</f>
        <v>0</v>
      </c>
      <c r="AN324" s="284">
        <f>IF($O325,_xll.qDateYears($O324,$O325,DCC_Leg1_Float),0)</f>
        <v>0</v>
      </c>
      <c r="AP324" s="350">
        <f t="shared" si="66"/>
        <v>0</v>
      </c>
      <c r="AQ324" s="375">
        <f>IF(GenType_1a="Fixed",GenRate_1a%*$AL323*AM323,          IF(GenType_1a="Float",$AL323*(_xll.qGetFwdRate($D$18,$O323,$O324,"T",DCC_Leg1_Float)%+GenRate_1a%%)*$AN323,        IF(GenType_1a="bp (Fixed)",GenRate_1a%%*$AM323*$AL323,   IF(GenType_1a="bp (Float)",GenRate_1a%%*$AL323*$AN323,0))))</f>
        <v>0</v>
      </c>
      <c r="AR324" s="561"/>
      <c r="AT324" s="341">
        <f t="shared" si="70"/>
        <v>0</v>
      </c>
      <c r="AV324" s="356"/>
      <c r="AW324" s="122">
        <v>0</v>
      </c>
      <c r="AX324" s="128">
        <f t="shared" si="61"/>
        <v>0</v>
      </c>
      <c r="AY324" s="357">
        <v>0</v>
      </c>
      <c r="AZ324" s="699">
        <f>IF($AW325=0,0,        _xll.qDateNext($AW324,AZ$17,"M",TRUE,Currency2))</f>
        <v>0</v>
      </c>
      <c r="BA324" s="699">
        <f>IF($AW325=0,0,        _xll.qDateNext($AW324,BA$17,"M",TRUE,Currency2))</f>
        <v>0</v>
      </c>
      <c r="BB324" s="699">
        <f>IF($AW325=0,0,        _xll.qDateNext($AW324,BB$17,"M",TRUE,Currency2))</f>
        <v>0</v>
      </c>
      <c r="BC324" s="699">
        <f>IF($AW325=0,0,        _xll.qDateNext($AW324,BC$17,"M",TRUE,Currency2))</f>
        <v>0</v>
      </c>
      <c r="BD324" s="699">
        <f>IF($AW325=0,0,        _xll.qDateNext($AW324,BD$17,"M",TRUE,Currency2))</f>
        <v>0</v>
      </c>
      <c r="BE324" s="699">
        <f>IF($AW325=0,0,        _xll.qDateNext($AW324,BE$17,"M",TRUE,Currency2))</f>
        <v>0</v>
      </c>
      <c r="BF324" s="699">
        <f>IF($AW325=0,0,        _xll.qDateNext($AW324,BF$17,"M",TRUE,Currency2))</f>
        <v>0</v>
      </c>
      <c r="BG324" s="699">
        <f>IF($AW325=0,0,        _xll.qDateNext($AW324,BG$17,"M",TRUE,Currency2))</f>
        <v>0</v>
      </c>
      <c r="BH324" s="703">
        <v>0</v>
      </c>
      <c r="BI324" s="703">
        <v>0</v>
      </c>
      <c r="BJ324" s="703">
        <v>0</v>
      </c>
      <c r="BK324" s="703">
        <v>0</v>
      </c>
      <c r="BL324" s="703">
        <f t="shared" si="67"/>
        <v>0</v>
      </c>
      <c r="BM324" s="703">
        <f t="shared" si="68"/>
        <v>0</v>
      </c>
      <c r="BN324" s="703">
        <v>0</v>
      </c>
      <c r="BO324" s="703">
        <v>0</v>
      </c>
      <c r="BP324" s="685">
        <v>0</v>
      </c>
      <c r="BQ324" s="667"/>
      <c r="BR324" s="670">
        <f>IF(AW325=0,0,             IF(ISNUMBER(BQ324),BQ324,             IF(ISTEXT(BQ324),INDEX(BH324:BO324,MATCH(BQ324,$BH$17:$BO$17,0)),           IF(BP324="INT",_xll.qInterp(AW325,AZ324:BG324,BH324:BO324),       INDEX(BH324:BO324,MATCH(BP324,$BH$17:$BO$17,0))))))</f>
        <v>0</v>
      </c>
      <c r="BS324" s="731">
        <f t="shared" si="62"/>
        <v>0</v>
      </c>
      <c r="BT324" s="406">
        <f t="shared" si="63"/>
        <v>0</v>
      </c>
      <c r="BU324" s="284">
        <f>IF($AW325,_xll.qDateYears($AW324,$AW325,DCC_Leg2_Fixed),0)</f>
        <v>0</v>
      </c>
      <c r="BV324" s="284">
        <f>IF($AW325,_xll.qDateYears($AW324,$AW325,DCC_Leg2_Float),0)</f>
        <v>0</v>
      </c>
      <c r="BX324" s="350">
        <f t="shared" si="69"/>
        <v>0</v>
      </c>
      <c r="BY324" s="375">
        <f>IF(GenType_2a="Fixed",GenRate_2a%*$BT323*BU323,          IF(GenType_2a="Float",$BT323*(_xll.qGetFwdRate($J$18,$AW323,$AW324,"T",DCC_Leg2_Float)%+GenRate_2a%%)*$BV323,        IF(GenType_2a="bp (Fixed)",GenRate_2a%%*$BU323*$BT323,   IF(GenType_2a="bp (Float)",GenRate_2a%%*$BT323*$BV323,0))))</f>
        <v>0</v>
      </c>
      <c r="BZ324" s="561"/>
      <c r="CB324" s="341">
        <f t="shared" si="71"/>
        <v>0</v>
      </c>
      <c r="CC324" s="563"/>
      <c r="CD324" s="356"/>
      <c r="CE324" s="341">
        <v>0</v>
      </c>
      <c r="CF324" s="563"/>
      <c r="CG324" s="356"/>
    </row>
    <row r="325" spans="15:85">
      <c r="O325" s="122">
        <v>0</v>
      </c>
      <c r="P325" s="128">
        <f t="shared" si="58"/>
        <v>0</v>
      </c>
      <c r="Q325" s="126">
        <v>0</v>
      </c>
      <c r="R325" s="699">
        <f>IF($O326=0,0,        _xll.qDateNext($O325,R$17,"M",TRUE,Currency1))</f>
        <v>0</v>
      </c>
      <c r="S325" s="699">
        <f>IF($O326=0,0,        _xll.qDateNext($O325,S$17,"M",TRUE,Currency1))</f>
        <v>0</v>
      </c>
      <c r="T325" s="699">
        <f>IF($O326=0,0,        _xll.qDateNext($O325,T$17,"M",TRUE,Currency1))</f>
        <v>0</v>
      </c>
      <c r="U325" s="699">
        <f>IF($O326=0,0,        _xll.qDateNext($O325,U$17,"M",TRUE,Currency1))</f>
        <v>0</v>
      </c>
      <c r="V325" s="699">
        <f>IF($O326=0,0,        _xll.qDateNext($O325,V$17,"M",TRUE,Currency1))</f>
        <v>0</v>
      </c>
      <c r="W325" s="699">
        <f>IF($O326=0,0,        _xll.qDateNext($O325,W$17,"M",TRUE,Currency1))</f>
        <v>0</v>
      </c>
      <c r="X325" s="699">
        <f>IF($O326=0,0,        _xll.qDateNext($O325,X$17,"M",TRUE,Currency1))</f>
        <v>0</v>
      </c>
      <c r="Y325" s="699">
        <f>IF($O326=0,0,        _xll.qDateNext($O325,Y$17,"M",TRUE,Currency1))</f>
        <v>0</v>
      </c>
      <c r="Z325" s="703">
        <f>IF($O326=0,0,           IF(FRM,_xll.qGetFwdRate(Z$14,$O325,R325,"T",DCC_Leg1_Float),_xll.qGetFwdRate(Z$14,$O325,$O326,"T",DCC_Leg1_Float)))</f>
        <v>0</v>
      </c>
      <c r="AA325" s="703">
        <f>IF($O326=0,0,           IF(FRM,_xll.qGetFwdRate(AA$14,$O325,S325,"T",DCC_Leg1_Float),_xll.qGetFwdRate(AA$14,$O325,$O326,"T",DCC_Leg1_Float)))</f>
        <v>0</v>
      </c>
      <c r="AB325" s="703">
        <f t="shared" si="59"/>
        <v>0</v>
      </c>
      <c r="AC325" s="703">
        <f>IF($O326=0,0,           IF(FRM,_xll.qGetFwdRate(AC$14,$O325,U325,"T",DCC_Leg1_Float),_xll.qGetFwdRate(AC$14,$O325,$O326,"T",DCC_Leg1_Float)))</f>
        <v>0</v>
      </c>
      <c r="AD325" s="703">
        <f t="shared" si="64"/>
        <v>0</v>
      </c>
      <c r="AE325" s="703">
        <f t="shared" si="65"/>
        <v>0</v>
      </c>
      <c r="AF325" s="703">
        <f>IF($O326=0,0,           IF(FRM,_xll.qGetFwdRate(AF$14,$O325,X325,"T",DCC_Leg1_Float),_xll.qGetFwdRate(AF$14,$O325,$O326,"T",DCC_Leg1_Float)))</f>
        <v>0</v>
      </c>
      <c r="AG325" s="703">
        <f>IF($O326=0,0,           IF(FRM,_xll.qGetFwdRate(AG$14,$O325,Y325,"T",DCC_Leg1_Float),_xll.qGetFwdRate(AG$14,$O325,$O326,"T",DCC_Leg1_Float)))</f>
        <v>0</v>
      </c>
      <c r="AH325" s="685">
        <v>0</v>
      </c>
      <c r="AI325" s="667"/>
      <c r="AJ325" s="670">
        <f>IF(O326=0,0,             IF(ISNUMBER(AI325),AI325,             IF(ISTEXT(AI325),INDEX(Z325:AG325,MATCH(AI325,$Z$17:$AG$17,0)),           IF(AH325="INT",_xll.qInterp(O326,R325:Y325,Z325:AG325),       INDEX(Z325:AG325,MATCH(AH325,$Z$17:$AG$17,0))))))</f>
        <v>0</v>
      </c>
      <c r="AK325" s="732">
        <v>20</v>
      </c>
      <c r="AL325" s="721">
        <f t="shared" si="60"/>
        <v>0</v>
      </c>
      <c r="AM325" s="284">
        <f>IF($O326,_xll.qDateYears($O325,$O326,DCC_Leg1_Fixed),0)</f>
        <v>0</v>
      </c>
      <c r="AN325" s="284">
        <f>IF($O326,_xll.qDateYears($O325,$O326,DCC_Leg1_Float),0)</f>
        <v>0</v>
      </c>
      <c r="AP325" s="350">
        <f t="shared" si="66"/>
        <v>0</v>
      </c>
      <c r="AQ325" s="375">
        <f>IF(GenType_1a="Fixed",GenRate_1a%*$AL324*AM324,          IF(GenType_1a="Float",$AL324*(_xll.qGetFwdRate($D$18,$O324,$O325,"T",DCC_Leg1_Float)%+GenRate_1a%%)*$AN324,        IF(GenType_1a="bp (Fixed)",GenRate_1a%%*$AM324*$AL324,   IF(GenType_1a="bp (Float)",GenRate_1a%%*$AL324*$AN324,0))))</f>
        <v>0</v>
      </c>
      <c r="AR325" s="561"/>
      <c r="AT325" s="341">
        <f t="shared" si="70"/>
        <v>0</v>
      </c>
      <c r="AV325" s="356"/>
      <c r="AW325" s="122">
        <v>0</v>
      </c>
      <c r="AX325" s="128">
        <f t="shared" si="61"/>
        <v>0</v>
      </c>
      <c r="AY325" s="357">
        <v>0</v>
      </c>
      <c r="AZ325" s="699">
        <f>IF($AW326=0,0,        _xll.qDateNext($AW325,AZ$17,"M",TRUE,Currency2))</f>
        <v>0</v>
      </c>
      <c r="BA325" s="699">
        <f>IF($AW326=0,0,        _xll.qDateNext($AW325,BA$17,"M",TRUE,Currency2))</f>
        <v>0</v>
      </c>
      <c r="BB325" s="699">
        <f>IF($AW326=0,0,        _xll.qDateNext($AW325,BB$17,"M",TRUE,Currency2))</f>
        <v>0</v>
      </c>
      <c r="BC325" s="699">
        <f>IF($AW326=0,0,        _xll.qDateNext($AW325,BC$17,"M",TRUE,Currency2))</f>
        <v>0</v>
      </c>
      <c r="BD325" s="699">
        <f>IF($AW326=0,0,        _xll.qDateNext($AW325,BD$17,"M",TRUE,Currency2))</f>
        <v>0</v>
      </c>
      <c r="BE325" s="699">
        <f>IF($AW326=0,0,        _xll.qDateNext($AW325,BE$17,"M",TRUE,Currency2))</f>
        <v>0</v>
      </c>
      <c r="BF325" s="699">
        <f>IF($AW326=0,0,        _xll.qDateNext($AW325,BF$17,"M",TRUE,Currency2))</f>
        <v>0</v>
      </c>
      <c r="BG325" s="699">
        <f>IF($AW326=0,0,        _xll.qDateNext($AW325,BG$17,"M",TRUE,Currency2))</f>
        <v>0</v>
      </c>
      <c r="BH325" s="703">
        <v>0</v>
      </c>
      <c r="BI325" s="703">
        <v>0</v>
      </c>
      <c r="BJ325" s="703">
        <v>0</v>
      </c>
      <c r="BK325" s="703">
        <v>0</v>
      </c>
      <c r="BL325" s="703">
        <f t="shared" si="67"/>
        <v>0</v>
      </c>
      <c r="BM325" s="703">
        <f t="shared" si="68"/>
        <v>0</v>
      </c>
      <c r="BN325" s="703">
        <v>0</v>
      </c>
      <c r="BO325" s="703">
        <v>0</v>
      </c>
      <c r="BP325" s="685">
        <v>0</v>
      </c>
      <c r="BQ325" s="667"/>
      <c r="BR325" s="670">
        <f>IF(AW326=0,0,             IF(ISNUMBER(BQ325),BQ325,             IF(ISTEXT(BQ325),INDEX(BH325:BO325,MATCH(BQ325,$BH$17:$BO$17,0)),           IF(BP325="INT",_xll.qInterp(AW326,AZ325:BG325,BH325:BO325),       INDEX(BH325:BO325,MATCH(BP325,$BH$17:$BO$17,0))))))</f>
        <v>0</v>
      </c>
      <c r="BS325" s="731">
        <f t="shared" si="62"/>
        <v>0</v>
      </c>
      <c r="BT325" s="406">
        <f t="shared" si="63"/>
        <v>0</v>
      </c>
      <c r="BU325" s="284">
        <f>IF($AW326,_xll.qDateYears($AW325,$AW326,DCC_Leg2_Fixed),0)</f>
        <v>0</v>
      </c>
      <c r="BV325" s="284">
        <f>IF($AW326,_xll.qDateYears($AW325,$AW326,DCC_Leg2_Float),0)</f>
        <v>0</v>
      </c>
      <c r="BX325" s="350">
        <f t="shared" si="69"/>
        <v>0</v>
      </c>
      <c r="BY325" s="375">
        <f>IF(GenType_2a="Fixed",GenRate_2a%*$BT324*BU324,          IF(GenType_2a="Float",$BT324*(_xll.qGetFwdRate($J$18,$AW324,$AW325,"T",DCC_Leg2_Float)%+GenRate_2a%%)*$BV324,        IF(GenType_2a="bp (Fixed)",GenRate_2a%%*$BU324*$BT324,   IF(GenType_2a="bp (Float)",GenRate_2a%%*$BT324*$BV324,0))))</f>
        <v>0</v>
      </c>
      <c r="BZ325" s="561"/>
      <c r="CB325" s="341">
        <f t="shared" si="71"/>
        <v>0</v>
      </c>
      <c r="CC325" s="563"/>
      <c r="CD325" s="356"/>
      <c r="CE325" s="341">
        <v>0</v>
      </c>
      <c r="CF325" s="563"/>
      <c r="CG325" s="356"/>
    </row>
    <row r="326" spans="15:85">
      <c r="O326" s="122">
        <v>0</v>
      </c>
      <c r="P326" s="128">
        <f t="shared" si="58"/>
        <v>0</v>
      </c>
      <c r="Q326" s="126">
        <v>0</v>
      </c>
      <c r="R326" s="699">
        <f>IF($O327=0,0,        _xll.qDateNext($O326,R$17,"M",TRUE,Currency1))</f>
        <v>0</v>
      </c>
      <c r="S326" s="699">
        <f>IF($O327=0,0,        _xll.qDateNext($O326,S$17,"M",TRUE,Currency1))</f>
        <v>0</v>
      </c>
      <c r="T326" s="699">
        <f>IF($O327=0,0,        _xll.qDateNext($O326,T$17,"M",TRUE,Currency1))</f>
        <v>0</v>
      </c>
      <c r="U326" s="699">
        <f>IF($O327=0,0,        _xll.qDateNext($O326,U$17,"M",TRUE,Currency1))</f>
        <v>0</v>
      </c>
      <c r="V326" s="699">
        <f>IF($O327=0,0,        _xll.qDateNext($O326,V$17,"M",TRUE,Currency1))</f>
        <v>0</v>
      </c>
      <c r="W326" s="699">
        <f>IF($O327=0,0,        _xll.qDateNext($O326,W$17,"M",TRUE,Currency1))</f>
        <v>0</v>
      </c>
      <c r="X326" s="699">
        <f>IF($O327=0,0,        _xll.qDateNext($O326,X$17,"M",TRUE,Currency1))</f>
        <v>0</v>
      </c>
      <c r="Y326" s="699">
        <f>IF($O327=0,0,        _xll.qDateNext($O326,Y$17,"M",TRUE,Currency1))</f>
        <v>0</v>
      </c>
      <c r="Z326" s="703">
        <f>IF($O327=0,0,           IF(FRM,_xll.qGetFwdRate(Z$14,$O326,R326,"T",DCC_Leg1_Float),_xll.qGetFwdRate(Z$14,$O326,$O327,"T",DCC_Leg1_Float)))</f>
        <v>0</v>
      </c>
      <c r="AA326" s="703">
        <f>IF($O327=0,0,           IF(FRM,_xll.qGetFwdRate(AA$14,$O326,S326,"T",DCC_Leg1_Float),_xll.qGetFwdRate(AA$14,$O326,$O327,"T",DCC_Leg1_Float)))</f>
        <v>0</v>
      </c>
      <c r="AB326" s="703">
        <f t="shared" si="59"/>
        <v>0</v>
      </c>
      <c r="AC326" s="703">
        <f>IF($O327=0,0,           IF(FRM,_xll.qGetFwdRate(AC$14,$O326,U326,"T",DCC_Leg1_Float),_xll.qGetFwdRate(AC$14,$O326,$O327,"T",DCC_Leg1_Float)))</f>
        <v>0</v>
      </c>
      <c r="AD326" s="703">
        <f t="shared" si="64"/>
        <v>0</v>
      </c>
      <c r="AE326" s="703">
        <f t="shared" si="65"/>
        <v>0</v>
      </c>
      <c r="AF326" s="703">
        <f>IF($O327=0,0,           IF(FRM,_xll.qGetFwdRate(AF$14,$O326,X326,"T",DCC_Leg1_Float),_xll.qGetFwdRate(AF$14,$O326,$O327,"T",DCC_Leg1_Float)))</f>
        <v>0</v>
      </c>
      <c r="AG326" s="703">
        <f>IF($O327=0,0,           IF(FRM,_xll.qGetFwdRate(AG$14,$O326,Y326,"T",DCC_Leg1_Float),_xll.qGetFwdRate(AG$14,$O326,$O327,"T",DCC_Leg1_Float)))</f>
        <v>0</v>
      </c>
      <c r="AH326" s="685">
        <v>0</v>
      </c>
      <c r="AI326" s="667"/>
      <c r="AJ326" s="670">
        <f>IF(O327=0,0,             IF(ISNUMBER(AI326),AI326,             IF(ISTEXT(AI326),INDEX(Z326:AG326,MATCH(AI326,$Z$17:$AG$17,0)),           IF(AH326="INT",_xll.qInterp(O327,R326:Y326,Z326:AG326),       INDEX(Z326:AG326,MATCH(AH326,$Z$17:$AG$17,0))))))</f>
        <v>0</v>
      </c>
      <c r="AK326" s="732">
        <v>20</v>
      </c>
      <c r="AL326" s="721">
        <f t="shared" si="60"/>
        <v>0</v>
      </c>
      <c r="AM326" s="284">
        <f>IF($O327,_xll.qDateYears($O326,$O327,DCC_Leg1_Fixed),0)</f>
        <v>0</v>
      </c>
      <c r="AN326" s="284">
        <f>IF($O327,_xll.qDateYears($O326,$O327,DCC_Leg1_Float),0)</f>
        <v>0</v>
      </c>
      <c r="AP326" s="350">
        <f t="shared" si="66"/>
        <v>0</v>
      </c>
      <c r="AQ326" s="375">
        <f>IF(GenType_1a="Fixed",GenRate_1a%*$AL325*AM325,          IF(GenType_1a="Float",$AL325*(_xll.qGetFwdRate($D$18,$O325,$O326,"T",DCC_Leg1_Float)%+GenRate_1a%%)*$AN325,        IF(GenType_1a="bp (Fixed)",GenRate_1a%%*$AM325*$AL325,   IF(GenType_1a="bp (Float)",GenRate_1a%%*$AL325*$AN325,0))))</f>
        <v>0</v>
      </c>
      <c r="AR326" s="561"/>
      <c r="AT326" s="341">
        <f t="shared" si="70"/>
        <v>0</v>
      </c>
      <c r="AV326" s="356"/>
      <c r="AW326" s="122">
        <v>0</v>
      </c>
      <c r="AX326" s="128">
        <f t="shared" si="61"/>
        <v>0</v>
      </c>
      <c r="AY326" s="357">
        <v>0</v>
      </c>
      <c r="AZ326" s="699">
        <f>IF($AW327=0,0,        _xll.qDateNext($AW326,AZ$17,"M",TRUE,Currency2))</f>
        <v>0</v>
      </c>
      <c r="BA326" s="699">
        <f>IF($AW327=0,0,        _xll.qDateNext($AW326,BA$17,"M",TRUE,Currency2))</f>
        <v>0</v>
      </c>
      <c r="BB326" s="699">
        <f>IF($AW327=0,0,        _xll.qDateNext($AW326,BB$17,"M",TRUE,Currency2))</f>
        <v>0</v>
      </c>
      <c r="BC326" s="699">
        <f>IF($AW327=0,0,        _xll.qDateNext($AW326,BC$17,"M",TRUE,Currency2))</f>
        <v>0</v>
      </c>
      <c r="BD326" s="699">
        <f>IF($AW327=0,0,        _xll.qDateNext($AW326,BD$17,"M",TRUE,Currency2))</f>
        <v>0</v>
      </c>
      <c r="BE326" s="699">
        <f>IF($AW327=0,0,        _xll.qDateNext($AW326,BE$17,"M",TRUE,Currency2))</f>
        <v>0</v>
      </c>
      <c r="BF326" s="699">
        <f>IF($AW327=0,0,        _xll.qDateNext($AW326,BF$17,"M",TRUE,Currency2))</f>
        <v>0</v>
      </c>
      <c r="BG326" s="699">
        <f>IF($AW327=0,0,        _xll.qDateNext($AW326,BG$17,"M",TRUE,Currency2))</f>
        <v>0</v>
      </c>
      <c r="BH326" s="703">
        <v>0</v>
      </c>
      <c r="BI326" s="703">
        <v>0</v>
      </c>
      <c r="BJ326" s="703">
        <v>0</v>
      </c>
      <c r="BK326" s="703">
        <v>0</v>
      </c>
      <c r="BL326" s="703">
        <f t="shared" si="67"/>
        <v>0</v>
      </c>
      <c r="BM326" s="703">
        <f t="shared" si="68"/>
        <v>0</v>
      </c>
      <c r="BN326" s="703">
        <v>0</v>
      </c>
      <c r="BO326" s="703">
        <v>0</v>
      </c>
      <c r="BP326" s="685">
        <v>0</v>
      </c>
      <c r="BQ326" s="667"/>
      <c r="BR326" s="670">
        <f>IF(AW327=0,0,             IF(ISNUMBER(BQ326),BQ326,             IF(ISTEXT(BQ326),INDEX(BH326:BO326,MATCH(BQ326,$BH$17:$BO$17,0)),           IF(BP326="INT",_xll.qInterp(AW327,AZ326:BG326,BH326:BO326),       INDEX(BH326:BO326,MATCH(BP326,$BH$17:$BO$17,0))))))</f>
        <v>0</v>
      </c>
      <c r="BS326" s="731">
        <f t="shared" si="62"/>
        <v>0</v>
      </c>
      <c r="BT326" s="406">
        <f t="shared" si="63"/>
        <v>0</v>
      </c>
      <c r="BU326" s="284">
        <f>IF($AW327,_xll.qDateYears($AW326,$AW327,DCC_Leg2_Fixed),0)</f>
        <v>0</v>
      </c>
      <c r="BV326" s="284">
        <f>IF($AW327,_xll.qDateYears($AW326,$AW327,DCC_Leg2_Float),0)</f>
        <v>0</v>
      </c>
      <c r="BX326" s="350">
        <f t="shared" si="69"/>
        <v>0</v>
      </c>
      <c r="BY326" s="375">
        <f>IF(GenType_2a="Fixed",GenRate_2a%*$BT325*BU325,          IF(GenType_2a="Float",$BT325*(_xll.qGetFwdRate($J$18,$AW325,$AW326,"T",DCC_Leg2_Float)%+GenRate_2a%%)*$BV325,        IF(GenType_2a="bp (Fixed)",GenRate_2a%%*$BU325*$BT325,   IF(GenType_2a="bp (Float)",GenRate_2a%%*$BT325*$BV325,0))))</f>
        <v>0</v>
      </c>
      <c r="BZ326" s="561"/>
      <c r="CB326" s="341">
        <f t="shared" si="71"/>
        <v>0</v>
      </c>
      <c r="CC326" s="563"/>
      <c r="CD326" s="356"/>
      <c r="CE326" s="341">
        <v>0</v>
      </c>
      <c r="CF326" s="563"/>
      <c r="CG326" s="356"/>
    </row>
    <row r="327" spans="15:85">
      <c r="O327" s="122">
        <v>0</v>
      </c>
      <c r="P327" s="128">
        <f t="shared" si="58"/>
        <v>0</v>
      </c>
      <c r="Q327" s="126">
        <v>0</v>
      </c>
      <c r="R327" s="699">
        <f>IF($O328=0,0,        _xll.qDateNext($O327,R$17,"M",TRUE,Currency1))</f>
        <v>0</v>
      </c>
      <c r="S327" s="699">
        <f>IF($O328=0,0,        _xll.qDateNext($O327,S$17,"M",TRUE,Currency1))</f>
        <v>0</v>
      </c>
      <c r="T327" s="699">
        <f>IF($O328=0,0,        _xll.qDateNext($O327,T$17,"M",TRUE,Currency1))</f>
        <v>0</v>
      </c>
      <c r="U327" s="699">
        <f>IF($O328=0,0,        _xll.qDateNext($O327,U$17,"M",TRUE,Currency1))</f>
        <v>0</v>
      </c>
      <c r="V327" s="699">
        <f>IF($O328=0,0,        _xll.qDateNext($O327,V$17,"M",TRUE,Currency1))</f>
        <v>0</v>
      </c>
      <c r="W327" s="699">
        <f>IF($O328=0,0,        _xll.qDateNext($O327,W$17,"M",TRUE,Currency1))</f>
        <v>0</v>
      </c>
      <c r="X327" s="699">
        <f>IF($O328=0,0,        _xll.qDateNext($O327,X$17,"M",TRUE,Currency1))</f>
        <v>0</v>
      </c>
      <c r="Y327" s="699">
        <f>IF($O328=0,0,        _xll.qDateNext($O327,Y$17,"M",TRUE,Currency1))</f>
        <v>0</v>
      </c>
      <c r="Z327" s="703">
        <f>IF($O328=0,0,           IF(FRM,_xll.qGetFwdRate(Z$14,$O327,R327,"T",DCC_Leg1_Float),_xll.qGetFwdRate(Z$14,$O327,$O328,"T",DCC_Leg1_Float)))</f>
        <v>0</v>
      </c>
      <c r="AA327" s="703">
        <f>IF($O328=0,0,           IF(FRM,_xll.qGetFwdRate(AA$14,$O327,S327,"T",DCC_Leg1_Float),_xll.qGetFwdRate(AA$14,$O327,$O328,"T",DCC_Leg1_Float)))</f>
        <v>0</v>
      </c>
      <c r="AB327" s="703">
        <f t="shared" si="59"/>
        <v>0</v>
      </c>
      <c r="AC327" s="703">
        <f>IF($O328=0,0,           IF(FRM,_xll.qGetFwdRate(AC$14,$O327,U327,"T",DCC_Leg1_Float),_xll.qGetFwdRate(AC$14,$O327,$O328,"T",DCC_Leg1_Float)))</f>
        <v>0</v>
      </c>
      <c r="AD327" s="703">
        <f t="shared" si="64"/>
        <v>0</v>
      </c>
      <c r="AE327" s="703">
        <f t="shared" si="65"/>
        <v>0</v>
      </c>
      <c r="AF327" s="703">
        <f>IF($O328=0,0,           IF(FRM,_xll.qGetFwdRate(AF$14,$O327,X327,"T",DCC_Leg1_Float),_xll.qGetFwdRate(AF$14,$O327,$O328,"T",DCC_Leg1_Float)))</f>
        <v>0</v>
      </c>
      <c r="AG327" s="703">
        <f>IF($O328=0,0,           IF(FRM,_xll.qGetFwdRate(AG$14,$O327,Y327,"T",DCC_Leg1_Float),_xll.qGetFwdRate(AG$14,$O327,$O328,"T",DCC_Leg1_Float)))</f>
        <v>0</v>
      </c>
      <c r="AH327" s="685">
        <v>0</v>
      </c>
      <c r="AI327" s="667"/>
      <c r="AJ327" s="670">
        <f>IF(O328=0,0,             IF(ISNUMBER(AI327),AI327,             IF(ISTEXT(AI327),INDEX(Z327:AG327,MATCH(AI327,$Z$17:$AG$17,0)),           IF(AH327="INT",_xll.qInterp(O328,R327:Y327,Z327:AG327),       INDEX(Z327:AG327,MATCH(AH327,$Z$17:$AG$17,0))))))</f>
        <v>0</v>
      </c>
      <c r="AK327" s="732">
        <v>20</v>
      </c>
      <c r="AL327" s="721">
        <f t="shared" si="60"/>
        <v>0</v>
      </c>
      <c r="AM327" s="284">
        <f>IF($O328,_xll.qDateYears($O327,$O328,DCC_Leg1_Fixed),0)</f>
        <v>0</v>
      </c>
      <c r="AN327" s="284">
        <f>IF($O328,_xll.qDateYears($O327,$O328,DCC_Leg1_Float),0)</f>
        <v>0</v>
      </c>
      <c r="AP327" s="350">
        <f t="shared" si="66"/>
        <v>0</v>
      </c>
      <c r="AQ327" s="375">
        <f>IF(GenType_1a="Fixed",GenRate_1a%*$AL326*AM326,          IF(GenType_1a="Float",$AL326*(_xll.qGetFwdRate($D$18,$O326,$O327,"T",DCC_Leg1_Float)%+GenRate_1a%%)*$AN326,        IF(GenType_1a="bp (Fixed)",GenRate_1a%%*$AM326*$AL326,   IF(GenType_1a="bp (Float)",GenRate_1a%%*$AL326*$AN326,0))))</f>
        <v>0</v>
      </c>
      <c r="AR327" s="561"/>
      <c r="AT327" s="341">
        <f t="shared" si="70"/>
        <v>0</v>
      </c>
      <c r="AV327" s="356"/>
      <c r="AW327" s="122">
        <v>0</v>
      </c>
      <c r="AX327" s="128">
        <f t="shared" si="61"/>
        <v>0</v>
      </c>
      <c r="AY327" s="357">
        <v>0</v>
      </c>
      <c r="AZ327" s="699">
        <f>IF($AW328=0,0,        _xll.qDateNext($AW327,AZ$17,"M",TRUE,Currency2))</f>
        <v>0</v>
      </c>
      <c r="BA327" s="699">
        <f>IF($AW328=0,0,        _xll.qDateNext($AW327,BA$17,"M",TRUE,Currency2))</f>
        <v>0</v>
      </c>
      <c r="BB327" s="699">
        <f>IF($AW328=0,0,        _xll.qDateNext($AW327,BB$17,"M",TRUE,Currency2))</f>
        <v>0</v>
      </c>
      <c r="BC327" s="699">
        <f>IF($AW328=0,0,        _xll.qDateNext($AW327,BC$17,"M",TRUE,Currency2))</f>
        <v>0</v>
      </c>
      <c r="BD327" s="699">
        <f>IF($AW328=0,0,        _xll.qDateNext($AW327,BD$17,"M",TRUE,Currency2))</f>
        <v>0</v>
      </c>
      <c r="BE327" s="699">
        <f>IF($AW328=0,0,        _xll.qDateNext($AW327,BE$17,"M",TRUE,Currency2))</f>
        <v>0</v>
      </c>
      <c r="BF327" s="699">
        <f>IF($AW328=0,0,        _xll.qDateNext($AW327,BF$17,"M",TRUE,Currency2))</f>
        <v>0</v>
      </c>
      <c r="BG327" s="699">
        <f>IF($AW328=0,0,        _xll.qDateNext($AW327,BG$17,"M",TRUE,Currency2))</f>
        <v>0</v>
      </c>
      <c r="BH327" s="703">
        <v>0</v>
      </c>
      <c r="BI327" s="703">
        <v>0</v>
      </c>
      <c r="BJ327" s="703">
        <v>0</v>
      </c>
      <c r="BK327" s="703">
        <v>0</v>
      </c>
      <c r="BL327" s="703">
        <f t="shared" si="67"/>
        <v>0</v>
      </c>
      <c r="BM327" s="703">
        <f t="shared" si="68"/>
        <v>0</v>
      </c>
      <c r="BN327" s="703">
        <v>0</v>
      </c>
      <c r="BO327" s="703">
        <v>0</v>
      </c>
      <c r="BP327" s="685">
        <v>0</v>
      </c>
      <c r="BQ327" s="667"/>
      <c r="BR327" s="670">
        <f>IF(AW328=0,0,             IF(ISNUMBER(BQ327),BQ327,             IF(ISTEXT(BQ327),INDEX(BH327:BO327,MATCH(BQ327,$BH$17:$BO$17,0)),           IF(BP327="INT",_xll.qInterp(AW328,AZ327:BG327,BH327:BO327),       INDEX(BH327:BO327,MATCH(BP327,$BH$17:$BO$17,0))))))</f>
        <v>0</v>
      </c>
      <c r="BS327" s="731">
        <f t="shared" si="62"/>
        <v>0</v>
      </c>
      <c r="BT327" s="406">
        <f t="shared" si="63"/>
        <v>0</v>
      </c>
      <c r="BU327" s="284">
        <f>IF($AW328,_xll.qDateYears($AW327,$AW328,DCC_Leg2_Fixed),0)</f>
        <v>0</v>
      </c>
      <c r="BV327" s="284">
        <f>IF($AW328,_xll.qDateYears($AW327,$AW328,DCC_Leg2_Float),0)</f>
        <v>0</v>
      </c>
      <c r="BX327" s="350">
        <f t="shared" si="69"/>
        <v>0</v>
      </c>
      <c r="BY327" s="375">
        <f>IF(GenType_2a="Fixed",GenRate_2a%*$BT326*BU326,          IF(GenType_2a="Float",$BT326*(_xll.qGetFwdRate($J$18,$AW326,$AW327,"T",DCC_Leg2_Float)%+GenRate_2a%%)*$BV326,        IF(GenType_2a="bp (Fixed)",GenRate_2a%%*$BU326*$BT326,   IF(GenType_2a="bp (Float)",GenRate_2a%%*$BT326*$BV326,0))))</f>
        <v>0</v>
      </c>
      <c r="BZ327" s="561"/>
      <c r="CB327" s="341">
        <f t="shared" si="71"/>
        <v>0</v>
      </c>
      <c r="CC327" s="563"/>
      <c r="CD327" s="356"/>
      <c r="CE327" s="341">
        <v>0</v>
      </c>
      <c r="CF327" s="563"/>
      <c r="CG327" s="356"/>
    </row>
    <row r="328" spans="15:85">
      <c r="O328" s="122">
        <v>0</v>
      </c>
      <c r="P328" s="128">
        <f t="shared" si="58"/>
        <v>0</v>
      </c>
      <c r="Q328" s="126">
        <v>0</v>
      </c>
      <c r="R328" s="699">
        <f>IF($O329=0,0,        _xll.qDateNext($O328,R$17,"M",TRUE,Currency1))</f>
        <v>0</v>
      </c>
      <c r="S328" s="699">
        <f>IF($O329=0,0,        _xll.qDateNext($O328,S$17,"M",TRUE,Currency1))</f>
        <v>0</v>
      </c>
      <c r="T328" s="699">
        <f>IF($O329=0,0,        _xll.qDateNext($O328,T$17,"M",TRUE,Currency1))</f>
        <v>0</v>
      </c>
      <c r="U328" s="699">
        <f>IF($O329=0,0,        _xll.qDateNext($O328,U$17,"M",TRUE,Currency1))</f>
        <v>0</v>
      </c>
      <c r="V328" s="699">
        <f>IF($O329=0,0,        _xll.qDateNext($O328,V$17,"M",TRUE,Currency1))</f>
        <v>0</v>
      </c>
      <c r="W328" s="699">
        <f>IF($O329=0,0,        _xll.qDateNext($O328,W$17,"M",TRUE,Currency1))</f>
        <v>0</v>
      </c>
      <c r="X328" s="699">
        <f>IF($O329=0,0,        _xll.qDateNext($O328,X$17,"M",TRUE,Currency1))</f>
        <v>0</v>
      </c>
      <c r="Y328" s="699">
        <f>IF($O329=0,0,        _xll.qDateNext($O328,Y$17,"M",TRUE,Currency1))</f>
        <v>0</v>
      </c>
      <c r="Z328" s="703">
        <f>IF($O329=0,0,           IF(FRM,_xll.qGetFwdRate(Z$14,$O328,R328,"T",DCC_Leg1_Float),_xll.qGetFwdRate(Z$14,$O328,$O329,"T",DCC_Leg1_Float)))</f>
        <v>0</v>
      </c>
      <c r="AA328" s="703">
        <f>IF($O329=0,0,           IF(FRM,_xll.qGetFwdRate(AA$14,$O328,S328,"T",DCC_Leg1_Float),_xll.qGetFwdRate(AA$14,$O328,$O329,"T",DCC_Leg1_Float)))</f>
        <v>0</v>
      </c>
      <c r="AB328" s="703">
        <f t="shared" si="59"/>
        <v>0</v>
      </c>
      <c r="AC328" s="703">
        <f>IF($O329=0,0,           IF(FRM,_xll.qGetFwdRate(AC$14,$O328,U328,"T",DCC_Leg1_Float),_xll.qGetFwdRate(AC$14,$O328,$O329,"T",DCC_Leg1_Float)))</f>
        <v>0</v>
      </c>
      <c r="AD328" s="703">
        <f t="shared" si="64"/>
        <v>0</v>
      </c>
      <c r="AE328" s="703">
        <f t="shared" si="65"/>
        <v>0</v>
      </c>
      <c r="AF328" s="703">
        <f>IF($O329=0,0,           IF(FRM,_xll.qGetFwdRate(AF$14,$O328,X328,"T",DCC_Leg1_Float),_xll.qGetFwdRate(AF$14,$O328,$O329,"T",DCC_Leg1_Float)))</f>
        <v>0</v>
      </c>
      <c r="AG328" s="703">
        <f>IF($O329=0,0,           IF(FRM,_xll.qGetFwdRate(AG$14,$O328,Y328,"T",DCC_Leg1_Float),_xll.qGetFwdRate(AG$14,$O328,$O329,"T",DCC_Leg1_Float)))</f>
        <v>0</v>
      </c>
      <c r="AH328" s="685">
        <v>0</v>
      </c>
      <c r="AI328" s="667"/>
      <c r="AJ328" s="670">
        <f>IF(O329=0,0,             IF(ISNUMBER(AI328),AI328,             IF(ISTEXT(AI328),INDEX(Z328:AG328,MATCH(AI328,$Z$17:$AG$17,0)),           IF(AH328="INT",_xll.qInterp(O329,R328:Y328,Z328:AG328),       INDEX(Z328:AG328,MATCH(AH328,$Z$17:$AG$17,0))))))</f>
        <v>0</v>
      </c>
      <c r="AK328" s="732">
        <v>20</v>
      </c>
      <c r="AL328" s="721">
        <f t="shared" si="60"/>
        <v>0</v>
      </c>
      <c r="AM328" s="284">
        <f>IF($O329,_xll.qDateYears($O328,$O329,DCC_Leg1_Fixed),0)</f>
        <v>0</v>
      </c>
      <c r="AN328" s="284">
        <f>IF($O329,_xll.qDateYears($O328,$O329,DCC_Leg1_Float),0)</f>
        <v>0</v>
      </c>
      <c r="AP328" s="350">
        <f t="shared" si="66"/>
        <v>0</v>
      </c>
      <c r="AQ328" s="375">
        <f>IF(GenType_1a="Fixed",GenRate_1a%*$AL327*AM327,          IF(GenType_1a="Float",$AL327*(_xll.qGetFwdRate($D$18,$O327,$O328,"T",DCC_Leg1_Float)%+GenRate_1a%%)*$AN327,        IF(GenType_1a="bp (Fixed)",GenRate_1a%%*$AM327*$AL327,   IF(GenType_1a="bp (Float)",GenRate_1a%%*$AL327*$AN327,0))))</f>
        <v>0</v>
      </c>
      <c r="AR328" s="561"/>
      <c r="AT328" s="341">
        <f t="shared" si="70"/>
        <v>0</v>
      </c>
      <c r="AV328" s="356"/>
      <c r="AW328" s="122">
        <v>0</v>
      </c>
      <c r="AX328" s="128">
        <f t="shared" si="61"/>
        <v>0</v>
      </c>
      <c r="AY328" s="357">
        <v>0</v>
      </c>
      <c r="AZ328" s="699">
        <f>IF($AW329=0,0,        _xll.qDateNext($AW328,AZ$17,"M",TRUE,Currency2))</f>
        <v>0</v>
      </c>
      <c r="BA328" s="699">
        <f>IF($AW329=0,0,        _xll.qDateNext($AW328,BA$17,"M",TRUE,Currency2))</f>
        <v>0</v>
      </c>
      <c r="BB328" s="699">
        <f>IF($AW329=0,0,        _xll.qDateNext($AW328,BB$17,"M",TRUE,Currency2))</f>
        <v>0</v>
      </c>
      <c r="BC328" s="699">
        <f>IF($AW329=0,0,        _xll.qDateNext($AW328,BC$17,"M",TRUE,Currency2))</f>
        <v>0</v>
      </c>
      <c r="BD328" s="699">
        <f>IF($AW329=0,0,        _xll.qDateNext($AW328,BD$17,"M",TRUE,Currency2))</f>
        <v>0</v>
      </c>
      <c r="BE328" s="699">
        <f>IF($AW329=0,0,        _xll.qDateNext($AW328,BE$17,"M",TRUE,Currency2))</f>
        <v>0</v>
      </c>
      <c r="BF328" s="699">
        <f>IF($AW329=0,0,        _xll.qDateNext($AW328,BF$17,"M",TRUE,Currency2))</f>
        <v>0</v>
      </c>
      <c r="BG328" s="699">
        <f>IF($AW329=0,0,        _xll.qDateNext($AW328,BG$17,"M",TRUE,Currency2))</f>
        <v>0</v>
      </c>
      <c r="BH328" s="703">
        <v>0</v>
      </c>
      <c r="BI328" s="703">
        <v>0</v>
      </c>
      <c r="BJ328" s="703">
        <v>0</v>
      </c>
      <c r="BK328" s="703">
        <v>0</v>
      </c>
      <c r="BL328" s="703">
        <f t="shared" si="67"/>
        <v>0</v>
      </c>
      <c r="BM328" s="703">
        <f t="shared" si="68"/>
        <v>0</v>
      </c>
      <c r="BN328" s="703">
        <v>0</v>
      </c>
      <c r="BO328" s="703">
        <v>0</v>
      </c>
      <c r="BP328" s="685">
        <v>0</v>
      </c>
      <c r="BQ328" s="667"/>
      <c r="BR328" s="670">
        <f>IF(AW329=0,0,             IF(ISNUMBER(BQ328),BQ328,             IF(ISTEXT(BQ328),INDEX(BH328:BO328,MATCH(BQ328,$BH$17:$BO$17,0)),           IF(BP328="INT",_xll.qInterp(AW329,AZ328:BG328,BH328:BO328),       INDEX(BH328:BO328,MATCH(BP328,$BH$17:$BO$17,0))))))</f>
        <v>0</v>
      </c>
      <c r="BS328" s="731">
        <f t="shared" si="62"/>
        <v>0</v>
      </c>
      <c r="BT328" s="406">
        <f t="shared" si="63"/>
        <v>0</v>
      </c>
      <c r="BU328" s="284">
        <f>IF($AW329,_xll.qDateYears($AW328,$AW329,DCC_Leg2_Fixed),0)</f>
        <v>0</v>
      </c>
      <c r="BV328" s="284">
        <f>IF($AW329,_xll.qDateYears($AW328,$AW329,DCC_Leg2_Float),0)</f>
        <v>0</v>
      </c>
      <c r="BX328" s="350">
        <f t="shared" si="69"/>
        <v>0</v>
      </c>
      <c r="BY328" s="375">
        <f>IF(GenType_2a="Fixed",GenRate_2a%*$BT327*BU327,          IF(GenType_2a="Float",$BT327*(_xll.qGetFwdRate($J$18,$AW327,$AW328,"T",DCC_Leg2_Float)%+GenRate_2a%%)*$BV327,        IF(GenType_2a="bp (Fixed)",GenRate_2a%%*$BU327*$BT327,   IF(GenType_2a="bp (Float)",GenRate_2a%%*$BT327*$BV327,0))))</f>
        <v>0</v>
      </c>
      <c r="BZ328" s="561"/>
      <c r="CB328" s="341">
        <f t="shared" si="71"/>
        <v>0</v>
      </c>
      <c r="CC328" s="563"/>
      <c r="CD328" s="356"/>
      <c r="CE328" s="341">
        <v>0</v>
      </c>
      <c r="CF328" s="563"/>
      <c r="CG328" s="356"/>
    </row>
    <row r="329" spans="15:85">
      <c r="O329" s="122">
        <v>0</v>
      </c>
      <c r="P329" s="128">
        <f t="shared" si="58"/>
        <v>0</v>
      </c>
      <c r="Q329" s="126">
        <v>0</v>
      </c>
      <c r="R329" s="699">
        <f>IF($O330=0,0,        _xll.qDateNext($O329,R$17,"M",TRUE,Currency1))</f>
        <v>0</v>
      </c>
      <c r="S329" s="699">
        <f>IF($O330=0,0,        _xll.qDateNext($O329,S$17,"M",TRUE,Currency1))</f>
        <v>0</v>
      </c>
      <c r="T329" s="699">
        <f>IF($O330=0,0,        _xll.qDateNext($O329,T$17,"M",TRUE,Currency1))</f>
        <v>0</v>
      </c>
      <c r="U329" s="699">
        <f>IF($O330=0,0,        _xll.qDateNext($O329,U$17,"M",TRUE,Currency1))</f>
        <v>0</v>
      </c>
      <c r="V329" s="699">
        <f>IF($O330=0,0,        _xll.qDateNext($O329,V$17,"M",TRUE,Currency1))</f>
        <v>0</v>
      </c>
      <c r="W329" s="699">
        <f>IF($O330=0,0,        _xll.qDateNext($O329,W$17,"M",TRUE,Currency1))</f>
        <v>0</v>
      </c>
      <c r="X329" s="699">
        <f>IF($O330=0,0,        _xll.qDateNext($O329,X$17,"M",TRUE,Currency1))</f>
        <v>0</v>
      </c>
      <c r="Y329" s="699">
        <f>IF($O330=0,0,        _xll.qDateNext($O329,Y$17,"M",TRUE,Currency1))</f>
        <v>0</v>
      </c>
      <c r="Z329" s="703">
        <f>IF($O330=0,0,           IF(FRM,_xll.qGetFwdRate(Z$14,$O329,R329,"T",DCC_Leg1_Float),_xll.qGetFwdRate(Z$14,$O329,$O330,"T",DCC_Leg1_Float)))</f>
        <v>0</v>
      </c>
      <c r="AA329" s="703">
        <f>IF($O330=0,0,           IF(FRM,_xll.qGetFwdRate(AA$14,$O329,S329,"T",DCC_Leg1_Float),_xll.qGetFwdRate(AA$14,$O329,$O330,"T",DCC_Leg1_Float)))</f>
        <v>0</v>
      </c>
      <c r="AB329" s="703">
        <f t="shared" si="59"/>
        <v>0</v>
      </c>
      <c r="AC329" s="703">
        <f>IF($O330=0,0,           IF(FRM,_xll.qGetFwdRate(AC$14,$O329,U329,"T",DCC_Leg1_Float),_xll.qGetFwdRate(AC$14,$O329,$O330,"T",DCC_Leg1_Float)))</f>
        <v>0</v>
      </c>
      <c r="AD329" s="703">
        <f t="shared" si="64"/>
        <v>0</v>
      </c>
      <c r="AE329" s="703">
        <f t="shared" si="65"/>
        <v>0</v>
      </c>
      <c r="AF329" s="703">
        <f>IF($O330=0,0,           IF(FRM,_xll.qGetFwdRate(AF$14,$O329,X329,"T",DCC_Leg1_Float),_xll.qGetFwdRate(AF$14,$O329,$O330,"T",DCC_Leg1_Float)))</f>
        <v>0</v>
      </c>
      <c r="AG329" s="703">
        <f>IF($O330=0,0,           IF(FRM,_xll.qGetFwdRate(AG$14,$O329,Y329,"T",DCC_Leg1_Float),_xll.qGetFwdRate(AG$14,$O329,$O330,"T",DCC_Leg1_Float)))</f>
        <v>0</v>
      </c>
      <c r="AH329" s="685">
        <v>0</v>
      </c>
      <c r="AI329" s="667"/>
      <c r="AJ329" s="670">
        <f>IF(O330=0,0,             IF(ISNUMBER(AI329),AI329,             IF(ISTEXT(AI329),INDEX(Z329:AG329,MATCH(AI329,$Z$17:$AG$17,0)),           IF(AH329="INT",_xll.qInterp(O330,R329:Y329,Z329:AG329),       INDEX(Z329:AG329,MATCH(AH329,$Z$17:$AG$17,0))))))</f>
        <v>0</v>
      </c>
      <c r="AK329" s="732">
        <v>20</v>
      </c>
      <c r="AL329" s="721">
        <f t="shared" si="60"/>
        <v>0</v>
      </c>
      <c r="AM329" s="284">
        <f>IF($O330,_xll.qDateYears($O329,$O330,DCC_Leg1_Fixed),0)</f>
        <v>0</v>
      </c>
      <c r="AN329" s="284">
        <f>IF($O330,_xll.qDateYears($O329,$O330,DCC_Leg1_Float),0)</f>
        <v>0</v>
      </c>
      <c r="AP329" s="350">
        <f t="shared" si="66"/>
        <v>0</v>
      </c>
      <c r="AQ329" s="375">
        <f>IF(GenType_1a="Fixed",GenRate_1a%*$AL328*AM328,          IF(GenType_1a="Float",$AL328*(_xll.qGetFwdRate($D$18,$O328,$O329,"T",DCC_Leg1_Float)%+GenRate_1a%%)*$AN328,        IF(GenType_1a="bp (Fixed)",GenRate_1a%%*$AM328*$AL328,   IF(GenType_1a="bp (Float)",GenRate_1a%%*$AL328*$AN328,0))))</f>
        <v>0</v>
      </c>
      <c r="AR329" s="561"/>
      <c r="AT329" s="341">
        <f t="shared" si="70"/>
        <v>0</v>
      </c>
      <c r="AV329" s="356"/>
      <c r="AW329" s="122">
        <v>0</v>
      </c>
      <c r="AX329" s="128">
        <f t="shared" si="61"/>
        <v>0</v>
      </c>
      <c r="AY329" s="357">
        <v>0</v>
      </c>
      <c r="AZ329" s="699">
        <f>IF($AW330=0,0,        _xll.qDateNext($AW329,AZ$17,"M",TRUE,Currency2))</f>
        <v>0</v>
      </c>
      <c r="BA329" s="699">
        <f>IF($AW330=0,0,        _xll.qDateNext($AW329,BA$17,"M",TRUE,Currency2))</f>
        <v>0</v>
      </c>
      <c r="BB329" s="699">
        <f>IF($AW330=0,0,        _xll.qDateNext($AW329,BB$17,"M",TRUE,Currency2))</f>
        <v>0</v>
      </c>
      <c r="BC329" s="699">
        <f>IF($AW330=0,0,        _xll.qDateNext($AW329,BC$17,"M",TRUE,Currency2))</f>
        <v>0</v>
      </c>
      <c r="BD329" s="699">
        <f>IF($AW330=0,0,        _xll.qDateNext($AW329,BD$17,"M",TRUE,Currency2))</f>
        <v>0</v>
      </c>
      <c r="BE329" s="699">
        <f>IF($AW330=0,0,        _xll.qDateNext($AW329,BE$17,"M",TRUE,Currency2))</f>
        <v>0</v>
      </c>
      <c r="BF329" s="699">
        <f>IF($AW330=0,0,        _xll.qDateNext($AW329,BF$17,"M",TRUE,Currency2))</f>
        <v>0</v>
      </c>
      <c r="BG329" s="699">
        <f>IF($AW330=0,0,        _xll.qDateNext($AW329,BG$17,"M",TRUE,Currency2))</f>
        <v>0</v>
      </c>
      <c r="BH329" s="703">
        <v>0</v>
      </c>
      <c r="BI329" s="703">
        <v>0</v>
      </c>
      <c r="BJ329" s="703">
        <v>0</v>
      </c>
      <c r="BK329" s="703">
        <v>0</v>
      </c>
      <c r="BL329" s="703">
        <f t="shared" si="67"/>
        <v>0</v>
      </c>
      <c r="BM329" s="703">
        <f t="shared" si="68"/>
        <v>0</v>
      </c>
      <c r="BN329" s="703">
        <v>0</v>
      </c>
      <c r="BO329" s="703">
        <v>0</v>
      </c>
      <c r="BP329" s="685">
        <v>0</v>
      </c>
      <c r="BQ329" s="667"/>
      <c r="BR329" s="670">
        <f>IF(AW330=0,0,             IF(ISNUMBER(BQ329),BQ329,             IF(ISTEXT(BQ329),INDEX(BH329:BO329,MATCH(BQ329,$BH$17:$BO$17,0)),           IF(BP329="INT",_xll.qInterp(AW330,AZ329:BG329,BH329:BO329),       INDEX(BH329:BO329,MATCH(BP329,$BH$17:$BO$17,0))))))</f>
        <v>0</v>
      </c>
      <c r="BS329" s="731">
        <f t="shared" si="62"/>
        <v>0</v>
      </c>
      <c r="BT329" s="406">
        <f t="shared" si="63"/>
        <v>0</v>
      </c>
      <c r="BU329" s="284">
        <f>IF($AW330,_xll.qDateYears($AW329,$AW330,DCC_Leg2_Fixed),0)</f>
        <v>0</v>
      </c>
      <c r="BV329" s="284">
        <f>IF($AW330,_xll.qDateYears($AW329,$AW330,DCC_Leg2_Float),0)</f>
        <v>0</v>
      </c>
      <c r="BX329" s="350">
        <f t="shared" si="69"/>
        <v>0</v>
      </c>
      <c r="BY329" s="375">
        <f>IF(GenType_2a="Fixed",GenRate_2a%*$BT328*BU328,          IF(GenType_2a="Float",$BT328*(_xll.qGetFwdRate($J$18,$AW328,$AW329,"T",DCC_Leg2_Float)%+GenRate_2a%%)*$BV328,        IF(GenType_2a="bp (Fixed)",GenRate_2a%%*$BU328*$BT328,   IF(GenType_2a="bp (Float)",GenRate_2a%%*$BT328*$BV328,0))))</f>
        <v>0</v>
      </c>
      <c r="BZ329" s="561"/>
      <c r="CB329" s="341">
        <f t="shared" si="71"/>
        <v>0</v>
      </c>
      <c r="CC329" s="563"/>
      <c r="CD329" s="356"/>
      <c r="CE329" s="341">
        <v>0</v>
      </c>
      <c r="CF329" s="563"/>
      <c r="CG329" s="356"/>
    </row>
    <row r="330" spans="15:85">
      <c r="O330" s="122">
        <v>0</v>
      </c>
      <c r="P330" s="128">
        <f t="shared" si="58"/>
        <v>0</v>
      </c>
      <c r="Q330" s="126">
        <v>0</v>
      </c>
      <c r="R330" s="699">
        <f>IF($O331=0,0,        _xll.qDateNext($O330,R$17,"M",TRUE,Currency1))</f>
        <v>0</v>
      </c>
      <c r="S330" s="699">
        <f>IF($O331=0,0,        _xll.qDateNext($O330,S$17,"M",TRUE,Currency1))</f>
        <v>0</v>
      </c>
      <c r="T330" s="699">
        <f>IF($O331=0,0,        _xll.qDateNext($O330,T$17,"M",TRUE,Currency1))</f>
        <v>0</v>
      </c>
      <c r="U330" s="699">
        <f>IF($O331=0,0,        _xll.qDateNext($O330,U$17,"M",TRUE,Currency1))</f>
        <v>0</v>
      </c>
      <c r="V330" s="699">
        <f>IF($O331=0,0,        _xll.qDateNext($O330,V$17,"M",TRUE,Currency1))</f>
        <v>0</v>
      </c>
      <c r="W330" s="699">
        <f>IF($O331=0,0,        _xll.qDateNext($O330,W$17,"M",TRUE,Currency1))</f>
        <v>0</v>
      </c>
      <c r="X330" s="699">
        <f>IF($O331=0,0,        _xll.qDateNext($O330,X$17,"M",TRUE,Currency1))</f>
        <v>0</v>
      </c>
      <c r="Y330" s="699">
        <f>IF($O331=0,0,        _xll.qDateNext($O330,Y$17,"M",TRUE,Currency1))</f>
        <v>0</v>
      </c>
      <c r="Z330" s="703">
        <f>IF($O331=0,0,           IF(FRM,_xll.qGetFwdRate(Z$14,$O330,R330,"T",DCC_Leg1_Float),_xll.qGetFwdRate(Z$14,$O330,$O331,"T",DCC_Leg1_Float)))</f>
        <v>0</v>
      </c>
      <c r="AA330" s="703">
        <f>IF($O331=0,0,           IF(FRM,_xll.qGetFwdRate(AA$14,$O330,S330,"T",DCC_Leg1_Float),_xll.qGetFwdRate(AA$14,$O330,$O331,"T",DCC_Leg1_Float)))</f>
        <v>0</v>
      </c>
      <c r="AB330" s="703">
        <f t="shared" si="59"/>
        <v>0</v>
      </c>
      <c r="AC330" s="703">
        <f>IF($O331=0,0,           IF(FRM,_xll.qGetFwdRate(AC$14,$O330,U330,"T",DCC_Leg1_Float),_xll.qGetFwdRate(AC$14,$O330,$O331,"T",DCC_Leg1_Float)))</f>
        <v>0</v>
      </c>
      <c r="AD330" s="703">
        <f t="shared" si="64"/>
        <v>0</v>
      </c>
      <c r="AE330" s="703">
        <f t="shared" si="65"/>
        <v>0</v>
      </c>
      <c r="AF330" s="703">
        <f>IF($O331=0,0,           IF(FRM,_xll.qGetFwdRate(AF$14,$O330,X330,"T",DCC_Leg1_Float),_xll.qGetFwdRate(AF$14,$O330,$O331,"T",DCC_Leg1_Float)))</f>
        <v>0</v>
      </c>
      <c r="AG330" s="703">
        <f>IF($O331=0,0,           IF(FRM,_xll.qGetFwdRate(AG$14,$O330,Y330,"T",DCC_Leg1_Float),_xll.qGetFwdRate(AG$14,$O330,$O331,"T",DCC_Leg1_Float)))</f>
        <v>0</v>
      </c>
      <c r="AH330" s="685">
        <v>0</v>
      </c>
      <c r="AI330" s="667"/>
      <c r="AJ330" s="670">
        <f>IF(O331=0,0,             IF(ISNUMBER(AI330),AI330,             IF(ISTEXT(AI330),INDEX(Z330:AG330,MATCH(AI330,$Z$17:$AG$17,0)),           IF(AH330="INT",_xll.qInterp(O331,R330:Y330,Z330:AG330),       INDEX(Z330:AG330,MATCH(AH330,$Z$17:$AG$17,0))))))</f>
        <v>0</v>
      </c>
      <c r="AK330" s="732">
        <v>20</v>
      </c>
      <c r="AL330" s="721">
        <f t="shared" si="60"/>
        <v>0</v>
      </c>
      <c r="AM330" s="284">
        <f>IF($O331,_xll.qDateYears($O330,$O331,DCC_Leg1_Fixed),0)</f>
        <v>0</v>
      </c>
      <c r="AN330" s="284">
        <f>IF($O331,_xll.qDateYears($O330,$O331,DCC_Leg1_Float),0)</f>
        <v>0</v>
      </c>
      <c r="AP330" s="350">
        <f t="shared" si="66"/>
        <v>0</v>
      </c>
      <c r="AQ330" s="375">
        <f>IF(GenType_1a="Fixed",GenRate_1a%*$AL329*AM329,          IF(GenType_1a="Float",$AL329*(_xll.qGetFwdRate($D$18,$O329,$O330,"T",DCC_Leg1_Float)%+GenRate_1a%%)*$AN329,        IF(GenType_1a="bp (Fixed)",GenRate_1a%%*$AM329*$AL329,   IF(GenType_1a="bp (Float)",GenRate_1a%%*$AL329*$AN329,0))))</f>
        <v>0</v>
      </c>
      <c r="AR330" s="561"/>
      <c r="AT330" s="341">
        <f t="shared" si="70"/>
        <v>0</v>
      </c>
      <c r="AV330" s="356"/>
      <c r="AW330" s="122">
        <v>0</v>
      </c>
      <c r="AX330" s="128">
        <f t="shared" si="61"/>
        <v>0</v>
      </c>
      <c r="AY330" s="357">
        <v>0</v>
      </c>
      <c r="AZ330" s="699">
        <f>IF($AW331=0,0,        _xll.qDateNext($AW330,AZ$17,"M",TRUE,Currency2))</f>
        <v>0</v>
      </c>
      <c r="BA330" s="699">
        <f>IF($AW331=0,0,        _xll.qDateNext($AW330,BA$17,"M",TRUE,Currency2))</f>
        <v>0</v>
      </c>
      <c r="BB330" s="699">
        <f>IF($AW331=0,0,        _xll.qDateNext($AW330,BB$17,"M",TRUE,Currency2))</f>
        <v>0</v>
      </c>
      <c r="BC330" s="699">
        <f>IF($AW331=0,0,        _xll.qDateNext($AW330,BC$17,"M",TRUE,Currency2))</f>
        <v>0</v>
      </c>
      <c r="BD330" s="699">
        <f>IF($AW331=0,0,        _xll.qDateNext($AW330,BD$17,"M",TRUE,Currency2))</f>
        <v>0</v>
      </c>
      <c r="BE330" s="699">
        <f>IF($AW331=0,0,        _xll.qDateNext($AW330,BE$17,"M",TRUE,Currency2))</f>
        <v>0</v>
      </c>
      <c r="BF330" s="699">
        <f>IF($AW331=0,0,        _xll.qDateNext($AW330,BF$17,"M",TRUE,Currency2))</f>
        <v>0</v>
      </c>
      <c r="BG330" s="699">
        <f>IF($AW331=0,0,        _xll.qDateNext($AW330,BG$17,"M",TRUE,Currency2))</f>
        <v>0</v>
      </c>
      <c r="BH330" s="703">
        <v>0</v>
      </c>
      <c r="BI330" s="703">
        <v>0</v>
      </c>
      <c r="BJ330" s="703">
        <v>0</v>
      </c>
      <c r="BK330" s="703">
        <v>0</v>
      </c>
      <c r="BL330" s="703">
        <f t="shared" si="67"/>
        <v>0</v>
      </c>
      <c r="BM330" s="703">
        <f t="shared" si="68"/>
        <v>0</v>
      </c>
      <c r="BN330" s="703">
        <v>0</v>
      </c>
      <c r="BO330" s="703">
        <v>0</v>
      </c>
      <c r="BP330" s="685">
        <v>0</v>
      </c>
      <c r="BQ330" s="667"/>
      <c r="BR330" s="670">
        <f>IF(AW331=0,0,             IF(ISNUMBER(BQ330),BQ330,             IF(ISTEXT(BQ330),INDEX(BH330:BO330,MATCH(BQ330,$BH$17:$BO$17,0)),           IF(BP330="INT",_xll.qInterp(AW331,AZ330:BG330,BH330:BO330),       INDEX(BH330:BO330,MATCH(BP330,$BH$17:$BO$17,0))))))</f>
        <v>0</v>
      </c>
      <c r="BS330" s="731">
        <f t="shared" si="62"/>
        <v>0</v>
      </c>
      <c r="BT330" s="406">
        <f t="shared" si="63"/>
        <v>0</v>
      </c>
      <c r="BU330" s="284">
        <f>IF($AW331,_xll.qDateYears($AW330,$AW331,DCC_Leg2_Fixed),0)</f>
        <v>0</v>
      </c>
      <c r="BV330" s="284">
        <f>IF($AW331,_xll.qDateYears($AW330,$AW331,DCC_Leg2_Float),0)</f>
        <v>0</v>
      </c>
      <c r="BX330" s="350">
        <f t="shared" si="69"/>
        <v>0</v>
      </c>
      <c r="BY330" s="375">
        <f>IF(GenType_2a="Fixed",GenRate_2a%*$BT329*BU329,          IF(GenType_2a="Float",$BT329*(_xll.qGetFwdRate($J$18,$AW329,$AW330,"T",DCC_Leg2_Float)%+GenRate_2a%%)*$BV329,        IF(GenType_2a="bp (Fixed)",GenRate_2a%%*$BU329*$BT329,   IF(GenType_2a="bp (Float)",GenRate_2a%%*$BT329*$BV329,0))))</f>
        <v>0</v>
      </c>
      <c r="BZ330" s="561"/>
      <c r="CB330" s="341">
        <f t="shared" si="71"/>
        <v>0</v>
      </c>
      <c r="CC330" s="563"/>
      <c r="CD330" s="356"/>
      <c r="CE330" s="341">
        <v>0</v>
      </c>
      <c r="CF330" s="563"/>
      <c r="CG330" s="356"/>
    </row>
    <row r="331" spans="15:85">
      <c r="O331" s="122">
        <v>0</v>
      </c>
      <c r="P331" s="128">
        <f t="shared" si="58"/>
        <v>0</v>
      </c>
      <c r="Q331" s="126">
        <v>0</v>
      </c>
      <c r="R331" s="699">
        <f>IF($O332=0,0,        _xll.qDateNext($O331,R$17,"M",TRUE,Currency1))</f>
        <v>0</v>
      </c>
      <c r="S331" s="699">
        <f>IF($O332=0,0,        _xll.qDateNext($O331,S$17,"M",TRUE,Currency1))</f>
        <v>0</v>
      </c>
      <c r="T331" s="699">
        <f>IF($O332=0,0,        _xll.qDateNext($O331,T$17,"M",TRUE,Currency1))</f>
        <v>0</v>
      </c>
      <c r="U331" s="699">
        <f>IF($O332=0,0,        _xll.qDateNext($O331,U$17,"M",TRUE,Currency1))</f>
        <v>0</v>
      </c>
      <c r="V331" s="699">
        <f>IF($O332=0,0,        _xll.qDateNext($O331,V$17,"M",TRUE,Currency1))</f>
        <v>0</v>
      </c>
      <c r="W331" s="699">
        <f>IF($O332=0,0,        _xll.qDateNext($O331,W$17,"M",TRUE,Currency1))</f>
        <v>0</v>
      </c>
      <c r="X331" s="699">
        <f>IF($O332=0,0,        _xll.qDateNext($O331,X$17,"M",TRUE,Currency1))</f>
        <v>0</v>
      </c>
      <c r="Y331" s="699">
        <f>IF($O332=0,0,        _xll.qDateNext($O331,Y$17,"M",TRUE,Currency1))</f>
        <v>0</v>
      </c>
      <c r="Z331" s="703">
        <f>IF($O332=0,0,           IF(FRM,_xll.qGetFwdRate(Z$14,$O331,R331,"T",DCC_Leg1_Float),_xll.qGetFwdRate(Z$14,$O331,$O332,"T",DCC_Leg1_Float)))</f>
        <v>0</v>
      </c>
      <c r="AA331" s="703">
        <f>IF($O332=0,0,           IF(FRM,_xll.qGetFwdRate(AA$14,$O331,S331,"T",DCC_Leg1_Float),_xll.qGetFwdRate(AA$14,$O331,$O332,"T",DCC_Leg1_Float)))</f>
        <v>0</v>
      </c>
      <c r="AB331" s="703">
        <f t="shared" si="59"/>
        <v>0</v>
      </c>
      <c r="AC331" s="703">
        <f>IF($O332=0,0,           IF(FRM,_xll.qGetFwdRate(AC$14,$O331,U331,"T",DCC_Leg1_Float),_xll.qGetFwdRate(AC$14,$O331,$O332,"T",DCC_Leg1_Float)))</f>
        <v>0</v>
      </c>
      <c r="AD331" s="703">
        <f t="shared" si="64"/>
        <v>0</v>
      </c>
      <c r="AE331" s="703">
        <f t="shared" si="65"/>
        <v>0</v>
      </c>
      <c r="AF331" s="703">
        <f>IF($O332=0,0,           IF(FRM,_xll.qGetFwdRate(AF$14,$O331,X331,"T",DCC_Leg1_Float),_xll.qGetFwdRate(AF$14,$O331,$O332,"T",DCC_Leg1_Float)))</f>
        <v>0</v>
      </c>
      <c r="AG331" s="703">
        <f>IF($O332=0,0,           IF(FRM,_xll.qGetFwdRate(AG$14,$O331,Y331,"T",DCC_Leg1_Float),_xll.qGetFwdRate(AG$14,$O331,$O332,"T",DCC_Leg1_Float)))</f>
        <v>0</v>
      </c>
      <c r="AH331" s="685">
        <v>0</v>
      </c>
      <c r="AI331" s="667"/>
      <c r="AJ331" s="670">
        <f>IF(O332=0,0,             IF(ISNUMBER(AI331),AI331,             IF(ISTEXT(AI331),INDEX(Z331:AG331,MATCH(AI331,$Z$17:$AG$17,0)),           IF(AH331="INT",_xll.qInterp(O332,R331:Y331,Z331:AG331),       INDEX(Z331:AG331,MATCH(AH331,$Z$17:$AG$17,0))))))</f>
        <v>0</v>
      </c>
      <c r="AK331" s="732">
        <v>20</v>
      </c>
      <c r="AL331" s="721">
        <f t="shared" si="60"/>
        <v>0</v>
      </c>
      <c r="AM331" s="284">
        <f>IF($O332,_xll.qDateYears($O331,$O332,DCC_Leg1_Fixed),0)</f>
        <v>0</v>
      </c>
      <c r="AN331" s="284">
        <f>IF($O332,_xll.qDateYears($O331,$O332,DCC_Leg1_Float),0)</f>
        <v>0</v>
      </c>
      <c r="AP331" s="350">
        <f t="shared" si="66"/>
        <v>0</v>
      </c>
      <c r="AQ331" s="375">
        <f>IF(GenType_1a="Fixed",GenRate_1a%*$AL330*AM330,          IF(GenType_1a="Float",$AL330*(_xll.qGetFwdRate($D$18,$O330,$O331,"T",DCC_Leg1_Float)%+GenRate_1a%%)*$AN330,        IF(GenType_1a="bp (Fixed)",GenRate_1a%%*$AM330*$AL330,   IF(GenType_1a="bp (Float)",GenRate_1a%%*$AL330*$AN330,0))))</f>
        <v>0</v>
      </c>
      <c r="AR331" s="561"/>
      <c r="AT331" s="341">
        <f t="shared" si="70"/>
        <v>0</v>
      </c>
      <c r="AV331" s="356"/>
      <c r="AW331" s="122">
        <v>0</v>
      </c>
      <c r="AX331" s="128">
        <f t="shared" si="61"/>
        <v>0</v>
      </c>
      <c r="AY331" s="357">
        <v>0</v>
      </c>
      <c r="AZ331" s="699">
        <f>IF($AW332=0,0,        _xll.qDateNext($AW331,AZ$17,"M",TRUE,Currency2))</f>
        <v>0</v>
      </c>
      <c r="BA331" s="699">
        <f>IF($AW332=0,0,        _xll.qDateNext($AW331,BA$17,"M",TRUE,Currency2))</f>
        <v>0</v>
      </c>
      <c r="BB331" s="699">
        <f>IF($AW332=0,0,        _xll.qDateNext($AW331,BB$17,"M",TRUE,Currency2))</f>
        <v>0</v>
      </c>
      <c r="BC331" s="699">
        <f>IF($AW332=0,0,        _xll.qDateNext($AW331,BC$17,"M",TRUE,Currency2))</f>
        <v>0</v>
      </c>
      <c r="BD331" s="699">
        <f>IF($AW332=0,0,        _xll.qDateNext($AW331,BD$17,"M",TRUE,Currency2))</f>
        <v>0</v>
      </c>
      <c r="BE331" s="699">
        <f>IF($AW332=0,0,        _xll.qDateNext($AW331,BE$17,"M",TRUE,Currency2))</f>
        <v>0</v>
      </c>
      <c r="BF331" s="699">
        <f>IF($AW332=0,0,        _xll.qDateNext($AW331,BF$17,"M",TRUE,Currency2))</f>
        <v>0</v>
      </c>
      <c r="BG331" s="699">
        <f>IF($AW332=0,0,        _xll.qDateNext($AW331,BG$17,"M",TRUE,Currency2))</f>
        <v>0</v>
      </c>
      <c r="BH331" s="703">
        <v>0</v>
      </c>
      <c r="BI331" s="703">
        <v>0</v>
      </c>
      <c r="BJ331" s="703">
        <v>0</v>
      </c>
      <c r="BK331" s="703">
        <v>0</v>
      </c>
      <c r="BL331" s="703">
        <f t="shared" si="67"/>
        <v>0</v>
      </c>
      <c r="BM331" s="703">
        <f t="shared" si="68"/>
        <v>0</v>
      </c>
      <c r="BN331" s="703">
        <v>0</v>
      </c>
      <c r="BO331" s="703">
        <v>0</v>
      </c>
      <c r="BP331" s="685">
        <v>0</v>
      </c>
      <c r="BQ331" s="667"/>
      <c r="BR331" s="670">
        <f>IF(AW332=0,0,             IF(ISNUMBER(BQ331),BQ331,             IF(ISTEXT(BQ331),INDEX(BH331:BO331,MATCH(BQ331,$BH$17:$BO$17,0)),           IF(BP331="INT",_xll.qInterp(AW332,AZ331:BG331,BH331:BO331),       INDEX(BH331:BO331,MATCH(BP331,$BH$17:$BO$17,0))))))</f>
        <v>0</v>
      </c>
      <c r="BS331" s="731">
        <f t="shared" si="62"/>
        <v>0</v>
      </c>
      <c r="BT331" s="406">
        <f t="shared" si="63"/>
        <v>0</v>
      </c>
      <c r="BU331" s="284">
        <f>IF($AW332,_xll.qDateYears($AW331,$AW332,DCC_Leg2_Fixed),0)</f>
        <v>0</v>
      </c>
      <c r="BV331" s="284">
        <f>IF($AW332,_xll.qDateYears($AW331,$AW332,DCC_Leg2_Float),0)</f>
        <v>0</v>
      </c>
      <c r="BX331" s="350">
        <f t="shared" si="69"/>
        <v>0</v>
      </c>
      <c r="BY331" s="375">
        <f>IF(GenType_2a="Fixed",GenRate_2a%*$BT330*BU330,          IF(GenType_2a="Float",$BT330*(_xll.qGetFwdRate($J$18,$AW330,$AW331,"T",DCC_Leg2_Float)%+GenRate_2a%%)*$BV330,        IF(GenType_2a="bp (Fixed)",GenRate_2a%%*$BU330*$BT330,   IF(GenType_2a="bp (Float)",GenRate_2a%%*$BT330*$BV330,0))))</f>
        <v>0</v>
      </c>
      <c r="BZ331" s="561"/>
      <c r="CB331" s="341">
        <f t="shared" si="71"/>
        <v>0</v>
      </c>
      <c r="CC331" s="563"/>
      <c r="CD331" s="356"/>
      <c r="CE331" s="341">
        <v>0</v>
      </c>
      <c r="CF331" s="563"/>
      <c r="CG331" s="356"/>
    </row>
    <row r="332" spans="15:85">
      <c r="O332" s="122">
        <v>0</v>
      </c>
      <c r="P332" s="128">
        <f t="shared" si="58"/>
        <v>0</v>
      </c>
      <c r="Q332" s="126">
        <v>0</v>
      </c>
      <c r="R332" s="699">
        <f>IF($O333=0,0,        _xll.qDateNext($O332,R$17,"M",TRUE,Currency1))</f>
        <v>0</v>
      </c>
      <c r="S332" s="699">
        <f>IF($O333=0,0,        _xll.qDateNext($O332,S$17,"M",TRUE,Currency1))</f>
        <v>0</v>
      </c>
      <c r="T332" s="699">
        <f>IF($O333=0,0,        _xll.qDateNext($O332,T$17,"M",TRUE,Currency1))</f>
        <v>0</v>
      </c>
      <c r="U332" s="699">
        <f>IF($O333=0,0,        _xll.qDateNext($O332,U$17,"M",TRUE,Currency1))</f>
        <v>0</v>
      </c>
      <c r="V332" s="699">
        <f>IF($O333=0,0,        _xll.qDateNext($O332,V$17,"M",TRUE,Currency1))</f>
        <v>0</v>
      </c>
      <c r="W332" s="699">
        <f>IF($O333=0,0,        _xll.qDateNext($O332,W$17,"M",TRUE,Currency1))</f>
        <v>0</v>
      </c>
      <c r="X332" s="699">
        <f>IF($O333=0,0,        _xll.qDateNext($O332,X$17,"M",TRUE,Currency1))</f>
        <v>0</v>
      </c>
      <c r="Y332" s="699">
        <f>IF($O333=0,0,        _xll.qDateNext($O332,Y$17,"M",TRUE,Currency1))</f>
        <v>0</v>
      </c>
      <c r="Z332" s="703">
        <f>IF($O333=0,0,           IF(FRM,_xll.qGetFwdRate(Z$14,$O332,R332,"T",DCC_Leg1_Float),_xll.qGetFwdRate(Z$14,$O332,$O333,"T",DCC_Leg1_Float)))</f>
        <v>0</v>
      </c>
      <c r="AA332" s="703">
        <f>IF($O333=0,0,           IF(FRM,_xll.qGetFwdRate(AA$14,$O332,S332,"T",DCC_Leg1_Float),_xll.qGetFwdRate(AA$14,$O332,$O333,"T",DCC_Leg1_Float)))</f>
        <v>0</v>
      </c>
      <c r="AB332" s="703">
        <f t="shared" si="59"/>
        <v>0</v>
      </c>
      <c r="AC332" s="703">
        <f>IF($O333=0,0,           IF(FRM,_xll.qGetFwdRate(AC$14,$O332,U332,"T",DCC_Leg1_Float),_xll.qGetFwdRate(AC$14,$O332,$O333,"T",DCC_Leg1_Float)))</f>
        <v>0</v>
      </c>
      <c r="AD332" s="703">
        <f t="shared" si="64"/>
        <v>0</v>
      </c>
      <c r="AE332" s="703">
        <f t="shared" si="65"/>
        <v>0</v>
      </c>
      <c r="AF332" s="703">
        <f>IF($O333=0,0,           IF(FRM,_xll.qGetFwdRate(AF$14,$O332,X332,"T",DCC_Leg1_Float),_xll.qGetFwdRate(AF$14,$O332,$O333,"T",DCC_Leg1_Float)))</f>
        <v>0</v>
      </c>
      <c r="AG332" s="703">
        <f>IF($O333=0,0,           IF(FRM,_xll.qGetFwdRate(AG$14,$O332,Y332,"T",DCC_Leg1_Float),_xll.qGetFwdRate(AG$14,$O332,$O333,"T",DCC_Leg1_Float)))</f>
        <v>0</v>
      </c>
      <c r="AH332" s="685">
        <v>0</v>
      </c>
      <c r="AI332" s="667"/>
      <c r="AJ332" s="670">
        <f>IF(O333=0,0,             IF(ISNUMBER(AI332),AI332,             IF(ISTEXT(AI332),INDEX(Z332:AG332,MATCH(AI332,$Z$17:$AG$17,0)),           IF(AH332="INT",_xll.qInterp(O333,R332:Y332,Z332:AG332),       INDEX(Z332:AG332,MATCH(AH332,$Z$17:$AG$17,0))))))</f>
        <v>0</v>
      </c>
      <c r="AK332" s="732">
        <v>20</v>
      </c>
      <c r="AL332" s="721">
        <f t="shared" si="60"/>
        <v>0</v>
      </c>
      <c r="AM332" s="284">
        <f>IF($O333,_xll.qDateYears($O332,$O333,DCC_Leg1_Fixed),0)</f>
        <v>0</v>
      </c>
      <c r="AN332" s="284">
        <f>IF($O333,_xll.qDateYears($O332,$O333,DCC_Leg1_Float),0)</f>
        <v>0</v>
      </c>
      <c r="AP332" s="350">
        <f t="shared" si="66"/>
        <v>0</v>
      </c>
      <c r="AQ332" s="375">
        <f>IF(GenType_1a="Fixed",GenRate_1a%*$AL331*AM331,          IF(GenType_1a="Float",$AL331*(_xll.qGetFwdRate($D$18,$O331,$O332,"T",DCC_Leg1_Float)%+GenRate_1a%%)*$AN331,        IF(GenType_1a="bp (Fixed)",GenRate_1a%%*$AM331*$AL331,   IF(GenType_1a="bp (Float)",GenRate_1a%%*$AL331*$AN331,0))))</f>
        <v>0</v>
      </c>
      <c r="AR332" s="561"/>
      <c r="AT332" s="341">
        <f t="shared" si="70"/>
        <v>0</v>
      </c>
      <c r="AV332" s="356"/>
      <c r="AW332" s="122">
        <v>0</v>
      </c>
      <c r="AX332" s="128">
        <f t="shared" si="61"/>
        <v>0</v>
      </c>
      <c r="AY332" s="357">
        <v>0</v>
      </c>
      <c r="AZ332" s="699">
        <f>IF($AW333=0,0,        _xll.qDateNext($AW332,AZ$17,"M",TRUE,Currency2))</f>
        <v>0</v>
      </c>
      <c r="BA332" s="699">
        <f>IF($AW333=0,0,        _xll.qDateNext($AW332,BA$17,"M",TRUE,Currency2))</f>
        <v>0</v>
      </c>
      <c r="BB332" s="699">
        <f>IF($AW333=0,0,        _xll.qDateNext($AW332,BB$17,"M",TRUE,Currency2))</f>
        <v>0</v>
      </c>
      <c r="BC332" s="699">
        <f>IF($AW333=0,0,        _xll.qDateNext($AW332,BC$17,"M",TRUE,Currency2))</f>
        <v>0</v>
      </c>
      <c r="BD332" s="699">
        <f>IF($AW333=0,0,        _xll.qDateNext($AW332,BD$17,"M",TRUE,Currency2))</f>
        <v>0</v>
      </c>
      <c r="BE332" s="699">
        <f>IF($AW333=0,0,        _xll.qDateNext($AW332,BE$17,"M",TRUE,Currency2))</f>
        <v>0</v>
      </c>
      <c r="BF332" s="699">
        <f>IF($AW333=0,0,        _xll.qDateNext($AW332,BF$17,"M",TRUE,Currency2))</f>
        <v>0</v>
      </c>
      <c r="BG332" s="699">
        <f>IF($AW333=0,0,        _xll.qDateNext($AW332,BG$17,"M",TRUE,Currency2))</f>
        <v>0</v>
      </c>
      <c r="BH332" s="703">
        <v>0</v>
      </c>
      <c r="BI332" s="703">
        <v>0</v>
      </c>
      <c r="BJ332" s="703">
        <v>0</v>
      </c>
      <c r="BK332" s="703">
        <v>0</v>
      </c>
      <c r="BL332" s="703">
        <f t="shared" si="67"/>
        <v>0</v>
      </c>
      <c r="BM332" s="703">
        <f t="shared" si="68"/>
        <v>0</v>
      </c>
      <c r="BN332" s="703">
        <v>0</v>
      </c>
      <c r="BO332" s="703">
        <v>0</v>
      </c>
      <c r="BP332" s="685">
        <v>0</v>
      </c>
      <c r="BQ332" s="667"/>
      <c r="BR332" s="670">
        <f>IF(AW333=0,0,             IF(ISNUMBER(BQ332),BQ332,             IF(ISTEXT(BQ332),INDEX(BH332:BO332,MATCH(BQ332,$BH$17:$BO$17,0)),           IF(BP332="INT",_xll.qInterp(AW333,AZ332:BG332,BH332:BO332),       INDEX(BH332:BO332,MATCH(BP332,$BH$17:$BO$17,0))))))</f>
        <v>0</v>
      </c>
      <c r="BS332" s="731">
        <f t="shared" si="62"/>
        <v>0</v>
      </c>
      <c r="BT332" s="406">
        <f t="shared" si="63"/>
        <v>0</v>
      </c>
      <c r="BU332" s="284">
        <f>IF($AW333,_xll.qDateYears($AW332,$AW333,DCC_Leg2_Fixed),0)</f>
        <v>0</v>
      </c>
      <c r="BV332" s="284">
        <f>IF($AW333,_xll.qDateYears($AW332,$AW333,DCC_Leg2_Float),0)</f>
        <v>0</v>
      </c>
      <c r="BX332" s="350">
        <f t="shared" si="69"/>
        <v>0</v>
      </c>
      <c r="BY332" s="375">
        <f>IF(GenType_2a="Fixed",GenRate_2a%*$BT331*BU331,          IF(GenType_2a="Float",$BT331*(_xll.qGetFwdRate($J$18,$AW331,$AW332,"T",DCC_Leg2_Float)%+GenRate_2a%%)*$BV331,        IF(GenType_2a="bp (Fixed)",GenRate_2a%%*$BU331*$BT331,   IF(GenType_2a="bp (Float)",GenRate_2a%%*$BT331*$BV331,0))))</f>
        <v>0</v>
      </c>
      <c r="BZ332" s="561"/>
      <c r="CB332" s="341">
        <f t="shared" si="71"/>
        <v>0</v>
      </c>
      <c r="CC332" s="563"/>
      <c r="CD332" s="356"/>
      <c r="CE332" s="341">
        <v>0</v>
      </c>
      <c r="CF332" s="563"/>
      <c r="CG332" s="356"/>
    </row>
    <row r="333" spans="15:85">
      <c r="O333" s="122">
        <v>0</v>
      </c>
      <c r="P333" s="128">
        <f t="shared" si="58"/>
        <v>0</v>
      </c>
      <c r="Q333" s="126">
        <v>0</v>
      </c>
      <c r="R333" s="699">
        <f>IF($O334=0,0,        _xll.qDateNext($O333,R$17,"M",TRUE,Currency1))</f>
        <v>0</v>
      </c>
      <c r="S333" s="699">
        <f>IF($O334=0,0,        _xll.qDateNext($O333,S$17,"M",TRUE,Currency1))</f>
        <v>0</v>
      </c>
      <c r="T333" s="699">
        <f>IF($O334=0,0,        _xll.qDateNext($O333,T$17,"M",TRUE,Currency1))</f>
        <v>0</v>
      </c>
      <c r="U333" s="699">
        <f>IF($O334=0,0,        _xll.qDateNext($O333,U$17,"M",TRUE,Currency1))</f>
        <v>0</v>
      </c>
      <c r="V333" s="699">
        <f>IF($O334=0,0,        _xll.qDateNext($O333,V$17,"M",TRUE,Currency1))</f>
        <v>0</v>
      </c>
      <c r="W333" s="699">
        <f>IF($O334=0,0,        _xll.qDateNext($O333,W$17,"M",TRUE,Currency1))</f>
        <v>0</v>
      </c>
      <c r="X333" s="699">
        <f>IF($O334=0,0,        _xll.qDateNext($O333,X$17,"M",TRUE,Currency1))</f>
        <v>0</v>
      </c>
      <c r="Y333" s="699">
        <f>IF($O334=0,0,        _xll.qDateNext($O333,Y$17,"M",TRUE,Currency1))</f>
        <v>0</v>
      </c>
      <c r="Z333" s="703">
        <f>IF($O334=0,0,           IF(FRM,_xll.qGetFwdRate(Z$14,$O333,R333,"T",DCC_Leg1_Float),_xll.qGetFwdRate(Z$14,$O333,$O334,"T",DCC_Leg1_Float)))</f>
        <v>0</v>
      </c>
      <c r="AA333" s="703">
        <f>IF($O334=0,0,           IF(FRM,_xll.qGetFwdRate(AA$14,$O333,S333,"T",DCC_Leg1_Float),_xll.qGetFwdRate(AA$14,$O333,$O334,"T",DCC_Leg1_Float)))</f>
        <v>0</v>
      </c>
      <c r="AB333" s="703">
        <f t="shared" si="59"/>
        <v>0</v>
      </c>
      <c r="AC333" s="703">
        <f>IF($O334=0,0,           IF(FRM,_xll.qGetFwdRate(AC$14,$O333,U333,"T",DCC_Leg1_Float),_xll.qGetFwdRate(AC$14,$O333,$O334,"T",DCC_Leg1_Float)))</f>
        <v>0</v>
      </c>
      <c r="AD333" s="703">
        <f t="shared" si="64"/>
        <v>0</v>
      </c>
      <c r="AE333" s="703">
        <f t="shared" si="65"/>
        <v>0</v>
      </c>
      <c r="AF333" s="703">
        <f>IF($O334=0,0,           IF(FRM,_xll.qGetFwdRate(AF$14,$O333,X333,"T",DCC_Leg1_Float),_xll.qGetFwdRate(AF$14,$O333,$O334,"T",DCC_Leg1_Float)))</f>
        <v>0</v>
      </c>
      <c r="AG333" s="703">
        <f>IF($O334=0,0,           IF(FRM,_xll.qGetFwdRate(AG$14,$O333,Y333,"T",DCC_Leg1_Float),_xll.qGetFwdRate(AG$14,$O333,$O334,"T",DCC_Leg1_Float)))</f>
        <v>0</v>
      </c>
      <c r="AH333" s="685">
        <v>0</v>
      </c>
      <c r="AI333" s="667"/>
      <c r="AJ333" s="670">
        <f>IF(O334=0,0,             IF(ISNUMBER(AI333),AI333,             IF(ISTEXT(AI333),INDEX(Z333:AG333,MATCH(AI333,$Z$17:$AG$17,0)),           IF(AH333="INT",_xll.qInterp(O334,R333:Y333,Z333:AG333),       INDEX(Z333:AG333,MATCH(AH333,$Z$17:$AG$17,0))))))</f>
        <v>0</v>
      </c>
      <c r="AK333" s="732">
        <v>20</v>
      </c>
      <c r="AL333" s="721">
        <f t="shared" si="60"/>
        <v>0</v>
      </c>
      <c r="AM333" s="284">
        <f>IF($O334,_xll.qDateYears($O333,$O334,DCC_Leg1_Fixed),0)</f>
        <v>0</v>
      </c>
      <c r="AN333" s="284">
        <f>IF($O334,_xll.qDateYears($O333,$O334,DCC_Leg1_Float),0)</f>
        <v>0</v>
      </c>
      <c r="AP333" s="350">
        <f t="shared" si="66"/>
        <v>0</v>
      </c>
      <c r="AQ333" s="375">
        <f>IF(GenType_1a="Fixed",GenRate_1a%*$AL332*AM332,          IF(GenType_1a="Float",$AL332*(_xll.qGetFwdRate($D$18,$O332,$O333,"T",DCC_Leg1_Float)%+GenRate_1a%%)*$AN332,        IF(GenType_1a="bp (Fixed)",GenRate_1a%%*$AM332*$AL332,   IF(GenType_1a="bp (Float)",GenRate_1a%%*$AL332*$AN332,0))))</f>
        <v>0</v>
      </c>
      <c r="AR333" s="561"/>
      <c r="AT333" s="341">
        <f t="shared" si="70"/>
        <v>0</v>
      </c>
      <c r="AV333" s="356"/>
      <c r="AW333" s="122">
        <v>0</v>
      </c>
      <c r="AX333" s="128">
        <f t="shared" si="61"/>
        <v>0</v>
      </c>
      <c r="AY333" s="357">
        <v>0</v>
      </c>
      <c r="AZ333" s="699">
        <f>IF($AW334=0,0,        _xll.qDateNext($AW333,AZ$17,"M",TRUE,Currency2))</f>
        <v>0</v>
      </c>
      <c r="BA333" s="699">
        <f>IF($AW334=0,0,        _xll.qDateNext($AW333,BA$17,"M",TRUE,Currency2))</f>
        <v>0</v>
      </c>
      <c r="BB333" s="699">
        <f>IF($AW334=0,0,        _xll.qDateNext($AW333,BB$17,"M",TRUE,Currency2))</f>
        <v>0</v>
      </c>
      <c r="BC333" s="699">
        <f>IF($AW334=0,0,        _xll.qDateNext($AW333,BC$17,"M",TRUE,Currency2))</f>
        <v>0</v>
      </c>
      <c r="BD333" s="699">
        <f>IF($AW334=0,0,        _xll.qDateNext($AW333,BD$17,"M",TRUE,Currency2))</f>
        <v>0</v>
      </c>
      <c r="BE333" s="699">
        <f>IF($AW334=0,0,        _xll.qDateNext($AW333,BE$17,"M",TRUE,Currency2))</f>
        <v>0</v>
      </c>
      <c r="BF333" s="699">
        <f>IF($AW334=0,0,        _xll.qDateNext($AW333,BF$17,"M",TRUE,Currency2))</f>
        <v>0</v>
      </c>
      <c r="BG333" s="699">
        <f>IF($AW334=0,0,        _xll.qDateNext($AW333,BG$17,"M",TRUE,Currency2))</f>
        <v>0</v>
      </c>
      <c r="BH333" s="703">
        <v>0</v>
      </c>
      <c r="BI333" s="703">
        <v>0</v>
      </c>
      <c r="BJ333" s="703">
        <v>0</v>
      </c>
      <c r="BK333" s="703">
        <v>0</v>
      </c>
      <c r="BL333" s="703">
        <f t="shared" si="67"/>
        <v>0</v>
      </c>
      <c r="BM333" s="703">
        <f t="shared" si="68"/>
        <v>0</v>
      </c>
      <c r="BN333" s="703">
        <v>0</v>
      </c>
      <c r="BO333" s="703">
        <v>0</v>
      </c>
      <c r="BP333" s="685">
        <v>0</v>
      </c>
      <c r="BQ333" s="667"/>
      <c r="BR333" s="670">
        <f>IF(AW334=0,0,             IF(ISNUMBER(BQ333),BQ333,             IF(ISTEXT(BQ333),INDEX(BH333:BO333,MATCH(BQ333,$BH$17:$BO$17,0)),           IF(BP333="INT",_xll.qInterp(AW334,AZ333:BG333,BH333:BO333),       INDEX(BH333:BO333,MATCH(BP333,$BH$17:$BO$17,0))))))</f>
        <v>0</v>
      </c>
      <c r="BS333" s="731">
        <f t="shared" si="62"/>
        <v>0</v>
      </c>
      <c r="BT333" s="406">
        <f t="shared" si="63"/>
        <v>0</v>
      </c>
      <c r="BU333" s="284">
        <f>IF($AW334,_xll.qDateYears($AW333,$AW334,DCC_Leg2_Fixed),0)</f>
        <v>0</v>
      </c>
      <c r="BV333" s="284">
        <f>IF($AW334,_xll.qDateYears($AW333,$AW334,DCC_Leg2_Float),0)</f>
        <v>0</v>
      </c>
      <c r="BX333" s="350">
        <f t="shared" si="69"/>
        <v>0</v>
      </c>
      <c r="BY333" s="375">
        <f>IF(GenType_2a="Fixed",GenRate_2a%*$BT332*BU332,          IF(GenType_2a="Float",$BT332*(_xll.qGetFwdRate($J$18,$AW332,$AW333,"T",DCC_Leg2_Float)%+GenRate_2a%%)*$BV332,        IF(GenType_2a="bp (Fixed)",GenRate_2a%%*$BU332*$BT332,   IF(GenType_2a="bp (Float)",GenRate_2a%%*$BT332*$BV332,0))))</f>
        <v>0</v>
      </c>
      <c r="BZ333" s="561"/>
      <c r="CB333" s="341">
        <f t="shared" si="71"/>
        <v>0</v>
      </c>
      <c r="CC333" s="563"/>
      <c r="CD333" s="356"/>
      <c r="CE333" s="341">
        <v>0</v>
      </c>
      <c r="CF333" s="563"/>
      <c r="CG333" s="356"/>
    </row>
    <row r="334" spans="15:85">
      <c r="O334" s="122">
        <v>0</v>
      </c>
      <c r="P334" s="128">
        <f t="shared" si="58"/>
        <v>0</v>
      </c>
      <c r="Q334" s="126">
        <v>0</v>
      </c>
      <c r="R334" s="699">
        <f>IF($O335=0,0,        _xll.qDateNext($O334,R$17,"M",TRUE,Currency1))</f>
        <v>0</v>
      </c>
      <c r="S334" s="699">
        <f>IF($O335=0,0,        _xll.qDateNext($O334,S$17,"M",TRUE,Currency1))</f>
        <v>0</v>
      </c>
      <c r="T334" s="699">
        <f>IF($O335=0,0,        _xll.qDateNext($O334,T$17,"M",TRUE,Currency1))</f>
        <v>0</v>
      </c>
      <c r="U334" s="699">
        <f>IF($O335=0,0,        _xll.qDateNext($O334,U$17,"M",TRUE,Currency1))</f>
        <v>0</v>
      </c>
      <c r="V334" s="699">
        <f>IF($O335=0,0,        _xll.qDateNext($O334,V$17,"M",TRUE,Currency1))</f>
        <v>0</v>
      </c>
      <c r="W334" s="699">
        <f>IF($O335=0,0,        _xll.qDateNext($O334,W$17,"M",TRUE,Currency1))</f>
        <v>0</v>
      </c>
      <c r="X334" s="699">
        <f>IF($O335=0,0,        _xll.qDateNext($O334,X$17,"M",TRUE,Currency1))</f>
        <v>0</v>
      </c>
      <c r="Y334" s="699">
        <f>IF($O335=0,0,        _xll.qDateNext($O334,Y$17,"M",TRUE,Currency1))</f>
        <v>0</v>
      </c>
      <c r="Z334" s="703">
        <f>IF($O335=0,0,           IF(FRM,_xll.qGetFwdRate(Z$14,$O334,R334,"T",DCC_Leg1_Float),_xll.qGetFwdRate(Z$14,$O334,$O335,"T",DCC_Leg1_Float)))</f>
        <v>0</v>
      </c>
      <c r="AA334" s="703">
        <f>IF($O335=0,0,           IF(FRM,_xll.qGetFwdRate(AA$14,$O334,S334,"T",DCC_Leg1_Float),_xll.qGetFwdRate(AA$14,$O334,$O335,"T",DCC_Leg1_Float)))</f>
        <v>0</v>
      </c>
      <c r="AB334" s="703">
        <f t="shared" si="59"/>
        <v>0</v>
      </c>
      <c r="AC334" s="703">
        <f>IF($O335=0,0,           IF(FRM,_xll.qGetFwdRate(AC$14,$O334,U334,"T",DCC_Leg1_Float),_xll.qGetFwdRate(AC$14,$O334,$O335,"T",DCC_Leg1_Float)))</f>
        <v>0</v>
      </c>
      <c r="AD334" s="703">
        <f t="shared" si="64"/>
        <v>0</v>
      </c>
      <c r="AE334" s="703">
        <f t="shared" si="65"/>
        <v>0</v>
      </c>
      <c r="AF334" s="703">
        <f>IF($O335=0,0,           IF(FRM,_xll.qGetFwdRate(AF$14,$O334,X334,"T",DCC_Leg1_Float),_xll.qGetFwdRate(AF$14,$O334,$O335,"T",DCC_Leg1_Float)))</f>
        <v>0</v>
      </c>
      <c r="AG334" s="703">
        <f>IF($O335=0,0,           IF(FRM,_xll.qGetFwdRate(AG$14,$O334,Y334,"T",DCC_Leg1_Float),_xll.qGetFwdRate(AG$14,$O334,$O335,"T",DCC_Leg1_Float)))</f>
        <v>0</v>
      </c>
      <c r="AH334" s="685">
        <v>0</v>
      </c>
      <c r="AI334" s="667"/>
      <c r="AJ334" s="670">
        <f>IF(O335=0,0,             IF(ISNUMBER(AI334),AI334,             IF(ISTEXT(AI334),INDEX(Z334:AG334,MATCH(AI334,$Z$17:$AG$17,0)),           IF(AH334="INT",_xll.qInterp(O335,R334:Y334,Z334:AG334),       INDEX(Z334:AG334,MATCH(AH334,$Z$17:$AG$17,0))))))</f>
        <v>0</v>
      </c>
      <c r="AK334" s="732">
        <v>20</v>
      </c>
      <c r="AL334" s="721">
        <f t="shared" si="60"/>
        <v>0</v>
      </c>
      <c r="AM334" s="284">
        <f>IF($O335,_xll.qDateYears($O334,$O335,DCC_Leg1_Fixed),0)</f>
        <v>0</v>
      </c>
      <c r="AN334" s="284">
        <f>IF($O335,_xll.qDateYears($O334,$O335,DCC_Leg1_Float),0)</f>
        <v>0</v>
      </c>
      <c r="AP334" s="350">
        <f t="shared" si="66"/>
        <v>0</v>
      </c>
      <c r="AQ334" s="375">
        <f>IF(GenType_1a="Fixed",GenRate_1a%*$AL333*AM333,          IF(GenType_1a="Float",$AL333*(_xll.qGetFwdRate($D$18,$O333,$O334,"T",DCC_Leg1_Float)%+GenRate_1a%%)*$AN333,        IF(GenType_1a="bp (Fixed)",GenRate_1a%%*$AM333*$AL333,   IF(GenType_1a="bp (Float)",GenRate_1a%%*$AL333*$AN333,0))))</f>
        <v>0</v>
      </c>
      <c r="AR334" s="561"/>
      <c r="AT334" s="341">
        <f t="shared" si="70"/>
        <v>0</v>
      </c>
      <c r="AV334" s="356"/>
      <c r="AW334" s="122">
        <v>0</v>
      </c>
      <c r="AX334" s="128">
        <f t="shared" si="61"/>
        <v>0</v>
      </c>
      <c r="AY334" s="357">
        <v>0</v>
      </c>
      <c r="AZ334" s="699">
        <f>IF($AW335=0,0,        _xll.qDateNext($AW334,AZ$17,"M",TRUE,Currency2))</f>
        <v>0</v>
      </c>
      <c r="BA334" s="699">
        <f>IF($AW335=0,0,        _xll.qDateNext($AW334,BA$17,"M",TRUE,Currency2))</f>
        <v>0</v>
      </c>
      <c r="BB334" s="699">
        <f>IF($AW335=0,0,        _xll.qDateNext($AW334,BB$17,"M",TRUE,Currency2))</f>
        <v>0</v>
      </c>
      <c r="BC334" s="699">
        <f>IF($AW335=0,0,        _xll.qDateNext($AW334,BC$17,"M",TRUE,Currency2))</f>
        <v>0</v>
      </c>
      <c r="BD334" s="699">
        <f>IF($AW335=0,0,        _xll.qDateNext($AW334,BD$17,"M",TRUE,Currency2))</f>
        <v>0</v>
      </c>
      <c r="BE334" s="699">
        <f>IF($AW335=0,0,        _xll.qDateNext($AW334,BE$17,"M",TRUE,Currency2))</f>
        <v>0</v>
      </c>
      <c r="BF334" s="699">
        <f>IF($AW335=0,0,        _xll.qDateNext($AW334,BF$17,"M",TRUE,Currency2))</f>
        <v>0</v>
      </c>
      <c r="BG334" s="699">
        <f>IF($AW335=0,0,        _xll.qDateNext($AW334,BG$17,"M",TRUE,Currency2))</f>
        <v>0</v>
      </c>
      <c r="BH334" s="703">
        <v>0</v>
      </c>
      <c r="BI334" s="703">
        <v>0</v>
      </c>
      <c r="BJ334" s="703">
        <v>0</v>
      </c>
      <c r="BK334" s="703">
        <v>0</v>
      </c>
      <c r="BL334" s="703">
        <f t="shared" si="67"/>
        <v>0</v>
      </c>
      <c r="BM334" s="703">
        <f t="shared" si="68"/>
        <v>0</v>
      </c>
      <c r="BN334" s="703">
        <v>0</v>
      </c>
      <c r="BO334" s="703">
        <v>0</v>
      </c>
      <c r="BP334" s="685">
        <v>0</v>
      </c>
      <c r="BQ334" s="667"/>
      <c r="BR334" s="670">
        <f>IF(AW335=0,0,             IF(ISNUMBER(BQ334),BQ334,             IF(ISTEXT(BQ334),INDEX(BH334:BO334,MATCH(BQ334,$BH$17:$BO$17,0)),           IF(BP334="INT",_xll.qInterp(AW335,AZ334:BG334,BH334:BO334),       INDEX(BH334:BO334,MATCH(BP334,$BH$17:$BO$17,0))))))</f>
        <v>0</v>
      </c>
      <c r="BS334" s="731">
        <f t="shared" si="62"/>
        <v>0</v>
      </c>
      <c r="BT334" s="406">
        <f t="shared" si="63"/>
        <v>0</v>
      </c>
      <c r="BU334" s="284">
        <f>IF($AW335,_xll.qDateYears($AW334,$AW335,DCC_Leg2_Fixed),0)</f>
        <v>0</v>
      </c>
      <c r="BV334" s="284">
        <f>IF($AW335,_xll.qDateYears($AW334,$AW335,DCC_Leg2_Float),0)</f>
        <v>0</v>
      </c>
      <c r="BX334" s="350">
        <f t="shared" si="69"/>
        <v>0</v>
      </c>
      <c r="BY334" s="375">
        <f>IF(GenType_2a="Fixed",GenRate_2a%*$BT333*BU333,          IF(GenType_2a="Float",$BT333*(_xll.qGetFwdRate($J$18,$AW333,$AW334,"T",DCC_Leg2_Float)%+GenRate_2a%%)*$BV333,        IF(GenType_2a="bp (Fixed)",GenRate_2a%%*$BU333*$BT333,   IF(GenType_2a="bp (Float)",GenRate_2a%%*$BT333*$BV333,0))))</f>
        <v>0</v>
      </c>
      <c r="BZ334" s="561"/>
      <c r="CB334" s="341">
        <f t="shared" si="71"/>
        <v>0</v>
      </c>
      <c r="CC334" s="563"/>
      <c r="CD334" s="356"/>
      <c r="CE334" s="341">
        <v>0</v>
      </c>
      <c r="CF334" s="563"/>
      <c r="CG334" s="356"/>
    </row>
    <row r="335" spans="15:85">
      <c r="O335" s="122">
        <v>0</v>
      </c>
      <c r="P335" s="128">
        <f t="shared" si="58"/>
        <v>0</v>
      </c>
      <c r="Q335" s="126">
        <v>0</v>
      </c>
      <c r="R335" s="699">
        <f>IF($O336=0,0,        _xll.qDateNext($O335,R$17,"M",TRUE,Currency1))</f>
        <v>0</v>
      </c>
      <c r="S335" s="699">
        <f>IF($O336=0,0,        _xll.qDateNext($O335,S$17,"M",TRUE,Currency1))</f>
        <v>0</v>
      </c>
      <c r="T335" s="699">
        <f>IF($O336=0,0,        _xll.qDateNext($O335,T$17,"M",TRUE,Currency1))</f>
        <v>0</v>
      </c>
      <c r="U335" s="699">
        <f>IF($O336=0,0,        _xll.qDateNext($O335,U$17,"M",TRUE,Currency1))</f>
        <v>0</v>
      </c>
      <c r="V335" s="699">
        <f>IF($O336=0,0,        _xll.qDateNext($O335,V$17,"M",TRUE,Currency1))</f>
        <v>0</v>
      </c>
      <c r="W335" s="699">
        <f>IF($O336=0,0,        _xll.qDateNext($O335,W$17,"M",TRUE,Currency1))</f>
        <v>0</v>
      </c>
      <c r="X335" s="699">
        <f>IF($O336=0,0,        _xll.qDateNext($O335,X$17,"M",TRUE,Currency1))</f>
        <v>0</v>
      </c>
      <c r="Y335" s="699">
        <f>IF($O336=0,0,        _xll.qDateNext($O335,Y$17,"M",TRUE,Currency1))</f>
        <v>0</v>
      </c>
      <c r="Z335" s="703">
        <f>IF($O336=0,0,           IF(FRM,_xll.qGetFwdRate(Z$14,$O335,R335,"T",DCC_Leg1_Float),_xll.qGetFwdRate(Z$14,$O335,$O336,"T",DCC_Leg1_Float)))</f>
        <v>0</v>
      </c>
      <c r="AA335" s="703">
        <f>IF($O336=0,0,           IF(FRM,_xll.qGetFwdRate(AA$14,$O335,S335,"T",DCC_Leg1_Float),_xll.qGetFwdRate(AA$14,$O335,$O336,"T",DCC_Leg1_Float)))</f>
        <v>0</v>
      </c>
      <c r="AB335" s="703">
        <f t="shared" si="59"/>
        <v>0</v>
      </c>
      <c r="AC335" s="703">
        <f>IF($O336=0,0,           IF(FRM,_xll.qGetFwdRate(AC$14,$O335,U335,"T",DCC_Leg1_Float),_xll.qGetFwdRate(AC$14,$O335,$O336,"T",DCC_Leg1_Float)))</f>
        <v>0</v>
      </c>
      <c r="AD335" s="703">
        <f t="shared" si="64"/>
        <v>0</v>
      </c>
      <c r="AE335" s="703">
        <f t="shared" si="65"/>
        <v>0</v>
      </c>
      <c r="AF335" s="703">
        <f>IF($O336=0,0,           IF(FRM,_xll.qGetFwdRate(AF$14,$O335,X335,"T",DCC_Leg1_Float),_xll.qGetFwdRate(AF$14,$O335,$O336,"T",DCC_Leg1_Float)))</f>
        <v>0</v>
      </c>
      <c r="AG335" s="703">
        <f>IF($O336=0,0,           IF(FRM,_xll.qGetFwdRate(AG$14,$O335,Y335,"T",DCC_Leg1_Float),_xll.qGetFwdRate(AG$14,$O335,$O336,"T",DCC_Leg1_Float)))</f>
        <v>0</v>
      </c>
      <c r="AH335" s="685">
        <v>0</v>
      </c>
      <c r="AI335" s="667"/>
      <c r="AJ335" s="670">
        <f>IF(O336=0,0,             IF(ISNUMBER(AI335),AI335,             IF(ISTEXT(AI335),INDEX(Z335:AG335,MATCH(AI335,$Z$17:$AG$17,0)),           IF(AH335="INT",_xll.qInterp(O336,R335:Y335,Z335:AG335),       INDEX(Z335:AG335,MATCH(AH335,$Z$17:$AG$17,0))))))</f>
        <v>0</v>
      </c>
      <c r="AK335" s="732">
        <v>20</v>
      </c>
      <c r="AL335" s="721">
        <f t="shared" si="60"/>
        <v>0</v>
      </c>
      <c r="AM335" s="284">
        <f>IF($O336,_xll.qDateYears($O335,$O336,DCC_Leg1_Fixed),0)</f>
        <v>0</v>
      </c>
      <c r="AN335" s="284">
        <f>IF($O336,_xll.qDateYears($O335,$O336,DCC_Leg1_Float),0)</f>
        <v>0</v>
      </c>
      <c r="AP335" s="350">
        <f t="shared" si="66"/>
        <v>0</v>
      </c>
      <c r="AQ335" s="375">
        <f>IF(GenType_1a="Fixed",GenRate_1a%*$AL334*AM334,          IF(GenType_1a="Float",$AL334*(_xll.qGetFwdRate($D$18,$O334,$O335,"T",DCC_Leg1_Float)%+GenRate_1a%%)*$AN334,        IF(GenType_1a="bp (Fixed)",GenRate_1a%%*$AM334*$AL334,   IF(GenType_1a="bp (Float)",GenRate_1a%%*$AL334*$AN334,0))))</f>
        <v>0</v>
      </c>
      <c r="AR335" s="561"/>
      <c r="AT335" s="341">
        <f t="shared" si="70"/>
        <v>0</v>
      </c>
      <c r="AV335" s="356"/>
      <c r="AW335" s="122">
        <v>0</v>
      </c>
      <c r="AX335" s="128">
        <f t="shared" si="61"/>
        <v>0</v>
      </c>
      <c r="AY335" s="357">
        <v>0</v>
      </c>
      <c r="AZ335" s="699">
        <f>IF($AW336=0,0,        _xll.qDateNext($AW335,AZ$17,"M",TRUE,Currency2))</f>
        <v>0</v>
      </c>
      <c r="BA335" s="699">
        <f>IF($AW336=0,0,        _xll.qDateNext($AW335,BA$17,"M",TRUE,Currency2))</f>
        <v>0</v>
      </c>
      <c r="BB335" s="699">
        <f>IF($AW336=0,0,        _xll.qDateNext($AW335,BB$17,"M",TRUE,Currency2))</f>
        <v>0</v>
      </c>
      <c r="BC335" s="699">
        <f>IF($AW336=0,0,        _xll.qDateNext($AW335,BC$17,"M",TRUE,Currency2))</f>
        <v>0</v>
      </c>
      <c r="BD335" s="699">
        <f>IF($AW336=0,0,        _xll.qDateNext($AW335,BD$17,"M",TRUE,Currency2))</f>
        <v>0</v>
      </c>
      <c r="BE335" s="699">
        <f>IF($AW336=0,0,        _xll.qDateNext($AW335,BE$17,"M",TRUE,Currency2))</f>
        <v>0</v>
      </c>
      <c r="BF335" s="699">
        <f>IF($AW336=0,0,        _xll.qDateNext($AW335,BF$17,"M",TRUE,Currency2))</f>
        <v>0</v>
      </c>
      <c r="BG335" s="699">
        <f>IF($AW336=0,0,        _xll.qDateNext($AW335,BG$17,"M",TRUE,Currency2))</f>
        <v>0</v>
      </c>
      <c r="BH335" s="703">
        <v>0</v>
      </c>
      <c r="BI335" s="703">
        <v>0</v>
      </c>
      <c r="BJ335" s="703">
        <v>0</v>
      </c>
      <c r="BK335" s="703">
        <v>0</v>
      </c>
      <c r="BL335" s="703">
        <f t="shared" si="67"/>
        <v>0</v>
      </c>
      <c r="BM335" s="703">
        <f t="shared" si="68"/>
        <v>0</v>
      </c>
      <c r="BN335" s="703">
        <v>0</v>
      </c>
      <c r="BO335" s="703">
        <v>0</v>
      </c>
      <c r="BP335" s="685">
        <v>0</v>
      </c>
      <c r="BQ335" s="667"/>
      <c r="BR335" s="670">
        <f>IF(AW336=0,0,             IF(ISNUMBER(BQ335),BQ335,             IF(ISTEXT(BQ335),INDEX(BH335:BO335,MATCH(BQ335,$BH$17:$BO$17,0)),           IF(BP335="INT",_xll.qInterp(AW336,AZ335:BG335,BH335:BO335),       INDEX(BH335:BO335,MATCH(BP335,$BH$17:$BO$17,0))))))</f>
        <v>0</v>
      </c>
      <c r="BS335" s="731">
        <f t="shared" si="62"/>
        <v>0</v>
      </c>
      <c r="BT335" s="406">
        <f t="shared" si="63"/>
        <v>0</v>
      </c>
      <c r="BU335" s="284">
        <f>IF($AW336,_xll.qDateYears($AW335,$AW336,DCC_Leg2_Fixed),0)</f>
        <v>0</v>
      </c>
      <c r="BV335" s="284">
        <f>IF($AW336,_xll.qDateYears($AW335,$AW336,DCC_Leg2_Float),0)</f>
        <v>0</v>
      </c>
      <c r="BX335" s="350">
        <f t="shared" si="69"/>
        <v>0</v>
      </c>
      <c r="BY335" s="375">
        <f>IF(GenType_2a="Fixed",GenRate_2a%*$BT334*BU334,          IF(GenType_2a="Float",$BT334*(_xll.qGetFwdRate($J$18,$AW334,$AW335,"T",DCC_Leg2_Float)%+GenRate_2a%%)*$BV334,        IF(GenType_2a="bp (Fixed)",GenRate_2a%%*$BU334*$BT334,   IF(GenType_2a="bp (Float)",GenRate_2a%%*$BT334*$BV334,0))))</f>
        <v>0</v>
      </c>
      <c r="BZ335" s="561"/>
      <c r="CB335" s="341">
        <f t="shared" si="71"/>
        <v>0</v>
      </c>
      <c r="CC335" s="563"/>
      <c r="CD335" s="356"/>
      <c r="CE335" s="341">
        <v>0</v>
      </c>
      <c r="CF335" s="563"/>
      <c r="CG335" s="356"/>
    </row>
    <row r="336" spans="15:85">
      <c r="O336" s="122">
        <v>0</v>
      </c>
      <c r="P336" s="128">
        <f t="shared" si="58"/>
        <v>0</v>
      </c>
      <c r="Q336" s="126">
        <v>0</v>
      </c>
      <c r="R336" s="699">
        <f>IF($O337=0,0,        _xll.qDateNext($O336,R$17,"M",TRUE,Currency1))</f>
        <v>0</v>
      </c>
      <c r="S336" s="699">
        <f>IF($O337=0,0,        _xll.qDateNext($O336,S$17,"M",TRUE,Currency1))</f>
        <v>0</v>
      </c>
      <c r="T336" s="699">
        <f>IF($O337=0,0,        _xll.qDateNext($O336,T$17,"M",TRUE,Currency1))</f>
        <v>0</v>
      </c>
      <c r="U336" s="699">
        <f>IF($O337=0,0,        _xll.qDateNext($O336,U$17,"M",TRUE,Currency1))</f>
        <v>0</v>
      </c>
      <c r="V336" s="699">
        <f>IF($O337=0,0,        _xll.qDateNext($O336,V$17,"M",TRUE,Currency1))</f>
        <v>0</v>
      </c>
      <c r="W336" s="699">
        <f>IF($O337=0,0,        _xll.qDateNext($O336,W$17,"M",TRUE,Currency1))</f>
        <v>0</v>
      </c>
      <c r="X336" s="699">
        <f>IF($O337=0,0,        _xll.qDateNext($O336,X$17,"M",TRUE,Currency1))</f>
        <v>0</v>
      </c>
      <c r="Y336" s="699">
        <f>IF($O337=0,0,        _xll.qDateNext($O336,Y$17,"M",TRUE,Currency1))</f>
        <v>0</v>
      </c>
      <c r="Z336" s="703">
        <f>IF($O337=0,0,           IF(FRM,_xll.qGetFwdRate(Z$14,$O336,R336,"T",DCC_Leg1_Float),_xll.qGetFwdRate(Z$14,$O336,$O337,"T",DCC_Leg1_Float)))</f>
        <v>0</v>
      </c>
      <c r="AA336" s="703">
        <f>IF($O337=0,0,           IF(FRM,_xll.qGetFwdRate(AA$14,$O336,S336,"T",DCC_Leg1_Float),_xll.qGetFwdRate(AA$14,$O336,$O337,"T",DCC_Leg1_Float)))</f>
        <v>0</v>
      </c>
      <c r="AB336" s="703">
        <f t="shared" si="59"/>
        <v>0</v>
      </c>
      <c r="AC336" s="703">
        <f>IF($O337=0,0,           IF(FRM,_xll.qGetFwdRate(AC$14,$O336,U336,"T",DCC_Leg1_Float),_xll.qGetFwdRate(AC$14,$O336,$O337,"T",DCC_Leg1_Float)))</f>
        <v>0</v>
      </c>
      <c r="AD336" s="703">
        <f t="shared" si="64"/>
        <v>0</v>
      </c>
      <c r="AE336" s="703">
        <f t="shared" si="65"/>
        <v>0</v>
      </c>
      <c r="AF336" s="703">
        <f>IF($O337=0,0,           IF(FRM,_xll.qGetFwdRate(AF$14,$O336,X336,"T",DCC_Leg1_Float),_xll.qGetFwdRate(AF$14,$O336,$O337,"T",DCC_Leg1_Float)))</f>
        <v>0</v>
      </c>
      <c r="AG336" s="703">
        <f>IF($O337=0,0,           IF(FRM,_xll.qGetFwdRate(AG$14,$O336,Y336,"T",DCC_Leg1_Float),_xll.qGetFwdRate(AG$14,$O336,$O337,"T",DCC_Leg1_Float)))</f>
        <v>0</v>
      </c>
      <c r="AH336" s="685">
        <v>0</v>
      </c>
      <c r="AI336" s="667"/>
      <c r="AJ336" s="670">
        <f>IF(O337=0,0,             IF(ISNUMBER(AI336),AI336,             IF(ISTEXT(AI336),INDEX(Z336:AG336,MATCH(AI336,$Z$17:$AG$17,0)),           IF(AH336="INT",_xll.qInterp(O337,R336:Y336,Z336:AG336),       INDEX(Z336:AG336,MATCH(AH336,$Z$17:$AG$17,0))))))</f>
        <v>0</v>
      </c>
      <c r="AK336" s="732">
        <v>20</v>
      </c>
      <c r="AL336" s="721">
        <f t="shared" si="60"/>
        <v>0</v>
      </c>
      <c r="AM336" s="284">
        <f>IF($O337,_xll.qDateYears($O336,$O337,DCC_Leg1_Fixed),0)</f>
        <v>0</v>
      </c>
      <c r="AN336" s="284">
        <f>IF($O337,_xll.qDateYears($O336,$O337,DCC_Leg1_Float),0)</f>
        <v>0</v>
      </c>
      <c r="AP336" s="350">
        <f t="shared" si="66"/>
        <v>0</v>
      </c>
      <c r="AQ336" s="375">
        <f>IF(GenType_1a="Fixed",GenRate_1a%*$AL335*AM335,          IF(GenType_1a="Float",$AL335*(_xll.qGetFwdRate($D$18,$O335,$O336,"T",DCC_Leg1_Float)%+GenRate_1a%%)*$AN335,        IF(GenType_1a="bp (Fixed)",GenRate_1a%%*$AM335*$AL335,   IF(GenType_1a="bp (Float)",GenRate_1a%%*$AL335*$AN335,0))))</f>
        <v>0</v>
      </c>
      <c r="AR336" s="561"/>
      <c r="AT336" s="341">
        <f t="shared" si="70"/>
        <v>0</v>
      </c>
      <c r="AV336" s="356"/>
      <c r="AW336" s="122">
        <v>0</v>
      </c>
      <c r="AX336" s="128">
        <f t="shared" si="61"/>
        <v>0</v>
      </c>
      <c r="AY336" s="357">
        <v>0</v>
      </c>
      <c r="AZ336" s="699">
        <f>IF($AW337=0,0,        _xll.qDateNext($AW336,AZ$17,"M",TRUE,Currency2))</f>
        <v>0</v>
      </c>
      <c r="BA336" s="699">
        <f>IF($AW337=0,0,        _xll.qDateNext($AW336,BA$17,"M",TRUE,Currency2))</f>
        <v>0</v>
      </c>
      <c r="BB336" s="699">
        <f>IF($AW337=0,0,        _xll.qDateNext($AW336,BB$17,"M",TRUE,Currency2))</f>
        <v>0</v>
      </c>
      <c r="BC336" s="699">
        <f>IF($AW337=0,0,        _xll.qDateNext($AW336,BC$17,"M",TRUE,Currency2))</f>
        <v>0</v>
      </c>
      <c r="BD336" s="699">
        <f>IF($AW337=0,0,        _xll.qDateNext($AW336,BD$17,"M",TRUE,Currency2))</f>
        <v>0</v>
      </c>
      <c r="BE336" s="699">
        <f>IF($AW337=0,0,        _xll.qDateNext($AW336,BE$17,"M",TRUE,Currency2))</f>
        <v>0</v>
      </c>
      <c r="BF336" s="699">
        <f>IF($AW337=0,0,        _xll.qDateNext($AW336,BF$17,"M",TRUE,Currency2))</f>
        <v>0</v>
      </c>
      <c r="BG336" s="699">
        <f>IF($AW337=0,0,        _xll.qDateNext($AW336,BG$17,"M",TRUE,Currency2))</f>
        <v>0</v>
      </c>
      <c r="BH336" s="703">
        <v>0</v>
      </c>
      <c r="BI336" s="703">
        <v>0</v>
      </c>
      <c r="BJ336" s="703">
        <v>0</v>
      </c>
      <c r="BK336" s="703">
        <v>0</v>
      </c>
      <c r="BL336" s="703">
        <f t="shared" si="67"/>
        <v>0</v>
      </c>
      <c r="BM336" s="703">
        <f t="shared" si="68"/>
        <v>0</v>
      </c>
      <c r="BN336" s="703">
        <v>0</v>
      </c>
      <c r="BO336" s="703">
        <v>0</v>
      </c>
      <c r="BP336" s="685">
        <v>0</v>
      </c>
      <c r="BQ336" s="667"/>
      <c r="BR336" s="670">
        <f>IF(AW337=0,0,             IF(ISNUMBER(BQ336),BQ336,             IF(ISTEXT(BQ336),INDEX(BH336:BO336,MATCH(BQ336,$BH$17:$BO$17,0)),           IF(BP336="INT",_xll.qInterp(AW337,AZ336:BG336,BH336:BO336),       INDEX(BH336:BO336,MATCH(BP336,$BH$17:$BO$17,0))))))</f>
        <v>0</v>
      </c>
      <c r="BS336" s="731">
        <f t="shared" si="62"/>
        <v>0</v>
      </c>
      <c r="BT336" s="406">
        <f t="shared" si="63"/>
        <v>0</v>
      </c>
      <c r="BU336" s="284">
        <f>IF($AW337,_xll.qDateYears($AW336,$AW337,DCC_Leg2_Fixed),0)</f>
        <v>0</v>
      </c>
      <c r="BV336" s="284">
        <f>IF($AW337,_xll.qDateYears($AW336,$AW337,DCC_Leg2_Float),0)</f>
        <v>0</v>
      </c>
      <c r="BX336" s="350">
        <f t="shared" si="69"/>
        <v>0</v>
      </c>
      <c r="BY336" s="375">
        <f>IF(GenType_2a="Fixed",GenRate_2a%*$BT335*BU335,          IF(GenType_2a="Float",$BT335*(_xll.qGetFwdRate($J$18,$AW335,$AW336,"T",DCC_Leg2_Float)%+GenRate_2a%%)*$BV335,        IF(GenType_2a="bp (Fixed)",GenRate_2a%%*$BU335*$BT335,   IF(GenType_2a="bp (Float)",GenRate_2a%%*$BT335*$BV335,0))))</f>
        <v>0</v>
      </c>
      <c r="BZ336" s="561"/>
      <c r="CB336" s="341">
        <f t="shared" si="71"/>
        <v>0</v>
      </c>
      <c r="CC336" s="563"/>
      <c r="CD336" s="356"/>
      <c r="CE336" s="341">
        <v>0</v>
      </c>
      <c r="CF336" s="563"/>
      <c r="CG336" s="356"/>
    </row>
    <row r="337" spans="15:85">
      <c r="O337" s="122">
        <v>0</v>
      </c>
      <c r="P337" s="128">
        <f t="shared" si="58"/>
        <v>0</v>
      </c>
      <c r="Q337" s="126">
        <v>0</v>
      </c>
      <c r="R337" s="699">
        <f>IF($O338=0,0,        _xll.qDateNext($O337,R$17,"M",TRUE,Currency1))</f>
        <v>0</v>
      </c>
      <c r="S337" s="699">
        <f>IF($O338=0,0,        _xll.qDateNext($O337,S$17,"M",TRUE,Currency1))</f>
        <v>0</v>
      </c>
      <c r="T337" s="699">
        <f>IF($O338=0,0,        _xll.qDateNext($O337,T$17,"M",TRUE,Currency1))</f>
        <v>0</v>
      </c>
      <c r="U337" s="699">
        <f>IF($O338=0,0,        _xll.qDateNext($O337,U$17,"M",TRUE,Currency1))</f>
        <v>0</v>
      </c>
      <c r="V337" s="699">
        <f>IF($O338=0,0,        _xll.qDateNext($O337,V$17,"M",TRUE,Currency1))</f>
        <v>0</v>
      </c>
      <c r="W337" s="699">
        <f>IF($O338=0,0,        _xll.qDateNext($O337,W$17,"M",TRUE,Currency1))</f>
        <v>0</v>
      </c>
      <c r="X337" s="699">
        <f>IF($O338=0,0,        _xll.qDateNext($O337,X$17,"M",TRUE,Currency1))</f>
        <v>0</v>
      </c>
      <c r="Y337" s="699">
        <f>IF($O338=0,0,        _xll.qDateNext($O337,Y$17,"M",TRUE,Currency1))</f>
        <v>0</v>
      </c>
      <c r="Z337" s="703">
        <f>IF($O338=0,0,           IF(FRM,_xll.qGetFwdRate(Z$14,$O337,R337,"T",DCC_Leg1_Float),_xll.qGetFwdRate(Z$14,$O337,$O338,"T",DCC_Leg1_Float)))</f>
        <v>0</v>
      </c>
      <c r="AA337" s="703">
        <f>IF($O338=0,0,           IF(FRM,_xll.qGetFwdRate(AA$14,$O337,S337,"T",DCC_Leg1_Float),_xll.qGetFwdRate(AA$14,$O337,$O338,"T",DCC_Leg1_Float)))</f>
        <v>0</v>
      </c>
      <c r="AB337" s="703">
        <f t="shared" si="59"/>
        <v>0</v>
      </c>
      <c r="AC337" s="703">
        <f>IF($O338=0,0,           IF(FRM,_xll.qGetFwdRate(AC$14,$O337,U337,"T",DCC_Leg1_Float),_xll.qGetFwdRate(AC$14,$O337,$O338,"T",DCC_Leg1_Float)))</f>
        <v>0</v>
      </c>
      <c r="AD337" s="703">
        <f t="shared" si="64"/>
        <v>0</v>
      </c>
      <c r="AE337" s="703">
        <f t="shared" si="65"/>
        <v>0</v>
      </c>
      <c r="AF337" s="703">
        <f>IF($O338=0,0,           IF(FRM,_xll.qGetFwdRate(AF$14,$O337,X337,"T",DCC_Leg1_Float),_xll.qGetFwdRate(AF$14,$O337,$O338,"T",DCC_Leg1_Float)))</f>
        <v>0</v>
      </c>
      <c r="AG337" s="703">
        <f>IF($O338=0,0,           IF(FRM,_xll.qGetFwdRate(AG$14,$O337,Y337,"T",DCC_Leg1_Float),_xll.qGetFwdRate(AG$14,$O337,$O338,"T",DCC_Leg1_Float)))</f>
        <v>0</v>
      </c>
      <c r="AH337" s="685">
        <v>0</v>
      </c>
      <c r="AI337" s="667"/>
      <c r="AJ337" s="670">
        <f>IF(O338=0,0,             IF(ISNUMBER(AI337),AI337,             IF(ISTEXT(AI337),INDEX(Z337:AG337,MATCH(AI337,$Z$17:$AG$17,0)),           IF(AH337="INT",_xll.qInterp(O338,R337:Y337,Z337:AG337),       INDEX(Z337:AG337,MATCH(AH337,$Z$17:$AG$17,0))))))</f>
        <v>0</v>
      </c>
      <c r="AK337" s="732">
        <v>20</v>
      </c>
      <c r="AL337" s="721">
        <f t="shared" si="60"/>
        <v>0</v>
      </c>
      <c r="AM337" s="284">
        <f>IF($O338,_xll.qDateYears($O337,$O338,DCC_Leg1_Fixed),0)</f>
        <v>0</v>
      </c>
      <c r="AN337" s="284">
        <f>IF($O338,_xll.qDateYears($O337,$O338,DCC_Leg1_Float),0)</f>
        <v>0</v>
      </c>
      <c r="AP337" s="350">
        <f t="shared" si="66"/>
        <v>0</v>
      </c>
      <c r="AQ337" s="375">
        <f>IF(GenType_1a="Fixed",GenRate_1a%*$AL336*AM336,          IF(GenType_1a="Float",$AL336*(_xll.qGetFwdRate($D$18,$O336,$O337,"T",DCC_Leg1_Float)%+GenRate_1a%%)*$AN336,        IF(GenType_1a="bp (Fixed)",GenRate_1a%%*$AM336*$AL336,   IF(GenType_1a="bp (Float)",GenRate_1a%%*$AL336*$AN336,0))))</f>
        <v>0</v>
      </c>
      <c r="AR337" s="561"/>
      <c r="AT337" s="341">
        <f t="shared" si="70"/>
        <v>0</v>
      </c>
      <c r="AV337" s="356"/>
      <c r="AW337" s="122">
        <v>0</v>
      </c>
      <c r="AX337" s="128">
        <f t="shared" si="61"/>
        <v>0</v>
      </c>
      <c r="AY337" s="357">
        <v>0</v>
      </c>
      <c r="AZ337" s="699">
        <f>IF($AW338=0,0,        _xll.qDateNext($AW337,AZ$17,"M",TRUE,Currency2))</f>
        <v>0</v>
      </c>
      <c r="BA337" s="699">
        <f>IF($AW338=0,0,        _xll.qDateNext($AW337,BA$17,"M",TRUE,Currency2))</f>
        <v>0</v>
      </c>
      <c r="BB337" s="699">
        <f>IF($AW338=0,0,        _xll.qDateNext($AW337,BB$17,"M",TRUE,Currency2))</f>
        <v>0</v>
      </c>
      <c r="BC337" s="699">
        <f>IF($AW338=0,0,        _xll.qDateNext($AW337,BC$17,"M",TRUE,Currency2))</f>
        <v>0</v>
      </c>
      <c r="BD337" s="699">
        <f>IF($AW338=0,0,        _xll.qDateNext($AW337,BD$17,"M",TRUE,Currency2))</f>
        <v>0</v>
      </c>
      <c r="BE337" s="699">
        <f>IF($AW338=0,0,        _xll.qDateNext($AW337,BE$17,"M",TRUE,Currency2))</f>
        <v>0</v>
      </c>
      <c r="BF337" s="699">
        <f>IF($AW338=0,0,        _xll.qDateNext($AW337,BF$17,"M",TRUE,Currency2))</f>
        <v>0</v>
      </c>
      <c r="BG337" s="699">
        <f>IF($AW338=0,0,        _xll.qDateNext($AW337,BG$17,"M",TRUE,Currency2))</f>
        <v>0</v>
      </c>
      <c r="BH337" s="703">
        <v>0</v>
      </c>
      <c r="BI337" s="703">
        <v>0</v>
      </c>
      <c r="BJ337" s="703">
        <v>0</v>
      </c>
      <c r="BK337" s="703">
        <v>0</v>
      </c>
      <c r="BL337" s="703">
        <f t="shared" si="67"/>
        <v>0</v>
      </c>
      <c r="BM337" s="703">
        <f t="shared" si="68"/>
        <v>0</v>
      </c>
      <c r="BN337" s="703">
        <v>0</v>
      </c>
      <c r="BO337" s="703">
        <v>0</v>
      </c>
      <c r="BP337" s="685">
        <v>0</v>
      </c>
      <c r="BQ337" s="667"/>
      <c r="BR337" s="670">
        <f>IF(AW338=0,0,             IF(ISNUMBER(BQ337),BQ337,             IF(ISTEXT(BQ337),INDEX(BH337:BO337,MATCH(BQ337,$BH$17:$BO$17,0)),           IF(BP337="INT",_xll.qInterp(AW338,AZ337:BG337,BH337:BO337),       INDEX(BH337:BO337,MATCH(BP337,$BH$17:$BO$17,0))))))</f>
        <v>0</v>
      </c>
      <c r="BS337" s="731">
        <f t="shared" si="62"/>
        <v>0</v>
      </c>
      <c r="BT337" s="406">
        <f t="shared" si="63"/>
        <v>0</v>
      </c>
      <c r="BU337" s="284">
        <f>IF($AW338,_xll.qDateYears($AW337,$AW338,DCC_Leg2_Fixed),0)</f>
        <v>0</v>
      </c>
      <c r="BV337" s="284">
        <f>IF($AW338,_xll.qDateYears($AW337,$AW338,DCC_Leg2_Float),0)</f>
        <v>0</v>
      </c>
      <c r="BX337" s="350">
        <f t="shared" si="69"/>
        <v>0</v>
      </c>
      <c r="BY337" s="375">
        <f>IF(GenType_2a="Fixed",GenRate_2a%*$BT336*BU336,          IF(GenType_2a="Float",$BT336*(_xll.qGetFwdRate($J$18,$AW336,$AW337,"T",DCC_Leg2_Float)%+GenRate_2a%%)*$BV336,        IF(GenType_2a="bp (Fixed)",GenRate_2a%%*$BU336*$BT336,   IF(GenType_2a="bp (Float)",GenRate_2a%%*$BT336*$BV336,0))))</f>
        <v>0</v>
      </c>
      <c r="BZ337" s="561"/>
      <c r="CB337" s="341">
        <f t="shared" si="71"/>
        <v>0</v>
      </c>
      <c r="CC337" s="563"/>
      <c r="CD337" s="356"/>
      <c r="CE337" s="341">
        <v>0</v>
      </c>
      <c r="CF337" s="563"/>
      <c r="CG337" s="356"/>
    </row>
    <row r="338" spans="15:85">
      <c r="O338" s="122">
        <v>0</v>
      </c>
      <c r="P338" s="128">
        <f t="shared" ref="P338:P401" si="72">IF(O339,O339-O338,0)</f>
        <v>0</v>
      </c>
      <c r="Q338" s="126">
        <v>0</v>
      </c>
      <c r="R338" s="699">
        <f>IF($O339=0,0,        _xll.qDateNext($O338,R$17,"M",TRUE,Currency1))</f>
        <v>0</v>
      </c>
      <c r="S338" s="699">
        <f>IF($O339=0,0,        _xll.qDateNext($O338,S$17,"M",TRUE,Currency1))</f>
        <v>0</v>
      </c>
      <c r="T338" s="699">
        <f>IF($O339=0,0,        _xll.qDateNext($O338,T$17,"M",TRUE,Currency1))</f>
        <v>0</v>
      </c>
      <c r="U338" s="699">
        <f>IF($O339=0,0,        _xll.qDateNext($O338,U$17,"M",TRUE,Currency1))</f>
        <v>0</v>
      </c>
      <c r="V338" s="699">
        <f>IF($O339=0,0,        _xll.qDateNext($O338,V$17,"M",TRUE,Currency1))</f>
        <v>0</v>
      </c>
      <c r="W338" s="699">
        <f>IF($O339=0,0,        _xll.qDateNext($O338,W$17,"M",TRUE,Currency1))</f>
        <v>0</v>
      </c>
      <c r="X338" s="699">
        <f>IF($O339=0,0,        _xll.qDateNext($O338,X$17,"M",TRUE,Currency1))</f>
        <v>0</v>
      </c>
      <c r="Y338" s="699">
        <f>IF($O339=0,0,        _xll.qDateNext($O338,Y$17,"M",TRUE,Currency1))</f>
        <v>0</v>
      </c>
      <c r="Z338" s="703">
        <f>IF($O339=0,0,           IF(FRM,_xll.qGetFwdRate(Z$14,$O338,R338,"T",DCC_Leg1_Float),_xll.qGetFwdRate(Z$14,$O338,$O339,"T",DCC_Leg1_Float)))</f>
        <v>0</v>
      </c>
      <c r="AA338" s="703">
        <f>IF($O339=0,0,           IF(FRM,_xll.qGetFwdRate(AA$14,$O338,S338,"T",DCC_Leg1_Float),_xll.qGetFwdRate(AA$14,$O338,$O339,"T",DCC_Leg1_Float)))</f>
        <v>0</v>
      </c>
      <c r="AB338" s="703">
        <f t="shared" ref="AB338:AB401" si="73">AVERAGE(AA338,AC338)</f>
        <v>0</v>
      </c>
      <c r="AC338" s="703">
        <f>IF($O339=0,0,           IF(FRM,_xll.qGetFwdRate(AC$14,$O338,U338,"T",DCC_Leg1_Float),_xll.qGetFwdRate(AC$14,$O338,$O339,"T",DCC_Leg1_Float)))</f>
        <v>0</v>
      </c>
      <c r="AD338" s="703">
        <f t="shared" si="64"/>
        <v>0</v>
      </c>
      <c r="AE338" s="703">
        <f t="shared" si="65"/>
        <v>0</v>
      </c>
      <c r="AF338" s="703">
        <f>IF($O339=0,0,           IF(FRM,_xll.qGetFwdRate(AF$14,$O338,X338,"T",DCC_Leg1_Float),_xll.qGetFwdRate(AF$14,$O338,$O339,"T",DCC_Leg1_Float)))</f>
        <v>0</v>
      </c>
      <c r="AG338" s="703">
        <f>IF($O339=0,0,           IF(FRM,_xll.qGetFwdRate(AG$14,$O338,Y338,"T",DCC_Leg1_Float),_xll.qGetFwdRate(AG$14,$O338,$O339,"T",DCC_Leg1_Float)))</f>
        <v>0</v>
      </c>
      <c r="AH338" s="685">
        <v>0</v>
      </c>
      <c r="AI338" s="667"/>
      <c r="AJ338" s="670">
        <f>IF(O339=0,0,             IF(ISNUMBER(AI338),AI338,             IF(ISTEXT(AI338),INDEX(Z338:AG338,MATCH(AI338,$Z$17:$AG$17,0)),           IF(AH338="INT",_xll.qInterp(O339,R338:Y338,Z338:AG338),       INDEX(Z338:AG338,MATCH(AH338,$Z$17:$AG$17,0))))))</f>
        <v>0</v>
      </c>
      <c r="AK338" s="732">
        <v>20</v>
      </c>
      <c r="AL338" s="721">
        <f t="shared" ref="AL338:AL401" si="74">IF(O339,AK338*1000000*$AN$11,0)</f>
        <v>0</v>
      </c>
      <c r="AM338" s="284">
        <f>IF($O339,_xll.qDateYears($O338,$O339,DCC_Leg1_Fixed),0)</f>
        <v>0</v>
      </c>
      <c r="AN338" s="284">
        <f>IF($O339,_xll.qDateYears($O338,$O339,DCC_Leg1_Float),0)</f>
        <v>0</v>
      </c>
      <c r="AP338" s="350">
        <f t="shared" si="66"/>
        <v>0</v>
      </c>
      <c r="AQ338" s="375">
        <f>IF(GenType_1a="Fixed",GenRate_1a%*$AL337*AM337,          IF(GenType_1a="Float",$AL337*(_xll.qGetFwdRate($D$18,$O337,$O338,"T",DCC_Leg1_Float)%+GenRate_1a%%)*$AN337,        IF(GenType_1a="bp (Fixed)",GenRate_1a%%*$AM337*$AL337,   IF(GenType_1a="bp (Float)",GenRate_1a%%*$AL337*$AN337,0))))</f>
        <v>0</v>
      </c>
      <c r="AR338" s="561"/>
      <c r="AT338" s="341">
        <f t="shared" si="70"/>
        <v>0</v>
      </c>
      <c r="AV338" s="356"/>
      <c r="AW338" s="122">
        <v>0</v>
      </c>
      <c r="AX338" s="128">
        <f t="shared" ref="AX338:AX401" si="75">IF(AW339,AW339-AW338,0)</f>
        <v>0</v>
      </c>
      <c r="AY338" s="357">
        <v>0</v>
      </c>
      <c r="AZ338" s="699">
        <f>IF($AW339=0,0,        _xll.qDateNext($AW338,AZ$17,"M",TRUE,Currency2))</f>
        <v>0</v>
      </c>
      <c r="BA338" s="699">
        <f>IF($AW339=0,0,        _xll.qDateNext($AW338,BA$17,"M",TRUE,Currency2))</f>
        <v>0</v>
      </c>
      <c r="BB338" s="699">
        <f>IF($AW339=0,0,        _xll.qDateNext($AW338,BB$17,"M",TRUE,Currency2))</f>
        <v>0</v>
      </c>
      <c r="BC338" s="699">
        <f>IF($AW339=0,0,        _xll.qDateNext($AW338,BC$17,"M",TRUE,Currency2))</f>
        <v>0</v>
      </c>
      <c r="BD338" s="699">
        <f>IF($AW339=0,0,        _xll.qDateNext($AW338,BD$17,"M",TRUE,Currency2))</f>
        <v>0</v>
      </c>
      <c r="BE338" s="699">
        <f>IF($AW339=0,0,        _xll.qDateNext($AW338,BE$17,"M",TRUE,Currency2))</f>
        <v>0</v>
      </c>
      <c r="BF338" s="699">
        <f>IF($AW339=0,0,        _xll.qDateNext($AW338,BF$17,"M",TRUE,Currency2))</f>
        <v>0</v>
      </c>
      <c r="BG338" s="699">
        <f>IF($AW339=0,0,        _xll.qDateNext($AW338,BG$17,"M",TRUE,Currency2))</f>
        <v>0</v>
      </c>
      <c r="BH338" s="703">
        <v>0</v>
      </c>
      <c r="BI338" s="703">
        <v>0</v>
      </c>
      <c r="BJ338" s="703">
        <v>0</v>
      </c>
      <c r="BK338" s="703">
        <v>0</v>
      </c>
      <c r="BL338" s="703">
        <f t="shared" si="67"/>
        <v>0</v>
      </c>
      <c r="BM338" s="703">
        <f t="shared" si="68"/>
        <v>0</v>
      </c>
      <c r="BN338" s="703">
        <v>0</v>
      </c>
      <c r="BO338" s="703">
        <v>0</v>
      </c>
      <c r="BP338" s="685">
        <v>0</v>
      </c>
      <c r="BQ338" s="667"/>
      <c r="BR338" s="670">
        <f>IF(AW339=0,0,             IF(ISNUMBER(BQ338),BQ338,             IF(ISTEXT(BQ338),INDEX(BH338:BO338,MATCH(BQ338,$BH$17:$BO$17,0)),           IF(BP338="INT",_xll.qInterp(AW339,AZ338:BG338,BH338:BO338),       INDEX(BH338:BO338,MATCH(BP338,$BH$17:$BO$17,0))))))</f>
        <v>0</v>
      </c>
      <c r="BS338" s="731">
        <f t="shared" ref="BS338:BS401" si="76">IF(AW339,INDEX($AK$18:$AK$516,MATCH(AW338,OFFSET($O$18,0,0,$AN$12,1)))*$F$6,0)</f>
        <v>0</v>
      </c>
      <c r="BT338" s="406">
        <f t="shared" ref="BT338:BT401" si="77">IF(AW338,BS338*1000000*$BV$11,0)</f>
        <v>0</v>
      </c>
      <c r="BU338" s="284">
        <f>IF($AW339,_xll.qDateYears($AW338,$AW339,DCC_Leg2_Fixed),0)</f>
        <v>0</v>
      </c>
      <c r="BV338" s="284">
        <f>IF($AW339,_xll.qDateYears($AW338,$AW339,DCC_Leg2_Float),0)</f>
        <v>0</v>
      </c>
      <c r="BX338" s="350">
        <f t="shared" si="69"/>
        <v>0</v>
      </c>
      <c r="BY338" s="375">
        <f>IF(GenType_2a="Fixed",GenRate_2a%*$BT337*BU337,          IF(GenType_2a="Float",$BT337*(_xll.qGetFwdRate($J$18,$AW337,$AW338,"T",DCC_Leg2_Float)%+GenRate_2a%%)*$BV337,        IF(GenType_2a="bp (Fixed)",GenRate_2a%%*$BU337*$BT337,   IF(GenType_2a="bp (Float)",GenRate_2a%%*$BT337*$BV337,0))))</f>
        <v>0</v>
      </c>
      <c r="BZ338" s="561"/>
      <c r="CB338" s="341">
        <f t="shared" si="71"/>
        <v>0</v>
      </c>
      <c r="CC338" s="563"/>
      <c r="CD338" s="356"/>
      <c r="CE338" s="341">
        <v>0</v>
      </c>
      <c r="CF338" s="563"/>
      <c r="CG338" s="356"/>
    </row>
    <row r="339" spans="15:85">
      <c r="O339" s="122">
        <v>0</v>
      </c>
      <c r="P339" s="128">
        <f t="shared" si="72"/>
        <v>0</v>
      </c>
      <c r="Q339" s="126">
        <v>0</v>
      </c>
      <c r="R339" s="699">
        <f>IF($O340=0,0,        _xll.qDateNext($O339,R$17,"M",TRUE,Currency1))</f>
        <v>0</v>
      </c>
      <c r="S339" s="699">
        <f>IF($O340=0,0,        _xll.qDateNext($O339,S$17,"M",TRUE,Currency1))</f>
        <v>0</v>
      </c>
      <c r="T339" s="699">
        <f>IF($O340=0,0,        _xll.qDateNext($O339,T$17,"M",TRUE,Currency1))</f>
        <v>0</v>
      </c>
      <c r="U339" s="699">
        <f>IF($O340=0,0,        _xll.qDateNext($O339,U$17,"M",TRUE,Currency1))</f>
        <v>0</v>
      </c>
      <c r="V339" s="699">
        <f>IF($O340=0,0,        _xll.qDateNext($O339,V$17,"M",TRUE,Currency1))</f>
        <v>0</v>
      </c>
      <c r="W339" s="699">
        <f>IF($O340=0,0,        _xll.qDateNext($O339,W$17,"M",TRUE,Currency1))</f>
        <v>0</v>
      </c>
      <c r="X339" s="699">
        <f>IF($O340=0,0,        _xll.qDateNext($O339,X$17,"M",TRUE,Currency1))</f>
        <v>0</v>
      </c>
      <c r="Y339" s="699">
        <f>IF($O340=0,0,        _xll.qDateNext($O339,Y$17,"M",TRUE,Currency1))</f>
        <v>0</v>
      </c>
      <c r="Z339" s="703">
        <f>IF($O340=0,0,           IF(FRM,_xll.qGetFwdRate(Z$14,$O339,R339,"T",DCC_Leg1_Float),_xll.qGetFwdRate(Z$14,$O339,$O340,"T",DCC_Leg1_Float)))</f>
        <v>0</v>
      </c>
      <c r="AA339" s="703">
        <f>IF($O340=0,0,           IF(FRM,_xll.qGetFwdRate(AA$14,$O339,S339,"T",DCC_Leg1_Float),_xll.qGetFwdRate(AA$14,$O339,$O340,"T",DCC_Leg1_Float)))</f>
        <v>0</v>
      </c>
      <c r="AB339" s="703">
        <f t="shared" si="73"/>
        <v>0</v>
      </c>
      <c r="AC339" s="703">
        <f>IF($O340=0,0,           IF(FRM,_xll.qGetFwdRate(AC$14,$O339,U339,"T",DCC_Leg1_Float),_xll.qGetFwdRate(AC$14,$O339,$O340,"T",DCC_Leg1_Float)))</f>
        <v>0</v>
      </c>
      <c r="AD339" s="703">
        <f t="shared" ref="AD339:AD402" si="78">(AF339-AC339)/3+AC339</f>
        <v>0</v>
      </c>
      <c r="AE339" s="703">
        <f t="shared" ref="AE339:AE402" si="79">AVERAGE(AD339,AF339)</f>
        <v>0</v>
      </c>
      <c r="AF339" s="703">
        <f>IF($O340=0,0,           IF(FRM,_xll.qGetFwdRate(AF$14,$O339,X339,"T",DCC_Leg1_Float),_xll.qGetFwdRate(AF$14,$O339,$O340,"T",DCC_Leg1_Float)))</f>
        <v>0</v>
      </c>
      <c r="AG339" s="703">
        <f>IF($O340=0,0,           IF(FRM,_xll.qGetFwdRate(AG$14,$O339,Y339,"T",DCC_Leg1_Float),_xll.qGetFwdRate(AG$14,$O339,$O340,"T",DCC_Leg1_Float)))</f>
        <v>0</v>
      </c>
      <c r="AH339" s="685">
        <v>0</v>
      </c>
      <c r="AI339" s="667"/>
      <c r="AJ339" s="670">
        <f>IF(O340=0,0,             IF(ISNUMBER(AI339),AI339,             IF(ISTEXT(AI339),INDEX(Z339:AG339,MATCH(AI339,$Z$17:$AG$17,0)),           IF(AH339="INT",_xll.qInterp(O340,R339:Y339,Z339:AG339),       INDEX(Z339:AG339,MATCH(AH339,$Z$17:$AG$17,0))))))</f>
        <v>0</v>
      </c>
      <c r="AK339" s="732">
        <v>20</v>
      </c>
      <c r="AL339" s="721">
        <f t="shared" si="74"/>
        <v>0</v>
      </c>
      <c r="AM339" s="284">
        <f>IF($O340,_xll.qDateYears($O339,$O340,DCC_Leg1_Fixed),0)</f>
        <v>0</v>
      </c>
      <c r="AN339" s="284">
        <f>IF($O340,_xll.qDateYears($O339,$O340,DCC_Leg1_Float),0)</f>
        <v>0</v>
      </c>
      <c r="AP339" s="350">
        <f t="shared" ref="AP339:AP402" si="80">IF(Principal1?,$AL338-$AL339,       0)</f>
        <v>0</v>
      </c>
      <c r="AQ339" s="375">
        <f>IF(GenType_1a="Fixed",GenRate_1a%*$AL338*AM338,          IF(GenType_1a="Float",$AL338*(_xll.qGetFwdRate($D$18,$O338,$O339,"T",DCC_Leg1_Float)%+GenRate_1a%%)*$AN338,        IF(GenType_1a="bp (Fixed)",GenRate_1a%%*$AM338*$AL338,   IF(GenType_1a="bp (Float)",GenRate_1a%%*$AL338*$AN338,0))))</f>
        <v>0</v>
      </c>
      <c r="AR339" s="561"/>
      <c r="AT339" s="341">
        <f t="shared" si="70"/>
        <v>0</v>
      </c>
      <c r="AV339" s="356"/>
      <c r="AW339" s="122">
        <v>0</v>
      </c>
      <c r="AX339" s="128">
        <f t="shared" si="75"/>
        <v>0</v>
      </c>
      <c r="AY339" s="357">
        <v>0</v>
      </c>
      <c r="AZ339" s="699">
        <f>IF($AW340=0,0,        _xll.qDateNext($AW339,AZ$17,"M",TRUE,Currency2))</f>
        <v>0</v>
      </c>
      <c r="BA339" s="699">
        <f>IF($AW340=0,0,        _xll.qDateNext($AW339,BA$17,"M",TRUE,Currency2))</f>
        <v>0</v>
      </c>
      <c r="BB339" s="699">
        <f>IF($AW340=0,0,        _xll.qDateNext($AW339,BB$17,"M",TRUE,Currency2))</f>
        <v>0</v>
      </c>
      <c r="BC339" s="699">
        <f>IF($AW340=0,0,        _xll.qDateNext($AW339,BC$17,"M",TRUE,Currency2))</f>
        <v>0</v>
      </c>
      <c r="BD339" s="699">
        <f>IF($AW340=0,0,        _xll.qDateNext($AW339,BD$17,"M",TRUE,Currency2))</f>
        <v>0</v>
      </c>
      <c r="BE339" s="699">
        <f>IF($AW340=0,0,        _xll.qDateNext($AW339,BE$17,"M",TRUE,Currency2))</f>
        <v>0</v>
      </c>
      <c r="BF339" s="699">
        <f>IF($AW340=0,0,        _xll.qDateNext($AW339,BF$17,"M",TRUE,Currency2))</f>
        <v>0</v>
      </c>
      <c r="BG339" s="699">
        <f>IF($AW340=0,0,        _xll.qDateNext($AW339,BG$17,"M",TRUE,Currency2))</f>
        <v>0</v>
      </c>
      <c r="BH339" s="703">
        <v>0</v>
      </c>
      <c r="BI339" s="703">
        <v>0</v>
      </c>
      <c r="BJ339" s="703">
        <v>0</v>
      </c>
      <c r="BK339" s="703">
        <v>0</v>
      </c>
      <c r="BL339" s="703">
        <f t="shared" ref="BL339:BL402" si="81">(BN339-BK339)/3+BK339</f>
        <v>0</v>
      </c>
      <c r="BM339" s="703">
        <f t="shared" ref="BM339:BM402" si="82">AVERAGE(BL339,BN339)</f>
        <v>0</v>
      </c>
      <c r="BN339" s="703">
        <v>0</v>
      </c>
      <c r="BO339" s="703">
        <v>0</v>
      </c>
      <c r="BP339" s="685">
        <v>0</v>
      </c>
      <c r="BQ339" s="667"/>
      <c r="BR339" s="670">
        <f>IF(AW340=0,0,             IF(ISNUMBER(BQ339),BQ339,             IF(ISTEXT(BQ339),INDEX(BH339:BO339,MATCH(BQ339,$BH$17:$BO$17,0)),           IF(BP339="INT",_xll.qInterp(AW340,AZ339:BG339,BH339:BO339),       INDEX(BH339:BO339,MATCH(BP339,$BH$17:$BO$17,0))))))</f>
        <v>0</v>
      </c>
      <c r="BS339" s="731">
        <f t="shared" si="76"/>
        <v>0</v>
      </c>
      <c r="BT339" s="406">
        <f t="shared" si="77"/>
        <v>0</v>
      </c>
      <c r="BU339" s="284">
        <f>IF($AW340,_xll.qDateYears($AW339,$AW340,DCC_Leg2_Fixed),0)</f>
        <v>0</v>
      </c>
      <c r="BV339" s="284">
        <f>IF($AW340,_xll.qDateYears($AW339,$AW340,DCC_Leg2_Float),0)</f>
        <v>0</v>
      </c>
      <c r="BX339" s="350">
        <f t="shared" ref="BX339:BX402" si="83">IF(Principal2?,$BT338-$BT339,       0)</f>
        <v>0</v>
      </c>
      <c r="BY339" s="375">
        <f>IF(GenType_2a="Fixed",GenRate_2a%*$BT338*BU338,          IF(GenType_2a="Float",$BT338*(_xll.qGetFwdRate($J$18,$AW338,$AW339,"T",DCC_Leg2_Float)%+GenRate_2a%%)*$BV338,        IF(GenType_2a="bp (Fixed)",GenRate_2a%%*$BU338*$BT338,   IF(GenType_2a="bp (Float)",GenRate_2a%%*$BT338*$BV338,0))))</f>
        <v>0</v>
      </c>
      <c r="BZ339" s="561"/>
      <c r="CB339" s="341">
        <f t="shared" si="71"/>
        <v>0</v>
      </c>
      <c r="CC339" s="563"/>
      <c r="CD339" s="356"/>
      <c r="CE339" s="341">
        <v>0</v>
      </c>
      <c r="CF339" s="563"/>
      <c r="CG339" s="356"/>
    </row>
    <row r="340" spans="15:85">
      <c r="O340" s="122">
        <v>0</v>
      </c>
      <c r="P340" s="128">
        <f t="shared" si="72"/>
        <v>0</v>
      </c>
      <c r="Q340" s="126">
        <v>0</v>
      </c>
      <c r="R340" s="699">
        <f>IF($O341=0,0,        _xll.qDateNext($O340,R$17,"M",TRUE,Currency1))</f>
        <v>0</v>
      </c>
      <c r="S340" s="699">
        <f>IF($O341=0,0,        _xll.qDateNext($O340,S$17,"M",TRUE,Currency1))</f>
        <v>0</v>
      </c>
      <c r="T340" s="699">
        <f>IF($O341=0,0,        _xll.qDateNext($O340,T$17,"M",TRUE,Currency1))</f>
        <v>0</v>
      </c>
      <c r="U340" s="699">
        <f>IF($O341=0,0,        _xll.qDateNext($O340,U$17,"M",TRUE,Currency1))</f>
        <v>0</v>
      </c>
      <c r="V340" s="699">
        <f>IF($O341=0,0,        _xll.qDateNext($O340,V$17,"M",TRUE,Currency1))</f>
        <v>0</v>
      </c>
      <c r="W340" s="699">
        <f>IF($O341=0,0,        _xll.qDateNext($O340,W$17,"M",TRUE,Currency1))</f>
        <v>0</v>
      </c>
      <c r="X340" s="699">
        <f>IF($O341=0,0,        _xll.qDateNext($O340,X$17,"M",TRUE,Currency1))</f>
        <v>0</v>
      </c>
      <c r="Y340" s="699">
        <f>IF($O341=0,0,        _xll.qDateNext($O340,Y$17,"M",TRUE,Currency1))</f>
        <v>0</v>
      </c>
      <c r="Z340" s="703">
        <f>IF($O341=0,0,           IF(FRM,_xll.qGetFwdRate(Z$14,$O340,R340,"T",DCC_Leg1_Float),_xll.qGetFwdRate(Z$14,$O340,$O341,"T",DCC_Leg1_Float)))</f>
        <v>0</v>
      </c>
      <c r="AA340" s="703">
        <f>IF($O341=0,0,           IF(FRM,_xll.qGetFwdRate(AA$14,$O340,S340,"T",DCC_Leg1_Float),_xll.qGetFwdRate(AA$14,$O340,$O341,"T",DCC_Leg1_Float)))</f>
        <v>0</v>
      </c>
      <c r="AB340" s="703">
        <f t="shared" si="73"/>
        <v>0</v>
      </c>
      <c r="AC340" s="703">
        <f>IF($O341=0,0,           IF(FRM,_xll.qGetFwdRate(AC$14,$O340,U340,"T",DCC_Leg1_Float),_xll.qGetFwdRate(AC$14,$O340,$O341,"T",DCC_Leg1_Float)))</f>
        <v>0</v>
      </c>
      <c r="AD340" s="703">
        <f t="shared" si="78"/>
        <v>0</v>
      </c>
      <c r="AE340" s="703">
        <f t="shared" si="79"/>
        <v>0</v>
      </c>
      <c r="AF340" s="703">
        <f>IF($O341=0,0,           IF(FRM,_xll.qGetFwdRate(AF$14,$O340,X340,"T",DCC_Leg1_Float),_xll.qGetFwdRate(AF$14,$O340,$O341,"T",DCC_Leg1_Float)))</f>
        <v>0</v>
      </c>
      <c r="AG340" s="703">
        <f>IF($O341=0,0,           IF(FRM,_xll.qGetFwdRate(AG$14,$O340,Y340,"T",DCC_Leg1_Float),_xll.qGetFwdRate(AG$14,$O340,$O341,"T",DCC_Leg1_Float)))</f>
        <v>0</v>
      </c>
      <c r="AH340" s="685">
        <v>0</v>
      </c>
      <c r="AI340" s="667"/>
      <c r="AJ340" s="670">
        <f>IF(O341=0,0,             IF(ISNUMBER(AI340),AI340,             IF(ISTEXT(AI340),INDEX(Z340:AG340,MATCH(AI340,$Z$17:$AG$17,0)),           IF(AH340="INT",_xll.qInterp(O341,R340:Y340,Z340:AG340),       INDEX(Z340:AG340,MATCH(AH340,$Z$17:$AG$17,0))))))</f>
        <v>0</v>
      </c>
      <c r="AK340" s="732">
        <v>20</v>
      </c>
      <c r="AL340" s="721">
        <f t="shared" si="74"/>
        <v>0</v>
      </c>
      <c r="AM340" s="284">
        <f>IF($O341,_xll.qDateYears($O340,$O341,DCC_Leg1_Fixed),0)</f>
        <v>0</v>
      </c>
      <c r="AN340" s="284">
        <f>IF($O341,_xll.qDateYears($O340,$O341,DCC_Leg1_Float),0)</f>
        <v>0</v>
      </c>
      <c r="AP340" s="350">
        <f t="shared" si="80"/>
        <v>0</v>
      </c>
      <c r="AQ340" s="375">
        <f>IF(GenType_1a="Fixed",GenRate_1a%*$AL339*AM339,          IF(GenType_1a="Float",$AL339*(_xll.qGetFwdRate($D$18,$O339,$O340,"T",DCC_Leg1_Float)%+GenRate_1a%%)*$AN339,        IF(GenType_1a="bp (Fixed)",GenRate_1a%%*$AM339*$AL339,   IF(GenType_1a="bp (Float)",GenRate_1a%%*$AL339*$AN339,0))))</f>
        <v>0</v>
      </c>
      <c r="AR340" s="561"/>
      <c r="AT340" s="341">
        <f t="shared" si="70"/>
        <v>0</v>
      </c>
      <c r="AV340" s="356"/>
      <c r="AW340" s="122">
        <v>0</v>
      </c>
      <c r="AX340" s="128">
        <f t="shared" si="75"/>
        <v>0</v>
      </c>
      <c r="AY340" s="357">
        <v>0</v>
      </c>
      <c r="AZ340" s="699">
        <f>IF($AW341=0,0,        _xll.qDateNext($AW340,AZ$17,"M",TRUE,Currency2))</f>
        <v>0</v>
      </c>
      <c r="BA340" s="699">
        <f>IF($AW341=0,0,        _xll.qDateNext($AW340,BA$17,"M",TRUE,Currency2))</f>
        <v>0</v>
      </c>
      <c r="BB340" s="699">
        <f>IF($AW341=0,0,        _xll.qDateNext($AW340,BB$17,"M",TRUE,Currency2))</f>
        <v>0</v>
      </c>
      <c r="BC340" s="699">
        <f>IF($AW341=0,0,        _xll.qDateNext($AW340,BC$17,"M",TRUE,Currency2))</f>
        <v>0</v>
      </c>
      <c r="BD340" s="699">
        <f>IF($AW341=0,0,        _xll.qDateNext($AW340,BD$17,"M",TRUE,Currency2))</f>
        <v>0</v>
      </c>
      <c r="BE340" s="699">
        <f>IF($AW341=0,0,        _xll.qDateNext($AW340,BE$17,"M",TRUE,Currency2))</f>
        <v>0</v>
      </c>
      <c r="BF340" s="699">
        <f>IF($AW341=0,0,        _xll.qDateNext($AW340,BF$17,"M",TRUE,Currency2))</f>
        <v>0</v>
      </c>
      <c r="BG340" s="699">
        <f>IF($AW341=0,0,        _xll.qDateNext($AW340,BG$17,"M",TRUE,Currency2))</f>
        <v>0</v>
      </c>
      <c r="BH340" s="703">
        <v>0</v>
      </c>
      <c r="BI340" s="703">
        <v>0</v>
      </c>
      <c r="BJ340" s="703">
        <v>0</v>
      </c>
      <c r="BK340" s="703">
        <v>0</v>
      </c>
      <c r="BL340" s="703">
        <f t="shared" si="81"/>
        <v>0</v>
      </c>
      <c r="BM340" s="703">
        <f t="shared" si="82"/>
        <v>0</v>
      </c>
      <c r="BN340" s="703">
        <v>0</v>
      </c>
      <c r="BO340" s="703">
        <v>0</v>
      </c>
      <c r="BP340" s="685">
        <v>0</v>
      </c>
      <c r="BQ340" s="667"/>
      <c r="BR340" s="670">
        <f>IF(AW341=0,0,             IF(ISNUMBER(BQ340),BQ340,             IF(ISTEXT(BQ340),INDEX(BH340:BO340,MATCH(BQ340,$BH$17:$BO$17,0)),           IF(BP340="INT",_xll.qInterp(AW341,AZ340:BG340,BH340:BO340),       INDEX(BH340:BO340,MATCH(BP340,$BH$17:$BO$17,0))))))</f>
        <v>0</v>
      </c>
      <c r="BS340" s="731">
        <f t="shared" si="76"/>
        <v>0</v>
      </c>
      <c r="BT340" s="406">
        <f t="shared" si="77"/>
        <v>0</v>
      </c>
      <c r="BU340" s="284">
        <f>IF($AW341,_xll.qDateYears($AW340,$AW341,DCC_Leg2_Fixed),0)</f>
        <v>0</v>
      </c>
      <c r="BV340" s="284">
        <f>IF($AW341,_xll.qDateYears($AW340,$AW341,DCC_Leg2_Float),0)</f>
        <v>0</v>
      </c>
      <c r="BX340" s="350">
        <f t="shared" si="83"/>
        <v>0</v>
      </c>
      <c r="BY340" s="375">
        <f>IF(GenType_2a="Fixed",GenRate_2a%*$BT339*BU339,          IF(GenType_2a="Float",$BT339*(_xll.qGetFwdRate($J$18,$AW339,$AW340,"T",DCC_Leg2_Float)%+GenRate_2a%%)*$BV339,        IF(GenType_2a="bp (Fixed)",GenRate_2a%%*$BU339*$BT339,   IF(GenType_2a="bp (Float)",GenRate_2a%%*$BT339*$BV339,0))))</f>
        <v>0</v>
      </c>
      <c r="BZ340" s="561"/>
      <c r="CB340" s="341">
        <f t="shared" si="71"/>
        <v>0</v>
      </c>
      <c r="CC340" s="563"/>
      <c r="CD340" s="356"/>
      <c r="CE340" s="341">
        <v>0</v>
      </c>
      <c r="CF340" s="563"/>
      <c r="CG340" s="356"/>
    </row>
    <row r="341" spans="15:85">
      <c r="O341" s="122">
        <v>0</v>
      </c>
      <c r="P341" s="128">
        <f t="shared" si="72"/>
        <v>0</v>
      </c>
      <c r="Q341" s="126">
        <v>0</v>
      </c>
      <c r="R341" s="699">
        <f>IF($O342=0,0,        _xll.qDateNext($O341,R$17,"M",TRUE,Currency1))</f>
        <v>0</v>
      </c>
      <c r="S341" s="699">
        <f>IF($O342=0,0,        _xll.qDateNext($O341,S$17,"M",TRUE,Currency1))</f>
        <v>0</v>
      </c>
      <c r="T341" s="699">
        <f>IF($O342=0,0,        _xll.qDateNext($O341,T$17,"M",TRUE,Currency1))</f>
        <v>0</v>
      </c>
      <c r="U341" s="699">
        <f>IF($O342=0,0,        _xll.qDateNext($O341,U$17,"M",TRUE,Currency1))</f>
        <v>0</v>
      </c>
      <c r="V341" s="699">
        <f>IF($O342=0,0,        _xll.qDateNext($O341,V$17,"M",TRUE,Currency1))</f>
        <v>0</v>
      </c>
      <c r="W341" s="699">
        <f>IF($O342=0,0,        _xll.qDateNext($O341,W$17,"M",TRUE,Currency1))</f>
        <v>0</v>
      </c>
      <c r="X341" s="699">
        <f>IF($O342=0,0,        _xll.qDateNext($O341,X$17,"M",TRUE,Currency1))</f>
        <v>0</v>
      </c>
      <c r="Y341" s="699">
        <f>IF($O342=0,0,        _xll.qDateNext($O341,Y$17,"M",TRUE,Currency1))</f>
        <v>0</v>
      </c>
      <c r="Z341" s="703">
        <f>IF($O342=0,0,           IF(FRM,_xll.qGetFwdRate(Z$14,$O341,R341,"T",DCC_Leg1_Float),_xll.qGetFwdRate(Z$14,$O341,$O342,"T",DCC_Leg1_Float)))</f>
        <v>0</v>
      </c>
      <c r="AA341" s="703">
        <f>IF($O342=0,0,           IF(FRM,_xll.qGetFwdRate(AA$14,$O341,S341,"T",DCC_Leg1_Float),_xll.qGetFwdRate(AA$14,$O341,$O342,"T",DCC_Leg1_Float)))</f>
        <v>0</v>
      </c>
      <c r="AB341" s="703">
        <f t="shared" si="73"/>
        <v>0</v>
      </c>
      <c r="AC341" s="703">
        <f>IF($O342=0,0,           IF(FRM,_xll.qGetFwdRate(AC$14,$O341,U341,"T",DCC_Leg1_Float),_xll.qGetFwdRate(AC$14,$O341,$O342,"T",DCC_Leg1_Float)))</f>
        <v>0</v>
      </c>
      <c r="AD341" s="703">
        <f t="shared" si="78"/>
        <v>0</v>
      </c>
      <c r="AE341" s="703">
        <f t="shared" si="79"/>
        <v>0</v>
      </c>
      <c r="AF341" s="703">
        <f>IF($O342=0,0,           IF(FRM,_xll.qGetFwdRate(AF$14,$O341,X341,"T",DCC_Leg1_Float),_xll.qGetFwdRate(AF$14,$O341,$O342,"T",DCC_Leg1_Float)))</f>
        <v>0</v>
      </c>
      <c r="AG341" s="703">
        <f>IF($O342=0,0,           IF(FRM,_xll.qGetFwdRate(AG$14,$O341,Y341,"T",DCC_Leg1_Float),_xll.qGetFwdRate(AG$14,$O341,$O342,"T",DCC_Leg1_Float)))</f>
        <v>0</v>
      </c>
      <c r="AH341" s="685">
        <v>0</v>
      </c>
      <c r="AI341" s="667"/>
      <c r="AJ341" s="670">
        <f>IF(O342=0,0,             IF(ISNUMBER(AI341),AI341,             IF(ISTEXT(AI341),INDEX(Z341:AG341,MATCH(AI341,$Z$17:$AG$17,0)),           IF(AH341="INT",_xll.qInterp(O342,R341:Y341,Z341:AG341),       INDEX(Z341:AG341,MATCH(AH341,$Z$17:$AG$17,0))))))</f>
        <v>0</v>
      </c>
      <c r="AK341" s="732">
        <v>20</v>
      </c>
      <c r="AL341" s="721">
        <f t="shared" si="74"/>
        <v>0</v>
      </c>
      <c r="AM341" s="284">
        <f>IF($O342,_xll.qDateYears($O341,$O342,DCC_Leg1_Fixed),0)</f>
        <v>0</v>
      </c>
      <c r="AN341" s="284">
        <f>IF($O342,_xll.qDateYears($O341,$O342,DCC_Leg1_Float),0)</f>
        <v>0</v>
      </c>
      <c r="AP341" s="350">
        <f t="shared" si="80"/>
        <v>0</v>
      </c>
      <c r="AQ341" s="375">
        <f>IF(GenType_1a="Fixed",GenRate_1a%*$AL340*AM340,          IF(GenType_1a="Float",$AL340*(_xll.qGetFwdRate($D$18,$O340,$O341,"T",DCC_Leg1_Float)%+GenRate_1a%%)*$AN340,        IF(GenType_1a="bp (Fixed)",GenRate_1a%%*$AM340*$AL340,   IF(GenType_1a="bp (Float)",GenRate_1a%%*$AL340*$AN340,0))))</f>
        <v>0</v>
      </c>
      <c r="AR341" s="561"/>
      <c r="AT341" s="341">
        <f t="shared" si="70"/>
        <v>0</v>
      </c>
      <c r="AV341" s="356"/>
      <c r="AW341" s="122">
        <v>0</v>
      </c>
      <c r="AX341" s="128">
        <f t="shared" si="75"/>
        <v>0</v>
      </c>
      <c r="AY341" s="357">
        <v>0</v>
      </c>
      <c r="AZ341" s="699">
        <f>IF($AW342=0,0,        _xll.qDateNext($AW341,AZ$17,"M",TRUE,Currency2))</f>
        <v>0</v>
      </c>
      <c r="BA341" s="699">
        <f>IF($AW342=0,0,        _xll.qDateNext($AW341,BA$17,"M",TRUE,Currency2))</f>
        <v>0</v>
      </c>
      <c r="BB341" s="699">
        <f>IF($AW342=0,0,        _xll.qDateNext($AW341,BB$17,"M",TRUE,Currency2))</f>
        <v>0</v>
      </c>
      <c r="BC341" s="699">
        <f>IF($AW342=0,0,        _xll.qDateNext($AW341,BC$17,"M",TRUE,Currency2))</f>
        <v>0</v>
      </c>
      <c r="BD341" s="699">
        <f>IF($AW342=0,0,        _xll.qDateNext($AW341,BD$17,"M",TRUE,Currency2))</f>
        <v>0</v>
      </c>
      <c r="BE341" s="699">
        <f>IF($AW342=0,0,        _xll.qDateNext($AW341,BE$17,"M",TRUE,Currency2))</f>
        <v>0</v>
      </c>
      <c r="BF341" s="699">
        <f>IF($AW342=0,0,        _xll.qDateNext($AW341,BF$17,"M",TRUE,Currency2))</f>
        <v>0</v>
      </c>
      <c r="BG341" s="699">
        <f>IF($AW342=0,0,        _xll.qDateNext($AW341,BG$17,"M",TRUE,Currency2))</f>
        <v>0</v>
      </c>
      <c r="BH341" s="703">
        <v>0</v>
      </c>
      <c r="BI341" s="703">
        <v>0</v>
      </c>
      <c r="BJ341" s="703">
        <v>0</v>
      </c>
      <c r="BK341" s="703">
        <v>0</v>
      </c>
      <c r="BL341" s="703">
        <f t="shared" si="81"/>
        <v>0</v>
      </c>
      <c r="BM341" s="703">
        <f t="shared" si="82"/>
        <v>0</v>
      </c>
      <c r="BN341" s="703">
        <v>0</v>
      </c>
      <c r="BO341" s="703">
        <v>0</v>
      </c>
      <c r="BP341" s="685">
        <v>0</v>
      </c>
      <c r="BQ341" s="667"/>
      <c r="BR341" s="670">
        <f>IF(AW342=0,0,             IF(ISNUMBER(BQ341),BQ341,             IF(ISTEXT(BQ341),INDEX(BH341:BO341,MATCH(BQ341,$BH$17:$BO$17,0)),           IF(BP341="INT",_xll.qInterp(AW342,AZ341:BG341,BH341:BO341),       INDEX(BH341:BO341,MATCH(BP341,$BH$17:$BO$17,0))))))</f>
        <v>0</v>
      </c>
      <c r="BS341" s="731">
        <f t="shared" si="76"/>
        <v>0</v>
      </c>
      <c r="BT341" s="406">
        <f t="shared" si="77"/>
        <v>0</v>
      </c>
      <c r="BU341" s="284">
        <f>IF($AW342,_xll.qDateYears($AW341,$AW342,DCC_Leg2_Fixed),0)</f>
        <v>0</v>
      </c>
      <c r="BV341" s="284">
        <f>IF($AW342,_xll.qDateYears($AW341,$AW342,DCC_Leg2_Float),0)</f>
        <v>0</v>
      </c>
      <c r="BX341" s="350">
        <f t="shared" si="83"/>
        <v>0</v>
      </c>
      <c r="BY341" s="375">
        <f>IF(GenType_2a="Fixed",GenRate_2a%*$BT340*BU340,          IF(GenType_2a="Float",$BT340*(_xll.qGetFwdRate($J$18,$AW340,$AW341,"T",DCC_Leg2_Float)%+GenRate_2a%%)*$BV340,        IF(GenType_2a="bp (Fixed)",GenRate_2a%%*$BU340*$BT340,   IF(GenType_2a="bp (Float)",GenRate_2a%%*$BT340*$BV340,0))))</f>
        <v>0</v>
      </c>
      <c r="BZ341" s="561"/>
      <c r="CB341" s="341">
        <f t="shared" si="71"/>
        <v>0</v>
      </c>
      <c r="CC341" s="563"/>
      <c r="CD341" s="356"/>
      <c r="CE341" s="341">
        <v>0</v>
      </c>
      <c r="CF341" s="563"/>
      <c r="CG341" s="356"/>
    </row>
    <row r="342" spans="15:85">
      <c r="O342" s="122">
        <v>0</v>
      </c>
      <c r="P342" s="128">
        <f t="shared" si="72"/>
        <v>0</v>
      </c>
      <c r="Q342" s="126">
        <v>0</v>
      </c>
      <c r="R342" s="699">
        <f>IF($O343=0,0,        _xll.qDateNext($O342,R$17,"M",TRUE,Currency1))</f>
        <v>0</v>
      </c>
      <c r="S342" s="699">
        <f>IF($O343=0,0,        _xll.qDateNext($O342,S$17,"M",TRUE,Currency1))</f>
        <v>0</v>
      </c>
      <c r="T342" s="699">
        <f>IF($O343=0,0,        _xll.qDateNext($O342,T$17,"M",TRUE,Currency1))</f>
        <v>0</v>
      </c>
      <c r="U342" s="699">
        <f>IF($O343=0,0,        _xll.qDateNext($O342,U$17,"M",TRUE,Currency1))</f>
        <v>0</v>
      </c>
      <c r="V342" s="699">
        <f>IF($O343=0,0,        _xll.qDateNext($O342,V$17,"M",TRUE,Currency1))</f>
        <v>0</v>
      </c>
      <c r="W342" s="699">
        <f>IF($O343=0,0,        _xll.qDateNext($O342,W$17,"M",TRUE,Currency1))</f>
        <v>0</v>
      </c>
      <c r="X342" s="699">
        <f>IF($O343=0,0,        _xll.qDateNext($O342,X$17,"M",TRUE,Currency1))</f>
        <v>0</v>
      </c>
      <c r="Y342" s="699">
        <f>IF($O343=0,0,        _xll.qDateNext($O342,Y$17,"M",TRUE,Currency1))</f>
        <v>0</v>
      </c>
      <c r="Z342" s="703">
        <f>IF($O343=0,0,           IF(FRM,_xll.qGetFwdRate(Z$14,$O342,R342,"T",DCC_Leg1_Float),_xll.qGetFwdRate(Z$14,$O342,$O343,"T",DCC_Leg1_Float)))</f>
        <v>0</v>
      </c>
      <c r="AA342" s="703">
        <f>IF($O343=0,0,           IF(FRM,_xll.qGetFwdRate(AA$14,$O342,S342,"T",DCC_Leg1_Float),_xll.qGetFwdRate(AA$14,$O342,$O343,"T",DCC_Leg1_Float)))</f>
        <v>0</v>
      </c>
      <c r="AB342" s="703">
        <f t="shared" si="73"/>
        <v>0</v>
      </c>
      <c r="AC342" s="703">
        <f>IF($O343=0,0,           IF(FRM,_xll.qGetFwdRate(AC$14,$O342,U342,"T",DCC_Leg1_Float),_xll.qGetFwdRate(AC$14,$O342,$O343,"T",DCC_Leg1_Float)))</f>
        <v>0</v>
      </c>
      <c r="AD342" s="703">
        <f t="shared" si="78"/>
        <v>0</v>
      </c>
      <c r="AE342" s="703">
        <f t="shared" si="79"/>
        <v>0</v>
      </c>
      <c r="AF342" s="703">
        <f>IF($O343=0,0,           IF(FRM,_xll.qGetFwdRate(AF$14,$O342,X342,"T",DCC_Leg1_Float),_xll.qGetFwdRate(AF$14,$O342,$O343,"T",DCC_Leg1_Float)))</f>
        <v>0</v>
      </c>
      <c r="AG342" s="703">
        <f>IF($O343=0,0,           IF(FRM,_xll.qGetFwdRate(AG$14,$O342,Y342,"T",DCC_Leg1_Float),_xll.qGetFwdRate(AG$14,$O342,$O343,"T",DCC_Leg1_Float)))</f>
        <v>0</v>
      </c>
      <c r="AH342" s="685">
        <v>0</v>
      </c>
      <c r="AI342" s="667"/>
      <c r="AJ342" s="670">
        <f>IF(O343=0,0,             IF(ISNUMBER(AI342),AI342,             IF(ISTEXT(AI342),INDEX(Z342:AG342,MATCH(AI342,$Z$17:$AG$17,0)),           IF(AH342="INT",_xll.qInterp(O343,R342:Y342,Z342:AG342),       INDEX(Z342:AG342,MATCH(AH342,$Z$17:$AG$17,0))))))</f>
        <v>0</v>
      </c>
      <c r="AK342" s="732">
        <v>20</v>
      </c>
      <c r="AL342" s="721">
        <f t="shared" si="74"/>
        <v>0</v>
      </c>
      <c r="AM342" s="284">
        <f>IF($O343,_xll.qDateYears($O342,$O343,DCC_Leg1_Fixed),0)</f>
        <v>0</v>
      </c>
      <c r="AN342" s="284">
        <f>IF($O343,_xll.qDateYears($O342,$O343,DCC_Leg1_Float),0)</f>
        <v>0</v>
      </c>
      <c r="AP342" s="350">
        <f t="shared" si="80"/>
        <v>0</v>
      </c>
      <c r="AQ342" s="375">
        <f>IF(GenType_1a="Fixed",GenRate_1a%*$AL341*AM341,          IF(GenType_1a="Float",$AL341*(_xll.qGetFwdRate($D$18,$O341,$O342,"T",DCC_Leg1_Float)%+GenRate_1a%%)*$AN341,        IF(GenType_1a="bp (Fixed)",GenRate_1a%%*$AM341*$AL341,   IF(GenType_1a="bp (Float)",GenRate_1a%%*$AL341*$AN341,0))))</f>
        <v>0</v>
      </c>
      <c r="AR342" s="561"/>
      <c r="AT342" s="341">
        <f t="shared" si="70"/>
        <v>0</v>
      </c>
      <c r="AV342" s="356"/>
      <c r="AW342" s="122">
        <v>0</v>
      </c>
      <c r="AX342" s="128">
        <f t="shared" si="75"/>
        <v>0</v>
      </c>
      <c r="AY342" s="357">
        <v>0</v>
      </c>
      <c r="AZ342" s="699">
        <f>IF($AW343=0,0,        _xll.qDateNext($AW342,AZ$17,"M",TRUE,Currency2))</f>
        <v>0</v>
      </c>
      <c r="BA342" s="699">
        <f>IF($AW343=0,0,        _xll.qDateNext($AW342,BA$17,"M",TRUE,Currency2))</f>
        <v>0</v>
      </c>
      <c r="BB342" s="699">
        <f>IF($AW343=0,0,        _xll.qDateNext($AW342,BB$17,"M",TRUE,Currency2))</f>
        <v>0</v>
      </c>
      <c r="BC342" s="699">
        <f>IF($AW343=0,0,        _xll.qDateNext($AW342,BC$17,"M",TRUE,Currency2))</f>
        <v>0</v>
      </c>
      <c r="BD342" s="699">
        <f>IF($AW343=0,0,        _xll.qDateNext($AW342,BD$17,"M",TRUE,Currency2))</f>
        <v>0</v>
      </c>
      <c r="BE342" s="699">
        <f>IF($AW343=0,0,        _xll.qDateNext($AW342,BE$17,"M",TRUE,Currency2))</f>
        <v>0</v>
      </c>
      <c r="BF342" s="699">
        <f>IF($AW343=0,0,        _xll.qDateNext($AW342,BF$17,"M",TRUE,Currency2))</f>
        <v>0</v>
      </c>
      <c r="BG342" s="699">
        <f>IF($AW343=0,0,        _xll.qDateNext($AW342,BG$17,"M",TRUE,Currency2))</f>
        <v>0</v>
      </c>
      <c r="BH342" s="703">
        <v>0</v>
      </c>
      <c r="BI342" s="703">
        <v>0</v>
      </c>
      <c r="BJ342" s="703">
        <v>0</v>
      </c>
      <c r="BK342" s="703">
        <v>0</v>
      </c>
      <c r="BL342" s="703">
        <f t="shared" si="81"/>
        <v>0</v>
      </c>
      <c r="BM342" s="703">
        <f t="shared" si="82"/>
        <v>0</v>
      </c>
      <c r="BN342" s="703">
        <v>0</v>
      </c>
      <c r="BO342" s="703">
        <v>0</v>
      </c>
      <c r="BP342" s="685">
        <v>0</v>
      </c>
      <c r="BQ342" s="667"/>
      <c r="BR342" s="670">
        <f>IF(AW343=0,0,             IF(ISNUMBER(BQ342),BQ342,             IF(ISTEXT(BQ342),INDEX(BH342:BO342,MATCH(BQ342,$BH$17:$BO$17,0)),           IF(BP342="INT",_xll.qInterp(AW343,AZ342:BG342,BH342:BO342),       INDEX(BH342:BO342,MATCH(BP342,$BH$17:$BO$17,0))))))</f>
        <v>0</v>
      </c>
      <c r="BS342" s="731">
        <f t="shared" si="76"/>
        <v>0</v>
      </c>
      <c r="BT342" s="406">
        <f t="shared" si="77"/>
        <v>0</v>
      </c>
      <c r="BU342" s="284">
        <f>IF($AW343,_xll.qDateYears($AW342,$AW343,DCC_Leg2_Fixed),0)</f>
        <v>0</v>
      </c>
      <c r="BV342" s="284">
        <f>IF($AW343,_xll.qDateYears($AW342,$AW343,DCC_Leg2_Float),0)</f>
        <v>0</v>
      </c>
      <c r="BX342" s="350">
        <f t="shared" si="83"/>
        <v>0</v>
      </c>
      <c r="BY342" s="375">
        <f>IF(GenType_2a="Fixed",GenRate_2a%*$BT341*BU341,          IF(GenType_2a="Float",$BT341*(_xll.qGetFwdRate($J$18,$AW341,$AW342,"T",DCC_Leg2_Float)%+GenRate_2a%%)*$BV341,        IF(GenType_2a="bp (Fixed)",GenRate_2a%%*$BU341*$BT341,   IF(GenType_2a="bp (Float)",GenRate_2a%%*$BT341*$BV341,0))))</f>
        <v>0</v>
      </c>
      <c r="BZ342" s="561"/>
      <c r="CB342" s="341">
        <f t="shared" si="71"/>
        <v>0</v>
      </c>
      <c r="CC342" s="563"/>
      <c r="CD342" s="356"/>
      <c r="CE342" s="341">
        <v>0</v>
      </c>
      <c r="CF342" s="563"/>
      <c r="CG342" s="356"/>
    </row>
    <row r="343" spans="15:85">
      <c r="O343" s="122">
        <v>0</v>
      </c>
      <c r="P343" s="128">
        <f t="shared" si="72"/>
        <v>0</v>
      </c>
      <c r="Q343" s="126">
        <v>0</v>
      </c>
      <c r="R343" s="699">
        <f>IF($O344=0,0,        _xll.qDateNext($O343,R$17,"M",TRUE,Currency1))</f>
        <v>0</v>
      </c>
      <c r="S343" s="699">
        <f>IF($O344=0,0,        _xll.qDateNext($O343,S$17,"M",TRUE,Currency1))</f>
        <v>0</v>
      </c>
      <c r="T343" s="699">
        <f>IF($O344=0,0,        _xll.qDateNext($O343,T$17,"M",TRUE,Currency1))</f>
        <v>0</v>
      </c>
      <c r="U343" s="699">
        <f>IF($O344=0,0,        _xll.qDateNext($O343,U$17,"M",TRUE,Currency1))</f>
        <v>0</v>
      </c>
      <c r="V343" s="699">
        <f>IF($O344=0,0,        _xll.qDateNext($O343,V$17,"M",TRUE,Currency1))</f>
        <v>0</v>
      </c>
      <c r="W343" s="699">
        <f>IF($O344=0,0,        _xll.qDateNext($O343,W$17,"M",TRUE,Currency1))</f>
        <v>0</v>
      </c>
      <c r="X343" s="699">
        <f>IF($O344=0,0,        _xll.qDateNext($O343,X$17,"M",TRUE,Currency1))</f>
        <v>0</v>
      </c>
      <c r="Y343" s="699">
        <f>IF($O344=0,0,        _xll.qDateNext($O343,Y$17,"M",TRUE,Currency1))</f>
        <v>0</v>
      </c>
      <c r="Z343" s="703">
        <f>IF($O344=0,0,           IF(FRM,_xll.qGetFwdRate(Z$14,$O343,R343,"T",DCC_Leg1_Float),_xll.qGetFwdRate(Z$14,$O343,$O344,"T",DCC_Leg1_Float)))</f>
        <v>0</v>
      </c>
      <c r="AA343" s="703">
        <f>IF($O344=0,0,           IF(FRM,_xll.qGetFwdRate(AA$14,$O343,S343,"T",DCC_Leg1_Float),_xll.qGetFwdRate(AA$14,$O343,$O344,"T",DCC_Leg1_Float)))</f>
        <v>0</v>
      </c>
      <c r="AB343" s="703">
        <f t="shared" si="73"/>
        <v>0</v>
      </c>
      <c r="AC343" s="703">
        <f>IF($O344=0,0,           IF(FRM,_xll.qGetFwdRate(AC$14,$O343,U343,"T",DCC_Leg1_Float),_xll.qGetFwdRate(AC$14,$O343,$O344,"T",DCC_Leg1_Float)))</f>
        <v>0</v>
      </c>
      <c r="AD343" s="703">
        <f t="shared" si="78"/>
        <v>0</v>
      </c>
      <c r="AE343" s="703">
        <f t="shared" si="79"/>
        <v>0</v>
      </c>
      <c r="AF343" s="703">
        <f>IF($O344=0,0,           IF(FRM,_xll.qGetFwdRate(AF$14,$O343,X343,"T",DCC_Leg1_Float),_xll.qGetFwdRate(AF$14,$O343,$O344,"T",DCC_Leg1_Float)))</f>
        <v>0</v>
      </c>
      <c r="AG343" s="703">
        <f>IF($O344=0,0,           IF(FRM,_xll.qGetFwdRate(AG$14,$O343,Y343,"T",DCC_Leg1_Float),_xll.qGetFwdRate(AG$14,$O343,$O344,"T",DCC_Leg1_Float)))</f>
        <v>0</v>
      </c>
      <c r="AH343" s="685">
        <v>0</v>
      </c>
      <c r="AI343" s="667"/>
      <c r="AJ343" s="670">
        <f>IF(O344=0,0,             IF(ISNUMBER(AI343),AI343,             IF(ISTEXT(AI343),INDEX(Z343:AG343,MATCH(AI343,$Z$17:$AG$17,0)),           IF(AH343="INT",_xll.qInterp(O344,R343:Y343,Z343:AG343),       INDEX(Z343:AG343,MATCH(AH343,$Z$17:$AG$17,0))))))</f>
        <v>0</v>
      </c>
      <c r="AK343" s="732">
        <v>20</v>
      </c>
      <c r="AL343" s="721">
        <f t="shared" si="74"/>
        <v>0</v>
      </c>
      <c r="AM343" s="284">
        <f>IF($O344,_xll.qDateYears($O343,$O344,DCC_Leg1_Fixed),0)</f>
        <v>0</v>
      </c>
      <c r="AN343" s="284">
        <f>IF($O344,_xll.qDateYears($O343,$O344,DCC_Leg1_Float),0)</f>
        <v>0</v>
      </c>
      <c r="AP343" s="350">
        <f t="shared" si="80"/>
        <v>0</v>
      </c>
      <c r="AQ343" s="375">
        <f>IF(GenType_1a="Fixed",GenRate_1a%*$AL342*AM342,          IF(GenType_1a="Float",$AL342*(_xll.qGetFwdRate($D$18,$O342,$O343,"T",DCC_Leg1_Float)%+GenRate_1a%%)*$AN342,        IF(GenType_1a="bp (Fixed)",GenRate_1a%%*$AM342*$AL342,   IF(GenType_1a="bp (Float)",GenRate_1a%%*$AL342*$AN342,0))))</f>
        <v>0</v>
      </c>
      <c r="AR343" s="561"/>
      <c r="AT343" s="341">
        <f t="shared" si="70"/>
        <v>0</v>
      </c>
      <c r="AV343" s="356"/>
      <c r="AW343" s="122">
        <v>0</v>
      </c>
      <c r="AX343" s="128">
        <f t="shared" si="75"/>
        <v>0</v>
      </c>
      <c r="AY343" s="357">
        <v>0</v>
      </c>
      <c r="AZ343" s="699">
        <f>IF($AW344=0,0,        _xll.qDateNext($AW343,AZ$17,"M",TRUE,Currency2))</f>
        <v>0</v>
      </c>
      <c r="BA343" s="699">
        <f>IF($AW344=0,0,        _xll.qDateNext($AW343,BA$17,"M",TRUE,Currency2))</f>
        <v>0</v>
      </c>
      <c r="BB343" s="699">
        <f>IF($AW344=0,0,        _xll.qDateNext($AW343,BB$17,"M",TRUE,Currency2))</f>
        <v>0</v>
      </c>
      <c r="BC343" s="699">
        <f>IF($AW344=0,0,        _xll.qDateNext($AW343,BC$17,"M",TRUE,Currency2))</f>
        <v>0</v>
      </c>
      <c r="BD343" s="699">
        <f>IF($AW344=0,0,        _xll.qDateNext($AW343,BD$17,"M",TRUE,Currency2))</f>
        <v>0</v>
      </c>
      <c r="BE343" s="699">
        <f>IF($AW344=0,0,        _xll.qDateNext($AW343,BE$17,"M",TRUE,Currency2))</f>
        <v>0</v>
      </c>
      <c r="BF343" s="699">
        <f>IF($AW344=0,0,        _xll.qDateNext($AW343,BF$17,"M",TRUE,Currency2))</f>
        <v>0</v>
      </c>
      <c r="BG343" s="699">
        <f>IF($AW344=0,0,        _xll.qDateNext($AW343,BG$17,"M",TRUE,Currency2))</f>
        <v>0</v>
      </c>
      <c r="BH343" s="703">
        <v>0</v>
      </c>
      <c r="BI343" s="703">
        <v>0</v>
      </c>
      <c r="BJ343" s="703">
        <v>0</v>
      </c>
      <c r="BK343" s="703">
        <v>0</v>
      </c>
      <c r="BL343" s="703">
        <f t="shared" si="81"/>
        <v>0</v>
      </c>
      <c r="BM343" s="703">
        <f t="shared" si="82"/>
        <v>0</v>
      </c>
      <c r="BN343" s="703">
        <v>0</v>
      </c>
      <c r="BO343" s="703">
        <v>0</v>
      </c>
      <c r="BP343" s="685">
        <v>0</v>
      </c>
      <c r="BQ343" s="667"/>
      <c r="BR343" s="670">
        <f>IF(AW344=0,0,             IF(ISNUMBER(BQ343),BQ343,             IF(ISTEXT(BQ343),INDEX(BH343:BO343,MATCH(BQ343,$BH$17:$BO$17,0)),           IF(BP343="INT",_xll.qInterp(AW344,AZ343:BG343,BH343:BO343),       INDEX(BH343:BO343,MATCH(BP343,$BH$17:$BO$17,0))))))</f>
        <v>0</v>
      </c>
      <c r="BS343" s="731">
        <f t="shared" si="76"/>
        <v>0</v>
      </c>
      <c r="BT343" s="406">
        <f t="shared" si="77"/>
        <v>0</v>
      </c>
      <c r="BU343" s="284">
        <f>IF($AW344,_xll.qDateYears($AW343,$AW344,DCC_Leg2_Fixed),0)</f>
        <v>0</v>
      </c>
      <c r="BV343" s="284">
        <f>IF($AW344,_xll.qDateYears($AW343,$AW344,DCC_Leg2_Float),0)</f>
        <v>0</v>
      </c>
      <c r="BX343" s="350">
        <f t="shared" si="83"/>
        <v>0</v>
      </c>
      <c r="BY343" s="375">
        <f>IF(GenType_2a="Fixed",GenRate_2a%*$BT342*BU342,          IF(GenType_2a="Float",$BT342*(_xll.qGetFwdRate($J$18,$AW342,$AW343,"T",DCC_Leg2_Float)%+GenRate_2a%%)*$BV342,        IF(GenType_2a="bp (Fixed)",GenRate_2a%%*$BU342*$BT342,   IF(GenType_2a="bp (Float)",GenRate_2a%%*$BT342*$BV342,0))))</f>
        <v>0</v>
      </c>
      <c r="BZ343" s="561"/>
      <c r="CB343" s="341">
        <f t="shared" si="71"/>
        <v>0</v>
      </c>
      <c r="CC343" s="563"/>
      <c r="CD343" s="356"/>
      <c r="CE343" s="341">
        <v>0</v>
      </c>
      <c r="CF343" s="563"/>
      <c r="CG343" s="356"/>
    </row>
    <row r="344" spans="15:85">
      <c r="O344" s="122">
        <v>0</v>
      </c>
      <c r="P344" s="128">
        <f t="shared" si="72"/>
        <v>0</v>
      </c>
      <c r="Q344" s="126">
        <v>0</v>
      </c>
      <c r="R344" s="699">
        <f>IF($O345=0,0,        _xll.qDateNext($O344,R$17,"M",TRUE,Currency1))</f>
        <v>0</v>
      </c>
      <c r="S344" s="699">
        <f>IF($O345=0,0,        _xll.qDateNext($O344,S$17,"M",TRUE,Currency1))</f>
        <v>0</v>
      </c>
      <c r="T344" s="699">
        <f>IF($O345=0,0,        _xll.qDateNext($O344,T$17,"M",TRUE,Currency1))</f>
        <v>0</v>
      </c>
      <c r="U344" s="699">
        <f>IF($O345=0,0,        _xll.qDateNext($O344,U$17,"M",TRUE,Currency1))</f>
        <v>0</v>
      </c>
      <c r="V344" s="699">
        <f>IF($O345=0,0,        _xll.qDateNext($O344,V$17,"M",TRUE,Currency1))</f>
        <v>0</v>
      </c>
      <c r="W344" s="699">
        <f>IF($O345=0,0,        _xll.qDateNext($O344,W$17,"M",TRUE,Currency1))</f>
        <v>0</v>
      </c>
      <c r="X344" s="699">
        <f>IF($O345=0,0,        _xll.qDateNext($O344,X$17,"M",TRUE,Currency1))</f>
        <v>0</v>
      </c>
      <c r="Y344" s="699">
        <f>IF($O345=0,0,        _xll.qDateNext($O344,Y$17,"M",TRUE,Currency1))</f>
        <v>0</v>
      </c>
      <c r="Z344" s="703">
        <f>IF($O345=0,0,           IF(FRM,_xll.qGetFwdRate(Z$14,$O344,R344,"T",DCC_Leg1_Float),_xll.qGetFwdRate(Z$14,$O344,$O345,"T",DCC_Leg1_Float)))</f>
        <v>0</v>
      </c>
      <c r="AA344" s="703">
        <f>IF($O345=0,0,           IF(FRM,_xll.qGetFwdRate(AA$14,$O344,S344,"T",DCC_Leg1_Float),_xll.qGetFwdRate(AA$14,$O344,$O345,"T",DCC_Leg1_Float)))</f>
        <v>0</v>
      </c>
      <c r="AB344" s="703">
        <f t="shared" si="73"/>
        <v>0</v>
      </c>
      <c r="AC344" s="703">
        <f>IF($O345=0,0,           IF(FRM,_xll.qGetFwdRate(AC$14,$O344,U344,"T",DCC_Leg1_Float),_xll.qGetFwdRate(AC$14,$O344,$O345,"T",DCC_Leg1_Float)))</f>
        <v>0</v>
      </c>
      <c r="AD344" s="703">
        <f t="shared" si="78"/>
        <v>0</v>
      </c>
      <c r="AE344" s="703">
        <f t="shared" si="79"/>
        <v>0</v>
      </c>
      <c r="AF344" s="703">
        <f>IF($O345=0,0,           IF(FRM,_xll.qGetFwdRate(AF$14,$O344,X344,"T",DCC_Leg1_Float),_xll.qGetFwdRate(AF$14,$O344,$O345,"T",DCC_Leg1_Float)))</f>
        <v>0</v>
      </c>
      <c r="AG344" s="703">
        <f>IF($O345=0,0,           IF(FRM,_xll.qGetFwdRate(AG$14,$O344,Y344,"T",DCC_Leg1_Float),_xll.qGetFwdRate(AG$14,$O344,$O345,"T",DCC_Leg1_Float)))</f>
        <v>0</v>
      </c>
      <c r="AH344" s="685">
        <v>0</v>
      </c>
      <c r="AI344" s="667"/>
      <c r="AJ344" s="670">
        <f>IF(O345=0,0,             IF(ISNUMBER(AI344),AI344,             IF(ISTEXT(AI344),INDEX(Z344:AG344,MATCH(AI344,$Z$17:$AG$17,0)),           IF(AH344="INT",_xll.qInterp(O345,R344:Y344,Z344:AG344),       INDEX(Z344:AG344,MATCH(AH344,$Z$17:$AG$17,0))))))</f>
        <v>0</v>
      </c>
      <c r="AK344" s="732">
        <v>20</v>
      </c>
      <c r="AL344" s="721">
        <f t="shared" si="74"/>
        <v>0</v>
      </c>
      <c r="AM344" s="284">
        <f>IF($O345,_xll.qDateYears($O344,$O345,DCC_Leg1_Fixed),0)</f>
        <v>0</v>
      </c>
      <c r="AN344" s="284">
        <f>IF($O345,_xll.qDateYears($O344,$O345,DCC_Leg1_Float),0)</f>
        <v>0</v>
      </c>
      <c r="AP344" s="350">
        <f t="shared" si="80"/>
        <v>0</v>
      </c>
      <c r="AQ344" s="375">
        <f>IF(GenType_1a="Fixed",GenRate_1a%*$AL343*AM343,          IF(GenType_1a="Float",$AL343*(_xll.qGetFwdRate($D$18,$O343,$O344,"T",DCC_Leg1_Float)%+GenRate_1a%%)*$AN343,        IF(GenType_1a="bp (Fixed)",GenRate_1a%%*$AM343*$AL343,   IF(GenType_1a="bp (Float)",GenRate_1a%%*$AL343*$AN343,0))))</f>
        <v>0</v>
      </c>
      <c r="AR344" s="561"/>
      <c r="AT344" s="341">
        <f t="shared" si="70"/>
        <v>0</v>
      </c>
      <c r="AV344" s="356"/>
      <c r="AW344" s="122">
        <v>0</v>
      </c>
      <c r="AX344" s="128">
        <f t="shared" si="75"/>
        <v>0</v>
      </c>
      <c r="AY344" s="357">
        <v>0</v>
      </c>
      <c r="AZ344" s="699">
        <f>IF($AW345=0,0,        _xll.qDateNext($AW344,AZ$17,"M",TRUE,Currency2))</f>
        <v>0</v>
      </c>
      <c r="BA344" s="699">
        <f>IF($AW345=0,0,        _xll.qDateNext($AW344,BA$17,"M",TRUE,Currency2))</f>
        <v>0</v>
      </c>
      <c r="BB344" s="699">
        <f>IF($AW345=0,0,        _xll.qDateNext($AW344,BB$17,"M",TRUE,Currency2))</f>
        <v>0</v>
      </c>
      <c r="BC344" s="699">
        <f>IF($AW345=0,0,        _xll.qDateNext($AW344,BC$17,"M",TRUE,Currency2))</f>
        <v>0</v>
      </c>
      <c r="BD344" s="699">
        <f>IF($AW345=0,0,        _xll.qDateNext($AW344,BD$17,"M",TRUE,Currency2))</f>
        <v>0</v>
      </c>
      <c r="BE344" s="699">
        <f>IF($AW345=0,0,        _xll.qDateNext($AW344,BE$17,"M",TRUE,Currency2))</f>
        <v>0</v>
      </c>
      <c r="BF344" s="699">
        <f>IF($AW345=0,0,        _xll.qDateNext($AW344,BF$17,"M",TRUE,Currency2))</f>
        <v>0</v>
      </c>
      <c r="BG344" s="699">
        <f>IF($AW345=0,0,        _xll.qDateNext($AW344,BG$17,"M",TRUE,Currency2))</f>
        <v>0</v>
      </c>
      <c r="BH344" s="703">
        <v>0</v>
      </c>
      <c r="BI344" s="703">
        <v>0</v>
      </c>
      <c r="BJ344" s="703">
        <v>0</v>
      </c>
      <c r="BK344" s="703">
        <v>0</v>
      </c>
      <c r="BL344" s="703">
        <f t="shared" si="81"/>
        <v>0</v>
      </c>
      <c r="BM344" s="703">
        <f t="shared" si="82"/>
        <v>0</v>
      </c>
      <c r="BN344" s="703">
        <v>0</v>
      </c>
      <c r="BO344" s="703">
        <v>0</v>
      </c>
      <c r="BP344" s="685">
        <v>0</v>
      </c>
      <c r="BQ344" s="667"/>
      <c r="BR344" s="670">
        <f>IF(AW345=0,0,             IF(ISNUMBER(BQ344),BQ344,             IF(ISTEXT(BQ344),INDEX(BH344:BO344,MATCH(BQ344,$BH$17:$BO$17,0)),           IF(BP344="INT",_xll.qInterp(AW345,AZ344:BG344,BH344:BO344),       INDEX(BH344:BO344,MATCH(BP344,$BH$17:$BO$17,0))))))</f>
        <v>0</v>
      </c>
      <c r="BS344" s="731">
        <f t="shared" si="76"/>
        <v>0</v>
      </c>
      <c r="BT344" s="406">
        <f t="shared" si="77"/>
        <v>0</v>
      </c>
      <c r="BU344" s="284">
        <f>IF($AW345,_xll.qDateYears($AW344,$AW345,DCC_Leg2_Fixed),0)</f>
        <v>0</v>
      </c>
      <c r="BV344" s="284">
        <f>IF($AW345,_xll.qDateYears($AW344,$AW345,DCC_Leg2_Float),0)</f>
        <v>0</v>
      </c>
      <c r="BX344" s="350">
        <f t="shared" si="83"/>
        <v>0</v>
      </c>
      <c r="BY344" s="375">
        <f>IF(GenType_2a="Fixed",GenRate_2a%*$BT343*BU343,          IF(GenType_2a="Float",$BT343*(_xll.qGetFwdRate($J$18,$AW343,$AW344,"T",DCC_Leg2_Float)%+GenRate_2a%%)*$BV343,        IF(GenType_2a="bp (Fixed)",GenRate_2a%%*$BU343*$BT343,   IF(GenType_2a="bp (Float)",GenRate_2a%%*$BT343*$BV343,0))))</f>
        <v>0</v>
      </c>
      <c r="BZ344" s="561"/>
      <c r="CB344" s="341">
        <f t="shared" si="71"/>
        <v>0</v>
      </c>
      <c r="CC344" s="563"/>
      <c r="CD344" s="356"/>
      <c r="CE344" s="341">
        <v>0</v>
      </c>
      <c r="CF344" s="563"/>
      <c r="CG344" s="356"/>
    </row>
    <row r="345" spans="15:85">
      <c r="O345" s="122">
        <v>0</v>
      </c>
      <c r="P345" s="128">
        <f t="shared" si="72"/>
        <v>0</v>
      </c>
      <c r="Q345" s="126">
        <v>0</v>
      </c>
      <c r="R345" s="699">
        <f>IF($O346=0,0,        _xll.qDateNext($O345,R$17,"M",TRUE,Currency1))</f>
        <v>0</v>
      </c>
      <c r="S345" s="699">
        <f>IF($O346=0,0,        _xll.qDateNext($O345,S$17,"M",TRUE,Currency1))</f>
        <v>0</v>
      </c>
      <c r="T345" s="699">
        <f>IF($O346=0,0,        _xll.qDateNext($O345,T$17,"M",TRUE,Currency1))</f>
        <v>0</v>
      </c>
      <c r="U345" s="699">
        <f>IF($O346=0,0,        _xll.qDateNext($O345,U$17,"M",TRUE,Currency1))</f>
        <v>0</v>
      </c>
      <c r="V345" s="699">
        <f>IF($O346=0,0,        _xll.qDateNext($O345,V$17,"M",TRUE,Currency1))</f>
        <v>0</v>
      </c>
      <c r="W345" s="699">
        <f>IF($O346=0,0,        _xll.qDateNext($O345,W$17,"M",TRUE,Currency1))</f>
        <v>0</v>
      </c>
      <c r="X345" s="699">
        <f>IF($O346=0,0,        _xll.qDateNext($O345,X$17,"M",TRUE,Currency1))</f>
        <v>0</v>
      </c>
      <c r="Y345" s="699">
        <f>IF($O346=0,0,        _xll.qDateNext($O345,Y$17,"M",TRUE,Currency1))</f>
        <v>0</v>
      </c>
      <c r="Z345" s="703">
        <f>IF($O346=0,0,           IF(FRM,_xll.qGetFwdRate(Z$14,$O345,R345,"T",DCC_Leg1_Float),_xll.qGetFwdRate(Z$14,$O345,$O346,"T",DCC_Leg1_Float)))</f>
        <v>0</v>
      </c>
      <c r="AA345" s="703">
        <f>IF($O346=0,0,           IF(FRM,_xll.qGetFwdRate(AA$14,$O345,S345,"T",DCC_Leg1_Float),_xll.qGetFwdRate(AA$14,$O345,$O346,"T",DCC_Leg1_Float)))</f>
        <v>0</v>
      </c>
      <c r="AB345" s="703">
        <f t="shared" si="73"/>
        <v>0</v>
      </c>
      <c r="AC345" s="703">
        <f>IF($O346=0,0,           IF(FRM,_xll.qGetFwdRate(AC$14,$O345,U345,"T",DCC_Leg1_Float),_xll.qGetFwdRate(AC$14,$O345,$O346,"T",DCC_Leg1_Float)))</f>
        <v>0</v>
      </c>
      <c r="AD345" s="703">
        <f t="shared" si="78"/>
        <v>0</v>
      </c>
      <c r="AE345" s="703">
        <f t="shared" si="79"/>
        <v>0</v>
      </c>
      <c r="AF345" s="703">
        <f>IF($O346=0,0,           IF(FRM,_xll.qGetFwdRate(AF$14,$O345,X345,"T",DCC_Leg1_Float),_xll.qGetFwdRate(AF$14,$O345,$O346,"T",DCC_Leg1_Float)))</f>
        <v>0</v>
      </c>
      <c r="AG345" s="703">
        <f>IF($O346=0,0,           IF(FRM,_xll.qGetFwdRate(AG$14,$O345,Y345,"T",DCC_Leg1_Float),_xll.qGetFwdRate(AG$14,$O345,$O346,"T",DCC_Leg1_Float)))</f>
        <v>0</v>
      </c>
      <c r="AH345" s="685">
        <v>0</v>
      </c>
      <c r="AI345" s="667"/>
      <c r="AJ345" s="670">
        <f>IF(O346=0,0,             IF(ISNUMBER(AI345),AI345,             IF(ISTEXT(AI345),INDEX(Z345:AG345,MATCH(AI345,$Z$17:$AG$17,0)),           IF(AH345="INT",_xll.qInterp(O346,R345:Y345,Z345:AG345),       INDEX(Z345:AG345,MATCH(AH345,$Z$17:$AG$17,0))))))</f>
        <v>0</v>
      </c>
      <c r="AK345" s="732">
        <v>20</v>
      </c>
      <c r="AL345" s="721">
        <f t="shared" si="74"/>
        <v>0</v>
      </c>
      <c r="AM345" s="284">
        <f>IF($O346,_xll.qDateYears($O345,$O346,DCC_Leg1_Fixed),0)</f>
        <v>0</v>
      </c>
      <c r="AN345" s="284">
        <f>IF($O346,_xll.qDateYears($O345,$O346,DCC_Leg1_Float),0)</f>
        <v>0</v>
      </c>
      <c r="AP345" s="350">
        <f t="shared" si="80"/>
        <v>0</v>
      </c>
      <c r="AQ345" s="375">
        <f>IF(GenType_1a="Fixed",GenRate_1a%*$AL344*AM344,          IF(GenType_1a="Float",$AL344*(_xll.qGetFwdRate($D$18,$O344,$O345,"T",DCC_Leg1_Float)%+GenRate_1a%%)*$AN344,        IF(GenType_1a="bp (Fixed)",GenRate_1a%%*$AM344*$AL344,   IF(GenType_1a="bp (Float)",GenRate_1a%%*$AL344*$AN344,0))))</f>
        <v>0</v>
      </c>
      <c r="AR345" s="561"/>
      <c r="AT345" s="341">
        <f t="shared" si="70"/>
        <v>0</v>
      </c>
      <c r="AV345" s="356"/>
      <c r="AW345" s="122">
        <v>0</v>
      </c>
      <c r="AX345" s="128">
        <f t="shared" si="75"/>
        <v>0</v>
      </c>
      <c r="AY345" s="357">
        <v>0</v>
      </c>
      <c r="AZ345" s="699">
        <f>IF($AW346=0,0,        _xll.qDateNext($AW345,AZ$17,"M",TRUE,Currency2))</f>
        <v>0</v>
      </c>
      <c r="BA345" s="699">
        <f>IF($AW346=0,0,        _xll.qDateNext($AW345,BA$17,"M",TRUE,Currency2))</f>
        <v>0</v>
      </c>
      <c r="BB345" s="699">
        <f>IF($AW346=0,0,        _xll.qDateNext($AW345,BB$17,"M",TRUE,Currency2))</f>
        <v>0</v>
      </c>
      <c r="BC345" s="699">
        <f>IF($AW346=0,0,        _xll.qDateNext($AW345,BC$17,"M",TRUE,Currency2))</f>
        <v>0</v>
      </c>
      <c r="BD345" s="699">
        <f>IF($AW346=0,0,        _xll.qDateNext($AW345,BD$17,"M",TRUE,Currency2))</f>
        <v>0</v>
      </c>
      <c r="BE345" s="699">
        <f>IF($AW346=0,0,        _xll.qDateNext($AW345,BE$17,"M",TRUE,Currency2))</f>
        <v>0</v>
      </c>
      <c r="BF345" s="699">
        <f>IF($AW346=0,0,        _xll.qDateNext($AW345,BF$17,"M",TRUE,Currency2))</f>
        <v>0</v>
      </c>
      <c r="BG345" s="699">
        <f>IF($AW346=0,0,        _xll.qDateNext($AW345,BG$17,"M",TRUE,Currency2))</f>
        <v>0</v>
      </c>
      <c r="BH345" s="703">
        <v>0</v>
      </c>
      <c r="BI345" s="703">
        <v>0</v>
      </c>
      <c r="BJ345" s="703">
        <v>0</v>
      </c>
      <c r="BK345" s="703">
        <v>0</v>
      </c>
      <c r="BL345" s="703">
        <f t="shared" si="81"/>
        <v>0</v>
      </c>
      <c r="BM345" s="703">
        <f t="shared" si="82"/>
        <v>0</v>
      </c>
      <c r="BN345" s="703">
        <v>0</v>
      </c>
      <c r="BO345" s="703">
        <v>0</v>
      </c>
      <c r="BP345" s="685">
        <v>0</v>
      </c>
      <c r="BQ345" s="667"/>
      <c r="BR345" s="670">
        <f>IF(AW346=0,0,             IF(ISNUMBER(BQ345),BQ345,             IF(ISTEXT(BQ345),INDEX(BH345:BO345,MATCH(BQ345,$BH$17:$BO$17,0)),           IF(BP345="INT",_xll.qInterp(AW346,AZ345:BG345,BH345:BO345),       INDEX(BH345:BO345,MATCH(BP345,$BH$17:$BO$17,0))))))</f>
        <v>0</v>
      </c>
      <c r="BS345" s="731">
        <f t="shared" si="76"/>
        <v>0</v>
      </c>
      <c r="BT345" s="406">
        <f t="shared" si="77"/>
        <v>0</v>
      </c>
      <c r="BU345" s="284">
        <f>IF($AW346,_xll.qDateYears($AW345,$AW346,DCC_Leg2_Fixed),0)</f>
        <v>0</v>
      </c>
      <c r="BV345" s="284">
        <f>IF($AW346,_xll.qDateYears($AW345,$AW346,DCC_Leg2_Float),0)</f>
        <v>0</v>
      </c>
      <c r="BX345" s="350">
        <f t="shared" si="83"/>
        <v>0</v>
      </c>
      <c r="BY345" s="375">
        <f>IF(GenType_2a="Fixed",GenRate_2a%*$BT344*BU344,          IF(GenType_2a="Float",$BT344*(_xll.qGetFwdRate($J$18,$AW344,$AW345,"T",DCC_Leg2_Float)%+GenRate_2a%%)*$BV344,        IF(GenType_2a="bp (Fixed)",GenRate_2a%%*$BU344*$BT344,   IF(GenType_2a="bp (Float)",GenRate_2a%%*$BT344*$BV344,0))))</f>
        <v>0</v>
      </c>
      <c r="BZ345" s="561"/>
      <c r="CB345" s="341">
        <f t="shared" si="71"/>
        <v>0</v>
      </c>
      <c r="CC345" s="563"/>
      <c r="CD345" s="356"/>
      <c r="CE345" s="341">
        <v>0</v>
      </c>
      <c r="CF345" s="563"/>
      <c r="CG345" s="356"/>
    </row>
    <row r="346" spans="15:85">
      <c r="O346" s="122">
        <v>0</v>
      </c>
      <c r="P346" s="128">
        <f t="shared" si="72"/>
        <v>0</v>
      </c>
      <c r="Q346" s="126">
        <v>0</v>
      </c>
      <c r="R346" s="699">
        <f>IF($O347=0,0,        _xll.qDateNext($O346,R$17,"M",TRUE,Currency1))</f>
        <v>0</v>
      </c>
      <c r="S346" s="699">
        <f>IF($O347=0,0,        _xll.qDateNext($O346,S$17,"M",TRUE,Currency1))</f>
        <v>0</v>
      </c>
      <c r="T346" s="699">
        <f>IF($O347=0,0,        _xll.qDateNext($O346,T$17,"M",TRUE,Currency1))</f>
        <v>0</v>
      </c>
      <c r="U346" s="699">
        <f>IF($O347=0,0,        _xll.qDateNext($O346,U$17,"M",TRUE,Currency1))</f>
        <v>0</v>
      </c>
      <c r="V346" s="699">
        <f>IF($O347=0,0,        _xll.qDateNext($O346,V$17,"M",TRUE,Currency1))</f>
        <v>0</v>
      </c>
      <c r="W346" s="699">
        <f>IF($O347=0,0,        _xll.qDateNext($O346,W$17,"M",TRUE,Currency1))</f>
        <v>0</v>
      </c>
      <c r="X346" s="699">
        <f>IF($O347=0,0,        _xll.qDateNext($O346,X$17,"M",TRUE,Currency1))</f>
        <v>0</v>
      </c>
      <c r="Y346" s="699">
        <f>IF($O347=0,0,        _xll.qDateNext($O346,Y$17,"M",TRUE,Currency1))</f>
        <v>0</v>
      </c>
      <c r="Z346" s="703">
        <f>IF($O347=0,0,           IF(FRM,_xll.qGetFwdRate(Z$14,$O346,R346,"T",DCC_Leg1_Float),_xll.qGetFwdRate(Z$14,$O346,$O347,"T",DCC_Leg1_Float)))</f>
        <v>0</v>
      </c>
      <c r="AA346" s="703">
        <f>IF($O347=0,0,           IF(FRM,_xll.qGetFwdRate(AA$14,$O346,S346,"T",DCC_Leg1_Float),_xll.qGetFwdRate(AA$14,$O346,$O347,"T",DCC_Leg1_Float)))</f>
        <v>0</v>
      </c>
      <c r="AB346" s="703">
        <f t="shared" si="73"/>
        <v>0</v>
      </c>
      <c r="AC346" s="703">
        <f>IF($O347=0,0,           IF(FRM,_xll.qGetFwdRate(AC$14,$O346,U346,"T",DCC_Leg1_Float),_xll.qGetFwdRate(AC$14,$O346,$O347,"T",DCC_Leg1_Float)))</f>
        <v>0</v>
      </c>
      <c r="AD346" s="703">
        <f t="shared" si="78"/>
        <v>0</v>
      </c>
      <c r="AE346" s="703">
        <f t="shared" si="79"/>
        <v>0</v>
      </c>
      <c r="AF346" s="703">
        <f>IF($O347=0,0,           IF(FRM,_xll.qGetFwdRate(AF$14,$O346,X346,"T",DCC_Leg1_Float),_xll.qGetFwdRate(AF$14,$O346,$O347,"T",DCC_Leg1_Float)))</f>
        <v>0</v>
      </c>
      <c r="AG346" s="703">
        <f>IF($O347=0,0,           IF(FRM,_xll.qGetFwdRate(AG$14,$O346,Y346,"T",DCC_Leg1_Float),_xll.qGetFwdRate(AG$14,$O346,$O347,"T",DCC_Leg1_Float)))</f>
        <v>0</v>
      </c>
      <c r="AH346" s="685">
        <v>0</v>
      </c>
      <c r="AI346" s="667"/>
      <c r="AJ346" s="670">
        <f>IF(O347=0,0,             IF(ISNUMBER(AI346),AI346,             IF(ISTEXT(AI346),INDEX(Z346:AG346,MATCH(AI346,$Z$17:$AG$17,0)),           IF(AH346="INT",_xll.qInterp(O347,R346:Y346,Z346:AG346),       INDEX(Z346:AG346,MATCH(AH346,$Z$17:$AG$17,0))))))</f>
        <v>0</v>
      </c>
      <c r="AK346" s="732">
        <v>20</v>
      </c>
      <c r="AL346" s="721">
        <f t="shared" si="74"/>
        <v>0</v>
      </c>
      <c r="AM346" s="284">
        <f>IF($O347,_xll.qDateYears($O346,$O347,DCC_Leg1_Fixed),0)</f>
        <v>0</v>
      </c>
      <c r="AN346" s="284">
        <f>IF($O347,_xll.qDateYears($O346,$O347,DCC_Leg1_Float),0)</f>
        <v>0</v>
      </c>
      <c r="AP346" s="350">
        <f t="shared" si="80"/>
        <v>0</v>
      </c>
      <c r="AQ346" s="375">
        <f>IF(GenType_1a="Fixed",GenRate_1a%*$AL345*AM345,          IF(GenType_1a="Float",$AL345*(_xll.qGetFwdRate($D$18,$O345,$O346,"T",DCC_Leg1_Float)%+GenRate_1a%%)*$AN345,        IF(GenType_1a="bp (Fixed)",GenRate_1a%%*$AM345*$AL345,   IF(GenType_1a="bp (Float)",GenRate_1a%%*$AL345*$AN345,0))))</f>
        <v>0</v>
      </c>
      <c r="AR346" s="561"/>
      <c r="AT346" s="341">
        <f t="shared" si="70"/>
        <v>0</v>
      </c>
      <c r="AV346" s="356"/>
      <c r="AW346" s="122">
        <v>0</v>
      </c>
      <c r="AX346" s="128">
        <f t="shared" si="75"/>
        <v>0</v>
      </c>
      <c r="AY346" s="357">
        <v>0</v>
      </c>
      <c r="AZ346" s="699">
        <f>IF($AW347=0,0,        _xll.qDateNext($AW346,AZ$17,"M",TRUE,Currency2))</f>
        <v>0</v>
      </c>
      <c r="BA346" s="699">
        <f>IF($AW347=0,0,        _xll.qDateNext($AW346,BA$17,"M",TRUE,Currency2))</f>
        <v>0</v>
      </c>
      <c r="BB346" s="699">
        <f>IF($AW347=0,0,        _xll.qDateNext($AW346,BB$17,"M",TRUE,Currency2))</f>
        <v>0</v>
      </c>
      <c r="BC346" s="699">
        <f>IF($AW347=0,0,        _xll.qDateNext($AW346,BC$17,"M",TRUE,Currency2))</f>
        <v>0</v>
      </c>
      <c r="BD346" s="699">
        <f>IF($AW347=0,0,        _xll.qDateNext($AW346,BD$17,"M",TRUE,Currency2))</f>
        <v>0</v>
      </c>
      <c r="BE346" s="699">
        <f>IF($AW347=0,0,        _xll.qDateNext($AW346,BE$17,"M",TRUE,Currency2))</f>
        <v>0</v>
      </c>
      <c r="BF346" s="699">
        <f>IF($AW347=0,0,        _xll.qDateNext($AW346,BF$17,"M",TRUE,Currency2))</f>
        <v>0</v>
      </c>
      <c r="BG346" s="699">
        <f>IF($AW347=0,0,        _xll.qDateNext($AW346,BG$17,"M",TRUE,Currency2))</f>
        <v>0</v>
      </c>
      <c r="BH346" s="703">
        <v>0</v>
      </c>
      <c r="BI346" s="703">
        <v>0</v>
      </c>
      <c r="BJ346" s="703">
        <v>0</v>
      </c>
      <c r="BK346" s="703">
        <v>0</v>
      </c>
      <c r="BL346" s="703">
        <f t="shared" si="81"/>
        <v>0</v>
      </c>
      <c r="BM346" s="703">
        <f t="shared" si="82"/>
        <v>0</v>
      </c>
      <c r="BN346" s="703">
        <v>0</v>
      </c>
      <c r="BO346" s="703">
        <v>0</v>
      </c>
      <c r="BP346" s="685">
        <v>0</v>
      </c>
      <c r="BQ346" s="667"/>
      <c r="BR346" s="670">
        <f>IF(AW347=0,0,             IF(ISNUMBER(BQ346),BQ346,             IF(ISTEXT(BQ346),INDEX(BH346:BO346,MATCH(BQ346,$BH$17:$BO$17,0)),           IF(BP346="INT",_xll.qInterp(AW347,AZ346:BG346,BH346:BO346),       INDEX(BH346:BO346,MATCH(BP346,$BH$17:$BO$17,0))))))</f>
        <v>0</v>
      </c>
      <c r="BS346" s="731">
        <f t="shared" si="76"/>
        <v>0</v>
      </c>
      <c r="BT346" s="406">
        <f t="shared" si="77"/>
        <v>0</v>
      </c>
      <c r="BU346" s="284">
        <f>IF($AW347,_xll.qDateYears($AW346,$AW347,DCC_Leg2_Fixed),0)</f>
        <v>0</v>
      </c>
      <c r="BV346" s="284">
        <f>IF($AW347,_xll.qDateYears($AW346,$AW347,DCC_Leg2_Float),0)</f>
        <v>0</v>
      </c>
      <c r="BX346" s="350">
        <f t="shared" si="83"/>
        <v>0</v>
      </c>
      <c r="BY346" s="375">
        <f>IF(GenType_2a="Fixed",GenRate_2a%*$BT345*BU345,          IF(GenType_2a="Float",$BT345*(_xll.qGetFwdRate($J$18,$AW345,$AW346,"T",DCC_Leg2_Float)%+GenRate_2a%%)*$BV345,        IF(GenType_2a="bp (Fixed)",GenRate_2a%%*$BU345*$BT345,   IF(GenType_2a="bp (Float)",GenRate_2a%%*$BT345*$BV345,0))))</f>
        <v>0</v>
      </c>
      <c r="BZ346" s="561"/>
      <c r="CB346" s="341">
        <f t="shared" si="71"/>
        <v>0</v>
      </c>
      <c r="CC346" s="563"/>
      <c r="CD346" s="356"/>
      <c r="CE346" s="341">
        <v>0</v>
      </c>
      <c r="CF346" s="563"/>
      <c r="CG346" s="356"/>
    </row>
    <row r="347" spans="15:85">
      <c r="O347" s="122">
        <v>0</v>
      </c>
      <c r="P347" s="128">
        <f t="shared" si="72"/>
        <v>0</v>
      </c>
      <c r="Q347" s="126">
        <v>0</v>
      </c>
      <c r="R347" s="699">
        <f>IF($O348=0,0,        _xll.qDateNext($O347,R$17,"M",TRUE,Currency1))</f>
        <v>0</v>
      </c>
      <c r="S347" s="699">
        <f>IF($O348=0,0,        _xll.qDateNext($O347,S$17,"M",TRUE,Currency1))</f>
        <v>0</v>
      </c>
      <c r="T347" s="699">
        <f>IF($O348=0,0,        _xll.qDateNext($O347,T$17,"M",TRUE,Currency1))</f>
        <v>0</v>
      </c>
      <c r="U347" s="699">
        <f>IF($O348=0,0,        _xll.qDateNext($O347,U$17,"M",TRUE,Currency1))</f>
        <v>0</v>
      </c>
      <c r="V347" s="699">
        <f>IF($O348=0,0,        _xll.qDateNext($O347,V$17,"M",TRUE,Currency1))</f>
        <v>0</v>
      </c>
      <c r="W347" s="699">
        <f>IF($O348=0,0,        _xll.qDateNext($O347,W$17,"M",TRUE,Currency1))</f>
        <v>0</v>
      </c>
      <c r="X347" s="699">
        <f>IF($O348=0,0,        _xll.qDateNext($O347,X$17,"M",TRUE,Currency1))</f>
        <v>0</v>
      </c>
      <c r="Y347" s="699">
        <f>IF($O348=0,0,        _xll.qDateNext($O347,Y$17,"M",TRUE,Currency1))</f>
        <v>0</v>
      </c>
      <c r="Z347" s="703">
        <f>IF($O348=0,0,           IF(FRM,_xll.qGetFwdRate(Z$14,$O347,R347,"T",DCC_Leg1_Float),_xll.qGetFwdRate(Z$14,$O347,$O348,"T",DCC_Leg1_Float)))</f>
        <v>0</v>
      </c>
      <c r="AA347" s="703">
        <f>IF($O348=0,0,           IF(FRM,_xll.qGetFwdRate(AA$14,$O347,S347,"T",DCC_Leg1_Float),_xll.qGetFwdRate(AA$14,$O347,$O348,"T",DCC_Leg1_Float)))</f>
        <v>0</v>
      </c>
      <c r="AB347" s="703">
        <f t="shared" si="73"/>
        <v>0</v>
      </c>
      <c r="AC347" s="703">
        <f>IF($O348=0,0,           IF(FRM,_xll.qGetFwdRate(AC$14,$O347,U347,"T",DCC_Leg1_Float),_xll.qGetFwdRate(AC$14,$O347,$O348,"T",DCC_Leg1_Float)))</f>
        <v>0</v>
      </c>
      <c r="AD347" s="703">
        <f t="shared" si="78"/>
        <v>0</v>
      </c>
      <c r="AE347" s="703">
        <f t="shared" si="79"/>
        <v>0</v>
      </c>
      <c r="AF347" s="703">
        <f>IF($O348=0,0,           IF(FRM,_xll.qGetFwdRate(AF$14,$O347,X347,"T",DCC_Leg1_Float),_xll.qGetFwdRate(AF$14,$O347,$O348,"T",DCC_Leg1_Float)))</f>
        <v>0</v>
      </c>
      <c r="AG347" s="703">
        <f>IF($O348=0,0,           IF(FRM,_xll.qGetFwdRate(AG$14,$O347,Y347,"T",DCC_Leg1_Float),_xll.qGetFwdRate(AG$14,$O347,$O348,"T",DCC_Leg1_Float)))</f>
        <v>0</v>
      </c>
      <c r="AH347" s="685">
        <v>0</v>
      </c>
      <c r="AI347" s="667"/>
      <c r="AJ347" s="670">
        <f>IF(O348=0,0,             IF(ISNUMBER(AI347),AI347,             IF(ISTEXT(AI347),INDEX(Z347:AG347,MATCH(AI347,$Z$17:$AG$17,0)),           IF(AH347="INT",_xll.qInterp(O348,R347:Y347,Z347:AG347),       INDEX(Z347:AG347,MATCH(AH347,$Z$17:$AG$17,0))))))</f>
        <v>0</v>
      </c>
      <c r="AK347" s="732">
        <v>20</v>
      </c>
      <c r="AL347" s="721">
        <f t="shared" si="74"/>
        <v>0</v>
      </c>
      <c r="AM347" s="284">
        <f>IF($O348,_xll.qDateYears($O347,$O348,DCC_Leg1_Fixed),0)</f>
        <v>0</v>
      </c>
      <c r="AN347" s="284">
        <f>IF($O348,_xll.qDateYears($O347,$O348,DCC_Leg1_Float),0)</f>
        <v>0</v>
      </c>
      <c r="AP347" s="350">
        <f t="shared" si="80"/>
        <v>0</v>
      </c>
      <c r="AQ347" s="375">
        <f>IF(GenType_1a="Fixed",GenRate_1a%*$AL346*AM346,          IF(GenType_1a="Float",$AL346*(_xll.qGetFwdRate($D$18,$O346,$O347,"T",DCC_Leg1_Float)%+GenRate_1a%%)*$AN346,        IF(GenType_1a="bp (Fixed)",GenRate_1a%%*$AM346*$AL346,   IF(GenType_1a="bp (Float)",GenRate_1a%%*$AL346*$AN346,0))))</f>
        <v>0</v>
      </c>
      <c r="AR347" s="561"/>
      <c r="AT347" s="341">
        <f t="shared" si="70"/>
        <v>0</v>
      </c>
      <c r="AV347" s="356"/>
      <c r="AW347" s="122">
        <v>0</v>
      </c>
      <c r="AX347" s="128">
        <f t="shared" si="75"/>
        <v>0</v>
      </c>
      <c r="AY347" s="357">
        <v>0</v>
      </c>
      <c r="AZ347" s="699">
        <f>IF($AW348=0,0,        _xll.qDateNext($AW347,AZ$17,"M",TRUE,Currency2))</f>
        <v>0</v>
      </c>
      <c r="BA347" s="699">
        <f>IF($AW348=0,0,        _xll.qDateNext($AW347,BA$17,"M",TRUE,Currency2))</f>
        <v>0</v>
      </c>
      <c r="BB347" s="699">
        <f>IF($AW348=0,0,        _xll.qDateNext($AW347,BB$17,"M",TRUE,Currency2))</f>
        <v>0</v>
      </c>
      <c r="BC347" s="699">
        <f>IF($AW348=0,0,        _xll.qDateNext($AW347,BC$17,"M",TRUE,Currency2))</f>
        <v>0</v>
      </c>
      <c r="BD347" s="699">
        <f>IF($AW348=0,0,        _xll.qDateNext($AW347,BD$17,"M",TRUE,Currency2))</f>
        <v>0</v>
      </c>
      <c r="BE347" s="699">
        <f>IF($AW348=0,0,        _xll.qDateNext($AW347,BE$17,"M",TRUE,Currency2))</f>
        <v>0</v>
      </c>
      <c r="BF347" s="699">
        <f>IF($AW348=0,0,        _xll.qDateNext($AW347,BF$17,"M",TRUE,Currency2))</f>
        <v>0</v>
      </c>
      <c r="BG347" s="699">
        <f>IF($AW348=0,0,        _xll.qDateNext($AW347,BG$17,"M",TRUE,Currency2))</f>
        <v>0</v>
      </c>
      <c r="BH347" s="703">
        <v>0</v>
      </c>
      <c r="BI347" s="703">
        <v>0</v>
      </c>
      <c r="BJ347" s="703">
        <v>0</v>
      </c>
      <c r="BK347" s="703">
        <v>0</v>
      </c>
      <c r="BL347" s="703">
        <f t="shared" si="81"/>
        <v>0</v>
      </c>
      <c r="BM347" s="703">
        <f t="shared" si="82"/>
        <v>0</v>
      </c>
      <c r="BN347" s="703">
        <v>0</v>
      </c>
      <c r="BO347" s="703">
        <v>0</v>
      </c>
      <c r="BP347" s="685">
        <v>0</v>
      </c>
      <c r="BQ347" s="667"/>
      <c r="BR347" s="670">
        <f>IF(AW348=0,0,             IF(ISNUMBER(BQ347),BQ347,             IF(ISTEXT(BQ347),INDEX(BH347:BO347,MATCH(BQ347,$BH$17:$BO$17,0)),           IF(BP347="INT",_xll.qInterp(AW348,AZ347:BG347,BH347:BO347),       INDEX(BH347:BO347,MATCH(BP347,$BH$17:$BO$17,0))))))</f>
        <v>0</v>
      </c>
      <c r="BS347" s="731">
        <f t="shared" si="76"/>
        <v>0</v>
      </c>
      <c r="BT347" s="406">
        <f t="shared" si="77"/>
        <v>0</v>
      </c>
      <c r="BU347" s="284">
        <f>IF($AW348,_xll.qDateYears($AW347,$AW348,DCC_Leg2_Fixed),0)</f>
        <v>0</v>
      </c>
      <c r="BV347" s="284">
        <f>IF($AW348,_xll.qDateYears($AW347,$AW348,DCC_Leg2_Float),0)</f>
        <v>0</v>
      </c>
      <c r="BX347" s="350">
        <f t="shared" si="83"/>
        <v>0</v>
      </c>
      <c r="BY347" s="375">
        <f>IF(GenType_2a="Fixed",GenRate_2a%*$BT346*BU346,          IF(GenType_2a="Float",$BT346*(_xll.qGetFwdRate($J$18,$AW346,$AW347,"T",DCC_Leg2_Float)%+GenRate_2a%%)*$BV346,        IF(GenType_2a="bp (Fixed)",GenRate_2a%%*$BU346*$BT346,   IF(GenType_2a="bp (Float)",GenRate_2a%%*$BT346*$BV346,0))))</f>
        <v>0</v>
      </c>
      <c r="BZ347" s="561"/>
      <c r="CB347" s="341">
        <f t="shared" si="71"/>
        <v>0</v>
      </c>
      <c r="CC347" s="563"/>
      <c r="CD347" s="356"/>
      <c r="CE347" s="341">
        <v>0</v>
      </c>
      <c r="CF347" s="563"/>
      <c r="CG347" s="356"/>
    </row>
    <row r="348" spans="15:85">
      <c r="O348" s="122">
        <v>0</v>
      </c>
      <c r="P348" s="128">
        <f t="shared" si="72"/>
        <v>0</v>
      </c>
      <c r="Q348" s="126">
        <v>0</v>
      </c>
      <c r="R348" s="699">
        <f>IF($O349=0,0,        _xll.qDateNext($O348,R$17,"M",TRUE,Currency1))</f>
        <v>0</v>
      </c>
      <c r="S348" s="699">
        <f>IF($O349=0,0,        _xll.qDateNext($O348,S$17,"M",TRUE,Currency1))</f>
        <v>0</v>
      </c>
      <c r="T348" s="699">
        <f>IF($O349=0,0,        _xll.qDateNext($O348,T$17,"M",TRUE,Currency1))</f>
        <v>0</v>
      </c>
      <c r="U348" s="699">
        <f>IF($O349=0,0,        _xll.qDateNext($O348,U$17,"M",TRUE,Currency1))</f>
        <v>0</v>
      </c>
      <c r="V348" s="699">
        <f>IF($O349=0,0,        _xll.qDateNext($O348,V$17,"M",TRUE,Currency1))</f>
        <v>0</v>
      </c>
      <c r="W348" s="699">
        <f>IF($O349=0,0,        _xll.qDateNext($O348,W$17,"M",TRUE,Currency1))</f>
        <v>0</v>
      </c>
      <c r="X348" s="699">
        <f>IF($O349=0,0,        _xll.qDateNext($O348,X$17,"M",TRUE,Currency1))</f>
        <v>0</v>
      </c>
      <c r="Y348" s="699">
        <f>IF($O349=0,0,        _xll.qDateNext($O348,Y$17,"M",TRUE,Currency1))</f>
        <v>0</v>
      </c>
      <c r="Z348" s="703">
        <f>IF($O349=0,0,           IF(FRM,_xll.qGetFwdRate(Z$14,$O348,R348,"T",DCC_Leg1_Float),_xll.qGetFwdRate(Z$14,$O348,$O349,"T",DCC_Leg1_Float)))</f>
        <v>0</v>
      </c>
      <c r="AA348" s="703">
        <f>IF($O349=0,0,           IF(FRM,_xll.qGetFwdRate(AA$14,$O348,S348,"T",DCC_Leg1_Float),_xll.qGetFwdRate(AA$14,$O348,$O349,"T",DCC_Leg1_Float)))</f>
        <v>0</v>
      </c>
      <c r="AB348" s="703">
        <f t="shared" si="73"/>
        <v>0</v>
      </c>
      <c r="AC348" s="703">
        <f>IF($O349=0,0,           IF(FRM,_xll.qGetFwdRate(AC$14,$O348,U348,"T",DCC_Leg1_Float),_xll.qGetFwdRate(AC$14,$O348,$O349,"T",DCC_Leg1_Float)))</f>
        <v>0</v>
      </c>
      <c r="AD348" s="703">
        <f t="shared" si="78"/>
        <v>0</v>
      </c>
      <c r="AE348" s="703">
        <f t="shared" si="79"/>
        <v>0</v>
      </c>
      <c r="AF348" s="703">
        <f>IF($O349=0,0,           IF(FRM,_xll.qGetFwdRate(AF$14,$O348,X348,"T",DCC_Leg1_Float),_xll.qGetFwdRate(AF$14,$O348,$O349,"T",DCC_Leg1_Float)))</f>
        <v>0</v>
      </c>
      <c r="AG348" s="703">
        <f>IF($O349=0,0,           IF(FRM,_xll.qGetFwdRate(AG$14,$O348,Y348,"T",DCC_Leg1_Float),_xll.qGetFwdRate(AG$14,$O348,$O349,"T",DCC_Leg1_Float)))</f>
        <v>0</v>
      </c>
      <c r="AH348" s="685">
        <v>0</v>
      </c>
      <c r="AI348" s="667"/>
      <c r="AJ348" s="670">
        <f>IF(O349=0,0,             IF(ISNUMBER(AI348),AI348,             IF(ISTEXT(AI348),INDEX(Z348:AG348,MATCH(AI348,$Z$17:$AG$17,0)),           IF(AH348="INT",_xll.qInterp(O349,R348:Y348,Z348:AG348),       INDEX(Z348:AG348,MATCH(AH348,$Z$17:$AG$17,0))))))</f>
        <v>0</v>
      </c>
      <c r="AK348" s="732">
        <v>20</v>
      </c>
      <c r="AL348" s="721">
        <f t="shared" si="74"/>
        <v>0</v>
      </c>
      <c r="AM348" s="284">
        <f>IF($O349,_xll.qDateYears($O348,$O349,DCC_Leg1_Fixed),0)</f>
        <v>0</v>
      </c>
      <c r="AN348" s="284">
        <f>IF($O349,_xll.qDateYears($O348,$O349,DCC_Leg1_Float),0)</f>
        <v>0</v>
      </c>
      <c r="AP348" s="350">
        <f t="shared" si="80"/>
        <v>0</v>
      </c>
      <c r="AQ348" s="375">
        <f>IF(GenType_1a="Fixed",GenRate_1a%*$AL347*AM347,          IF(GenType_1a="Float",$AL347*(_xll.qGetFwdRate($D$18,$O347,$O348,"T",DCC_Leg1_Float)%+GenRate_1a%%)*$AN347,        IF(GenType_1a="bp (Fixed)",GenRate_1a%%*$AM347*$AL347,   IF(GenType_1a="bp (Float)",GenRate_1a%%*$AL347*$AN347,0))))</f>
        <v>0</v>
      </c>
      <c r="AR348" s="561"/>
      <c r="AT348" s="341">
        <f t="shared" si="70"/>
        <v>0</v>
      </c>
      <c r="AV348" s="356"/>
      <c r="AW348" s="122">
        <v>0</v>
      </c>
      <c r="AX348" s="128">
        <f t="shared" si="75"/>
        <v>0</v>
      </c>
      <c r="AY348" s="357">
        <v>0</v>
      </c>
      <c r="AZ348" s="699">
        <f>IF($AW349=0,0,        _xll.qDateNext($AW348,AZ$17,"M",TRUE,Currency2))</f>
        <v>0</v>
      </c>
      <c r="BA348" s="699">
        <f>IF($AW349=0,0,        _xll.qDateNext($AW348,BA$17,"M",TRUE,Currency2))</f>
        <v>0</v>
      </c>
      <c r="BB348" s="699">
        <f>IF($AW349=0,0,        _xll.qDateNext($AW348,BB$17,"M",TRUE,Currency2))</f>
        <v>0</v>
      </c>
      <c r="BC348" s="699">
        <f>IF($AW349=0,0,        _xll.qDateNext($AW348,BC$17,"M",TRUE,Currency2))</f>
        <v>0</v>
      </c>
      <c r="BD348" s="699">
        <f>IF($AW349=0,0,        _xll.qDateNext($AW348,BD$17,"M",TRUE,Currency2))</f>
        <v>0</v>
      </c>
      <c r="BE348" s="699">
        <f>IF($AW349=0,0,        _xll.qDateNext($AW348,BE$17,"M",TRUE,Currency2))</f>
        <v>0</v>
      </c>
      <c r="BF348" s="699">
        <f>IF($AW349=0,0,        _xll.qDateNext($AW348,BF$17,"M",TRUE,Currency2))</f>
        <v>0</v>
      </c>
      <c r="BG348" s="699">
        <f>IF($AW349=0,0,        _xll.qDateNext($AW348,BG$17,"M",TRUE,Currency2))</f>
        <v>0</v>
      </c>
      <c r="BH348" s="703">
        <v>0</v>
      </c>
      <c r="BI348" s="703">
        <v>0</v>
      </c>
      <c r="BJ348" s="703">
        <v>0</v>
      </c>
      <c r="BK348" s="703">
        <v>0</v>
      </c>
      <c r="BL348" s="703">
        <f t="shared" si="81"/>
        <v>0</v>
      </c>
      <c r="BM348" s="703">
        <f t="shared" si="82"/>
        <v>0</v>
      </c>
      <c r="BN348" s="703">
        <v>0</v>
      </c>
      <c r="BO348" s="703">
        <v>0</v>
      </c>
      <c r="BP348" s="685">
        <v>0</v>
      </c>
      <c r="BQ348" s="667"/>
      <c r="BR348" s="670">
        <f>IF(AW349=0,0,             IF(ISNUMBER(BQ348),BQ348,             IF(ISTEXT(BQ348),INDEX(BH348:BO348,MATCH(BQ348,$BH$17:$BO$17,0)),           IF(BP348="INT",_xll.qInterp(AW349,AZ348:BG348,BH348:BO348),       INDEX(BH348:BO348,MATCH(BP348,$BH$17:$BO$17,0))))))</f>
        <v>0</v>
      </c>
      <c r="BS348" s="731">
        <f t="shared" si="76"/>
        <v>0</v>
      </c>
      <c r="BT348" s="406">
        <f t="shared" si="77"/>
        <v>0</v>
      </c>
      <c r="BU348" s="284">
        <f>IF($AW349,_xll.qDateYears($AW348,$AW349,DCC_Leg2_Fixed),0)</f>
        <v>0</v>
      </c>
      <c r="BV348" s="284">
        <f>IF($AW349,_xll.qDateYears($AW348,$AW349,DCC_Leg2_Float),0)</f>
        <v>0</v>
      </c>
      <c r="BX348" s="350">
        <f t="shared" si="83"/>
        <v>0</v>
      </c>
      <c r="BY348" s="375">
        <f>IF(GenType_2a="Fixed",GenRate_2a%*$BT347*BU347,          IF(GenType_2a="Float",$BT347*(_xll.qGetFwdRate($J$18,$AW347,$AW348,"T",DCC_Leg2_Float)%+GenRate_2a%%)*$BV347,        IF(GenType_2a="bp (Fixed)",GenRate_2a%%*$BU347*$BT347,   IF(GenType_2a="bp (Float)",GenRate_2a%%*$BT347*$BV347,0))))</f>
        <v>0</v>
      </c>
      <c r="BZ348" s="561"/>
      <c r="CB348" s="341">
        <f t="shared" si="71"/>
        <v>0</v>
      </c>
      <c r="CC348" s="563"/>
      <c r="CD348" s="356"/>
      <c r="CE348" s="341">
        <v>0</v>
      </c>
      <c r="CF348" s="563"/>
      <c r="CG348" s="356"/>
    </row>
    <row r="349" spans="15:85">
      <c r="O349" s="122">
        <v>0</v>
      </c>
      <c r="P349" s="128">
        <f t="shared" si="72"/>
        <v>0</v>
      </c>
      <c r="Q349" s="126">
        <v>0</v>
      </c>
      <c r="R349" s="699">
        <f>IF($O350=0,0,        _xll.qDateNext($O349,R$17,"M",TRUE,Currency1))</f>
        <v>0</v>
      </c>
      <c r="S349" s="699">
        <f>IF($O350=0,0,        _xll.qDateNext($O349,S$17,"M",TRUE,Currency1))</f>
        <v>0</v>
      </c>
      <c r="T349" s="699">
        <f>IF($O350=0,0,        _xll.qDateNext($O349,T$17,"M",TRUE,Currency1))</f>
        <v>0</v>
      </c>
      <c r="U349" s="699">
        <f>IF($O350=0,0,        _xll.qDateNext($O349,U$17,"M",TRUE,Currency1))</f>
        <v>0</v>
      </c>
      <c r="V349" s="699">
        <f>IF($O350=0,0,        _xll.qDateNext($O349,V$17,"M",TRUE,Currency1))</f>
        <v>0</v>
      </c>
      <c r="W349" s="699">
        <f>IF($O350=0,0,        _xll.qDateNext($O349,W$17,"M",TRUE,Currency1))</f>
        <v>0</v>
      </c>
      <c r="X349" s="699">
        <f>IF($O350=0,0,        _xll.qDateNext($O349,X$17,"M",TRUE,Currency1))</f>
        <v>0</v>
      </c>
      <c r="Y349" s="699">
        <f>IF($O350=0,0,        _xll.qDateNext($O349,Y$17,"M",TRUE,Currency1))</f>
        <v>0</v>
      </c>
      <c r="Z349" s="703">
        <f>IF($O350=0,0,           IF(FRM,_xll.qGetFwdRate(Z$14,$O349,R349,"T",DCC_Leg1_Float),_xll.qGetFwdRate(Z$14,$O349,$O350,"T",DCC_Leg1_Float)))</f>
        <v>0</v>
      </c>
      <c r="AA349" s="703">
        <f>IF($O350=0,0,           IF(FRM,_xll.qGetFwdRate(AA$14,$O349,S349,"T",DCC_Leg1_Float),_xll.qGetFwdRate(AA$14,$O349,$O350,"T",DCC_Leg1_Float)))</f>
        <v>0</v>
      </c>
      <c r="AB349" s="703">
        <f t="shared" si="73"/>
        <v>0</v>
      </c>
      <c r="AC349" s="703">
        <f>IF($O350=0,0,           IF(FRM,_xll.qGetFwdRate(AC$14,$O349,U349,"T",DCC_Leg1_Float),_xll.qGetFwdRate(AC$14,$O349,$O350,"T",DCC_Leg1_Float)))</f>
        <v>0</v>
      </c>
      <c r="AD349" s="703">
        <f t="shared" si="78"/>
        <v>0</v>
      </c>
      <c r="AE349" s="703">
        <f t="shared" si="79"/>
        <v>0</v>
      </c>
      <c r="AF349" s="703">
        <f>IF($O350=0,0,           IF(FRM,_xll.qGetFwdRate(AF$14,$O349,X349,"T",DCC_Leg1_Float),_xll.qGetFwdRate(AF$14,$O349,$O350,"T",DCC_Leg1_Float)))</f>
        <v>0</v>
      </c>
      <c r="AG349" s="703">
        <f>IF($O350=0,0,           IF(FRM,_xll.qGetFwdRate(AG$14,$O349,Y349,"T",DCC_Leg1_Float),_xll.qGetFwdRate(AG$14,$O349,$O350,"T",DCC_Leg1_Float)))</f>
        <v>0</v>
      </c>
      <c r="AH349" s="685">
        <v>0</v>
      </c>
      <c r="AI349" s="667"/>
      <c r="AJ349" s="670">
        <f>IF(O350=0,0,             IF(ISNUMBER(AI349),AI349,             IF(ISTEXT(AI349),INDEX(Z349:AG349,MATCH(AI349,$Z$17:$AG$17,0)),           IF(AH349="INT",_xll.qInterp(O350,R349:Y349,Z349:AG349),       INDEX(Z349:AG349,MATCH(AH349,$Z$17:$AG$17,0))))))</f>
        <v>0</v>
      </c>
      <c r="AK349" s="732">
        <v>20</v>
      </c>
      <c r="AL349" s="721">
        <f t="shared" si="74"/>
        <v>0</v>
      </c>
      <c r="AM349" s="284">
        <f>IF($O350,_xll.qDateYears($O349,$O350,DCC_Leg1_Fixed),0)</f>
        <v>0</v>
      </c>
      <c r="AN349" s="284">
        <f>IF($O350,_xll.qDateYears($O349,$O350,DCC_Leg1_Float),0)</f>
        <v>0</v>
      </c>
      <c r="AP349" s="350">
        <f t="shared" si="80"/>
        <v>0</v>
      </c>
      <c r="AQ349" s="375">
        <f>IF(GenType_1a="Fixed",GenRate_1a%*$AL348*AM348,          IF(GenType_1a="Float",$AL348*(_xll.qGetFwdRate($D$18,$O348,$O349,"T",DCC_Leg1_Float)%+GenRate_1a%%)*$AN348,        IF(GenType_1a="bp (Fixed)",GenRate_1a%%*$AM348*$AL348,   IF(GenType_1a="bp (Float)",GenRate_1a%%*$AL348*$AN348,0))))</f>
        <v>0</v>
      </c>
      <c r="AR349" s="561"/>
      <c r="AT349" s="341">
        <f t="shared" si="70"/>
        <v>0</v>
      </c>
      <c r="AV349" s="356"/>
      <c r="AW349" s="122">
        <v>0</v>
      </c>
      <c r="AX349" s="128">
        <f t="shared" si="75"/>
        <v>0</v>
      </c>
      <c r="AY349" s="357">
        <v>0</v>
      </c>
      <c r="AZ349" s="699">
        <f>IF($AW350=0,0,        _xll.qDateNext($AW349,AZ$17,"M",TRUE,Currency2))</f>
        <v>0</v>
      </c>
      <c r="BA349" s="699">
        <f>IF($AW350=0,0,        _xll.qDateNext($AW349,BA$17,"M",TRUE,Currency2))</f>
        <v>0</v>
      </c>
      <c r="BB349" s="699">
        <f>IF($AW350=0,0,        _xll.qDateNext($AW349,BB$17,"M",TRUE,Currency2))</f>
        <v>0</v>
      </c>
      <c r="BC349" s="699">
        <f>IF($AW350=0,0,        _xll.qDateNext($AW349,BC$17,"M",TRUE,Currency2))</f>
        <v>0</v>
      </c>
      <c r="BD349" s="699">
        <f>IF($AW350=0,0,        _xll.qDateNext($AW349,BD$17,"M",TRUE,Currency2))</f>
        <v>0</v>
      </c>
      <c r="BE349" s="699">
        <f>IF($AW350=0,0,        _xll.qDateNext($AW349,BE$17,"M",TRUE,Currency2))</f>
        <v>0</v>
      </c>
      <c r="BF349" s="699">
        <f>IF($AW350=0,0,        _xll.qDateNext($AW349,BF$17,"M",TRUE,Currency2))</f>
        <v>0</v>
      </c>
      <c r="BG349" s="699">
        <f>IF($AW350=0,0,        _xll.qDateNext($AW349,BG$17,"M",TRUE,Currency2))</f>
        <v>0</v>
      </c>
      <c r="BH349" s="703">
        <v>0</v>
      </c>
      <c r="BI349" s="703">
        <v>0</v>
      </c>
      <c r="BJ349" s="703">
        <v>0</v>
      </c>
      <c r="BK349" s="703">
        <v>0</v>
      </c>
      <c r="BL349" s="703">
        <f t="shared" si="81"/>
        <v>0</v>
      </c>
      <c r="BM349" s="703">
        <f t="shared" si="82"/>
        <v>0</v>
      </c>
      <c r="BN349" s="703">
        <v>0</v>
      </c>
      <c r="BO349" s="703">
        <v>0</v>
      </c>
      <c r="BP349" s="685">
        <v>0</v>
      </c>
      <c r="BQ349" s="667"/>
      <c r="BR349" s="670">
        <f>IF(AW350=0,0,             IF(ISNUMBER(BQ349),BQ349,             IF(ISTEXT(BQ349),INDEX(BH349:BO349,MATCH(BQ349,$BH$17:$BO$17,0)),           IF(BP349="INT",_xll.qInterp(AW350,AZ349:BG349,BH349:BO349),       INDEX(BH349:BO349,MATCH(BP349,$BH$17:$BO$17,0))))))</f>
        <v>0</v>
      </c>
      <c r="BS349" s="731">
        <f t="shared" si="76"/>
        <v>0</v>
      </c>
      <c r="BT349" s="406">
        <f t="shared" si="77"/>
        <v>0</v>
      </c>
      <c r="BU349" s="284">
        <f>IF($AW350,_xll.qDateYears($AW349,$AW350,DCC_Leg2_Fixed),0)</f>
        <v>0</v>
      </c>
      <c r="BV349" s="284">
        <f>IF($AW350,_xll.qDateYears($AW349,$AW350,DCC_Leg2_Float),0)</f>
        <v>0</v>
      </c>
      <c r="BX349" s="350">
        <f t="shared" si="83"/>
        <v>0</v>
      </c>
      <c r="BY349" s="375">
        <f>IF(GenType_2a="Fixed",GenRate_2a%*$BT348*BU348,          IF(GenType_2a="Float",$BT348*(_xll.qGetFwdRate($J$18,$AW348,$AW349,"T",DCC_Leg2_Float)%+GenRate_2a%%)*$BV348,        IF(GenType_2a="bp (Fixed)",GenRate_2a%%*$BU348*$BT348,   IF(GenType_2a="bp (Float)",GenRate_2a%%*$BT348*$BV348,0))))</f>
        <v>0</v>
      </c>
      <c r="BZ349" s="561"/>
      <c r="CB349" s="341">
        <f t="shared" si="71"/>
        <v>0</v>
      </c>
      <c r="CC349" s="563"/>
      <c r="CD349" s="356"/>
      <c r="CE349" s="341">
        <v>0</v>
      </c>
      <c r="CF349" s="563"/>
      <c r="CG349" s="356"/>
    </row>
    <row r="350" spans="15:85">
      <c r="O350" s="122">
        <v>0</v>
      </c>
      <c r="P350" s="128">
        <f t="shared" si="72"/>
        <v>0</v>
      </c>
      <c r="Q350" s="126">
        <v>0</v>
      </c>
      <c r="R350" s="699">
        <f>IF($O351=0,0,        _xll.qDateNext($O350,R$17,"M",TRUE,Currency1))</f>
        <v>0</v>
      </c>
      <c r="S350" s="699">
        <f>IF($O351=0,0,        _xll.qDateNext($O350,S$17,"M",TRUE,Currency1))</f>
        <v>0</v>
      </c>
      <c r="T350" s="699">
        <f>IF($O351=0,0,        _xll.qDateNext($O350,T$17,"M",TRUE,Currency1))</f>
        <v>0</v>
      </c>
      <c r="U350" s="699">
        <f>IF($O351=0,0,        _xll.qDateNext($O350,U$17,"M",TRUE,Currency1))</f>
        <v>0</v>
      </c>
      <c r="V350" s="699">
        <f>IF($O351=0,0,        _xll.qDateNext($O350,V$17,"M",TRUE,Currency1))</f>
        <v>0</v>
      </c>
      <c r="W350" s="699">
        <f>IF($O351=0,0,        _xll.qDateNext($O350,W$17,"M",TRUE,Currency1))</f>
        <v>0</v>
      </c>
      <c r="X350" s="699">
        <f>IF($O351=0,0,        _xll.qDateNext($O350,X$17,"M",TRUE,Currency1))</f>
        <v>0</v>
      </c>
      <c r="Y350" s="699">
        <f>IF($O351=0,0,        _xll.qDateNext($O350,Y$17,"M",TRUE,Currency1))</f>
        <v>0</v>
      </c>
      <c r="Z350" s="703">
        <f>IF($O351=0,0,           IF(FRM,_xll.qGetFwdRate(Z$14,$O350,R350,"T",DCC_Leg1_Float),_xll.qGetFwdRate(Z$14,$O350,$O351,"T",DCC_Leg1_Float)))</f>
        <v>0</v>
      </c>
      <c r="AA350" s="703">
        <f>IF($O351=0,0,           IF(FRM,_xll.qGetFwdRate(AA$14,$O350,S350,"T",DCC_Leg1_Float),_xll.qGetFwdRate(AA$14,$O350,$O351,"T",DCC_Leg1_Float)))</f>
        <v>0</v>
      </c>
      <c r="AB350" s="703">
        <f t="shared" si="73"/>
        <v>0</v>
      </c>
      <c r="AC350" s="703">
        <f>IF($O351=0,0,           IF(FRM,_xll.qGetFwdRate(AC$14,$O350,U350,"T",DCC_Leg1_Float),_xll.qGetFwdRate(AC$14,$O350,$O351,"T",DCC_Leg1_Float)))</f>
        <v>0</v>
      </c>
      <c r="AD350" s="703">
        <f t="shared" si="78"/>
        <v>0</v>
      </c>
      <c r="AE350" s="703">
        <f t="shared" si="79"/>
        <v>0</v>
      </c>
      <c r="AF350" s="703">
        <f>IF($O351=0,0,           IF(FRM,_xll.qGetFwdRate(AF$14,$O350,X350,"T",DCC_Leg1_Float),_xll.qGetFwdRate(AF$14,$O350,$O351,"T",DCC_Leg1_Float)))</f>
        <v>0</v>
      </c>
      <c r="AG350" s="703">
        <f>IF($O351=0,0,           IF(FRM,_xll.qGetFwdRate(AG$14,$O350,Y350,"T",DCC_Leg1_Float),_xll.qGetFwdRate(AG$14,$O350,$O351,"T",DCC_Leg1_Float)))</f>
        <v>0</v>
      </c>
      <c r="AH350" s="685">
        <v>0</v>
      </c>
      <c r="AI350" s="667"/>
      <c r="AJ350" s="670">
        <f>IF(O351=0,0,             IF(ISNUMBER(AI350),AI350,             IF(ISTEXT(AI350),INDEX(Z350:AG350,MATCH(AI350,$Z$17:$AG$17,0)),           IF(AH350="INT",_xll.qInterp(O351,R350:Y350,Z350:AG350),       INDEX(Z350:AG350,MATCH(AH350,$Z$17:$AG$17,0))))))</f>
        <v>0</v>
      </c>
      <c r="AK350" s="732">
        <v>20</v>
      </c>
      <c r="AL350" s="721">
        <f t="shared" si="74"/>
        <v>0</v>
      </c>
      <c r="AM350" s="284">
        <f>IF($O351,_xll.qDateYears($O350,$O351,DCC_Leg1_Fixed),0)</f>
        <v>0</v>
      </c>
      <c r="AN350" s="284">
        <f>IF($O351,_xll.qDateYears($O350,$O351,DCC_Leg1_Float),0)</f>
        <v>0</v>
      </c>
      <c r="AP350" s="350">
        <f t="shared" si="80"/>
        <v>0</v>
      </c>
      <c r="AQ350" s="375">
        <f>IF(GenType_1a="Fixed",GenRate_1a%*$AL349*AM349,          IF(GenType_1a="Float",$AL349*(_xll.qGetFwdRate($D$18,$O349,$O350,"T",DCC_Leg1_Float)%+GenRate_1a%%)*$AN349,        IF(GenType_1a="bp (Fixed)",GenRate_1a%%*$AM349*$AL349,   IF(GenType_1a="bp (Float)",GenRate_1a%%*$AL349*$AN349,0))))</f>
        <v>0</v>
      </c>
      <c r="AR350" s="561"/>
      <c r="AT350" s="341">
        <f t="shared" si="70"/>
        <v>0</v>
      </c>
      <c r="AV350" s="356"/>
      <c r="AW350" s="122">
        <v>0</v>
      </c>
      <c r="AX350" s="128">
        <f t="shared" si="75"/>
        <v>0</v>
      </c>
      <c r="AY350" s="357">
        <v>0</v>
      </c>
      <c r="AZ350" s="699">
        <f>IF($AW351=0,0,        _xll.qDateNext($AW350,AZ$17,"M",TRUE,Currency2))</f>
        <v>0</v>
      </c>
      <c r="BA350" s="699">
        <f>IF($AW351=0,0,        _xll.qDateNext($AW350,BA$17,"M",TRUE,Currency2))</f>
        <v>0</v>
      </c>
      <c r="BB350" s="699">
        <f>IF($AW351=0,0,        _xll.qDateNext($AW350,BB$17,"M",TRUE,Currency2))</f>
        <v>0</v>
      </c>
      <c r="BC350" s="699">
        <f>IF($AW351=0,0,        _xll.qDateNext($AW350,BC$17,"M",TRUE,Currency2))</f>
        <v>0</v>
      </c>
      <c r="BD350" s="699">
        <f>IF($AW351=0,0,        _xll.qDateNext($AW350,BD$17,"M",TRUE,Currency2))</f>
        <v>0</v>
      </c>
      <c r="BE350" s="699">
        <f>IF($AW351=0,0,        _xll.qDateNext($AW350,BE$17,"M",TRUE,Currency2))</f>
        <v>0</v>
      </c>
      <c r="BF350" s="699">
        <f>IF($AW351=0,0,        _xll.qDateNext($AW350,BF$17,"M",TRUE,Currency2))</f>
        <v>0</v>
      </c>
      <c r="BG350" s="699">
        <f>IF($AW351=0,0,        _xll.qDateNext($AW350,BG$17,"M",TRUE,Currency2))</f>
        <v>0</v>
      </c>
      <c r="BH350" s="703">
        <v>0</v>
      </c>
      <c r="BI350" s="703">
        <v>0</v>
      </c>
      <c r="BJ350" s="703">
        <v>0</v>
      </c>
      <c r="BK350" s="703">
        <v>0</v>
      </c>
      <c r="BL350" s="703">
        <f t="shared" si="81"/>
        <v>0</v>
      </c>
      <c r="BM350" s="703">
        <f t="shared" si="82"/>
        <v>0</v>
      </c>
      <c r="BN350" s="703">
        <v>0</v>
      </c>
      <c r="BO350" s="703">
        <v>0</v>
      </c>
      <c r="BP350" s="685">
        <v>0</v>
      </c>
      <c r="BQ350" s="667"/>
      <c r="BR350" s="670">
        <f>IF(AW351=0,0,             IF(ISNUMBER(BQ350),BQ350,             IF(ISTEXT(BQ350),INDEX(BH350:BO350,MATCH(BQ350,$BH$17:$BO$17,0)),           IF(BP350="INT",_xll.qInterp(AW351,AZ350:BG350,BH350:BO350),       INDEX(BH350:BO350,MATCH(BP350,$BH$17:$BO$17,0))))))</f>
        <v>0</v>
      </c>
      <c r="BS350" s="731">
        <f t="shared" si="76"/>
        <v>0</v>
      </c>
      <c r="BT350" s="406">
        <f t="shared" si="77"/>
        <v>0</v>
      </c>
      <c r="BU350" s="284">
        <f>IF($AW351,_xll.qDateYears($AW350,$AW351,DCC_Leg2_Fixed),0)</f>
        <v>0</v>
      </c>
      <c r="BV350" s="284">
        <f>IF($AW351,_xll.qDateYears($AW350,$AW351,DCC_Leg2_Float),0)</f>
        <v>0</v>
      </c>
      <c r="BX350" s="350">
        <f t="shared" si="83"/>
        <v>0</v>
      </c>
      <c r="BY350" s="375">
        <f>IF(GenType_2a="Fixed",GenRate_2a%*$BT349*BU349,          IF(GenType_2a="Float",$BT349*(_xll.qGetFwdRate($J$18,$AW349,$AW350,"T",DCC_Leg2_Float)%+GenRate_2a%%)*$BV349,        IF(GenType_2a="bp (Fixed)",GenRate_2a%%*$BU349*$BT349,   IF(GenType_2a="bp (Float)",GenRate_2a%%*$BT349*$BV349,0))))</f>
        <v>0</v>
      </c>
      <c r="BZ350" s="561"/>
      <c r="CB350" s="341">
        <f t="shared" si="71"/>
        <v>0</v>
      </c>
      <c r="CC350" s="563"/>
      <c r="CD350" s="356"/>
      <c r="CE350" s="341">
        <v>0</v>
      </c>
      <c r="CF350" s="563"/>
      <c r="CG350" s="356"/>
    </row>
    <row r="351" spans="15:85">
      <c r="O351" s="122">
        <v>0</v>
      </c>
      <c r="P351" s="128">
        <f t="shared" si="72"/>
        <v>0</v>
      </c>
      <c r="Q351" s="126">
        <v>0</v>
      </c>
      <c r="R351" s="699">
        <f>IF($O352=0,0,        _xll.qDateNext($O351,R$17,"M",TRUE,Currency1))</f>
        <v>0</v>
      </c>
      <c r="S351" s="699">
        <f>IF($O352=0,0,        _xll.qDateNext($O351,S$17,"M",TRUE,Currency1))</f>
        <v>0</v>
      </c>
      <c r="T351" s="699">
        <f>IF($O352=0,0,        _xll.qDateNext($O351,T$17,"M",TRUE,Currency1))</f>
        <v>0</v>
      </c>
      <c r="U351" s="699">
        <f>IF($O352=0,0,        _xll.qDateNext($O351,U$17,"M",TRUE,Currency1))</f>
        <v>0</v>
      </c>
      <c r="V351" s="699">
        <f>IF($O352=0,0,        _xll.qDateNext($O351,V$17,"M",TRUE,Currency1))</f>
        <v>0</v>
      </c>
      <c r="W351" s="699">
        <f>IF($O352=0,0,        _xll.qDateNext($O351,W$17,"M",TRUE,Currency1))</f>
        <v>0</v>
      </c>
      <c r="X351" s="699">
        <f>IF($O352=0,0,        _xll.qDateNext($O351,X$17,"M",TRUE,Currency1))</f>
        <v>0</v>
      </c>
      <c r="Y351" s="699">
        <f>IF($O352=0,0,        _xll.qDateNext($O351,Y$17,"M",TRUE,Currency1))</f>
        <v>0</v>
      </c>
      <c r="Z351" s="703">
        <f>IF($O352=0,0,           IF(FRM,_xll.qGetFwdRate(Z$14,$O351,R351,"T",DCC_Leg1_Float),_xll.qGetFwdRate(Z$14,$O351,$O352,"T",DCC_Leg1_Float)))</f>
        <v>0</v>
      </c>
      <c r="AA351" s="703">
        <f>IF($O352=0,0,           IF(FRM,_xll.qGetFwdRate(AA$14,$O351,S351,"T",DCC_Leg1_Float),_xll.qGetFwdRate(AA$14,$O351,$O352,"T",DCC_Leg1_Float)))</f>
        <v>0</v>
      </c>
      <c r="AB351" s="703">
        <f t="shared" si="73"/>
        <v>0</v>
      </c>
      <c r="AC351" s="703">
        <f>IF($O352=0,0,           IF(FRM,_xll.qGetFwdRate(AC$14,$O351,U351,"T",DCC_Leg1_Float),_xll.qGetFwdRate(AC$14,$O351,$O352,"T",DCC_Leg1_Float)))</f>
        <v>0</v>
      </c>
      <c r="AD351" s="703">
        <f t="shared" si="78"/>
        <v>0</v>
      </c>
      <c r="AE351" s="703">
        <f t="shared" si="79"/>
        <v>0</v>
      </c>
      <c r="AF351" s="703">
        <f>IF($O352=0,0,           IF(FRM,_xll.qGetFwdRate(AF$14,$O351,X351,"T",DCC_Leg1_Float),_xll.qGetFwdRate(AF$14,$O351,$O352,"T",DCC_Leg1_Float)))</f>
        <v>0</v>
      </c>
      <c r="AG351" s="703">
        <f>IF($O352=0,0,           IF(FRM,_xll.qGetFwdRate(AG$14,$O351,Y351,"T",DCC_Leg1_Float),_xll.qGetFwdRate(AG$14,$O351,$O352,"T",DCC_Leg1_Float)))</f>
        <v>0</v>
      </c>
      <c r="AH351" s="685">
        <v>0</v>
      </c>
      <c r="AI351" s="667"/>
      <c r="AJ351" s="670">
        <f>IF(O352=0,0,             IF(ISNUMBER(AI351),AI351,             IF(ISTEXT(AI351),INDEX(Z351:AG351,MATCH(AI351,$Z$17:$AG$17,0)),           IF(AH351="INT",_xll.qInterp(O352,R351:Y351,Z351:AG351),       INDEX(Z351:AG351,MATCH(AH351,$Z$17:$AG$17,0))))))</f>
        <v>0</v>
      </c>
      <c r="AK351" s="732">
        <v>20</v>
      </c>
      <c r="AL351" s="721">
        <f t="shared" si="74"/>
        <v>0</v>
      </c>
      <c r="AM351" s="284">
        <f>IF($O352,_xll.qDateYears($O351,$O352,DCC_Leg1_Fixed),0)</f>
        <v>0</v>
      </c>
      <c r="AN351" s="284">
        <f>IF($O352,_xll.qDateYears($O351,$O352,DCC_Leg1_Float),0)</f>
        <v>0</v>
      </c>
      <c r="AP351" s="350">
        <f t="shared" si="80"/>
        <v>0</v>
      </c>
      <c r="AQ351" s="375">
        <f>IF(GenType_1a="Fixed",GenRate_1a%*$AL350*AM350,          IF(GenType_1a="Float",$AL350*(_xll.qGetFwdRate($D$18,$O350,$O351,"T",DCC_Leg1_Float)%+GenRate_1a%%)*$AN350,        IF(GenType_1a="bp (Fixed)",GenRate_1a%%*$AM350*$AL350,   IF(GenType_1a="bp (Float)",GenRate_1a%%*$AL350*$AN350,0))))</f>
        <v>0</v>
      </c>
      <c r="AR351" s="561"/>
      <c r="AT351" s="341">
        <f t="shared" si="70"/>
        <v>0</v>
      </c>
      <c r="AV351" s="356"/>
      <c r="AW351" s="122">
        <v>0</v>
      </c>
      <c r="AX351" s="128">
        <f t="shared" si="75"/>
        <v>0</v>
      </c>
      <c r="AY351" s="357">
        <v>0</v>
      </c>
      <c r="AZ351" s="699">
        <f>IF($AW352=0,0,        _xll.qDateNext($AW351,AZ$17,"M",TRUE,Currency2))</f>
        <v>0</v>
      </c>
      <c r="BA351" s="699">
        <f>IF($AW352=0,0,        _xll.qDateNext($AW351,BA$17,"M",TRUE,Currency2))</f>
        <v>0</v>
      </c>
      <c r="BB351" s="699">
        <f>IF($AW352=0,0,        _xll.qDateNext($AW351,BB$17,"M",TRUE,Currency2))</f>
        <v>0</v>
      </c>
      <c r="BC351" s="699">
        <f>IF($AW352=0,0,        _xll.qDateNext($AW351,BC$17,"M",TRUE,Currency2))</f>
        <v>0</v>
      </c>
      <c r="BD351" s="699">
        <f>IF($AW352=0,0,        _xll.qDateNext($AW351,BD$17,"M",TRUE,Currency2))</f>
        <v>0</v>
      </c>
      <c r="BE351" s="699">
        <f>IF($AW352=0,0,        _xll.qDateNext($AW351,BE$17,"M",TRUE,Currency2))</f>
        <v>0</v>
      </c>
      <c r="BF351" s="699">
        <f>IF($AW352=0,0,        _xll.qDateNext($AW351,BF$17,"M",TRUE,Currency2))</f>
        <v>0</v>
      </c>
      <c r="BG351" s="699">
        <f>IF($AW352=0,0,        _xll.qDateNext($AW351,BG$17,"M",TRUE,Currency2))</f>
        <v>0</v>
      </c>
      <c r="BH351" s="703">
        <v>0</v>
      </c>
      <c r="BI351" s="703">
        <v>0</v>
      </c>
      <c r="BJ351" s="703">
        <v>0</v>
      </c>
      <c r="BK351" s="703">
        <v>0</v>
      </c>
      <c r="BL351" s="703">
        <f t="shared" si="81"/>
        <v>0</v>
      </c>
      <c r="BM351" s="703">
        <f t="shared" si="82"/>
        <v>0</v>
      </c>
      <c r="BN351" s="703">
        <v>0</v>
      </c>
      <c r="BO351" s="703">
        <v>0</v>
      </c>
      <c r="BP351" s="685">
        <v>0</v>
      </c>
      <c r="BQ351" s="667"/>
      <c r="BR351" s="670">
        <f>IF(AW352=0,0,             IF(ISNUMBER(BQ351),BQ351,             IF(ISTEXT(BQ351),INDEX(BH351:BO351,MATCH(BQ351,$BH$17:$BO$17,0)),           IF(BP351="INT",_xll.qInterp(AW352,AZ351:BG351,BH351:BO351),       INDEX(BH351:BO351,MATCH(BP351,$BH$17:$BO$17,0))))))</f>
        <v>0</v>
      </c>
      <c r="BS351" s="731">
        <f t="shared" si="76"/>
        <v>0</v>
      </c>
      <c r="BT351" s="406">
        <f t="shared" si="77"/>
        <v>0</v>
      </c>
      <c r="BU351" s="284">
        <f>IF($AW352,_xll.qDateYears($AW351,$AW352,DCC_Leg2_Fixed),0)</f>
        <v>0</v>
      </c>
      <c r="BV351" s="284">
        <f>IF($AW352,_xll.qDateYears($AW351,$AW352,DCC_Leg2_Float),0)</f>
        <v>0</v>
      </c>
      <c r="BX351" s="350">
        <f t="shared" si="83"/>
        <v>0</v>
      </c>
      <c r="BY351" s="375">
        <f>IF(GenType_2a="Fixed",GenRate_2a%*$BT350*BU350,          IF(GenType_2a="Float",$BT350*(_xll.qGetFwdRate($J$18,$AW350,$AW351,"T",DCC_Leg2_Float)%+GenRate_2a%%)*$BV350,        IF(GenType_2a="bp (Fixed)",GenRate_2a%%*$BU350*$BT350,   IF(GenType_2a="bp (Float)",GenRate_2a%%*$BT350*$BV350,0))))</f>
        <v>0</v>
      </c>
      <c r="BZ351" s="561"/>
      <c r="CB351" s="341">
        <f t="shared" si="71"/>
        <v>0</v>
      </c>
      <c r="CC351" s="563"/>
      <c r="CD351" s="356"/>
      <c r="CE351" s="341">
        <v>0</v>
      </c>
      <c r="CF351" s="563"/>
      <c r="CG351" s="356"/>
    </row>
    <row r="352" spans="15:85">
      <c r="O352" s="122">
        <v>0</v>
      </c>
      <c r="P352" s="128">
        <f t="shared" si="72"/>
        <v>0</v>
      </c>
      <c r="Q352" s="126">
        <v>0</v>
      </c>
      <c r="R352" s="699">
        <f>IF($O353=0,0,        _xll.qDateNext($O352,R$17,"M",TRUE,Currency1))</f>
        <v>0</v>
      </c>
      <c r="S352" s="699">
        <f>IF($O353=0,0,        _xll.qDateNext($O352,S$17,"M",TRUE,Currency1))</f>
        <v>0</v>
      </c>
      <c r="T352" s="699">
        <f>IF($O353=0,0,        _xll.qDateNext($O352,T$17,"M",TRUE,Currency1))</f>
        <v>0</v>
      </c>
      <c r="U352" s="699">
        <f>IF($O353=0,0,        _xll.qDateNext($O352,U$17,"M",TRUE,Currency1))</f>
        <v>0</v>
      </c>
      <c r="V352" s="699">
        <f>IF($O353=0,0,        _xll.qDateNext($O352,V$17,"M",TRUE,Currency1))</f>
        <v>0</v>
      </c>
      <c r="W352" s="699">
        <f>IF($O353=0,0,        _xll.qDateNext($O352,W$17,"M",TRUE,Currency1))</f>
        <v>0</v>
      </c>
      <c r="X352" s="699">
        <f>IF($O353=0,0,        _xll.qDateNext($O352,X$17,"M",TRUE,Currency1))</f>
        <v>0</v>
      </c>
      <c r="Y352" s="699">
        <f>IF($O353=0,0,        _xll.qDateNext($O352,Y$17,"M",TRUE,Currency1))</f>
        <v>0</v>
      </c>
      <c r="Z352" s="703">
        <f>IF($O353=0,0,           IF(FRM,_xll.qGetFwdRate(Z$14,$O352,R352,"T",DCC_Leg1_Float),_xll.qGetFwdRate(Z$14,$O352,$O353,"T",DCC_Leg1_Float)))</f>
        <v>0</v>
      </c>
      <c r="AA352" s="703">
        <f>IF($O353=0,0,           IF(FRM,_xll.qGetFwdRate(AA$14,$O352,S352,"T",DCC_Leg1_Float),_xll.qGetFwdRate(AA$14,$O352,$O353,"T",DCC_Leg1_Float)))</f>
        <v>0</v>
      </c>
      <c r="AB352" s="703">
        <f t="shared" si="73"/>
        <v>0</v>
      </c>
      <c r="AC352" s="703">
        <f>IF($O353=0,0,           IF(FRM,_xll.qGetFwdRate(AC$14,$O352,U352,"T",DCC_Leg1_Float),_xll.qGetFwdRate(AC$14,$O352,$O353,"T",DCC_Leg1_Float)))</f>
        <v>0</v>
      </c>
      <c r="AD352" s="703">
        <f t="shared" si="78"/>
        <v>0</v>
      </c>
      <c r="AE352" s="703">
        <f t="shared" si="79"/>
        <v>0</v>
      </c>
      <c r="AF352" s="703">
        <f>IF($O353=0,0,           IF(FRM,_xll.qGetFwdRate(AF$14,$O352,X352,"T",DCC_Leg1_Float),_xll.qGetFwdRate(AF$14,$O352,$O353,"T",DCC_Leg1_Float)))</f>
        <v>0</v>
      </c>
      <c r="AG352" s="703">
        <f>IF($O353=0,0,           IF(FRM,_xll.qGetFwdRate(AG$14,$O352,Y352,"T",DCC_Leg1_Float),_xll.qGetFwdRate(AG$14,$O352,$O353,"T",DCC_Leg1_Float)))</f>
        <v>0</v>
      </c>
      <c r="AH352" s="685">
        <v>0</v>
      </c>
      <c r="AI352" s="667"/>
      <c r="AJ352" s="670">
        <f>IF(O353=0,0,             IF(ISNUMBER(AI352),AI352,             IF(ISTEXT(AI352),INDEX(Z352:AG352,MATCH(AI352,$Z$17:$AG$17,0)),           IF(AH352="INT",_xll.qInterp(O353,R352:Y352,Z352:AG352),       INDEX(Z352:AG352,MATCH(AH352,$Z$17:$AG$17,0))))))</f>
        <v>0</v>
      </c>
      <c r="AK352" s="732">
        <v>20</v>
      </c>
      <c r="AL352" s="721">
        <f t="shared" si="74"/>
        <v>0</v>
      </c>
      <c r="AM352" s="284">
        <f>IF($O353,_xll.qDateYears($O352,$O353,DCC_Leg1_Fixed),0)</f>
        <v>0</v>
      </c>
      <c r="AN352" s="284">
        <f>IF($O353,_xll.qDateYears($O352,$O353,DCC_Leg1_Float),0)</f>
        <v>0</v>
      </c>
      <c r="AP352" s="350">
        <f t="shared" si="80"/>
        <v>0</v>
      </c>
      <c r="AQ352" s="375">
        <f>IF(GenType_1a="Fixed",GenRate_1a%*$AL351*AM351,          IF(GenType_1a="Float",$AL351*(_xll.qGetFwdRate($D$18,$O351,$O352,"T",DCC_Leg1_Float)%+GenRate_1a%%)*$AN351,        IF(GenType_1a="bp (Fixed)",GenRate_1a%%*$AM351*$AL351,   IF(GenType_1a="bp (Float)",GenRate_1a%%*$AL351*$AN351,0))))</f>
        <v>0</v>
      </c>
      <c r="AR352" s="561"/>
      <c r="AT352" s="341">
        <f t="shared" si="70"/>
        <v>0</v>
      </c>
      <c r="AV352" s="356"/>
      <c r="AW352" s="122">
        <v>0</v>
      </c>
      <c r="AX352" s="128">
        <f t="shared" si="75"/>
        <v>0</v>
      </c>
      <c r="AY352" s="357">
        <v>0</v>
      </c>
      <c r="AZ352" s="699">
        <f>IF($AW353=0,0,        _xll.qDateNext($AW352,AZ$17,"M",TRUE,Currency2))</f>
        <v>0</v>
      </c>
      <c r="BA352" s="699">
        <f>IF($AW353=0,0,        _xll.qDateNext($AW352,BA$17,"M",TRUE,Currency2))</f>
        <v>0</v>
      </c>
      <c r="BB352" s="699">
        <f>IF($AW353=0,0,        _xll.qDateNext($AW352,BB$17,"M",TRUE,Currency2))</f>
        <v>0</v>
      </c>
      <c r="BC352" s="699">
        <f>IF($AW353=0,0,        _xll.qDateNext($AW352,BC$17,"M",TRUE,Currency2))</f>
        <v>0</v>
      </c>
      <c r="BD352" s="699">
        <f>IF($AW353=0,0,        _xll.qDateNext($AW352,BD$17,"M",TRUE,Currency2))</f>
        <v>0</v>
      </c>
      <c r="BE352" s="699">
        <f>IF($AW353=0,0,        _xll.qDateNext($AW352,BE$17,"M",TRUE,Currency2))</f>
        <v>0</v>
      </c>
      <c r="BF352" s="699">
        <f>IF($AW353=0,0,        _xll.qDateNext($AW352,BF$17,"M",TRUE,Currency2))</f>
        <v>0</v>
      </c>
      <c r="BG352" s="699">
        <f>IF($AW353=0,0,        _xll.qDateNext($AW352,BG$17,"M",TRUE,Currency2))</f>
        <v>0</v>
      </c>
      <c r="BH352" s="703">
        <v>0</v>
      </c>
      <c r="BI352" s="703">
        <v>0</v>
      </c>
      <c r="BJ352" s="703">
        <v>0</v>
      </c>
      <c r="BK352" s="703">
        <v>0</v>
      </c>
      <c r="BL352" s="703">
        <f t="shared" si="81"/>
        <v>0</v>
      </c>
      <c r="BM352" s="703">
        <f t="shared" si="82"/>
        <v>0</v>
      </c>
      <c r="BN352" s="703">
        <v>0</v>
      </c>
      <c r="BO352" s="703">
        <v>0</v>
      </c>
      <c r="BP352" s="685">
        <v>0</v>
      </c>
      <c r="BQ352" s="667"/>
      <c r="BR352" s="670">
        <f>IF(AW353=0,0,             IF(ISNUMBER(BQ352),BQ352,             IF(ISTEXT(BQ352),INDEX(BH352:BO352,MATCH(BQ352,$BH$17:$BO$17,0)),           IF(BP352="INT",_xll.qInterp(AW353,AZ352:BG352,BH352:BO352),       INDEX(BH352:BO352,MATCH(BP352,$BH$17:$BO$17,0))))))</f>
        <v>0</v>
      </c>
      <c r="BS352" s="731">
        <f t="shared" si="76"/>
        <v>0</v>
      </c>
      <c r="BT352" s="406">
        <f t="shared" si="77"/>
        <v>0</v>
      </c>
      <c r="BU352" s="284">
        <f>IF($AW353,_xll.qDateYears($AW352,$AW353,DCC_Leg2_Fixed),0)</f>
        <v>0</v>
      </c>
      <c r="BV352" s="284">
        <f>IF($AW353,_xll.qDateYears($AW352,$AW353,DCC_Leg2_Float),0)</f>
        <v>0</v>
      </c>
      <c r="BX352" s="350">
        <f t="shared" si="83"/>
        <v>0</v>
      </c>
      <c r="BY352" s="375">
        <f>IF(GenType_2a="Fixed",GenRate_2a%*$BT351*BU351,          IF(GenType_2a="Float",$BT351*(_xll.qGetFwdRate($J$18,$AW351,$AW352,"T",DCC_Leg2_Float)%+GenRate_2a%%)*$BV351,        IF(GenType_2a="bp (Fixed)",GenRate_2a%%*$BU351*$BT351,   IF(GenType_2a="bp (Float)",GenRate_2a%%*$BT351*$BV351,0))))</f>
        <v>0</v>
      </c>
      <c r="BZ352" s="561"/>
      <c r="CB352" s="341">
        <f t="shared" si="71"/>
        <v>0</v>
      </c>
      <c r="CC352" s="563"/>
      <c r="CD352" s="356"/>
      <c r="CE352" s="341">
        <v>0</v>
      </c>
      <c r="CF352" s="563"/>
      <c r="CG352" s="356"/>
    </row>
    <row r="353" spans="15:85">
      <c r="O353" s="122">
        <v>0</v>
      </c>
      <c r="P353" s="128">
        <f t="shared" si="72"/>
        <v>0</v>
      </c>
      <c r="Q353" s="126">
        <v>0</v>
      </c>
      <c r="R353" s="699">
        <f>IF($O354=0,0,        _xll.qDateNext($O353,R$17,"M",TRUE,Currency1))</f>
        <v>0</v>
      </c>
      <c r="S353" s="699">
        <f>IF($O354=0,0,        _xll.qDateNext($O353,S$17,"M",TRUE,Currency1))</f>
        <v>0</v>
      </c>
      <c r="T353" s="699">
        <f>IF($O354=0,0,        _xll.qDateNext($O353,T$17,"M",TRUE,Currency1))</f>
        <v>0</v>
      </c>
      <c r="U353" s="699">
        <f>IF($O354=0,0,        _xll.qDateNext($O353,U$17,"M",TRUE,Currency1))</f>
        <v>0</v>
      </c>
      <c r="V353" s="699">
        <f>IF($O354=0,0,        _xll.qDateNext($O353,V$17,"M",TRUE,Currency1))</f>
        <v>0</v>
      </c>
      <c r="W353" s="699">
        <f>IF($O354=0,0,        _xll.qDateNext($O353,W$17,"M",TRUE,Currency1))</f>
        <v>0</v>
      </c>
      <c r="X353" s="699">
        <f>IF($O354=0,0,        _xll.qDateNext($O353,X$17,"M",TRUE,Currency1))</f>
        <v>0</v>
      </c>
      <c r="Y353" s="699">
        <f>IF($O354=0,0,        _xll.qDateNext($O353,Y$17,"M",TRUE,Currency1))</f>
        <v>0</v>
      </c>
      <c r="Z353" s="703">
        <f>IF($O354=0,0,           IF(FRM,_xll.qGetFwdRate(Z$14,$O353,R353,"T",DCC_Leg1_Float),_xll.qGetFwdRate(Z$14,$O353,$O354,"T",DCC_Leg1_Float)))</f>
        <v>0</v>
      </c>
      <c r="AA353" s="703">
        <f>IF($O354=0,0,           IF(FRM,_xll.qGetFwdRate(AA$14,$O353,S353,"T",DCC_Leg1_Float),_xll.qGetFwdRate(AA$14,$O353,$O354,"T",DCC_Leg1_Float)))</f>
        <v>0</v>
      </c>
      <c r="AB353" s="703">
        <f t="shared" si="73"/>
        <v>0</v>
      </c>
      <c r="AC353" s="703">
        <f>IF($O354=0,0,           IF(FRM,_xll.qGetFwdRate(AC$14,$O353,U353,"T",DCC_Leg1_Float),_xll.qGetFwdRate(AC$14,$O353,$O354,"T",DCC_Leg1_Float)))</f>
        <v>0</v>
      </c>
      <c r="AD353" s="703">
        <f t="shared" si="78"/>
        <v>0</v>
      </c>
      <c r="AE353" s="703">
        <f t="shared" si="79"/>
        <v>0</v>
      </c>
      <c r="AF353" s="703">
        <f>IF($O354=0,0,           IF(FRM,_xll.qGetFwdRate(AF$14,$O353,X353,"T",DCC_Leg1_Float),_xll.qGetFwdRate(AF$14,$O353,$O354,"T",DCC_Leg1_Float)))</f>
        <v>0</v>
      </c>
      <c r="AG353" s="703">
        <f>IF($O354=0,0,           IF(FRM,_xll.qGetFwdRate(AG$14,$O353,Y353,"T",DCC_Leg1_Float),_xll.qGetFwdRate(AG$14,$O353,$O354,"T",DCC_Leg1_Float)))</f>
        <v>0</v>
      </c>
      <c r="AH353" s="685">
        <v>0</v>
      </c>
      <c r="AI353" s="667"/>
      <c r="AJ353" s="670">
        <f>IF(O354=0,0,             IF(ISNUMBER(AI353),AI353,             IF(ISTEXT(AI353),INDEX(Z353:AG353,MATCH(AI353,$Z$17:$AG$17,0)),           IF(AH353="INT",_xll.qInterp(O354,R353:Y353,Z353:AG353),       INDEX(Z353:AG353,MATCH(AH353,$Z$17:$AG$17,0))))))</f>
        <v>0</v>
      </c>
      <c r="AK353" s="732">
        <v>20</v>
      </c>
      <c r="AL353" s="721">
        <f t="shared" si="74"/>
        <v>0</v>
      </c>
      <c r="AM353" s="284">
        <f>IF($O354,_xll.qDateYears($O353,$O354,DCC_Leg1_Fixed),0)</f>
        <v>0</v>
      </c>
      <c r="AN353" s="284">
        <f>IF($O354,_xll.qDateYears($O353,$O354,DCC_Leg1_Float),0)</f>
        <v>0</v>
      </c>
      <c r="AP353" s="350">
        <f t="shared" si="80"/>
        <v>0</v>
      </c>
      <c r="AQ353" s="375">
        <f>IF(GenType_1a="Fixed",GenRate_1a%*$AL352*AM352,          IF(GenType_1a="Float",$AL352*(_xll.qGetFwdRate($D$18,$O352,$O353,"T",DCC_Leg1_Float)%+GenRate_1a%%)*$AN352,        IF(GenType_1a="bp (Fixed)",GenRate_1a%%*$AM352*$AL352,   IF(GenType_1a="bp (Float)",GenRate_1a%%*$AL352*$AN352,0))))</f>
        <v>0</v>
      </c>
      <c r="AR353" s="561"/>
      <c r="AT353" s="341">
        <f t="shared" si="70"/>
        <v>0</v>
      </c>
      <c r="AV353" s="356"/>
      <c r="AW353" s="122">
        <v>0</v>
      </c>
      <c r="AX353" s="128">
        <f t="shared" si="75"/>
        <v>0</v>
      </c>
      <c r="AY353" s="357">
        <v>0</v>
      </c>
      <c r="AZ353" s="699">
        <f>IF($AW354=0,0,        _xll.qDateNext($AW353,AZ$17,"M",TRUE,Currency2))</f>
        <v>0</v>
      </c>
      <c r="BA353" s="699">
        <f>IF($AW354=0,0,        _xll.qDateNext($AW353,BA$17,"M",TRUE,Currency2))</f>
        <v>0</v>
      </c>
      <c r="BB353" s="699">
        <f>IF($AW354=0,0,        _xll.qDateNext($AW353,BB$17,"M",TRUE,Currency2))</f>
        <v>0</v>
      </c>
      <c r="BC353" s="699">
        <f>IF($AW354=0,0,        _xll.qDateNext($AW353,BC$17,"M",TRUE,Currency2))</f>
        <v>0</v>
      </c>
      <c r="BD353" s="699">
        <f>IF($AW354=0,0,        _xll.qDateNext($AW353,BD$17,"M",TRUE,Currency2))</f>
        <v>0</v>
      </c>
      <c r="BE353" s="699">
        <f>IF($AW354=0,0,        _xll.qDateNext($AW353,BE$17,"M",TRUE,Currency2))</f>
        <v>0</v>
      </c>
      <c r="BF353" s="699">
        <f>IF($AW354=0,0,        _xll.qDateNext($AW353,BF$17,"M",TRUE,Currency2))</f>
        <v>0</v>
      </c>
      <c r="BG353" s="699">
        <f>IF($AW354=0,0,        _xll.qDateNext($AW353,BG$17,"M",TRUE,Currency2))</f>
        <v>0</v>
      </c>
      <c r="BH353" s="703">
        <v>0</v>
      </c>
      <c r="BI353" s="703">
        <v>0</v>
      </c>
      <c r="BJ353" s="703">
        <v>0</v>
      </c>
      <c r="BK353" s="703">
        <v>0</v>
      </c>
      <c r="BL353" s="703">
        <f t="shared" si="81"/>
        <v>0</v>
      </c>
      <c r="BM353" s="703">
        <f t="shared" si="82"/>
        <v>0</v>
      </c>
      <c r="BN353" s="703">
        <v>0</v>
      </c>
      <c r="BO353" s="703">
        <v>0</v>
      </c>
      <c r="BP353" s="685">
        <v>0</v>
      </c>
      <c r="BQ353" s="667"/>
      <c r="BR353" s="670">
        <f>IF(AW354=0,0,             IF(ISNUMBER(BQ353),BQ353,             IF(ISTEXT(BQ353),INDEX(BH353:BO353,MATCH(BQ353,$BH$17:$BO$17,0)),           IF(BP353="INT",_xll.qInterp(AW354,AZ353:BG353,BH353:BO353),       INDEX(BH353:BO353,MATCH(BP353,$BH$17:$BO$17,0))))))</f>
        <v>0</v>
      </c>
      <c r="BS353" s="731">
        <f t="shared" si="76"/>
        <v>0</v>
      </c>
      <c r="BT353" s="406">
        <f t="shared" si="77"/>
        <v>0</v>
      </c>
      <c r="BU353" s="284">
        <f>IF($AW354,_xll.qDateYears($AW353,$AW354,DCC_Leg2_Fixed),0)</f>
        <v>0</v>
      </c>
      <c r="BV353" s="284">
        <f>IF($AW354,_xll.qDateYears($AW353,$AW354,DCC_Leg2_Float),0)</f>
        <v>0</v>
      </c>
      <c r="BX353" s="350">
        <f t="shared" si="83"/>
        <v>0</v>
      </c>
      <c r="BY353" s="375">
        <f>IF(GenType_2a="Fixed",GenRate_2a%*$BT352*BU352,          IF(GenType_2a="Float",$BT352*(_xll.qGetFwdRate($J$18,$AW352,$AW353,"T",DCC_Leg2_Float)%+GenRate_2a%%)*$BV352,        IF(GenType_2a="bp (Fixed)",GenRate_2a%%*$BU352*$BT352,   IF(GenType_2a="bp (Float)",GenRate_2a%%*$BT352*$BV352,0))))</f>
        <v>0</v>
      </c>
      <c r="BZ353" s="561"/>
      <c r="CB353" s="341">
        <f t="shared" si="71"/>
        <v>0</v>
      </c>
      <c r="CC353" s="563"/>
      <c r="CD353" s="356"/>
      <c r="CE353" s="341">
        <v>0</v>
      </c>
      <c r="CF353" s="563"/>
      <c r="CG353" s="356"/>
    </row>
    <row r="354" spans="15:85">
      <c r="O354" s="122">
        <v>0</v>
      </c>
      <c r="P354" s="128">
        <f t="shared" si="72"/>
        <v>0</v>
      </c>
      <c r="Q354" s="126">
        <v>0</v>
      </c>
      <c r="R354" s="699">
        <f>IF($O355=0,0,        _xll.qDateNext($O354,R$17,"M",TRUE,Currency1))</f>
        <v>0</v>
      </c>
      <c r="S354" s="699">
        <f>IF($O355=0,0,        _xll.qDateNext($O354,S$17,"M",TRUE,Currency1))</f>
        <v>0</v>
      </c>
      <c r="T354" s="699">
        <f>IF($O355=0,0,        _xll.qDateNext($O354,T$17,"M",TRUE,Currency1))</f>
        <v>0</v>
      </c>
      <c r="U354" s="699">
        <f>IF($O355=0,0,        _xll.qDateNext($O354,U$17,"M",TRUE,Currency1))</f>
        <v>0</v>
      </c>
      <c r="V354" s="699">
        <f>IF($O355=0,0,        _xll.qDateNext($O354,V$17,"M",TRUE,Currency1))</f>
        <v>0</v>
      </c>
      <c r="W354" s="699">
        <f>IF($O355=0,0,        _xll.qDateNext($O354,W$17,"M",TRUE,Currency1))</f>
        <v>0</v>
      </c>
      <c r="X354" s="699">
        <f>IF($O355=0,0,        _xll.qDateNext($O354,X$17,"M",TRUE,Currency1))</f>
        <v>0</v>
      </c>
      <c r="Y354" s="699">
        <f>IF($O355=0,0,        _xll.qDateNext($O354,Y$17,"M",TRUE,Currency1))</f>
        <v>0</v>
      </c>
      <c r="Z354" s="703">
        <f>IF($O355=0,0,           IF(FRM,_xll.qGetFwdRate(Z$14,$O354,R354,"T",DCC_Leg1_Float),_xll.qGetFwdRate(Z$14,$O354,$O355,"T",DCC_Leg1_Float)))</f>
        <v>0</v>
      </c>
      <c r="AA354" s="703">
        <f>IF($O355=0,0,           IF(FRM,_xll.qGetFwdRate(AA$14,$O354,S354,"T",DCC_Leg1_Float),_xll.qGetFwdRate(AA$14,$O354,$O355,"T",DCC_Leg1_Float)))</f>
        <v>0</v>
      </c>
      <c r="AB354" s="703">
        <f t="shared" si="73"/>
        <v>0</v>
      </c>
      <c r="AC354" s="703">
        <f>IF($O355=0,0,           IF(FRM,_xll.qGetFwdRate(AC$14,$O354,U354,"T",DCC_Leg1_Float),_xll.qGetFwdRate(AC$14,$O354,$O355,"T",DCC_Leg1_Float)))</f>
        <v>0</v>
      </c>
      <c r="AD354" s="703">
        <f t="shared" si="78"/>
        <v>0</v>
      </c>
      <c r="AE354" s="703">
        <f t="shared" si="79"/>
        <v>0</v>
      </c>
      <c r="AF354" s="703">
        <f>IF($O355=0,0,           IF(FRM,_xll.qGetFwdRate(AF$14,$O354,X354,"T",DCC_Leg1_Float),_xll.qGetFwdRate(AF$14,$O354,$O355,"T",DCC_Leg1_Float)))</f>
        <v>0</v>
      </c>
      <c r="AG354" s="703">
        <f>IF($O355=0,0,           IF(FRM,_xll.qGetFwdRate(AG$14,$O354,Y354,"T",DCC_Leg1_Float),_xll.qGetFwdRate(AG$14,$O354,$O355,"T",DCC_Leg1_Float)))</f>
        <v>0</v>
      </c>
      <c r="AH354" s="685">
        <v>0</v>
      </c>
      <c r="AI354" s="667"/>
      <c r="AJ354" s="670">
        <f>IF(O355=0,0,             IF(ISNUMBER(AI354),AI354,             IF(ISTEXT(AI354),INDEX(Z354:AG354,MATCH(AI354,$Z$17:$AG$17,0)),           IF(AH354="INT",_xll.qInterp(O355,R354:Y354,Z354:AG354),       INDEX(Z354:AG354,MATCH(AH354,$Z$17:$AG$17,0))))))</f>
        <v>0</v>
      </c>
      <c r="AK354" s="732">
        <v>20</v>
      </c>
      <c r="AL354" s="721">
        <f t="shared" si="74"/>
        <v>0</v>
      </c>
      <c r="AM354" s="284">
        <f>IF($O355,_xll.qDateYears($O354,$O355,DCC_Leg1_Fixed),0)</f>
        <v>0</v>
      </c>
      <c r="AN354" s="284">
        <f>IF($O355,_xll.qDateYears($O354,$O355,DCC_Leg1_Float),0)</f>
        <v>0</v>
      </c>
      <c r="AP354" s="350">
        <f t="shared" si="80"/>
        <v>0</v>
      </c>
      <c r="AQ354" s="375">
        <f>IF(GenType_1a="Fixed",GenRate_1a%*$AL353*AM353,          IF(GenType_1a="Float",$AL353*(_xll.qGetFwdRate($D$18,$O353,$O354,"T",DCC_Leg1_Float)%+GenRate_1a%%)*$AN353,        IF(GenType_1a="bp (Fixed)",GenRate_1a%%*$AM353*$AL353,   IF(GenType_1a="bp (Float)",GenRate_1a%%*$AL353*$AN353,0))))</f>
        <v>0</v>
      </c>
      <c r="AR354" s="561"/>
      <c r="AT354" s="341">
        <f t="shared" si="70"/>
        <v>0</v>
      </c>
      <c r="AV354" s="356"/>
      <c r="AW354" s="122">
        <v>0</v>
      </c>
      <c r="AX354" s="128">
        <f t="shared" si="75"/>
        <v>0</v>
      </c>
      <c r="AY354" s="357">
        <v>0</v>
      </c>
      <c r="AZ354" s="699">
        <f>IF($AW355=0,0,        _xll.qDateNext($AW354,AZ$17,"M",TRUE,Currency2))</f>
        <v>0</v>
      </c>
      <c r="BA354" s="699">
        <f>IF($AW355=0,0,        _xll.qDateNext($AW354,BA$17,"M",TRUE,Currency2))</f>
        <v>0</v>
      </c>
      <c r="BB354" s="699">
        <f>IF($AW355=0,0,        _xll.qDateNext($AW354,BB$17,"M",TRUE,Currency2))</f>
        <v>0</v>
      </c>
      <c r="BC354" s="699">
        <f>IF($AW355=0,0,        _xll.qDateNext($AW354,BC$17,"M",TRUE,Currency2))</f>
        <v>0</v>
      </c>
      <c r="BD354" s="699">
        <f>IF($AW355=0,0,        _xll.qDateNext($AW354,BD$17,"M",TRUE,Currency2))</f>
        <v>0</v>
      </c>
      <c r="BE354" s="699">
        <f>IF($AW355=0,0,        _xll.qDateNext($AW354,BE$17,"M",TRUE,Currency2))</f>
        <v>0</v>
      </c>
      <c r="BF354" s="699">
        <f>IF($AW355=0,0,        _xll.qDateNext($AW354,BF$17,"M",TRUE,Currency2))</f>
        <v>0</v>
      </c>
      <c r="BG354" s="699">
        <f>IF($AW355=0,0,        _xll.qDateNext($AW354,BG$17,"M",TRUE,Currency2))</f>
        <v>0</v>
      </c>
      <c r="BH354" s="703">
        <v>0</v>
      </c>
      <c r="BI354" s="703">
        <v>0</v>
      </c>
      <c r="BJ354" s="703">
        <v>0</v>
      </c>
      <c r="BK354" s="703">
        <v>0</v>
      </c>
      <c r="BL354" s="703">
        <f t="shared" si="81"/>
        <v>0</v>
      </c>
      <c r="BM354" s="703">
        <f t="shared" si="82"/>
        <v>0</v>
      </c>
      <c r="BN354" s="703">
        <v>0</v>
      </c>
      <c r="BO354" s="703">
        <v>0</v>
      </c>
      <c r="BP354" s="685">
        <v>0</v>
      </c>
      <c r="BQ354" s="667"/>
      <c r="BR354" s="670">
        <f>IF(AW355=0,0,             IF(ISNUMBER(BQ354),BQ354,             IF(ISTEXT(BQ354),INDEX(BH354:BO354,MATCH(BQ354,$BH$17:$BO$17,0)),           IF(BP354="INT",_xll.qInterp(AW355,AZ354:BG354,BH354:BO354),       INDEX(BH354:BO354,MATCH(BP354,$BH$17:$BO$17,0))))))</f>
        <v>0</v>
      </c>
      <c r="BS354" s="731">
        <f t="shared" si="76"/>
        <v>0</v>
      </c>
      <c r="BT354" s="406">
        <f t="shared" si="77"/>
        <v>0</v>
      </c>
      <c r="BU354" s="284">
        <f>IF($AW355,_xll.qDateYears($AW354,$AW355,DCC_Leg2_Fixed),0)</f>
        <v>0</v>
      </c>
      <c r="BV354" s="284">
        <f>IF($AW355,_xll.qDateYears($AW354,$AW355,DCC_Leg2_Float),0)</f>
        <v>0</v>
      </c>
      <c r="BX354" s="350">
        <f t="shared" si="83"/>
        <v>0</v>
      </c>
      <c r="BY354" s="375">
        <f>IF(GenType_2a="Fixed",GenRate_2a%*$BT353*BU353,          IF(GenType_2a="Float",$BT353*(_xll.qGetFwdRate($J$18,$AW353,$AW354,"T",DCC_Leg2_Float)%+GenRate_2a%%)*$BV353,        IF(GenType_2a="bp (Fixed)",GenRate_2a%%*$BU353*$BT353,   IF(GenType_2a="bp (Float)",GenRate_2a%%*$BT353*$BV353,0))))</f>
        <v>0</v>
      </c>
      <c r="BZ354" s="561"/>
      <c r="CB354" s="341">
        <f t="shared" si="71"/>
        <v>0</v>
      </c>
      <c r="CC354" s="563"/>
      <c r="CD354" s="356"/>
      <c r="CE354" s="341">
        <v>0</v>
      </c>
      <c r="CF354" s="563"/>
      <c r="CG354" s="356"/>
    </row>
    <row r="355" spans="15:85">
      <c r="O355" s="122">
        <v>0</v>
      </c>
      <c r="P355" s="128">
        <f t="shared" si="72"/>
        <v>0</v>
      </c>
      <c r="Q355" s="126">
        <v>0</v>
      </c>
      <c r="R355" s="699">
        <f>IF($O356=0,0,        _xll.qDateNext($O355,R$17,"M",TRUE,Currency1))</f>
        <v>0</v>
      </c>
      <c r="S355" s="699">
        <f>IF($O356=0,0,        _xll.qDateNext($O355,S$17,"M",TRUE,Currency1))</f>
        <v>0</v>
      </c>
      <c r="T355" s="699">
        <f>IF($O356=0,0,        _xll.qDateNext($O355,T$17,"M",TRUE,Currency1))</f>
        <v>0</v>
      </c>
      <c r="U355" s="699">
        <f>IF($O356=0,0,        _xll.qDateNext($O355,U$17,"M",TRUE,Currency1))</f>
        <v>0</v>
      </c>
      <c r="V355" s="699">
        <f>IF($O356=0,0,        _xll.qDateNext($O355,V$17,"M",TRUE,Currency1))</f>
        <v>0</v>
      </c>
      <c r="W355" s="699">
        <f>IF($O356=0,0,        _xll.qDateNext($O355,W$17,"M",TRUE,Currency1))</f>
        <v>0</v>
      </c>
      <c r="X355" s="699">
        <f>IF($O356=0,0,        _xll.qDateNext($O355,X$17,"M",TRUE,Currency1))</f>
        <v>0</v>
      </c>
      <c r="Y355" s="699">
        <f>IF($O356=0,0,        _xll.qDateNext($O355,Y$17,"M",TRUE,Currency1))</f>
        <v>0</v>
      </c>
      <c r="Z355" s="703">
        <f>IF($O356=0,0,           IF(FRM,_xll.qGetFwdRate(Z$14,$O355,R355,"T",DCC_Leg1_Float),_xll.qGetFwdRate(Z$14,$O355,$O356,"T",DCC_Leg1_Float)))</f>
        <v>0</v>
      </c>
      <c r="AA355" s="703">
        <f>IF($O356=0,0,           IF(FRM,_xll.qGetFwdRate(AA$14,$O355,S355,"T",DCC_Leg1_Float),_xll.qGetFwdRate(AA$14,$O355,$O356,"T",DCC_Leg1_Float)))</f>
        <v>0</v>
      </c>
      <c r="AB355" s="703">
        <f t="shared" si="73"/>
        <v>0</v>
      </c>
      <c r="AC355" s="703">
        <f>IF($O356=0,0,           IF(FRM,_xll.qGetFwdRate(AC$14,$O355,U355,"T",DCC_Leg1_Float),_xll.qGetFwdRate(AC$14,$O355,$O356,"T",DCC_Leg1_Float)))</f>
        <v>0</v>
      </c>
      <c r="AD355" s="703">
        <f t="shared" si="78"/>
        <v>0</v>
      </c>
      <c r="AE355" s="703">
        <f t="shared" si="79"/>
        <v>0</v>
      </c>
      <c r="AF355" s="703">
        <f>IF($O356=0,0,           IF(FRM,_xll.qGetFwdRate(AF$14,$O355,X355,"T",DCC_Leg1_Float),_xll.qGetFwdRate(AF$14,$O355,$O356,"T",DCC_Leg1_Float)))</f>
        <v>0</v>
      </c>
      <c r="AG355" s="703">
        <f>IF($O356=0,0,           IF(FRM,_xll.qGetFwdRate(AG$14,$O355,Y355,"T",DCC_Leg1_Float),_xll.qGetFwdRate(AG$14,$O355,$O356,"T",DCC_Leg1_Float)))</f>
        <v>0</v>
      </c>
      <c r="AH355" s="685">
        <v>0</v>
      </c>
      <c r="AI355" s="667"/>
      <c r="AJ355" s="670">
        <f>IF(O356=0,0,             IF(ISNUMBER(AI355),AI355,             IF(ISTEXT(AI355),INDEX(Z355:AG355,MATCH(AI355,$Z$17:$AG$17,0)),           IF(AH355="INT",_xll.qInterp(O356,R355:Y355,Z355:AG355),       INDEX(Z355:AG355,MATCH(AH355,$Z$17:$AG$17,0))))))</f>
        <v>0</v>
      </c>
      <c r="AK355" s="732">
        <v>20</v>
      </c>
      <c r="AL355" s="721">
        <f t="shared" si="74"/>
        <v>0</v>
      </c>
      <c r="AM355" s="284">
        <f>IF($O356,_xll.qDateYears($O355,$O356,DCC_Leg1_Fixed),0)</f>
        <v>0</v>
      </c>
      <c r="AN355" s="284">
        <f>IF($O356,_xll.qDateYears($O355,$O356,DCC_Leg1_Float),0)</f>
        <v>0</v>
      </c>
      <c r="AP355" s="350">
        <f t="shared" si="80"/>
        <v>0</v>
      </c>
      <c r="AQ355" s="375">
        <f>IF(GenType_1a="Fixed",GenRate_1a%*$AL354*AM354,          IF(GenType_1a="Float",$AL354*(_xll.qGetFwdRate($D$18,$O354,$O355,"T",DCC_Leg1_Float)%+GenRate_1a%%)*$AN354,        IF(GenType_1a="bp (Fixed)",GenRate_1a%%*$AM354*$AL354,   IF(GenType_1a="bp (Float)",GenRate_1a%%*$AL354*$AN354,0))))</f>
        <v>0</v>
      </c>
      <c r="AR355" s="561"/>
      <c r="AT355" s="341">
        <f t="shared" si="70"/>
        <v>0</v>
      </c>
      <c r="AV355" s="356"/>
      <c r="AW355" s="122">
        <v>0</v>
      </c>
      <c r="AX355" s="128">
        <f t="shared" si="75"/>
        <v>0</v>
      </c>
      <c r="AY355" s="357">
        <v>0</v>
      </c>
      <c r="AZ355" s="699">
        <f>IF($AW356=0,0,        _xll.qDateNext($AW355,AZ$17,"M",TRUE,Currency2))</f>
        <v>0</v>
      </c>
      <c r="BA355" s="699">
        <f>IF($AW356=0,0,        _xll.qDateNext($AW355,BA$17,"M",TRUE,Currency2))</f>
        <v>0</v>
      </c>
      <c r="BB355" s="699">
        <f>IF($AW356=0,0,        _xll.qDateNext($AW355,BB$17,"M",TRUE,Currency2))</f>
        <v>0</v>
      </c>
      <c r="BC355" s="699">
        <f>IF($AW356=0,0,        _xll.qDateNext($AW355,BC$17,"M",TRUE,Currency2))</f>
        <v>0</v>
      </c>
      <c r="BD355" s="699">
        <f>IF($AW356=0,0,        _xll.qDateNext($AW355,BD$17,"M",TRUE,Currency2))</f>
        <v>0</v>
      </c>
      <c r="BE355" s="699">
        <f>IF($AW356=0,0,        _xll.qDateNext($AW355,BE$17,"M",TRUE,Currency2))</f>
        <v>0</v>
      </c>
      <c r="BF355" s="699">
        <f>IF($AW356=0,0,        _xll.qDateNext($AW355,BF$17,"M",TRUE,Currency2))</f>
        <v>0</v>
      </c>
      <c r="BG355" s="699">
        <f>IF($AW356=0,0,        _xll.qDateNext($AW355,BG$17,"M",TRUE,Currency2))</f>
        <v>0</v>
      </c>
      <c r="BH355" s="703">
        <v>0</v>
      </c>
      <c r="BI355" s="703">
        <v>0</v>
      </c>
      <c r="BJ355" s="703">
        <v>0</v>
      </c>
      <c r="BK355" s="703">
        <v>0</v>
      </c>
      <c r="BL355" s="703">
        <f t="shared" si="81"/>
        <v>0</v>
      </c>
      <c r="BM355" s="703">
        <f t="shared" si="82"/>
        <v>0</v>
      </c>
      <c r="BN355" s="703">
        <v>0</v>
      </c>
      <c r="BO355" s="703">
        <v>0</v>
      </c>
      <c r="BP355" s="685">
        <v>0</v>
      </c>
      <c r="BQ355" s="667"/>
      <c r="BR355" s="670">
        <f>IF(AW356=0,0,             IF(ISNUMBER(BQ355),BQ355,             IF(ISTEXT(BQ355),INDEX(BH355:BO355,MATCH(BQ355,$BH$17:$BO$17,0)),           IF(BP355="INT",_xll.qInterp(AW356,AZ355:BG355,BH355:BO355),       INDEX(BH355:BO355,MATCH(BP355,$BH$17:$BO$17,0))))))</f>
        <v>0</v>
      </c>
      <c r="BS355" s="731">
        <f t="shared" si="76"/>
        <v>0</v>
      </c>
      <c r="BT355" s="406">
        <f t="shared" si="77"/>
        <v>0</v>
      </c>
      <c r="BU355" s="284">
        <f>IF($AW356,_xll.qDateYears($AW355,$AW356,DCC_Leg2_Fixed),0)</f>
        <v>0</v>
      </c>
      <c r="BV355" s="284">
        <f>IF($AW356,_xll.qDateYears($AW355,$AW356,DCC_Leg2_Float),0)</f>
        <v>0</v>
      </c>
      <c r="BX355" s="350">
        <f t="shared" si="83"/>
        <v>0</v>
      </c>
      <c r="BY355" s="375">
        <f>IF(GenType_2a="Fixed",GenRate_2a%*$BT354*BU354,          IF(GenType_2a="Float",$BT354*(_xll.qGetFwdRate($J$18,$AW354,$AW355,"T",DCC_Leg2_Float)%+GenRate_2a%%)*$BV354,        IF(GenType_2a="bp (Fixed)",GenRate_2a%%*$BU354*$BT354,   IF(GenType_2a="bp (Float)",GenRate_2a%%*$BT354*$BV354,0))))</f>
        <v>0</v>
      </c>
      <c r="BZ355" s="561"/>
      <c r="CB355" s="341">
        <f t="shared" si="71"/>
        <v>0</v>
      </c>
      <c r="CC355" s="563"/>
      <c r="CD355" s="356"/>
      <c r="CE355" s="341">
        <v>0</v>
      </c>
      <c r="CF355" s="563"/>
      <c r="CG355" s="356"/>
    </row>
    <row r="356" spans="15:85">
      <c r="O356" s="122">
        <v>0</v>
      </c>
      <c r="P356" s="128">
        <f t="shared" si="72"/>
        <v>0</v>
      </c>
      <c r="Q356" s="126">
        <v>0</v>
      </c>
      <c r="R356" s="699">
        <f>IF($O357=0,0,        _xll.qDateNext($O356,R$17,"M",TRUE,Currency1))</f>
        <v>0</v>
      </c>
      <c r="S356" s="699">
        <f>IF($O357=0,0,        _xll.qDateNext($O356,S$17,"M",TRUE,Currency1))</f>
        <v>0</v>
      </c>
      <c r="T356" s="699">
        <f>IF($O357=0,0,        _xll.qDateNext($O356,T$17,"M",TRUE,Currency1))</f>
        <v>0</v>
      </c>
      <c r="U356" s="699">
        <f>IF($O357=0,0,        _xll.qDateNext($O356,U$17,"M",TRUE,Currency1))</f>
        <v>0</v>
      </c>
      <c r="V356" s="699">
        <f>IF($O357=0,0,        _xll.qDateNext($O356,V$17,"M",TRUE,Currency1))</f>
        <v>0</v>
      </c>
      <c r="W356" s="699">
        <f>IF($O357=0,0,        _xll.qDateNext($O356,W$17,"M",TRUE,Currency1))</f>
        <v>0</v>
      </c>
      <c r="X356" s="699">
        <f>IF($O357=0,0,        _xll.qDateNext($O356,X$17,"M",TRUE,Currency1))</f>
        <v>0</v>
      </c>
      <c r="Y356" s="699">
        <f>IF($O357=0,0,        _xll.qDateNext($O356,Y$17,"M",TRUE,Currency1))</f>
        <v>0</v>
      </c>
      <c r="Z356" s="703">
        <f>IF($O357=0,0,           IF(FRM,_xll.qGetFwdRate(Z$14,$O356,R356,"T",DCC_Leg1_Float),_xll.qGetFwdRate(Z$14,$O356,$O357,"T",DCC_Leg1_Float)))</f>
        <v>0</v>
      </c>
      <c r="AA356" s="703">
        <f>IF($O357=0,0,           IF(FRM,_xll.qGetFwdRate(AA$14,$O356,S356,"T",DCC_Leg1_Float),_xll.qGetFwdRate(AA$14,$O356,$O357,"T",DCC_Leg1_Float)))</f>
        <v>0</v>
      </c>
      <c r="AB356" s="703">
        <f t="shared" si="73"/>
        <v>0</v>
      </c>
      <c r="AC356" s="703">
        <f>IF($O357=0,0,           IF(FRM,_xll.qGetFwdRate(AC$14,$O356,U356,"T",DCC_Leg1_Float),_xll.qGetFwdRate(AC$14,$O356,$O357,"T",DCC_Leg1_Float)))</f>
        <v>0</v>
      </c>
      <c r="AD356" s="703">
        <f t="shared" si="78"/>
        <v>0</v>
      </c>
      <c r="AE356" s="703">
        <f t="shared" si="79"/>
        <v>0</v>
      </c>
      <c r="AF356" s="703">
        <f>IF($O357=0,0,           IF(FRM,_xll.qGetFwdRate(AF$14,$O356,X356,"T",DCC_Leg1_Float),_xll.qGetFwdRate(AF$14,$O356,$O357,"T",DCC_Leg1_Float)))</f>
        <v>0</v>
      </c>
      <c r="AG356" s="703">
        <f>IF($O357=0,0,           IF(FRM,_xll.qGetFwdRate(AG$14,$O356,Y356,"T",DCC_Leg1_Float),_xll.qGetFwdRate(AG$14,$O356,$O357,"T",DCC_Leg1_Float)))</f>
        <v>0</v>
      </c>
      <c r="AH356" s="685">
        <v>0</v>
      </c>
      <c r="AI356" s="667"/>
      <c r="AJ356" s="670">
        <f>IF(O357=0,0,             IF(ISNUMBER(AI356),AI356,             IF(ISTEXT(AI356),INDEX(Z356:AG356,MATCH(AI356,$Z$17:$AG$17,0)),           IF(AH356="INT",_xll.qInterp(O357,R356:Y356,Z356:AG356),       INDEX(Z356:AG356,MATCH(AH356,$Z$17:$AG$17,0))))))</f>
        <v>0</v>
      </c>
      <c r="AK356" s="732">
        <v>20</v>
      </c>
      <c r="AL356" s="721">
        <f t="shared" si="74"/>
        <v>0</v>
      </c>
      <c r="AM356" s="284">
        <f>IF($O357,_xll.qDateYears($O356,$O357,DCC_Leg1_Fixed),0)</f>
        <v>0</v>
      </c>
      <c r="AN356" s="284">
        <f>IF($O357,_xll.qDateYears($O356,$O357,DCC_Leg1_Float),0)</f>
        <v>0</v>
      </c>
      <c r="AP356" s="350">
        <f t="shared" si="80"/>
        <v>0</v>
      </c>
      <c r="AQ356" s="375">
        <f>IF(GenType_1a="Fixed",GenRate_1a%*$AL355*AM355,          IF(GenType_1a="Float",$AL355*(_xll.qGetFwdRate($D$18,$O355,$O356,"T",DCC_Leg1_Float)%+GenRate_1a%%)*$AN355,        IF(GenType_1a="bp (Fixed)",GenRate_1a%%*$AM355*$AL355,   IF(GenType_1a="bp (Float)",GenRate_1a%%*$AL355*$AN355,0))))</f>
        <v>0</v>
      </c>
      <c r="AR356" s="561"/>
      <c r="AT356" s="341">
        <f t="shared" si="70"/>
        <v>0</v>
      </c>
      <c r="AV356" s="356"/>
      <c r="AW356" s="122">
        <v>0</v>
      </c>
      <c r="AX356" s="128">
        <f t="shared" si="75"/>
        <v>0</v>
      </c>
      <c r="AY356" s="357">
        <v>0</v>
      </c>
      <c r="AZ356" s="699">
        <f>IF($AW357=0,0,        _xll.qDateNext($AW356,AZ$17,"M",TRUE,Currency2))</f>
        <v>0</v>
      </c>
      <c r="BA356" s="699">
        <f>IF($AW357=0,0,        _xll.qDateNext($AW356,BA$17,"M",TRUE,Currency2))</f>
        <v>0</v>
      </c>
      <c r="BB356" s="699">
        <f>IF($AW357=0,0,        _xll.qDateNext($AW356,BB$17,"M",TRUE,Currency2))</f>
        <v>0</v>
      </c>
      <c r="BC356" s="699">
        <f>IF($AW357=0,0,        _xll.qDateNext($AW356,BC$17,"M",TRUE,Currency2))</f>
        <v>0</v>
      </c>
      <c r="BD356" s="699">
        <f>IF($AW357=0,0,        _xll.qDateNext($AW356,BD$17,"M",TRUE,Currency2))</f>
        <v>0</v>
      </c>
      <c r="BE356" s="699">
        <f>IF($AW357=0,0,        _xll.qDateNext($AW356,BE$17,"M",TRUE,Currency2))</f>
        <v>0</v>
      </c>
      <c r="BF356" s="699">
        <f>IF($AW357=0,0,        _xll.qDateNext($AW356,BF$17,"M",TRUE,Currency2))</f>
        <v>0</v>
      </c>
      <c r="BG356" s="699">
        <f>IF($AW357=0,0,        _xll.qDateNext($AW356,BG$17,"M",TRUE,Currency2))</f>
        <v>0</v>
      </c>
      <c r="BH356" s="703">
        <v>0</v>
      </c>
      <c r="BI356" s="703">
        <v>0</v>
      </c>
      <c r="BJ356" s="703">
        <v>0</v>
      </c>
      <c r="BK356" s="703">
        <v>0</v>
      </c>
      <c r="BL356" s="703">
        <f t="shared" si="81"/>
        <v>0</v>
      </c>
      <c r="BM356" s="703">
        <f t="shared" si="82"/>
        <v>0</v>
      </c>
      <c r="BN356" s="703">
        <v>0</v>
      </c>
      <c r="BO356" s="703">
        <v>0</v>
      </c>
      <c r="BP356" s="685">
        <v>0</v>
      </c>
      <c r="BQ356" s="667"/>
      <c r="BR356" s="670">
        <f>IF(AW357=0,0,             IF(ISNUMBER(BQ356),BQ356,             IF(ISTEXT(BQ356),INDEX(BH356:BO356,MATCH(BQ356,$BH$17:$BO$17,0)),           IF(BP356="INT",_xll.qInterp(AW357,AZ356:BG356,BH356:BO356),       INDEX(BH356:BO356,MATCH(BP356,$BH$17:$BO$17,0))))))</f>
        <v>0</v>
      </c>
      <c r="BS356" s="731">
        <f t="shared" si="76"/>
        <v>0</v>
      </c>
      <c r="BT356" s="406">
        <f t="shared" si="77"/>
        <v>0</v>
      </c>
      <c r="BU356" s="284">
        <f>IF($AW357,_xll.qDateYears($AW356,$AW357,DCC_Leg2_Fixed),0)</f>
        <v>0</v>
      </c>
      <c r="BV356" s="284">
        <f>IF($AW357,_xll.qDateYears($AW356,$AW357,DCC_Leg2_Float),0)</f>
        <v>0</v>
      </c>
      <c r="BX356" s="350">
        <f t="shared" si="83"/>
        <v>0</v>
      </c>
      <c r="BY356" s="375">
        <f>IF(GenType_2a="Fixed",GenRate_2a%*$BT355*BU355,          IF(GenType_2a="Float",$BT355*(_xll.qGetFwdRate($J$18,$AW355,$AW356,"T",DCC_Leg2_Float)%+GenRate_2a%%)*$BV355,        IF(GenType_2a="bp (Fixed)",GenRate_2a%%*$BU355*$BT355,   IF(GenType_2a="bp (Float)",GenRate_2a%%*$BT355*$BV355,0))))</f>
        <v>0</v>
      </c>
      <c r="BZ356" s="561"/>
      <c r="CB356" s="341">
        <f t="shared" si="71"/>
        <v>0</v>
      </c>
      <c r="CC356" s="563"/>
      <c r="CD356" s="356"/>
      <c r="CE356" s="341">
        <v>0</v>
      </c>
      <c r="CF356" s="563"/>
      <c r="CG356" s="356"/>
    </row>
    <row r="357" spans="15:85">
      <c r="O357" s="122">
        <v>0</v>
      </c>
      <c r="P357" s="128">
        <f t="shared" si="72"/>
        <v>0</v>
      </c>
      <c r="Q357" s="126">
        <v>0</v>
      </c>
      <c r="R357" s="699">
        <f>IF($O358=0,0,        _xll.qDateNext($O357,R$17,"M",TRUE,Currency1))</f>
        <v>0</v>
      </c>
      <c r="S357" s="699">
        <f>IF($O358=0,0,        _xll.qDateNext($O357,S$17,"M",TRUE,Currency1))</f>
        <v>0</v>
      </c>
      <c r="T357" s="699">
        <f>IF($O358=0,0,        _xll.qDateNext($O357,T$17,"M",TRUE,Currency1))</f>
        <v>0</v>
      </c>
      <c r="U357" s="699">
        <f>IF($O358=0,0,        _xll.qDateNext($O357,U$17,"M",TRUE,Currency1))</f>
        <v>0</v>
      </c>
      <c r="V357" s="699">
        <f>IF($O358=0,0,        _xll.qDateNext($O357,V$17,"M",TRUE,Currency1))</f>
        <v>0</v>
      </c>
      <c r="W357" s="699">
        <f>IF($O358=0,0,        _xll.qDateNext($O357,W$17,"M",TRUE,Currency1))</f>
        <v>0</v>
      </c>
      <c r="X357" s="699">
        <f>IF($O358=0,0,        _xll.qDateNext($O357,X$17,"M",TRUE,Currency1))</f>
        <v>0</v>
      </c>
      <c r="Y357" s="699">
        <f>IF($O358=0,0,        _xll.qDateNext($O357,Y$17,"M",TRUE,Currency1))</f>
        <v>0</v>
      </c>
      <c r="Z357" s="703">
        <f>IF($O358=0,0,           IF(FRM,_xll.qGetFwdRate(Z$14,$O357,R357,"T",DCC_Leg1_Float),_xll.qGetFwdRate(Z$14,$O357,$O358,"T",DCC_Leg1_Float)))</f>
        <v>0</v>
      </c>
      <c r="AA357" s="703">
        <f>IF($O358=0,0,           IF(FRM,_xll.qGetFwdRate(AA$14,$O357,S357,"T",DCC_Leg1_Float),_xll.qGetFwdRate(AA$14,$O357,$O358,"T",DCC_Leg1_Float)))</f>
        <v>0</v>
      </c>
      <c r="AB357" s="703">
        <f t="shared" si="73"/>
        <v>0</v>
      </c>
      <c r="AC357" s="703">
        <f>IF($O358=0,0,           IF(FRM,_xll.qGetFwdRate(AC$14,$O357,U357,"T",DCC_Leg1_Float),_xll.qGetFwdRate(AC$14,$O357,$O358,"T",DCC_Leg1_Float)))</f>
        <v>0</v>
      </c>
      <c r="AD357" s="703">
        <f t="shared" si="78"/>
        <v>0</v>
      </c>
      <c r="AE357" s="703">
        <f t="shared" si="79"/>
        <v>0</v>
      </c>
      <c r="AF357" s="703">
        <f>IF($O358=0,0,           IF(FRM,_xll.qGetFwdRate(AF$14,$O357,X357,"T",DCC_Leg1_Float),_xll.qGetFwdRate(AF$14,$O357,$O358,"T",DCC_Leg1_Float)))</f>
        <v>0</v>
      </c>
      <c r="AG357" s="703">
        <f>IF($O358=0,0,           IF(FRM,_xll.qGetFwdRate(AG$14,$O357,Y357,"T",DCC_Leg1_Float),_xll.qGetFwdRate(AG$14,$O357,$O358,"T",DCC_Leg1_Float)))</f>
        <v>0</v>
      </c>
      <c r="AH357" s="685">
        <v>0</v>
      </c>
      <c r="AI357" s="667"/>
      <c r="AJ357" s="670">
        <f>IF(O358=0,0,             IF(ISNUMBER(AI357),AI357,             IF(ISTEXT(AI357),INDEX(Z357:AG357,MATCH(AI357,$Z$17:$AG$17,0)),           IF(AH357="INT",_xll.qInterp(O358,R357:Y357,Z357:AG357),       INDEX(Z357:AG357,MATCH(AH357,$Z$17:$AG$17,0))))))</f>
        <v>0</v>
      </c>
      <c r="AK357" s="732">
        <v>20</v>
      </c>
      <c r="AL357" s="721">
        <f t="shared" si="74"/>
        <v>0</v>
      </c>
      <c r="AM357" s="284">
        <f>IF($O358,_xll.qDateYears($O357,$O358,DCC_Leg1_Fixed),0)</f>
        <v>0</v>
      </c>
      <c r="AN357" s="284">
        <f>IF($O358,_xll.qDateYears($O357,$O358,DCC_Leg1_Float),0)</f>
        <v>0</v>
      </c>
      <c r="AP357" s="350">
        <f t="shared" si="80"/>
        <v>0</v>
      </c>
      <c r="AQ357" s="375">
        <f>IF(GenType_1a="Fixed",GenRate_1a%*$AL356*AM356,          IF(GenType_1a="Float",$AL356*(_xll.qGetFwdRate($D$18,$O356,$O357,"T",DCC_Leg1_Float)%+GenRate_1a%%)*$AN356,        IF(GenType_1a="bp (Fixed)",GenRate_1a%%*$AM356*$AL356,   IF(GenType_1a="bp (Float)",GenRate_1a%%*$AL356*$AN356,0))))</f>
        <v>0</v>
      </c>
      <c r="AR357" s="561"/>
      <c r="AT357" s="341">
        <f t="shared" si="70"/>
        <v>0</v>
      </c>
      <c r="AV357" s="356"/>
      <c r="AW357" s="122">
        <v>0</v>
      </c>
      <c r="AX357" s="128">
        <f t="shared" si="75"/>
        <v>0</v>
      </c>
      <c r="AY357" s="357">
        <v>0</v>
      </c>
      <c r="AZ357" s="699">
        <f>IF($AW358=0,0,        _xll.qDateNext($AW357,AZ$17,"M",TRUE,Currency2))</f>
        <v>0</v>
      </c>
      <c r="BA357" s="699">
        <f>IF($AW358=0,0,        _xll.qDateNext($AW357,BA$17,"M",TRUE,Currency2))</f>
        <v>0</v>
      </c>
      <c r="BB357" s="699">
        <f>IF($AW358=0,0,        _xll.qDateNext($AW357,BB$17,"M",TRUE,Currency2))</f>
        <v>0</v>
      </c>
      <c r="BC357" s="699">
        <f>IF($AW358=0,0,        _xll.qDateNext($AW357,BC$17,"M",TRUE,Currency2))</f>
        <v>0</v>
      </c>
      <c r="BD357" s="699">
        <f>IF($AW358=0,0,        _xll.qDateNext($AW357,BD$17,"M",TRUE,Currency2))</f>
        <v>0</v>
      </c>
      <c r="BE357" s="699">
        <f>IF($AW358=0,0,        _xll.qDateNext($AW357,BE$17,"M",TRUE,Currency2))</f>
        <v>0</v>
      </c>
      <c r="BF357" s="699">
        <f>IF($AW358=0,0,        _xll.qDateNext($AW357,BF$17,"M",TRUE,Currency2))</f>
        <v>0</v>
      </c>
      <c r="BG357" s="699">
        <f>IF($AW358=0,0,        _xll.qDateNext($AW357,BG$17,"M",TRUE,Currency2))</f>
        <v>0</v>
      </c>
      <c r="BH357" s="703">
        <v>0</v>
      </c>
      <c r="BI357" s="703">
        <v>0</v>
      </c>
      <c r="BJ357" s="703">
        <v>0</v>
      </c>
      <c r="BK357" s="703">
        <v>0</v>
      </c>
      <c r="BL357" s="703">
        <f t="shared" si="81"/>
        <v>0</v>
      </c>
      <c r="BM357" s="703">
        <f t="shared" si="82"/>
        <v>0</v>
      </c>
      <c r="BN357" s="703">
        <v>0</v>
      </c>
      <c r="BO357" s="703">
        <v>0</v>
      </c>
      <c r="BP357" s="685">
        <v>0</v>
      </c>
      <c r="BQ357" s="667"/>
      <c r="BR357" s="670">
        <f>IF(AW358=0,0,             IF(ISNUMBER(BQ357),BQ357,             IF(ISTEXT(BQ357),INDEX(BH357:BO357,MATCH(BQ357,$BH$17:$BO$17,0)),           IF(BP357="INT",_xll.qInterp(AW358,AZ357:BG357,BH357:BO357),       INDEX(BH357:BO357,MATCH(BP357,$BH$17:$BO$17,0))))))</f>
        <v>0</v>
      </c>
      <c r="BS357" s="731">
        <f t="shared" si="76"/>
        <v>0</v>
      </c>
      <c r="BT357" s="406">
        <f t="shared" si="77"/>
        <v>0</v>
      </c>
      <c r="BU357" s="284">
        <f>IF($AW358,_xll.qDateYears($AW357,$AW358,DCC_Leg2_Fixed),0)</f>
        <v>0</v>
      </c>
      <c r="BV357" s="284">
        <f>IF($AW358,_xll.qDateYears($AW357,$AW358,DCC_Leg2_Float),0)</f>
        <v>0</v>
      </c>
      <c r="BX357" s="350">
        <f t="shared" si="83"/>
        <v>0</v>
      </c>
      <c r="BY357" s="375">
        <f>IF(GenType_2a="Fixed",GenRate_2a%*$BT356*BU356,          IF(GenType_2a="Float",$BT356*(_xll.qGetFwdRate($J$18,$AW356,$AW357,"T",DCC_Leg2_Float)%+GenRate_2a%%)*$BV356,        IF(GenType_2a="bp (Fixed)",GenRate_2a%%*$BU356*$BT356,   IF(GenType_2a="bp (Float)",GenRate_2a%%*$BT356*$BV356,0))))</f>
        <v>0</v>
      </c>
      <c r="BZ357" s="561"/>
      <c r="CB357" s="341">
        <f t="shared" si="71"/>
        <v>0</v>
      </c>
      <c r="CC357" s="563"/>
      <c r="CD357" s="356"/>
      <c r="CE357" s="341">
        <v>0</v>
      </c>
      <c r="CF357" s="563"/>
      <c r="CG357" s="356"/>
    </row>
    <row r="358" spans="15:85">
      <c r="O358" s="122">
        <v>0</v>
      </c>
      <c r="P358" s="128">
        <f t="shared" si="72"/>
        <v>0</v>
      </c>
      <c r="Q358" s="126">
        <v>0</v>
      </c>
      <c r="R358" s="699">
        <f>IF($O359=0,0,        _xll.qDateNext($O358,R$17,"M",TRUE,Currency1))</f>
        <v>0</v>
      </c>
      <c r="S358" s="699">
        <f>IF($O359=0,0,        _xll.qDateNext($O358,S$17,"M",TRUE,Currency1))</f>
        <v>0</v>
      </c>
      <c r="T358" s="699">
        <f>IF($O359=0,0,        _xll.qDateNext($O358,T$17,"M",TRUE,Currency1))</f>
        <v>0</v>
      </c>
      <c r="U358" s="699">
        <f>IF($O359=0,0,        _xll.qDateNext($O358,U$17,"M",TRUE,Currency1))</f>
        <v>0</v>
      </c>
      <c r="V358" s="699">
        <f>IF($O359=0,0,        _xll.qDateNext($O358,V$17,"M",TRUE,Currency1))</f>
        <v>0</v>
      </c>
      <c r="W358" s="699">
        <f>IF($O359=0,0,        _xll.qDateNext($O358,W$17,"M",TRUE,Currency1))</f>
        <v>0</v>
      </c>
      <c r="X358" s="699">
        <f>IF($O359=0,0,        _xll.qDateNext($O358,X$17,"M",TRUE,Currency1))</f>
        <v>0</v>
      </c>
      <c r="Y358" s="699">
        <f>IF($O359=0,0,        _xll.qDateNext($O358,Y$17,"M",TRUE,Currency1))</f>
        <v>0</v>
      </c>
      <c r="Z358" s="703">
        <f>IF($O359=0,0,           IF(FRM,_xll.qGetFwdRate(Z$14,$O358,R358,"T",DCC_Leg1_Float),_xll.qGetFwdRate(Z$14,$O358,$O359,"T",DCC_Leg1_Float)))</f>
        <v>0</v>
      </c>
      <c r="AA358" s="703">
        <f>IF($O359=0,0,           IF(FRM,_xll.qGetFwdRate(AA$14,$O358,S358,"T",DCC_Leg1_Float),_xll.qGetFwdRate(AA$14,$O358,$O359,"T",DCC_Leg1_Float)))</f>
        <v>0</v>
      </c>
      <c r="AB358" s="703">
        <f t="shared" si="73"/>
        <v>0</v>
      </c>
      <c r="AC358" s="703">
        <f>IF($O359=0,0,           IF(FRM,_xll.qGetFwdRate(AC$14,$O358,U358,"T",DCC_Leg1_Float),_xll.qGetFwdRate(AC$14,$O358,$O359,"T",DCC_Leg1_Float)))</f>
        <v>0</v>
      </c>
      <c r="AD358" s="703">
        <f t="shared" si="78"/>
        <v>0</v>
      </c>
      <c r="AE358" s="703">
        <f t="shared" si="79"/>
        <v>0</v>
      </c>
      <c r="AF358" s="703">
        <f>IF($O359=0,0,           IF(FRM,_xll.qGetFwdRate(AF$14,$O358,X358,"T",DCC_Leg1_Float),_xll.qGetFwdRate(AF$14,$O358,$O359,"T",DCC_Leg1_Float)))</f>
        <v>0</v>
      </c>
      <c r="AG358" s="703">
        <f>IF($O359=0,0,           IF(FRM,_xll.qGetFwdRate(AG$14,$O358,Y358,"T",DCC_Leg1_Float),_xll.qGetFwdRate(AG$14,$O358,$O359,"T",DCC_Leg1_Float)))</f>
        <v>0</v>
      </c>
      <c r="AH358" s="685">
        <v>0</v>
      </c>
      <c r="AI358" s="667"/>
      <c r="AJ358" s="670">
        <f>IF(O359=0,0,             IF(ISNUMBER(AI358),AI358,             IF(ISTEXT(AI358),INDEX(Z358:AG358,MATCH(AI358,$Z$17:$AG$17,0)),           IF(AH358="INT",_xll.qInterp(O359,R358:Y358,Z358:AG358),       INDEX(Z358:AG358,MATCH(AH358,$Z$17:$AG$17,0))))))</f>
        <v>0</v>
      </c>
      <c r="AK358" s="732">
        <v>20</v>
      </c>
      <c r="AL358" s="721">
        <f t="shared" si="74"/>
        <v>0</v>
      </c>
      <c r="AM358" s="284">
        <f>IF($O359,_xll.qDateYears($O358,$O359,DCC_Leg1_Fixed),0)</f>
        <v>0</v>
      </c>
      <c r="AN358" s="284">
        <f>IF($O359,_xll.qDateYears($O358,$O359,DCC_Leg1_Float),0)</f>
        <v>0</v>
      </c>
      <c r="AP358" s="350">
        <f t="shared" si="80"/>
        <v>0</v>
      </c>
      <c r="AQ358" s="375">
        <f>IF(GenType_1a="Fixed",GenRate_1a%*$AL357*AM357,          IF(GenType_1a="Float",$AL357*(_xll.qGetFwdRate($D$18,$O357,$O358,"T",DCC_Leg1_Float)%+GenRate_1a%%)*$AN357,        IF(GenType_1a="bp (Fixed)",GenRate_1a%%*$AM357*$AL357,   IF(GenType_1a="bp (Float)",GenRate_1a%%*$AL357*$AN357,0))))</f>
        <v>0</v>
      </c>
      <c r="AR358" s="561"/>
      <c r="AT358" s="341">
        <f t="shared" si="70"/>
        <v>0</v>
      </c>
      <c r="AV358" s="356"/>
      <c r="AW358" s="122">
        <v>0</v>
      </c>
      <c r="AX358" s="128">
        <f t="shared" si="75"/>
        <v>0</v>
      </c>
      <c r="AY358" s="357">
        <v>0</v>
      </c>
      <c r="AZ358" s="699">
        <f>IF($AW359=0,0,        _xll.qDateNext($AW358,AZ$17,"M",TRUE,Currency2))</f>
        <v>0</v>
      </c>
      <c r="BA358" s="699">
        <f>IF($AW359=0,0,        _xll.qDateNext($AW358,BA$17,"M",TRUE,Currency2))</f>
        <v>0</v>
      </c>
      <c r="BB358" s="699">
        <f>IF($AW359=0,0,        _xll.qDateNext($AW358,BB$17,"M",TRUE,Currency2))</f>
        <v>0</v>
      </c>
      <c r="BC358" s="699">
        <f>IF($AW359=0,0,        _xll.qDateNext($AW358,BC$17,"M",TRUE,Currency2))</f>
        <v>0</v>
      </c>
      <c r="BD358" s="699">
        <f>IF($AW359=0,0,        _xll.qDateNext($AW358,BD$17,"M",TRUE,Currency2))</f>
        <v>0</v>
      </c>
      <c r="BE358" s="699">
        <f>IF($AW359=0,0,        _xll.qDateNext($AW358,BE$17,"M",TRUE,Currency2))</f>
        <v>0</v>
      </c>
      <c r="BF358" s="699">
        <f>IF($AW359=0,0,        _xll.qDateNext($AW358,BF$17,"M",TRUE,Currency2))</f>
        <v>0</v>
      </c>
      <c r="BG358" s="699">
        <f>IF($AW359=0,0,        _xll.qDateNext($AW358,BG$17,"M",TRUE,Currency2))</f>
        <v>0</v>
      </c>
      <c r="BH358" s="703">
        <v>0</v>
      </c>
      <c r="BI358" s="703">
        <v>0</v>
      </c>
      <c r="BJ358" s="703">
        <v>0</v>
      </c>
      <c r="BK358" s="703">
        <v>0</v>
      </c>
      <c r="BL358" s="703">
        <f t="shared" si="81"/>
        <v>0</v>
      </c>
      <c r="BM358" s="703">
        <f t="shared" si="82"/>
        <v>0</v>
      </c>
      <c r="BN358" s="703">
        <v>0</v>
      </c>
      <c r="BO358" s="703">
        <v>0</v>
      </c>
      <c r="BP358" s="685">
        <v>0</v>
      </c>
      <c r="BQ358" s="667"/>
      <c r="BR358" s="670">
        <f>IF(AW359=0,0,             IF(ISNUMBER(BQ358),BQ358,             IF(ISTEXT(BQ358),INDEX(BH358:BO358,MATCH(BQ358,$BH$17:$BO$17,0)),           IF(BP358="INT",_xll.qInterp(AW359,AZ358:BG358,BH358:BO358),       INDEX(BH358:BO358,MATCH(BP358,$BH$17:$BO$17,0))))))</f>
        <v>0</v>
      </c>
      <c r="BS358" s="731">
        <f t="shared" si="76"/>
        <v>0</v>
      </c>
      <c r="BT358" s="406">
        <f t="shared" si="77"/>
        <v>0</v>
      </c>
      <c r="BU358" s="284">
        <f>IF($AW359,_xll.qDateYears($AW358,$AW359,DCC_Leg2_Fixed),0)</f>
        <v>0</v>
      </c>
      <c r="BV358" s="284">
        <f>IF($AW359,_xll.qDateYears($AW358,$AW359,DCC_Leg2_Float),0)</f>
        <v>0</v>
      </c>
      <c r="BX358" s="350">
        <f t="shared" si="83"/>
        <v>0</v>
      </c>
      <c r="BY358" s="375">
        <f>IF(GenType_2a="Fixed",GenRate_2a%*$BT357*BU357,          IF(GenType_2a="Float",$BT357*(_xll.qGetFwdRate($J$18,$AW357,$AW358,"T",DCC_Leg2_Float)%+GenRate_2a%%)*$BV357,        IF(GenType_2a="bp (Fixed)",GenRate_2a%%*$BU357*$BT357,   IF(GenType_2a="bp (Float)",GenRate_2a%%*$BT357*$BV357,0))))</f>
        <v>0</v>
      </c>
      <c r="BZ358" s="561"/>
      <c r="CB358" s="341">
        <f t="shared" si="71"/>
        <v>0</v>
      </c>
      <c r="CC358" s="563"/>
      <c r="CD358" s="356"/>
      <c r="CE358" s="341">
        <v>0</v>
      </c>
      <c r="CF358" s="563"/>
      <c r="CG358" s="356"/>
    </row>
    <row r="359" spans="15:85">
      <c r="O359" s="122">
        <v>0</v>
      </c>
      <c r="P359" s="128">
        <f t="shared" si="72"/>
        <v>0</v>
      </c>
      <c r="Q359" s="126">
        <v>0</v>
      </c>
      <c r="R359" s="699">
        <f>IF($O360=0,0,        _xll.qDateNext($O359,R$17,"M",TRUE,Currency1))</f>
        <v>0</v>
      </c>
      <c r="S359" s="699">
        <f>IF($O360=0,0,        _xll.qDateNext($O359,S$17,"M",TRUE,Currency1))</f>
        <v>0</v>
      </c>
      <c r="T359" s="699">
        <f>IF($O360=0,0,        _xll.qDateNext($O359,T$17,"M",TRUE,Currency1))</f>
        <v>0</v>
      </c>
      <c r="U359" s="699">
        <f>IF($O360=0,0,        _xll.qDateNext($O359,U$17,"M",TRUE,Currency1))</f>
        <v>0</v>
      </c>
      <c r="V359" s="699">
        <f>IF($O360=0,0,        _xll.qDateNext($O359,V$17,"M",TRUE,Currency1))</f>
        <v>0</v>
      </c>
      <c r="W359" s="699">
        <f>IF($O360=0,0,        _xll.qDateNext($O359,W$17,"M",TRUE,Currency1))</f>
        <v>0</v>
      </c>
      <c r="X359" s="699">
        <f>IF($O360=0,0,        _xll.qDateNext($O359,X$17,"M",TRUE,Currency1))</f>
        <v>0</v>
      </c>
      <c r="Y359" s="699">
        <f>IF($O360=0,0,        _xll.qDateNext($O359,Y$17,"M",TRUE,Currency1))</f>
        <v>0</v>
      </c>
      <c r="Z359" s="703">
        <f>IF($O360=0,0,           IF(FRM,_xll.qGetFwdRate(Z$14,$O359,R359,"T",DCC_Leg1_Float),_xll.qGetFwdRate(Z$14,$O359,$O360,"T",DCC_Leg1_Float)))</f>
        <v>0</v>
      </c>
      <c r="AA359" s="703">
        <f>IF($O360=0,0,           IF(FRM,_xll.qGetFwdRate(AA$14,$O359,S359,"T",DCC_Leg1_Float),_xll.qGetFwdRate(AA$14,$O359,$O360,"T",DCC_Leg1_Float)))</f>
        <v>0</v>
      </c>
      <c r="AB359" s="703">
        <f t="shared" si="73"/>
        <v>0</v>
      </c>
      <c r="AC359" s="703">
        <f>IF($O360=0,0,           IF(FRM,_xll.qGetFwdRate(AC$14,$O359,U359,"T",DCC_Leg1_Float),_xll.qGetFwdRate(AC$14,$O359,$O360,"T",DCC_Leg1_Float)))</f>
        <v>0</v>
      </c>
      <c r="AD359" s="703">
        <f t="shared" si="78"/>
        <v>0</v>
      </c>
      <c r="AE359" s="703">
        <f t="shared" si="79"/>
        <v>0</v>
      </c>
      <c r="AF359" s="703">
        <f>IF($O360=0,0,           IF(FRM,_xll.qGetFwdRate(AF$14,$O359,X359,"T",DCC_Leg1_Float),_xll.qGetFwdRate(AF$14,$O359,$O360,"T",DCC_Leg1_Float)))</f>
        <v>0</v>
      </c>
      <c r="AG359" s="703">
        <f>IF($O360=0,0,           IF(FRM,_xll.qGetFwdRate(AG$14,$O359,Y359,"T",DCC_Leg1_Float),_xll.qGetFwdRate(AG$14,$O359,$O360,"T",DCC_Leg1_Float)))</f>
        <v>0</v>
      </c>
      <c r="AH359" s="685">
        <v>0</v>
      </c>
      <c r="AI359" s="667"/>
      <c r="AJ359" s="670">
        <f>IF(O360=0,0,             IF(ISNUMBER(AI359),AI359,             IF(ISTEXT(AI359),INDEX(Z359:AG359,MATCH(AI359,$Z$17:$AG$17,0)),           IF(AH359="INT",_xll.qInterp(O360,R359:Y359,Z359:AG359),       INDEX(Z359:AG359,MATCH(AH359,$Z$17:$AG$17,0))))))</f>
        <v>0</v>
      </c>
      <c r="AK359" s="732">
        <v>20</v>
      </c>
      <c r="AL359" s="721">
        <f t="shared" si="74"/>
        <v>0</v>
      </c>
      <c r="AM359" s="284">
        <f>IF($O360,_xll.qDateYears($O359,$O360,DCC_Leg1_Fixed),0)</f>
        <v>0</v>
      </c>
      <c r="AN359" s="284">
        <f>IF($O360,_xll.qDateYears($O359,$O360,DCC_Leg1_Float),0)</f>
        <v>0</v>
      </c>
      <c r="AP359" s="350">
        <f t="shared" si="80"/>
        <v>0</v>
      </c>
      <c r="AQ359" s="375">
        <f>IF(GenType_1a="Fixed",GenRate_1a%*$AL358*AM358,          IF(GenType_1a="Float",$AL358*(_xll.qGetFwdRate($D$18,$O358,$O359,"T",DCC_Leg1_Float)%+GenRate_1a%%)*$AN358,        IF(GenType_1a="bp (Fixed)",GenRate_1a%%*$AM358*$AL358,   IF(GenType_1a="bp (Float)",GenRate_1a%%*$AL358*$AN358,0))))</f>
        <v>0</v>
      </c>
      <c r="AR359" s="561"/>
      <c r="AT359" s="341">
        <f t="shared" si="70"/>
        <v>0</v>
      </c>
      <c r="AV359" s="356"/>
      <c r="AW359" s="122">
        <v>0</v>
      </c>
      <c r="AX359" s="128">
        <f t="shared" si="75"/>
        <v>0</v>
      </c>
      <c r="AY359" s="357">
        <v>0</v>
      </c>
      <c r="AZ359" s="699">
        <f>IF($AW360=0,0,        _xll.qDateNext($AW359,AZ$17,"M",TRUE,Currency2))</f>
        <v>0</v>
      </c>
      <c r="BA359" s="699">
        <f>IF($AW360=0,0,        _xll.qDateNext($AW359,BA$17,"M",TRUE,Currency2))</f>
        <v>0</v>
      </c>
      <c r="BB359" s="699">
        <f>IF($AW360=0,0,        _xll.qDateNext($AW359,BB$17,"M",TRUE,Currency2))</f>
        <v>0</v>
      </c>
      <c r="BC359" s="699">
        <f>IF($AW360=0,0,        _xll.qDateNext($AW359,BC$17,"M",TRUE,Currency2))</f>
        <v>0</v>
      </c>
      <c r="BD359" s="699">
        <f>IF($AW360=0,0,        _xll.qDateNext($AW359,BD$17,"M",TRUE,Currency2))</f>
        <v>0</v>
      </c>
      <c r="BE359" s="699">
        <f>IF($AW360=0,0,        _xll.qDateNext($AW359,BE$17,"M",TRUE,Currency2))</f>
        <v>0</v>
      </c>
      <c r="BF359" s="699">
        <f>IF($AW360=0,0,        _xll.qDateNext($AW359,BF$17,"M",TRUE,Currency2))</f>
        <v>0</v>
      </c>
      <c r="BG359" s="699">
        <f>IF($AW360=0,0,        _xll.qDateNext($AW359,BG$17,"M",TRUE,Currency2))</f>
        <v>0</v>
      </c>
      <c r="BH359" s="703">
        <v>0</v>
      </c>
      <c r="BI359" s="703">
        <v>0</v>
      </c>
      <c r="BJ359" s="703">
        <v>0</v>
      </c>
      <c r="BK359" s="703">
        <v>0</v>
      </c>
      <c r="BL359" s="703">
        <f t="shared" si="81"/>
        <v>0</v>
      </c>
      <c r="BM359" s="703">
        <f t="shared" si="82"/>
        <v>0</v>
      </c>
      <c r="BN359" s="703">
        <v>0</v>
      </c>
      <c r="BO359" s="703">
        <v>0</v>
      </c>
      <c r="BP359" s="685">
        <v>0</v>
      </c>
      <c r="BQ359" s="667"/>
      <c r="BR359" s="670">
        <f>IF(AW360=0,0,             IF(ISNUMBER(BQ359),BQ359,             IF(ISTEXT(BQ359),INDEX(BH359:BO359,MATCH(BQ359,$BH$17:$BO$17,0)),           IF(BP359="INT",_xll.qInterp(AW360,AZ359:BG359,BH359:BO359),       INDEX(BH359:BO359,MATCH(BP359,$BH$17:$BO$17,0))))))</f>
        <v>0</v>
      </c>
      <c r="BS359" s="731">
        <f t="shared" si="76"/>
        <v>0</v>
      </c>
      <c r="BT359" s="406">
        <f t="shared" si="77"/>
        <v>0</v>
      </c>
      <c r="BU359" s="284">
        <f>IF($AW360,_xll.qDateYears($AW359,$AW360,DCC_Leg2_Fixed),0)</f>
        <v>0</v>
      </c>
      <c r="BV359" s="284">
        <f>IF($AW360,_xll.qDateYears($AW359,$AW360,DCC_Leg2_Float),0)</f>
        <v>0</v>
      </c>
      <c r="BX359" s="350">
        <f t="shared" si="83"/>
        <v>0</v>
      </c>
      <c r="BY359" s="375">
        <f>IF(GenType_2a="Fixed",GenRate_2a%*$BT358*BU358,          IF(GenType_2a="Float",$BT358*(_xll.qGetFwdRate($J$18,$AW358,$AW359,"T",DCC_Leg2_Float)%+GenRate_2a%%)*$BV358,        IF(GenType_2a="bp (Fixed)",GenRate_2a%%*$BU358*$BT358,   IF(GenType_2a="bp (Float)",GenRate_2a%%*$BT358*$BV358,0))))</f>
        <v>0</v>
      </c>
      <c r="BZ359" s="561"/>
      <c r="CB359" s="341">
        <f t="shared" si="71"/>
        <v>0</v>
      </c>
      <c r="CC359" s="563"/>
      <c r="CD359" s="356"/>
      <c r="CE359" s="341">
        <v>0</v>
      </c>
      <c r="CF359" s="563"/>
      <c r="CG359" s="356"/>
    </row>
    <row r="360" spans="15:85">
      <c r="O360" s="122">
        <v>0</v>
      </c>
      <c r="P360" s="128">
        <f t="shared" si="72"/>
        <v>0</v>
      </c>
      <c r="Q360" s="126">
        <v>0</v>
      </c>
      <c r="R360" s="699">
        <f>IF($O361=0,0,        _xll.qDateNext($O360,R$17,"M",TRUE,Currency1))</f>
        <v>0</v>
      </c>
      <c r="S360" s="699">
        <f>IF($O361=0,0,        _xll.qDateNext($O360,S$17,"M",TRUE,Currency1))</f>
        <v>0</v>
      </c>
      <c r="T360" s="699">
        <f>IF($O361=0,0,        _xll.qDateNext($O360,T$17,"M",TRUE,Currency1))</f>
        <v>0</v>
      </c>
      <c r="U360" s="699">
        <f>IF($O361=0,0,        _xll.qDateNext($O360,U$17,"M",TRUE,Currency1))</f>
        <v>0</v>
      </c>
      <c r="V360" s="699">
        <f>IF($O361=0,0,        _xll.qDateNext($O360,V$17,"M",TRUE,Currency1))</f>
        <v>0</v>
      </c>
      <c r="W360" s="699">
        <f>IF($O361=0,0,        _xll.qDateNext($O360,W$17,"M",TRUE,Currency1))</f>
        <v>0</v>
      </c>
      <c r="X360" s="699">
        <f>IF($O361=0,0,        _xll.qDateNext($O360,X$17,"M",TRUE,Currency1))</f>
        <v>0</v>
      </c>
      <c r="Y360" s="699">
        <f>IF($O361=0,0,        _xll.qDateNext($O360,Y$17,"M",TRUE,Currency1))</f>
        <v>0</v>
      </c>
      <c r="Z360" s="703">
        <f>IF($O361=0,0,           IF(FRM,_xll.qGetFwdRate(Z$14,$O360,R360,"T",DCC_Leg1_Float),_xll.qGetFwdRate(Z$14,$O360,$O361,"T",DCC_Leg1_Float)))</f>
        <v>0</v>
      </c>
      <c r="AA360" s="703">
        <f>IF($O361=0,0,           IF(FRM,_xll.qGetFwdRate(AA$14,$O360,S360,"T",DCC_Leg1_Float),_xll.qGetFwdRate(AA$14,$O360,$O361,"T",DCC_Leg1_Float)))</f>
        <v>0</v>
      </c>
      <c r="AB360" s="703">
        <f t="shared" si="73"/>
        <v>0</v>
      </c>
      <c r="AC360" s="703">
        <f>IF($O361=0,0,           IF(FRM,_xll.qGetFwdRate(AC$14,$O360,U360,"T",DCC_Leg1_Float),_xll.qGetFwdRate(AC$14,$O360,$O361,"T",DCC_Leg1_Float)))</f>
        <v>0</v>
      </c>
      <c r="AD360" s="703">
        <f t="shared" si="78"/>
        <v>0</v>
      </c>
      <c r="AE360" s="703">
        <f t="shared" si="79"/>
        <v>0</v>
      </c>
      <c r="AF360" s="703">
        <f>IF($O361=0,0,           IF(FRM,_xll.qGetFwdRate(AF$14,$O360,X360,"T",DCC_Leg1_Float),_xll.qGetFwdRate(AF$14,$O360,$O361,"T",DCC_Leg1_Float)))</f>
        <v>0</v>
      </c>
      <c r="AG360" s="703">
        <f>IF($O361=0,0,           IF(FRM,_xll.qGetFwdRate(AG$14,$O360,Y360,"T",DCC_Leg1_Float),_xll.qGetFwdRate(AG$14,$O360,$O361,"T",DCC_Leg1_Float)))</f>
        <v>0</v>
      </c>
      <c r="AH360" s="685">
        <v>0</v>
      </c>
      <c r="AI360" s="667"/>
      <c r="AJ360" s="670">
        <f>IF(O361=0,0,             IF(ISNUMBER(AI360),AI360,             IF(ISTEXT(AI360),INDEX(Z360:AG360,MATCH(AI360,$Z$17:$AG$17,0)),           IF(AH360="INT",_xll.qInterp(O361,R360:Y360,Z360:AG360),       INDEX(Z360:AG360,MATCH(AH360,$Z$17:$AG$17,0))))))</f>
        <v>0</v>
      </c>
      <c r="AK360" s="732">
        <v>20</v>
      </c>
      <c r="AL360" s="721">
        <f t="shared" si="74"/>
        <v>0</v>
      </c>
      <c r="AM360" s="284">
        <f>IF($O361,_xll.qDateYears($O360,$O361,DCC_Leg1_Fixed),0)</f>
        <v>0</v>
      </c>
      <c r="AN360" s="284">
        <f>IF($O361,_xll.qDateYears($O360,$O361,DCC_Leg1_Float),0)</f>
        <v>0</v>
      </c>
      <c r="AP360" s="350">
        <f t="shared" si="80"/>
        <v>0</v>
      </c>
      <c r="AQ360" s="375">
        <f>IF(GenType_1a="Fixed",GenRate_1a%*$AL359*AM359,          IF(GenType_1a="Float",$AL359*(_xll.qGetFwdRate($D$18,$O359,$O360,"T",DCC_Leg1_Float)%+GenRate_1a%%)*$AN359,        IF(GenType_1a="bp (Fixed)",GenRate_1a%%*$AM359*$AL359,   IF(GenType_1a="bp (Float)",GenRate_1a%%*$AL359*$AN359,0))))</f>
        <v>0</v>
      </c>
      <c r="AR360" s="561"/>
      <c r="AT360" s="341">
        <f t="shared" ref="AT360:AT423" si="84">SUM(AP360:AR360)</f>
        <v>0</v>
      </c>
      <c r="AV360" s="356"/>
      <c r="AW360" s="122">
        <v>0</v>
      </c>
      <c r="AX360" s="128">
        <f t="shared" si="75"/>
        <v>0</v>
      </c>
      <c r="AY360" s="357">
        <v>0</v>
      </c>
      <c r="AZ360" s="699">
        <f>IF($AW361=0,0,        _xll.qDateNext($AW360,AZ$17,"M",TRUE,Currency2))</f>
        <v>0</v>
      </c>
      <c r="BA360" s="699">
        <f>IF($AW361=0,0,        _xll.qDateNext($AW360,BA$17,"M",TRUE,Currency2))</f>
        <v>0</v>
      </c>
      <c r="BB360" s="699">
        <f>IF($AW361=0,0,        _xll.qDateNext($AW360,BB$17,"M",TRUE,Currency2))</f>
        <v>0</v>
      </c>
      <c r="BC360" s="699">
        <f>IF($AW361=0,0,        _xll.qDateNext($AW360,BC$17,"M",TRUE,Currency2))</f>
        <v>0</v>
      </c>
      <c r="BD360" s="699">
        <f>IF($AW361=0,0,        _xll.qDateNext($AW360,BD$17,"M",TRUE,Currency2))</f>
        <v>0</v>
      </c>
      <c r="BE360" s="699">
        <f>IF($AW361=0,0,        _xll.qDateNext($AW360,BE$17,"M",TRUE,Currency2))</f>
        <v>0</v>
      </c>
      <c r="BF360" s="699">
        <f>IF($AW361=0,0,        _xll.qDateNext($AW360,BF$17,"M",TRUE,Currency2))</f>
        <v>0</v>
      </c>
      <c r="BG360" s="699">
        <f>IF($AW361=0,0,        _xll.qDateNext($AW360,BG$17,"M",TRUE,Currency2))</f>
        <v>0</v>
      </c>
      <c r="BH360" s="703">
        <v>0</v>
      </c>
      <c r="BI360" s="703">
        <v>0</v>
      </c>
      <c r="BJ360" s="703">
        <v>0</v>
      </c>
      <c r="BK360" s="703">
        <v>0</v>
      </c>
      <c r="BL360" s="703">
        <f t="shared" si="81"/>
        <v>0</v>
      </c>
      <c r="BM360" s="703">
        <f t="shared" si="82"/>
        <v>0</v>
      </c>
      <c r="BN360" s="703">
        <v>0</v>
      </c>
      <c r="BO360" s="703">
        <v>0</v>
      </c>
      <c r="BP360" s="685">
        <v>0</v>
      </c>
      <c r="BQ360" s="667"/>
      <c r="BR360" s="670">
        <f>IF(AW361=0,0,             IF(ISNUMBER(BQ360),BQ360,             IF(ISTEXT(BQ360),INDEX(BH360:BO360,MATCH(BQ360,$BH$17:$BO$17,0)),           IF(BP360="INT",_xll.qInterp(AW361,AZ360:BG360,BH360:BO360),       INDEX(BH360:BO360,MATCH(BP360,$BH$17:$BO$17,0))))))</f>
        <v>0</v>
      </c>
      <c r="BS360" s="731">
        <f t="shared" si="76"/>
        <v>0</v>
      </c>
      <c r="BT360" s="406">
        <f t="shared" si="77"/>
        <v>0</v>
      </c>
      <c r="BU360" s="284">
        <f>IF($AW361,_xll.qDateYears($AW360,$AW361,DCC_Leg2_Fixed),0)</f>
        <v>0</v>
      </c>
      <c r="BV360" s="284">
        <f>IF($AW361,_xll.qDateYears($AW360,$AW361,DCC_Leg2_Float),0)</f>
        <v>0</v>
      </c>
      <c r="BX360" s="350">
        <f t="shared" si="83"/>
        <v>0</v>
      </c>
      <c r="BY360" s="375">
        <f>IF(GenType_2a="Fixed",GenRate_2a%*$BT359*BU359,          IF(GenType_2a="Float",$BT359*(_xll.qGetFwdRate($J$18,$AW359,$AW360,"T",DCC_Leg2_Float)%+GenRate_2a%%)*$BV359,        IF(GenType_2a="bp (Fixed)",GenRate_2a%%*$BU359*$BT359,   IF(GenType_2a="bp (Float)",GenRate_2a%%*$BT359*$BV359,0))))</f>
        <v>0</v>
      </c>
      <c r="BZ360" s="561"/>
      <c r="CB360" s="341">
        <f t="shared" si="71"/>
        <v>0</v>
      </c>
      <c r="CC360" s="563"/>
      <c r="CD360" s="356"/>
      <c r="CE360" s="341">
        <v>0</v>
      </c>
      <c r="CF360" s="563"/>
      <c r="CG360" s="356"/>
    </row>
    <row r="361" spans="15:85">
      <c r="O361" s="122">
        <v>0</v>
      </c>
      <c r="P361" s="128">
        <f t="shared" si="72"/>
        <v>0</v>
      </c>
      <c r="Q361" s="126">
        <v>0</v>
      </c>
      <c r="R361" s="699">
        <f>IF($O362=0,0,        _xll.qDateNext($O361,R$17,"M",TRUE,Currency1))</f>
        <v>0</v>
      </c>
      <c r="S361" s="699">
        <f>IF($O362=0,0,        _xll.qDateNext($O361,S$17,"M",TRUE,Currency1))</f>
        <v>0</v>
      </c>
      <c r="T361" s="699">
        <f>IF($O362=0,0,        _xll.qDateNext($O361,T$17,"M",TRUE,Currency1))</f>
        <v>0</v>
      </c>
      <c r="U361" s="699">
        <f>IF($O362=0,0,        _xll.qDateNext($O361,U$17,"M",TRUE,Currency1))</f>
        <v>0</v>
      </c>
      <c r="V361" s="699">
        <f>IF($O362=0,0,        _xll.qDateNext($O361,V$17,"M",TRUE,Currency1))</f>
        <v>0</v>
      </c>
      <c r="W361" s="699">
        <f>IF($O362=0,0,        _xll.qDateNext($O361,W$17,"M",TRUE,Currency1))</f>
        <v>0</v>
      </c>
      <c r="X361" s="699">
        <f>IF($O362=0,0,        _xll.qDateNext($O361,X$17,"M",TRUE,Currency1))</f>
        <v>0</v>
      </c>
      <c r="Y361" s="699">
        <f>IF($O362=0,0,        _xll.qDateNext($O361,Y$17,"M",TRUE,Currency1))</f>
        <v>0</v>
      </c>
      <c r="Z361" s="703">
        <f>IF($O362=0,0,           IF(FRM,_xll.qGetFwdRate(Z$14,$O361,R361,"T",DCC_Leg1_Float),_xll.qGetFwdRate(Z$14,$O361,$O362,"T",DCC_Leg1_Float)))</f>
        <v>0</v>
      </c>
      <c r="AA361" s="703">
        <f>IF($O362=0,0,           IF(FRM,_xll.qGetFwdRate(AA$14,$O361,S361,"T",DCC_Leg1_Float),_xll.qGetFwdRate(AA$14,$O361,$O362,"T",DCC_Leg1_Float)))</f>
        <v>0</v>
      </c>
      <c r="AB361" s="703">
        <f t="shared" si="73"/>
        <v>0</v>
      </c>
      <c r="AC361" s="703">
        <f>IF($O362=0,0,           IF(FRM,_xll.qGetFwdRate(AC$14,$O361,U361,"T",DCC_Leg1_Float),_xll.qGetFwdRate(AC$14,$O361,$O362,"T",DCC_Leg1_Float)))</f>
        <v>0</v>
      </c>
      <c r="AD361" s="703">
        <f t="shared" si="78"/>
        <v>0</v>
      </c>
      <c r="AE361" s="703">
        <f t="shared" si="79"/>
        <v>0</v>
      </c>
      <c r="AF361" s="703">
        <f>IF($O362=0,0,           IF(FRM,_xll.qGetFwdRate(AF$14,$O361,X361,"T",DCC_Leg1_Float),_xll.qGetFwdRate(AF$14,$O361,$O362,"T",DCC_Leg1_Float)))</f>
        <v>0</v>
      </c>
      <c r="AG361" s="703">
        <f>IF($O362=0,0,           IF(FRM,_xll.qGetFwdRate(AG$14,$O361,Y361,"T",DCC_Leg1_Float),_xll.qGetFwdRate(AG$14,$O361,$O362,"T",DCC_Leg1_Float)))</f>
        <v>0</v>
      </c>
      <c r="AH361" s="685">
        <v>0</v>
      </c>
      <c r="AI361" s="667"/>
      <c r="AJ361" s="670">
        <f>IF(O362=0,0,             IF(ISNUMBER(AI361),AI361,             IF(ISTEXT(AI361),INDEX(Z361:AG361,MATCH(AI361,$Z$17:$AG$17,0)),           IF(AH361="INT",_xll.qInterp(O362,R361:Y361,Z361:AG361),       INDEX(Z361:AG361,MATCH(AH361,$Z$17:$AG$17,0))))))</f>
        <v>0</v>
      </c>
      <c r="AK361" s="732">
        <v>20</v>
      </c>
      <c r="AL361" s="721">
        <f t="shared" si="74"/>
        <v>0</v>
      </c>
      <c r="AM361" s="284">
        <f>IF($O362,_xll.qDateYears($O361,$O362,DCC_Leg1_Fixed),0)</f>
        <v>0</v>
      </c>
      <c r="AN361" s="284">
        <f>IF($O362,_xll.qDateYears($O361,$O362,DCC_Leg1_Float),0)</f>
        <v>0</v>
      </c>
      <c r="AP361" s="350">
        <f t="shared" si="80"/>
        <v>0</v>
      </c>
      <c r="AQ361" s="375">
        <f>IF(GenType_1a="Fixed",GenRate_1a%*$AL360*AM360,          IF(GenType_1a="Float",$AL360*(_xll.qGetFwdRate($D$18,$O360,$O361,"T",DCC_Leg1_Float)%+GenRate_1a%%)*$AN360,        IF(GenType_1a="bp (Fixed)",GenRate_1a%%*$AM360*$AL360,   IF(GenType_1a="bp (Float)",GenRate_1a%%*$AL360*$AN360,0))))</f>
        <v>0</v>
      </c>
      <c r="AR361" s="561"/>
      <c r="AT361" s="341">
        <f t="shared" si="84"/>
        <v>0</v>
      </c>
      <c r="AV361" s="356"/>
      <c r="AW361" s="122">
        <v>0</v>
      </c>
      <c r="AX361" s="128">
        <f t="shared" si="75"/>
        <v>0</v>
      </c>
      <c r="AY361" s="357">
        <v>0</v>
      </c>
      <c r="AZ361" s="699">
        <f>IF($AW362=0,0,        _xll.qDateNext($AW361,AZ$17,"M",TRUE,Currency2))</f>
        <v>0</v>
      </c>
      <c r="BA361" s="699">
        <f>IF($AW362=0,0,        _xll.qDateNext($AW361,BA$17,"M",TRUE,Currency2))</f>
        <v>0</v>
      </c>
      <c r="BB361" s="699">
        <f>IF($AW362=0,0,        _xll.qDateNext($AW361,BB$17,"M",TRUE,Currency2))</f>
        <v>0</v>
      </c>
      <c r="BC361" s="699">
        <f>IF($AW362=0,0,        _xll.qDateNext($AW361,BC$17,"M",TRUE,Currency2))</f>
        <v>0</v>
      </c>
      <c r="BD361" s="699">
        <f>IF($AW362=0,0,        _xll.qDateNext($AW361,BD$17,"M",TRUE,Currency2))</f>
        <v>0</v>
      </c>
      <c r="BE361" s="699">
        <f>IF($AW362=0,0,        _xll.qDateNext($AW361,BE$17,"M",TRUE,Currency2))</f>
        <v>0</v>
      </c>
      <c r="BF361" s="699">
        <f>IF($AW362=0,0,        _xll.qDateNext($AW361,BF$17,"M",TRUE,Currency2))</f>
        <v>0</v>
      </c>
      <c r="BG361" s="699">
        <f>IF($AW362=0,0,        _xll.qDateNext($AW361,BG$17,"M",TRUE,Currency2))</f>
        <v>0</v>
      </c>
      <c r="BH361" s="703">
        <v>0</v>
      </c>
      <c r="BI361" s="703">
        <v>0</v>
      </c>
      <c r="BJ361" s="703">
        <v>0</v>
      </c>
      <c r="BK361" s="703">
        <v>0</v>
      </c>
      <c r="BL361" s="703">
        <f t="shared" si="81"/>
        <v>0</v>
      </c>
      <c r="BM361" s="703">
        <f t="shared" si="82"/>
        <v>0</v>
      </c>
      <c r="BN361" s="703">
        <v>0</v>
      </c>
      <c r="BO361" s="703">
        <v>0</v>
      </c>
      <c r="BP361" s="685">
        <v>0</v>
      </c>
      <c r="BQ361" s="667"/>
      <c r="BR361" s="670">
        <f>IF(AW362=0,0,             IF(ISNUMBER(BQ361),BQ361,             IF(ISTEXT(BQ361),INDEX(BH361:BO361,MATCH(BQ361,$BH$17:$BO$17,0)),           IF(BP361="INT",_xll.qInterp(AW362,AZ361:BG361,BH361:BO361),       INDEX(BH361:BO361,MATCH(BP361,$BH$17:$BO$17,0))))))</f>
        <v>0</v>
      </c>
      <c r="BS361" s="731">
        <f t="shared" si="76"/>
        <v>0</v>
      </c>
      <c r="BT361" s="406">
        <f t="shared" si="77"/>
        <v>0</v>
      </c>
      <c r="BU361" s="284">
        <f>IF($AW362,_xll.qDateYears($AW361,$AW362,DCC_Leg2_Fixed),0)</f>
        <v>0</v>
      </c>
      <c r="BV361" s="284">
        <f>IF($AW362,_xll.qDateYears($AW361,$AW362,DCC_Leg2_Float),0)</f>
        <v>0</v>
      </c>
      <c r="BX361" s="350">
        <f t="shared" si="83"/>
        <v>0</v>
      </c>
      <c r="BY361" s="375">
        <f>IF(GenType_2a="Fixed",GenRate_2a%*$BT360*BU360,          IF(GenType_2a="Float",$BT360*(_xll.qGetFwdRate($J$18,$AW360,$AW361,"T",DCC_Leg2_Float)%+GenRate_2a%%)*$BV360,        IF(GenType_2a="bp (Fixed)",GenRate_2a%%*$BU360*$BT360,   IF(GenType_2a="bp (Float)",GenRate_2a%%*$BT360*$BV360,0))))</f>
        <v>0</v>
      </c>
      <c r="BZ361" s="561"/>
      <c r="CB361" s="341">
        <f t="shared" ref="CB361:CB424" si="85">SUM(BX361:BZ361)</f>
        <v>0</v>
      </c>
      <c r="CC361" s="563"/>
      <c r="CD361" s="356"/>
      <c r="CE361" s="341">
        <v>0</v>
      </c>
      <c r="CF361" s="563"/>
      <c r="CG361" s="356"/>
    </row>
    <row r="362" spans="15:85">
      <c r="O362" s="122">
        <v>0</v>
      </c>
      <c r="P362" s="128">
        <f t="shared" si="72"/>
        <v>0</v>
      </c>
      <c r="Q362" s="126">
        <v>0</v>
      </c>
      <c r="R362" s="699">
        <f>IF($O363=0,0,        _xll.qDateNext($O362,R$17,"M",TRUE,Currency1))</f>
        <v>0</v>
      </c>
      <c r="S362" s="699">
        <f>IF($O363=0,0,        _xll.qDateNext($O362,S$17,"M",TRUE,Currency1))</f>
        <v>0</v>
      </c>
      <c r="T362" s="699">
        <f>IF($O363=0,0,        _xll.qDateNext($O362,T$17,"M",TRUE,Currency1))</f>
        <v>0</v>
      </c>
      <c r="U362" s="699">
        <f>IF($O363=0,0,        _xll.qDateNext($O362,U$17,"M",TRUE,Currency1))</f>
        <v>0</v>
      </c>
      <c r="V362" s="699">
        <f>IF($O363=0,0,        _xll.qDateNext($O362,V$17,"M",TRUE,Currency1))</f>
        <v>0</v>
      </c>
      <c r="W362" s="699">
        <f>IF($O363=0,0,        _xll.qDateNext($O362,W$17,"M",TRUE,Currency1))</f>
        <v>0</v>
      </c>
      <c r="X362" s="699">
        <f>IF($O363=0,0,        _xll.qDateNext($O362,X$17,"M",TRUE,Currency1))</f>
        <v>0</v>
      </c>
      <c r="Y362" s="699">
        <f>IF($O363=0,0,        _xll.qDateNext($O362,Y$17,"M",TRUE,Currency1))</f>
        <v>0</v>
      </c>
      <c r="Z362" s="703">
        <f>IF($O363=0,0,           IF(FRM,_xll.qGetFwdRate(Z$14,$O362,R362,"T",DCC_Leg1_Float),_xll.qGetFwdRate(Z$14,$O362,$O363,"T",DCC_Leg1_Float)))</f>
        <v>0</v>
      </c>
      <c r="AA362" s="703">
        <f>IF($O363=0,0,           IF(FRM,_xll.qGetFwdRate(AA$14,$O362,S362,"T",DCC_Leg1_Float),_xll.qGetFwdRate(AA$14,$O362,$O363,"T",DCC_Leg1_Float)))</f>
        <v>0</v>
      </c>
      <c r="AB362" s="703">
        <f t="shared" si="73"/>
        <v>0</v>
      </c>
      <c r="AC362" s="703">
        <f>IF($O363=0,0,           IF(FRM,_xll.qGetFwdRate(AC$14,$O362,U362,"T",DCC_Leg1_Float),_xll.qGetFwdRate(AC$14,$O362,$O363,"T",DCC_Leg1_Float)))</f>
        <v>0</v>
      </c>
      <c r="AD362" s="703">
        <f t="shared" si="78"/>
        <v>0</v>
      </c>
      <c r="AE362" s="703">
        <f t="shared" si="79"/>
        <v>0</v>
      </c>
      <c r="AF362" s="703">
        <f>IF($O363=0,0,           IF(FRM,_xll.qGetFwdRate(AF$14,$O362,X362,"T",DCC_Leg1_Float),_xll.qGetFwdRate(AF$14,$O362,$O363,"T",DCC_Leg1_Float)))</f>
        <v>0</v>
      </c>
      <c r="AG362" s="703">
        <f>IF($O363=0,0,           IF(FRM,_xll.qGetFwdRate(AG$14,$O362,Y362,"T",DCC_Leg1_Float),_xll.qGetFwdRate(AG$14,$O362,$O363,"T",DCC_Leg1_Float)))</f>
        <v>0</v>
      </c>
      <c r="AH362" s="685">
        <v>0</v>
      </c>
      <c r="AI362" s="667"/>
      <c r="AJ362" s="670">
        <f>IF(O363=0,0,             IF(ISNUMBER(AI362),AI362,             IF(ISTEXT(AI362),INDEX(Z362:AG362,MATCH(AI362,$Z$17:$AG$17,0)),           IF(AH362="INT",_xll.qInterp(O363,R362:Y362,Z362:AG362),       INDEX(Z362:AG362,MATCH(AH362,$Z$17:$AG$17,0))))))</f>
        <v>0</v>
      </c>
      <c r="AK362" s="732">
        <v>20</v>
      </c>
      <c r="AL362" s="721">
        <f t="shared" si="74"/>
        <v>0</v>
      </c>
      <c r="AM362" s="284">
        <f>IF($O363,_xll.qDateYears($O362,$O363,DCC_Leg1_Fixed),0)</f>
        <v>0</v>
      </c>
      <c r="AN362" s="284">
        <f>IF($O363,_xll.qDateYears($O362,$O363,DCC_Leg1_Float),0)</f>
        <v>0</v>
      </c>
      <c r="AP362" s="350">
        <f t="shared" si="80"/>
        <v>0</v>
      </c>
      <c r="AQ362" s="375">
        <f>IF(GenType_1a="Fixed",GenRate_1a%*$AL361*AM361,          IF(GenType_1a="Float",$AL361*(_xll.qGetFwdRate($D$18,$O361,$O362,"T",DCC_Leg1_Float)%+GenRate_1a%%)*$AN361,        IF(GenType_1a="bp (Fixed)",GenRate_1a%%*$AM361*$AL361,   IF(GenType_1a="bp (Float)",GenRate_1a%%*$AL361*$AN361,0))))</f>
        <v>0</v>
      </c>
      <c r="AR362" s="561"/>
      <c r="AT362" s="341">
        <f t="shared" si="84"/>
        <v>0</v>
      </c>
      <c r="AV362" s="356"/>
      <c r="AW362" s="122">
        <v>0</v>
      </c>
      <c r="AX362" s="128">
        <f t="shared" si="75"/>
        <v>0</v>
      </c>
      <c r="AY362" s="357">
        <v>0</v>
      </c>
      <c r="AZ362" s="699">
        <f>IF($AW363=0,0,        _xll.qDateNext($AW362,AZ$17,"M",TRUE,Currency2))</f>
        <v>0</v>
      </c>
      <c r="BA362" s="699">
        <f>IF($AW363=0,0,        _xll.qDateNext($AW362,BA$17,"M",TRUE,Currency2))</f>
        <v>0</v>
      </c>
      <c r="BB362" s="699">
        <f>IF($AW363=0,0,        _xll.qDateNext($AW362,BB$17,"M",TRUE,Currency2))</f>
        <v>0</v>
      </c>
      <c r="BC362" s="699">
        <f>IF($AW363=0,0,        _xll.qDateNext($AW362,BC$17,"M",TRUE,Currency2))</f>
        <v>0</v>
      </c>
      <c r="BD362" s="699">
        <f>IF($AW363=0,0,        _xll.qDateNext($AW362,BD$17,"M",TRUE,Currency2))</f>
        <v>0</v>
      </c>
      <c r="BE362" s="699">
        <f>IF($AW363=0,0,        _xll.qDateNext($AW362,BE$17,"M",TRUE,Currency2))</f>
        <v>0</v>
      </c>
      <c r="BF362" s="699">
        <f>IF($AW363=0,0,        _xll.qDateNext($AW362,BF$17,"M",TRUE,Currency2))</f>
        <v>0</v>
      </c>
      <c r="BG362" s="699">
        <f>IF($AW363=0,0,        _xll.qDateNext($AW362,BG$17,"M",TRUE,Currency2))</f>
        <v>0</v>
      </c>
      <c r="BH362" s="703">
        <v>0</v>
      </c>
      <c r="BI362" s="703">
        <v>0</v>
      </c>
      <c r="BJ362" s="703">
        <v>0</v>
      </c>
      <c r="BK362" s="703">
        <v>0</v>
      </c>
      <c r="BL362" s="703">
        <f t="shared" si="81"/>
        <v>0</v>
      </c>
      <c r="BM362" s="703">
        <f t="shared" si="82"/>
        <v>0</v>
      </c>
      <c r="BN362" s="703">
        <v>0</v>
      </c>
      <c r="BO362" s="703">
        <v>0</v>
      </c>
      <c r="BP362" s="685">
        <v>0</v>
      </c>
      <c r="BQ362" s="667"/>
      <c r="BR362" s="670">
        <f>IF(AW363=0,0,             IF(ISNUMBER(BQ362),BQ362,             IF(ISTEXT(BQ362),INDEX(BH362:BO362,MATCH(BQ362,$BH$17:$BO$17,0)),           IF(BP362="INT",_xll.qInterp(AW363,AZ362:BG362,BH362:BO362),       INDEX(BH362:BO362,MATCH(BP362,$BH$17:$BO$17,0))))))</f>
        <v>0</v>
      </c>
      <c r="BS362" s="731">
        <f t="shared" si="76"/>
        <v>0</v>
      </c>
      <c r="BT362" s="406">
        <f t="shared" si="77"/>
        <v>0</v>
      </c>
      <c r="BU362" s="284">
        <f>IF($AW363,_xll.qDateYears($AW362,$AW363,DCC_Leg2_Fixed),0)</f>
        <v>0</v>
      </c>
      <c r="BV362" s="284">
        <f>IF($AW363,_xll.qDateYears($AW362,$AW363,DCC_Leg2_Float),0)</f>
        <v>0</v>
      </c>
      <c r="BX362" s="350">
        <f t="shared" si="83"/>
        <v>0</v>
      </c>
      <c r="BY362" s="375">
        <f>IF(GenType_2a="Fixed",GenRate_2a%*$BT361*BU361,          IF(GenType_2a="Float",$BT361*(_xll.qGetFwdRate($J$18,$AW361,$AW362,"T",DCC_Leg2_Float)%+GenRate_2a%%)*$BV361,        IF(GenType_2a="bp (Fixed)",GenRate_2a%%*$BU361*$BT361,   IF(GenType_2a="bp (Float)",GenRate_2a%%*$BT361*$BV361,0))))</f>
        <v>0</v>
      </c>
      <c r="BZ362" s="561"/>
      <c r="CB362" s="341">
        <f t="shared" si="85"/>
        <v>0</v>
      </c>
      <c r="CC362" s="563"/>
      <c r="CD362" s="356"/>
      <c r="CE362" s="341">
        <v>0</v>
      </c>
      <c r="CF362" s="563"/>
      <c r="CG362" s="356"/>
    </row>
    <row r="363" spans="15:85">
      <c r="O363" s="122">
        <v>0</v>
      </c>
      <c r="P363" s="128">
        <f t="shared" si="72"/>
        <v>0</v>
      </c>
      <c r="Q363" s="126">
        <v>0</v>
      </c>
      <c r="R363" s="699">
        <f>IF($O364=0,0,        _xll.qDateNext($O363,R$17,"M",TRUE,Currency1))</f>
        <v>0</v>
      </c>
      <c r="S363" s="699">
        <f>IF($O364=0,0,        _xll.qDateNext($O363,S$17,"M",TRUE,Currency1))</f>
        <v>0</v>
      </c>
      <c r="T363" s="699">
        <f>IF($O364=0,0,        _xll.qDateNext($O363,T$17,"M",TRUE,Currency1))</f>
        <v>0</v>
      </c>
      <c r="U363" s="699">
        <f>IF($O364=0,0,        _xll.qDateNext($O363,U$17,"M",TRUE,Currency1))</f>
        <v>0</v>
      </c>
      <c r="V363" s="699">
        <f>IF($O364=0,0,        _xll.qDateNext($O363,V$17,"M",TRUE,Currency1))</f>
        <v>0</v>
      </c>
      <c r="W363" s="699">
        <f>IF($O364=0,0,        _xll.qDateNext($O363,W$17,"M",TRUE,Currency1))</f>
        <v>0</v>
      </c>
      <c r="X363" s="699">
        <f>IF($O364=0,0,        _xll.qDateNext($O363,X$17,"M",TRUE,Currency1))</f>
        <v>0</v>
      </c>
      <c r="Y363" s="699">
        <f>IF($O364=0,0,        _xll.qDateNext($O363,Y$17,"M",TRUE,Currency1))</f>
        <v>0</v>
      </c>
      <c r="Z363" s="703">
        <f>IF($O364=0,0,           IF(FRM,_xll.qGetFwdRate(Z$14,$O363,R363,"T",DCC_Leg1_Float),_xll.qGetFwdRate(Z$14,$O363,$O364,"T",DCC_Leg1_Float)))</f>
        <v>0</v>
      </c>
      <c r="AA363" s="703">
        <f>IF($O364=0,0,           IF(FRM,_xll.qGetFwdRate(AA$14,$O363,S363,"T",DCC_Leg1_Float),_xll.qGetFwdRate(AA$14,$O363,$O364,"T",DCC_Leg1_Float)))</f>
        <v>0</v>
      </c>
      <c r="AB363" s="703">
        <f t="shared" si="73"/>
        <v>0</v>
      </c>
      <c r="AC363" s="703">
        <f>IF($O364=0,0,           IF(FRM,_xll.qGetFwdRate(AC$14,$O363,U363,"T",DCC_Leg1_Float),_xll.qGetFwdRate(AC$14,$O363,$O364,"T",DCC_Leg1_Float)))</f>
        <v>0</v>
      </c>
      <c r="AD363" s="703">
        <f t="shared" si="78"/>
        <v>0</v>
      </c>
      <c r="AE363" s="703">
        <f t="shared" si="79"/>
        <v>0</v>
      </c>
      <c r="AF363" s="703">
        <f>IF($O364=0,0,           IF(FRM,_xll.qGetFwdRate(AF$14,$O363,X363,"T",DCC_Leg1_Float),_xll.qGetFwdRate(AF$14,$O363,$O364,"T",DCC_Leg1_Float)))</f>
        <v>0</v>
      </c>
      <c r="AG363" s="703">
        <f>IF($O364=0,0,           IF(FRM,_xll.qGetFwdRate(AG$14,$O363,Y363,"T",DCC_Leg1_Float),_xll.qGetFwdRate(AG$14,$O363,$O364,"T",DCC_Leg1_Float)))</f>
        <v>0</v>
      </c>
      <c r="AH363" s="685">
        <v>0</v>
      </c>
      <c r="AI363" s="667"/>
      <c r="AJ363" s="670">
        <f>IF(O364=0,0,             IF(ISNUMBER(AI363),AI363,             IF(ISTEXT(AI363),INDEX(Z363:AG363,MATCH(AI363,$Z$17:$AG$17,0)),           IF(AH363="INT",_xll.qInterp(O364,R363:Y363,Z363:AG363),       INDEX(Z363:AG363,MATCH(AH363,$Z$17:$AG$17,0))))))</f>
        <v>0</v>
      </c>
      <c r="AK363" s="732">
        <v>20</v>
      </c>
      <c r="AL363" s="721">
        <f t="shared" si="74"/>
        <v>0</v>
      </c>
      <c r="AM363" s="284">
        <f>IF($O364,_xll.qDateYears($O363,$O364,DCC_Leg1_Fixed),0)</f>
        <v>0</v>
      </c>
      <c r="AN363" s="284">
        <f>IF($O364,_xll.qDateYears($O363,$O364,DCC_Leg1_Float),0)</f>
        <v>0</v>
      </c>
      <c r="AP363" s="350">
        <f t="shared" si="80"/>
        <v>0</v>
      </c>
      <c r="AQ363" s="375">
        <f>IF(GenType_1a="Fixed",GenRate_1a%*$AL362*AM362,          IF(GenType_1a="Float",$AL362*(_xll.qGetFwdRate($D$18,$O362,$O363,"T",DCC_Leg1_Float)%+GenRate_1a%%)*$AN362,        IF(GenType_1a="bp (Fixed)",GenRate_1a%%*$AM362*$AL362,   IF(GenType_1a="bp (Float)",GenRate_1a%%*$AL362*$AN362,0))))</f>
        <v>0</v>
      </c>
      <c r="AR363" s="561"/>
      <c r="AT363" s="341">
        <f t="shared" si="84"/>
        <v>0</v>
      </c>
      <c r="AV363" s="356"/>
      <c r="AW363" s="122">
        <v>0</v>
      </c>
      <c r="AX363" s="128">
        <f t="shared" si="75"/>
        <v>0</v>
      </c>
      <c r="AY363" s="357">
        <v>0</v>
      </c>
      <c r="AZ363" s="699">
        <f>IF($AW364=0,0,        _xll.qDateNext($AW363,AZ$17,"M",TRUE,Currency2))</f>
        <v>0</v>
      </c>
      <c r="BA363" s="699">
        <f>IF($AW364=0,0,        _xll.qDateNext($AW363,BA$17,"M",TRUE,Currency2))</f>
        <v>0</v>
      </c>
      <c r="BB363" s="699">
        <f>IF($AW364=0,0,        _xll.qDateNext($AW363,BB$17,"M",TRUE,Currency2))</f>
        <v>0</v>
      </c>
      <c r="BC363" s="699">
        <f>IF($AW364=0,0,        _xll.qDateNext($AW363,BC$17,"M",TRUE,Currency2))</f>
        <v>0</v>
      </c>
      <c r="BD363" s="699">
        <f>IF($AW364=0,0,        _xll.qDateNext($AW363,BD$17,"M",TRUE,Currency2))</f>
        <v>0</v>
      </c>
      <c r="BE363" s="699">
        <f>IF($AW364=0,0,        _xll.qDateNext($AW363,BE$17,"M",TRUE,Currency2))</f>
        <v>0</v>
      </c>
      <c r="BF363" s="699">
        <f>IF($AW364=0,0,        _xll.qDateNext($AW363,BF$17,"M",TRUE,Currency2))</f>
        <v>0</v>
      </c>
      <c r="BG363" s="699">
        <f>IF($AW364=0,0,        _xll.qDateNext($AW363,BG$17,"M",TRUE,Currency2))</f>
        <v>0</v>
      </c>
      <c r="BH363" s="703">
        <v>0</v>
      </c>
      <c r="BI363" s="703">
        <v>0</v>
      </c>
      <c r="BJ363" s="703">
        <v>0</v>
      </c>
      <c r="BK363" s="703">
        <v>0</v>
      </c>
      <c r="BL363" s="703">
        <f t="shared" si="81"/>
        <v>0</v>
      </c>
      <c r="BM363" s="703">
        <f t="shared" si="82"/>
        <v>0</v>
      </c>
      <c r="BN363" s="703">
        <v>0</v>
      </c>
      <c r="BO363" s="703">
        <v>0</v>
      </c>
      <c r="BP363" s="685">
        <v>0</v>
      </c>
      <c r="BQ363" s="667"/>
      <c r="BR363" s="670">
        <f>IF(AW364=0,0,             IF(ISNUMBER(BQ363),BQ363,             IF(ISTEXT(BQ363),INDEX(BH363:BO363,MATCH(BQ363,$BH$17:$BO$17,0)),           IF(BP363="INT",_xll.qInterp(AW364,AZ363:BG363,BH363:BO363),       INDEX(BH363:BO363,MATCH(BP363,$BH$17:$BO$17,0))))))</f>
        <v>0</v>
      </c>
      <c r="BS363" s="731">
        <f t="shared" si="76"/>
        <v>0</v>
      </c>
      <c r="BT363" s="406">
        <f t="shared" si="77"/>
        <v>0</v>
      </c>
      <c r="BU363" s="284">
        <f>IF($AW364,_xll.qDateYears($AW363,$AW364,DCC_Leg2_Fixed),0)</f>
        <v>0</v>
      </c>
      <c r="BV363" s="284">
        <f>IF($AW364,_xll.qDateYears($AW363,$AW364,DCC_Leg2_Float),0)</f>
        <v>0</v>
      </c>
      <c r="BX363" s="350">
        <f t="shared" si="83"/>
        <v>0</v>
      </c>
      <c r="BY363" s="375">
        <f>IF(GenType_2a="Fixed",GenRate_2a%*$BT362*BU362,          IF(GenType_2a="Float",$BT362*(_xll.qGetFwdRate($J$18,$AW362,$AW363,"T",DCC_Leg2_Float)%+GenRate_2a%%)*$BV362,        IF(GenType_2a="bp (Fixed)",GenRate_2a%%*$BU362*$BT362,   IF(GenType_2a="bp (Float)",GenRate_2a%%*$BT362*$BV362,0))))</f>
        <v>0</v>
      </c>
      <c r="BZ363" s="561"/>
      <c r="CB363" s="341">
        <f t="shared" si="85"/>
        <v>0</v>
      </c>
      <c r="CC363" s="563"/>
      <c r="CD363" s="356"/>
      <c r="CE363" s="341">
        <v>0</v>
      </c>
      <c r="CF363" s="563"/>
      <c r="CG363" s="356"/>
    </row>
    <row r="364" spans="15:85">
      <c r="O364" s="122">
        <v>0</v>
      </c>
      <c r="P364" s="128">
        <f t="shared" si="72"/>
        <v>0</v>
      </c>
      <c r="Q364" s="126">
        <v>0</v>
      </c>
      <c r="R364" s="699">
        <f>IF($O365=0,0,        _xll.qDateNext($O364,R$17,"M",TRUE,Currency1))</f>
        <v>0</v>
      </c>
      <c r="S364" s="699">
        <f>IF($O365=0,0,        _xll.qDateNext($O364,S$17,"M",TRUE,Currency1))</f>
        <v>0</v>
      </c>
      <c r="T364" s="699">
        <f>IF($O365=0,0,        _xll.qDateNext($O364,T$17,"M",TRUE,Currency1))</f>
        <v>0</v>
      </c>
      <c r="U364" s="699">
        <f>IF($O365=0,0,        _xll.qDateNext($O364,U$17,"M",TRUE,Currency1))</f>
        <v>0</v>
      </c>
      <c r="V364" s="699">
        <f>IF($O365=0,0,        _xll.qDateNext($O364,V$17,"M",TRUE,Currency1))</f>
        <v>0</v>
      </c>
      <c r="W364" s="699">
        <f>IF($O365=0,0,        _xll.qDateNext($O364,W$17,"M",TRUE,Currency1))</f>
        <v>0</v>
      </c>
      <c r="X364" s="699">
        <f>IF($O365=0,0,        _xll.qDateNext($O364,X$17,"M",TRUE,Currency1))</f>
        <v>0</v>
      </c>
      <c r="Y364" s="699">
        <f>IF($O365=0,0,        _xll.qDateNext($O364,Y$17,"M",TRUE,Currency1))</f>
        <v>0</v>
      </c>
      <c r="Z364" s="703">
        <f>IF($O365=0,0,           IF(FRM,_xll.qGetFwdRate(Z$14,$O364,R364,"T",DCC_Leg1_Float),_xll.qGetFwdRate(Z$14,$O364,$O365,"T",DCC_Leg1_Float)))</f>
        <v>0</v>
      </c>
      <c r="AA364" s="703">
        <f>IF($O365=0,0,           IF(FRM,_xll.qGetFwdRate(AA$14,$O364,S364,"T",DCC_Leg1_Float),_xll.qGetFwdRate(AA$14,$O364,$O365,"T",DCC_Leg1_Float)))</f>
        <v>0</v>
      </c>
      <c r="AB364" s="703">
        <f t="shared" si="73"/>
        <v>0</v>
      </c>
      <c r="AC364" s="703">
        <f>IF($O365=0,0,           IF(FRM,_xll.qGetFwdRate(AC$14,$O364,U364,"T",DCC_Leg1_Float),_xll.qGetFwdRate(AC$14,$O364,$O365,"T",DCC_Leg1_Float)))</f>
        <v>0</v>
      </c>
      <c r="AD364" s="703">
        <f t="shared" si="78"/>
        <v>0</v>
      </c>
      <c r="AE364" s="703">
        <f t="shared" si="79"/>
        <v>0</v>
      </c>
      <c r="AF364" s="703">
        <f>IF($O365=0,0,           IF(FRM,_xll.qGetFwdRate(AF$14,$O364,X364,"T",DCC_Leg1_Float),_xll.qGetFwdRate(AF$14,$O364,$O365,"T",DCC_Leg1_Float)))</f>
        <v>0</v>
      </c>
      <c r="AG364" s="703">
        <f>IF($O365=0,0,           IF(FRM,_xll.qGetFwdRate(AG$14,$O364,Y364,"T",DCC_Leg1_Float),_xll.qGetFwdRate(AG$14,$O364,$O365,"T",DCC_Leg1_Float)))</f>
        <v>0</v>
      </c>
      <c r="AH364" s="685">
        <v>0</v>
      </c>
      <c r="AI364" s="667"/>
      <c r="AJ364" s="670">
        <f>IF(O365=0,0,             IF(ISNUMBER(AI364),AI364,             IF(ISTEXT(AI364),INDEX(Z364:AG364,MATCH(AI364,$Z$17:$AG$17,0)),           IF(AH364="INT",_xll.qInterp(O365,R364:Y364,Z364:AG364),       INDEX(Z364:AG364,MATCH(AH364,$Z$17:$AG$17,0))))))</f>
        <v>0</v>
      </c>
      <c r="AK364" s="732">
        <v>20</v>
      </c>
      <c r="AL364" s="721">
        <f t="shared" si="74"/>
        <v>0</v>
      </c>
      <c r="AM364" s="284">
        <f>IF($O365,_xll.qDateYears($O364,$O365,DCC_Leg1_Fixed),0)</f>
        <v>0</v>
      </c>
      <c r="AN364" s="284">
        <f>IF($O365,_xll.qDateYears($O364,$O365,DCC_Leg1_Float),0)</f>
        <v>0</v>
      </c>
      <c r="AP364" s="350">
        <f t="shared" si="80"/>
        <v>0</v>
      </c>
      <c r="AQ364" s="375">
        <f>IF(GenType_1a="Fixed",GenRate_1a%*$AL363*AM363,          IF(GenType_1a="Float",$AL363*(_xll.qGetFwdRate($D$18,$O363,$O364,"T",DCC_Leg1_Float)%+GenRate_1a%%)*$AN363,        IF(GenType_1a="bp (Fixed)",GenRate_1a%%*$AM363*$AL363,   IF(GenType_1a="bp (Float)",GenRate_1a%%*$AL363*$AN363,0))))</f>
        <v>0</v>
      </c>
      <c r="AR364" s="561"/>
      <c r="AT364" s="341">
        <f t="shared" si="84"/>
        <v>0</v>
      </c>
      <c r="AV364" s="356"/>
      <c r="AW364" s="122">
        <v>0</v>
      </c>
      <c r="AX364" s="128">
        <f t="shared" si="75"/>
        <v>0</v>
      </c>
      <c r="AY364" s="357">
        <v>0</v>
      </c>
      <c r="AZ364" s="699">
        <f>IF($AW365=0,0,        _xll.qDateNext($AW364,AZ$17,"M",TRUE,Currency2))</f>
        <v>0</v>
      </c>
      <c r="BA364" s="699">
        <f>IF($AW365=0,0,        _xll.qDateNext($AW364,BA$17,"M",TRUE,Currency2))</f>
        <v>0</v>
      </c>
      <c r="BB364" s="699">
        <f>IF($AW365=0,0,        _xll.qDateNext($AW364,BB$17,"M",TRUE,Currency2))</f>
        <v>0</v>
      </c>
      <c r="BC364" s="699">
        <f>IF($AW365=0,0,        _xll.qDateNext($AW364,BC$17,"M",TRUE,Currency2))</f>
        <v>0</v>
      </c>
      <c r="BD364" s="699">
        <f>IF($AW365=0,0,        _xll.qDateNext($AW364,BD$17,"M",TRUE,Currency2))</f>
        <v>0</v>
      </c>
      <c r="BE364" s="699">
        <f>IF($AW365=0,0,        _xll.qDateNext($AW364,BE$17,"M",TRUE,Currency2))</f>
        <v>0</v>
      </c>
      <c r="BF364" s="699">
        <f>IF($AW365=0,0,        _xll.qDateNext($AW364,BF$17,"M",TRUE,Currency2))</f>
        <v>0</v>
      </c>
      <c r="BG364" s="699">
        <f>IF($AW365=0,0,        _xll.qDateNext($AW364,BG$17,"M",TRUE,Currency2))</f>
        <v>0</v>
      </c>
      <c r="BH364" s="703">
        <v>0</v>
      </c>
      <c r="BI364" s="703">
        <v>0</v>
      </c>
      <c r="BJ364" s="703">
        <v>0</v>
      </c>
      <c r="BK364" s="703">
        <v>0</v>
      </c>
      <c r="BL364" s="703">
        <f t="shared" si="81"/>
        <v>0</v>
      </c>
      <c r="BM364" s="703">
        <f t="shared" si="82"/>
        <v>0</v>
      </c>
      <c r="BN364" s="703">
        <v>0</v>
      </c>
      <c r="BO364" s="703">
        <v>0</v>
      </c>
      <c r="BP364" s="685">
        <v>0</v>
      </c>
      <c r="BQ364" s="667"/>
      <c r="BR364" s="670">
        <f>IF(AW365=0,0,             IF(ISNUMBER(BQ364),BQ364,             IF(ISTEXT(BQ364),INDEX(BH364:BO364,MATCH(BQ364,$BH$17:$BO$17,0)),           IF(BP364="INT",_xll.qInterp(AW365,AZ364:BG364,BH364:BO364),       INDEX(BH364:BO364,MATCH(BP364,$BH$17:$BO$17,0))))))</f>
        <v>0</v>
      </c>
      <c r="BS364" s="731">
        <f t="shared" si="76"/>
        <v>0</v>
      </c>
      <c r="BT364" s="406">
        <f t="shared" si="77"/>
        <v>0</v>
      </c>
      <c r="BU364" s="284">
        <f>IF($AW365,_xll.qDateYears($AW364,$AW365,DCC_Leg2_Fixed),0)</f>
        <v>0</v>
      </c>
      <c r="BV364" s="284">
        <f>IF($AW365,_xll.qDateYears($AW364,$AW365,DCC_Leg2_Float),0)</f>
        <v>0</v>
      </c>
      <c r="BX364" s="350">
        <f t="shared" si="83"/>
        <v>0</v>
      </c>
      <c r="BY364" s="375">
        <f>IF(GenType_2a="Fixed",GenRate_2a%*$BT363*BU363,          IF(GenType_2a="Float",$BT363*(_xll.qGetFwdRate($J$18,$AW363,$AW364,"T",DCC_Leg2_Float)%+GenRate_2a%%)*$BV363,        IF(GenType_2a="bp (Fixed)",GenRate_2a%%*$BU363*$BT363,   IF(GenType_2a="bp (Float)",GenRate_2a%%*$BT363*$BV363,0))))</f>
        <v>0</v>
      </c>
      <c r="BZ364" s="561"/>
      <c r="CB364" s="341">
        <f t="shared" si="85"/>
        <v>0</v>
      </c>
      <c r="CC364" s="563"/>
      <c r="CD364" s="356"/>
      <c r="CE364" s="341">
        <v>0</v>
      </c>
      <c r="CF364" s="563"/>
      <c r="CG364" s="356"/>
    </row>
    <row r="365" spans="15:85">
      <c r="O365" s="122">
        <v>0</v>
      </c>
      <c r="P365" s="128">
        <f t="shared" si="72"/>
        <v>0</v>
      </c>
      <c r="Q365" s="126">
        <v>0</v>
      </c>
      <c r="R365" s="699">
        <f>IF($O366=0,0,        _xll.qDateNext($O365,R$17,"M",TRUE,Currency1))</f>
        <v>0</v>
      </c>
      <c r="S365" s="699">
        <f>IF($O366=0,0,        _xll.qDateNext($O365,S$17,"M",TRUE,Currency1))</f>
        <v>0</v>
      </c>
      <c r="T365" s="699">
        <f>IF($O366=0,0,        _xll.qDateNext($O365,T$17,"M",TRUE,Currency1))</f>
        <v>0</v>
      </c>
      <c r="U365" s="699">
        <f>IF($O366=0,0,        _xll.qDateNext($O365,U$17,"M",TRUE,Currency1))</f>
        <v>0</v>
      </c>
      <c r="V365" s="699">
        <f>IF($O366=0,0,        _xll.qDateNext($O365,V$17,"M",TRUE,Currency1))</f>
        <v>0</v>
      </c>
      <c r="W365" s="699">
        <f>IF($O366=0,0,        _xll.qDateNext($O365,W$17,"M",TRUE,Currency1))</f>
        <v>0</v>
      </c>
      <c r="X365" s="699">
        <f>IF($O366=0,0,        _xll.qDateNext($O365,X$17,"M",TRUE,Currency1))</f>
        <v>0</v>
      </c>
      <c r="Y365" s="699">
        <f>IF($O366=0,0,        _xll.qDateNext($O365,Y$17,"M",TRUE,Currency1))</f>
        <v>0</v>
      </c>
      <c r="Z365" s="703">
        <f>IF($O366=0,0,           IF(FRM,_xll.qGetFwdRate(Z$14,$O365,R365,"T",DCC_Leg1_Float),_xll.qGetFwdRate(Z$14,$O365,$O366,"T",DCC_Leg1_Float)))</f>
        <v>0</v>
      </c>
      <c r="AA365" s="703">
        <f>IF($O366=0,0,           IF(FRM,_xll.qGetFwdRate(AA$14,$O365,S365,"T",DCC_Leg1_Float),_xll.qGetFwdRate(AA$14,$O365,$O366,"T",DCC_Leg1_Float)))</f>
        <v>0</v>
      </c>
      <c r="AB365" s="703">
        <f t="shared" si="73"/>
        <v>0</v>
      </c>
      <c r="AC365" s="703">
        <f>IF($O366=0,0,           IF(FRM,_xll.qGetFwdRate(AC$14,$O365,U365,"T",DCC_Leg1_Float),_xll.qGetFwdRate(AC$14,$O365,$O366,"T",DCC_Leg1_Float)))</f>
        <v>0</v>
      </c>
      <c r="AD365" s="703">
        <f t="shared" si="78"/>
        <v>0</v>
      </c>
      <c r="AE365" s="703">
        <f t="shared" si="79"/>
        <v>0</v>
      </c>
      <c r="AF365" s="703">
        <f>IF($O366=0,0,           IF(FRM,_xll.qGetFwdRate(AF$14,$O365,X365,"T",DCC_Leg1_Float),_xll.qGetFwdRate(AF$14,$O365,$O366,"T",DCC_Leg1_Float)))</f>
        <v>0</v>
      </c>
      <c r="AG365" s="703">
        <f>IF($O366=0,0,           IF(FRM,_xll.qGetFwdRate(AG$14,$O365,Y365,"T",DCC_Leg1_Float),_xll.qGetFwdRate(AG$14,$O365,$O366,"T",DCC_Leg1_Float)))</f>
        <v>0</v>
      </c>
      <c r="AH365" s="685">
        <v>0</v>
      </c>
      <c r="AI365" s="667"/>
      <c r="AJ365" s="670">
        <f>IF(O366=0,0,             IF(ISNUMBER(AI365),AI365,             IF(ISTEXT(AI365),INDEX(Z365:AG365,MATCH(AI365,$Z$17:$AG$17,0)),           IF(AH365="INT",_xll.qInterp(O366,R365:Y365,Z365:AG365),       INDEX(Z365:AG365,MATCH(AH365,$Z$17:$AG$17,0))))))</f>
        <v>0</v>
      </c>
      <c r="AK365" s="732">
        <v>20</v>
      </c>
      <c r="AL365" s="721">
        <f t="shared" si="74"/>
        <v>0</v>
      </c>
      <c r="AM365" s="284">
        <f>IF($O366,_xll.qDateYears($O365,$O366,DCC_Leg1_Fixed),0)</f>
        <v>0</v>
      </c>
      <c r="AN365" s="284">
        <f>IF($O366,_xll.qDateYears($O365,$O366,DCC_Leg1_Float),0)</f>
        <v>0</v>
      </c>
      <c r="AP365" s="350">
        <f t="shared" si="80"/>
        <v>0</v>
      </c>
      <c r="AQ365" s="375">
        <f>IF(GenType_1a="Fixed",GenRate_1a%*$AL364*AM364,          IF(GenType_1a="Float",$AL364*(_xll.qGetFwdRate($D$18,$O364,$O365,"T",DCC_Leg1_Float)%+GenRate_1a%%)*$AN364,        IF(GenType_1a="bp (Fixed)",GenRate_1a%%*$AM364*$AL364,   IF(GenType_1a="bp (Float)",GenRate_1a%%*$AL364*$AN364,0))))</f>
        <v>0</v>
      </c>
      <c r="AR365" s="561"/>
      <c r="AT365" s="341">
        <f t="shared" si="84"/>
        <v>0</v>
      </c>
      <c r="AV365" s="356"/>
      <c r="AW365" s="122">
        <v>0</v>
      </c>
      <c r="AX365" s="128">
        <f t="shared" si="75"/>
        <v>0</v>
      </c>
      <c r="AY365" s="357">
        <v>0</v>
      </c>
      <c r="AZ365" s="699">
        <f>IF($AW366=0,0,        _xll.qDateNext($AW365,AZ$17,"M",TRUE,Currency2))</f>
        <v>0</v>
      </c>
      <c r="BA365" s="699">
        <f>IF($AW366=0,0,        _xll.qDateNext($AW365,BA$17,"M",TRUE,Currency2))</f>
        <v>0</v>
      </c>
      <c r="BB365" s="699">
        <f>IF($AW366=0,0,        _xll.qDateNext($AW365,BB$17,"M",TRUE,Currency2))</f>
        <v>0</v>
      </c>
      <c r="BC365" s="699">
        <f>IF($AW366=0,0,        _xll.qDateNext($AW365,BC$17,"M",TRUE,Currency2))</f>
        <v>0</v>
      </c>
      <c r="BD365" s="699">
        <f>IF($AW366=0,0,        _xll.qDateNext($AW365,BD$17,"M",TRUE,Currency2))</f>
        <v>0</v>
      </c>
      <c r="BE365" s="699">
        <f>IF($AW366=0,0,        _xll.qDateNext($AW365,BE$17,"M",TRUE,Currency2))</f>
        <v>0</v>
      </c>
      <c r="BF365" s="699">
        <f>IF($AW366=0,0,        _xll.qDateNext($AW365,BF$17,"M",TRUE,Currency2))</f>
        <v>0</v>
      </c>
      <c r="BG365" s="699">
        <f>IF($AW366=0,0,        _xll.qDateNext($AW365,BG$17,"M",TRUE,Currency2))</f>
        <v>0</v>
      </c>
      <c r="BH365" s="703">
        <v>0</v>
      </c>
      <c r="BI365" s="703">
        <v>0</v>
      </c>
      <c r="BJ365" s="703">
        <v>0</v>
      </c>
      <c r="BK365" s="703">
        <v>0</v>
      </c>
      <c r="BL365" s="703">
        <f t="shared" si="81"/>
        <v>0</v>
      </c>
      <c r="BM365" s="703">
        <f t="shared" si="82"/>
        <v>0</v>
      </c>
      <c r="BN365" s="703">
        <v>0</v>
      </c>
      <c r="BO365" s="703">
        <v>0</v>
      </c>
      <c r="BP365" s="685">
        <v>0</v>
      </c>
      <c r="BQ365" s="667"/>
      <c r="BR365" s="670">
        <f>IF(AW366=0,0,             IF(ISNUMBER(BQ365),BQ365,             IF(ISTEXT(BQ365),INDEX(BH365:BO365,MATCH(BQ365,$BH$17:$BO$17,0)),           IF(BP365="INT",_xll.qInterp(AW366,AZ365:BG365,BH365:BO365),       INDEX(BH365:BO365,MATCH(BP365,$BH$17:$BO$17,0))))))</f>
        <v>0</v>
      </c>
      <c r="BS365" s="731">
        <f t="shared" si="76"/>
        <v>0</v>
      </c>
      <c r="BT365" s="406">
        <f t="shared" si="77"/>
        <v>0</v>
      </c>
      <c r="BU365" s="284">
        <f>IF($AW366,_xll.qDateYears($AW365,$AW366,DCC_Leg2_Fixed),0)</f>
        <v>0</v>
      </c>
      <c r="BV365" s="284">
        <f>IF($AW366,_xll.qDateYears($AW365,$AW366,DCC_Leg2_Float),0)</f>
        <v>0</v>
      </c>
      <c r="BX365" s="350">
        <f t="shared" si="83"/>
        <v>0</v>
      </c>
      <c r="BY365" s="375">
        <f>IF(GenType_2a="Fixed",GenRate_2a%*$BT364*BU364,          IF(GenType_2a="Float",$BT364*(_xll.qGetFwdRate($J$18,$AW364,$AW365,"T",DCC_Leg2_Float)%+GenRate_2a%%)*$BV364,        IF(GenType_2a="bp (Fixed)",GenRate_2a%%*$BU364*$BT364,   IF(GenType_2a="bp (Float)",GenRate_2a%%*$BT364*$BV364,0))))</f>
        <v>0</v>
      </c>
      <c r="BZ365" s="561"/>
      <c r="CB365" s="341">
        <f t="shared" si="85"/>
        <v>0</v>
      </c>
      <c r="CC365" s="563"/>
      <c r="CD365" s="356"/>
      <c r="CE365" s="341">
        <v>0</v>
      </c>
      <c r="CF365" s="563"/>
      <c r="CG365" s="356"/>
    </row>
    <row r="366" spans="15:85">
      <c r="O366" s="122">
        <v>0</v>
      </c>
      <c r="P366" s="128">
        <f t="shared" si="72"/>
        <v>0</v>
      </c>
      <c r="Q366" s="126">
        <v>0</v>
      </c>
      <c r="R366" s="699">
        <f>IF($O367=0,0,        _xll.qDateNext($O366,R$17,"M",TRUE,Currency1))</f>
        <v>0</v>
      </c>
      <c r="S366" s="699">
        <f>IF($O367=0,0,        _xll.qDateNext($O366,S$17,"M",TRUE,Currency1))</f>
        <v>0</v>
      </c>
      <c r="T366" s="699">
        <f>IF($O367=0,0,        _xll.qDateNext($O366,T$17,"M",TRUE,Currency1))</f>
        <v>0</v>
      </c>
      <c r="U366" s="699">
        <f>IF($O367=0,0,        _xll.qDateNext($O366,U$17,"M",TRUE,Currency1))</f>
        <v>0</v>
      </c>
      <c r="V366" s="699">
        <f>IF($O367=0,0,        _xll.qDateNext($O366,V$17,"M",TRUE,Currency1))</f>
        <v>0</v>
      </c>
      <c r="W366" s="699">
        <f>IF($O367=0,0,        _xll.qDateNext($O366,W$17,"M",TRUE,Currency1))</f>
        <v>0</v>
      </c>
      <c r="X366" s="699">
        <f>IF($O367=0,0,        _xll.qDateNext($O366,X$17,"M",TRUE,Currency1))</f>
        <v>0</v>
      </c>
      <c r="Y366" s="699">
        <f>IF($O367=0,0,        _xll.qDateNext($O366,Y$17,"M",TRUE,Currency1))</f>
        <v>0</v>
      </c>
      <c r="Z366" s="703">
        <f>IF($O367=0,0,           IF(FRM,_xll.qGetFwdRate(Z$14,$O366,R366,"T",DCC_Leg1_Float),_xll.qGetFwdRate(Z$14,$O366,$O367,"T",DCC_Leg1_Float)))</f>
        <v>0</v>
      </c>
      <c r="AA366" s="703">
        <f>IF($O367=0,0,           IF(FRM,_xll.qGetFwdRate(AA$14,$O366,S366,"T",DCC_Leg1_Float),_xll.qGetFwdRate(AA$14,$O366,$O367,"T",DCC_Leg1_Float)))</f>
        <v>0</v>
      </c>
      <c r="AB366" s="703">
        <f t="shared" si="73"/>
        <v>0</v>
      </c>
      <c r="AC366" s="703">
        <f>IF($O367=0,0,           IF(FRM,_xll.qGetFwdRate(AC$14,$O366,U366,"T",DCC_Leg1_Float),_xll.qGetFwdRate(AC$14,$O366,$O367,"T",DCC_Leg1_Float)))</f>
        <v>0</v>
      </c>
      <c r="AD366" s="703">
        <f t="shared" si="78"/>
        <v>0</v>
      </c>
      <c r="AE366" s="703">
        <f t="shared" si="79"/>
        <v>0</v>
      </c>
      <c r="AF366" s="703">
        <f>IF($O367=0,0,           IF(FRM,_xll.qGetFwdRate(AF$14,$O366,X366,"T",DCC_Leg1_Float),_xll.qGetFwdRate(AF$14,$O366,$O367,"T",DCC_Leg1_Float)))</f>
        <v>0</v>
      </c>
      <c r="AG366" s="703">
        <f>IF($O367=0,0,           IF(FRM,_xll.qGetFwdRate(AG$14,$O366,Y366,"T",DCC_Leg1_Float),_xll.qGetFwdRate(AG$14,$O366,$O367,"T",DCC_Leg1_Float)))</f>
        <v>0</v>
      </c>
      <c r="AH366" s="685">
        <v>0</v>
      </c>
      <c r="AI366" s="667"/>
      <c r="AJ366" s="670">
        <f>IF(O367=0,0,             IF(ISNUMBER(AI366),AI366,             IF(ISTEXT(AI366),INDEX(Z366:AG366,MATCH(AI366,$Z$17:$AG$17,0)),           IF(AH366="INT",_xll.qInterp(O367,R366:Y366,Z366:AG366),       INDEX(Z366:AG366,MATCH(AH366,$Z$17:$AG$17,0))))))</f>
        <v>0</v>
      </c>
      <c r="AK366" s="732">
        <v>20</v>
      </c>
      <c r="AL366" s="721">
        <f t="shared" si="74"/>
        <v>0</v>
      </c>
      <c r="AM366" s="284">
        <f>IF($O367,_xll.qDateYears($O366,$O367,DCC_Leg1_Fixed),0)</f>
        <v>0</v>
      </c>
      <c r="AN366" s="284">
        <f>IF($O367,_xll.qDateYears($O366,$O367,DCC_Leg1_Float),0)</f>
        <v>0</v>
      </c>
      <c r="AP366" s="350">
        <f t="shared" si="80"/>
        <v>0</v>
      </c>
      <c r="AQ366" s="375">
        <f>IF(GenType_1a="Fixed",GenRate_1a%*$AL365*AM365,          IF(GenType_1a="Float",$AL365*(_xll.qGetFwdRate($D$18,$O365,$O366,"T",DCC_Leg1_Float)%+GenRate_1a%%)*$AN365,        IF(GenType_1a="bp (Fixed)",GenRate_1a%%*$AM365*$AL365,   IF(GenType_1a="bp (Float)",GenRate_1a%%*$AL365*$AN365,0))))</f>
        <v>0</v>
      </c>
      <c r="AR366" s="561"/>
      <c r="AT366" s="341">
        <f t="shared" si="84"/>
        <v>0</v>
      </c>
      <c r="AV366" s="356"/>
      <c r="AW366" s="122">
        <v>0</v>
      </c>
      <c r="AX366" s="128">
        <f t="shared" si="75"/>
        <v>0</v>
      </c>
      <c r="AY366" s="357">
        <v>0</v>
      </c>
      <c r="AZ366" s="699">
        <f>IF($AW367=0,0,        _xll.qDateNext($AW366,AZ$17,"M",TRUE,Currency2))</f>
        <v>0</v>
      </c>
      <c r="BA366" s="699">
        <f>IF($AW367=0,0,        _xll.qDateNext($AW366,BA$17,"M",TRUE,Currency2))</f>
        <v>0</v>
      </c>
      <c r="BB366" s="699">
        <f>IF($AW367=0,0,        _xll.qDateNext($AW366,BB$17,"M",TRUE,Currency2))</f>
        <v>0</v>
      </c>
      <c r="BC366" s="699">
        <f>IF($AW367=0,0,        _xll.qDateNext($AW366,BC$17,"M",TRUE,Currency2))</f>
        <v>0</v>
      </c>
      <c r="BD366" s="699">
        <f>IF($AW367=0,0,        _xll.qDateNext($AW366,BD$17,"M",TRUE,Currency2))</f>
        <v>0</v>
      </c>
      <c r="BE366" s="699">
        <f>IF($AW367=0,0,        _xll.qDateNext($AW366,BE$17,"M",TRUE,Currency2))</f>
        <v>0</v>
      </c>
      <c r="BF366" s="699">
        <f>IF($AW367=0,0,        _xll.qDateNext($AW366,BF$17,"M",TRUE,Currency2))</f>
        <v>0</v>
      </c>
      <c r="BG366" s="699">
        <f>IF($AW367=0,0,        _xll.qDateNext($AW366,BG$17,"M",TRUE,Currency2))</f>
        <v>0</v>
      </c>
      <c r="BH366" s="703">
        <v>0</v>
      </c>
      <c r="BI366" s="703">
        <v>0</v>
      </c>
      <c r="BJ366" s="703">
        <v>0</v>
      </c>
      <c r="BK366" s="703">
        <v>0</v>
      </c>
      <c r="BL366" s="703">
        <f t="shared" si="81"/>
        <v>0</v>
      </c>
      <c r="BM366" s="703">
        <f t="shared" si="82"/>
        <v>0</v>
      </c>
      <c r="BN366" s="703">
        <v>0</v>
      </c>
      <c r="BO366" s="703">
        <v>0</v>
      </c>
      <c r="BP366" s="685">
        <v>0</v>
      </c>
      <c r="BQ366" s="667"/>
      <c r="BR366" s="670">
        <f>IF(AW367=0,0,             IF(ISNUMBER(BQ366),BQ366,             IF(ISTEXT(BQ366),INDEX(BH366:BO366,MATCH(BQ366,$BH$17:$BO$17,0)),           IF(BP366="INT",_xll.qInterp(AW367,AZ366:BG366,BH366:BO366),       INDEX(BH366:BO366,MATCH(BP366,$BH$17:$BO$17,0))))))</f>
        <v>0</v>
      </c>
      <c r="BS366" s="731">
        <f t="shared" si="76"/>
        <v>0</v>
      </c>
      <c r="BT366" s="406">
        <f t="shared" si="77"/>
        <v>0</v>
      </c>
      <c r="BU366" s="284">
        <f>IF($AW367,_xll.qDateYears($AW366,$AW367,DCC_Leg2_Fixed),0)</f>
        <v>0</v>
      </c>
      <c r="BV366" s="284">
        <f>IF($AW367,_xll.qDateYears($AW366,$AW367,DCC_Leg2_Float),0)</f>
        <v>0</v>
      </c>
      <c r="BX366" s="350">
        <f t="shared" si="83"/>
        <v>0</v>
      </c>
      <c r="BY366" s="375">
        <f>IF(GenType_2a="Fixed",GenRate_2a%*$BT365*BU365,          IF(GenType_2a="Float",$BT365*(_xll.qGetFwdRate($J$18,$AW365,$AW366,"T",DCC_Leg2_Float)%+GenRate_2a%%)*$BV365,        IF(GenType_2a="bp (Fixed)",GenRate_2a%%*$BU365*$BT365,   IF(GenType_2a="bp (Float)",GenRate_2a%%*$BT365*$BV365,0))))</f>
        <v>0</v>
      </c>
      <c r="BZ366" s="561"/>
      <c r="CB366" s="341">
        <f t="shared" si="85"/>
        <v>0</v>
      </c>
      <c r="CC366" s="563"/>
      <c r="CD366" s="356"/>
      <c r="CE366" s="341">
        <v>0</v>
      </c>
      <c r="CF366" s="563"/>
      <c r="CG366" s="356"/>
    </row>
    <row r="367" spans="15:85">
      <c r="O367" s="122">
        <v>0</v>
      </c>
      <c r="P367" s="128">
        <f t="shared" si="72"/>
        <v>0</v>
      </c>
      <c r="Q367" s="126">
        <v>0</v>
      </c>
      <c r="R367" s="699">
        <f>IF($O368=0,0,        _xll.qDateNext($O367,R$17,"M",TRUE,Currency1))</f>
        <v>0</v>
      </c>
      <c r="S367" s="699">
        <f>IF($O368=0,0,        _xll.qDateNext($O367,S$17,"M",TRUE,Currency1))</f>
        <v>0</v>
      </c>
      <c r="T367" s="699">
        <f>IF($O368=0,0,        _xll.qDateNext($O367,T$17,"M",TRUE,Currency1))</f>
        <v>0</v>
      </c>
      <c r="U367" s="699">
        <f>IF($O368=0,0,        _xll.qDateNext($O367,U$17,"M",TRUE,Currency1))</f>
        <v>0</v>
      </c>
      <c r="V367" s="699">
        <f>IF($O368=0,0,        _xll.qDateNext($O367,V$17,"M",TRUE,Currency1))</f>
        <v>0</v>
      </c>
      <c r="W367" s="699">
        <f>IF($O368=0,0,        _xll.qDateNext($O367,W$17,"M",TRUE,Currency1))</f>
        <v>0</v>
      </c>
      <c r="X367" s="699">
        <f>IF($O368=0,0,        _xll.qDateNext($O367,X$17,"M",TRUE,Currency1))</f>
        <v>0</v>
      </c>
      <c r="Y367" s="699">
        <f>IF($O368=0,0,        _xll.qDateNext($O367,Y$17,"M",TRUE,Currency1))</f>
        <v>0</v>
      </c>
      <c r="Z367" s="703">
        <f>IF($O368=0,0,           IF(FRM,_xll.qGetFwdRate(Z$14,$O367,R367,"T",DCC_Leg1_Float),_xll.qGetFwdRate(Z$14,$O367,$O368,"T",DCC_Leg1_Float)))</f>
        <v>0</v>
      </c>
      <c r="AA367" s="703">
        <f>IF($O368=0,0,           IF(FRM,_xll.qGetFwdRate(AA$14,$O367,S367,"T",DCC_Leg1_Float),_xll.qGetFwdRate(AA$14,$O367,$O368,"T",DCC_Leg1_Float)))</f>
        <v>0</v>
      </c>
      <c r="AB367" s="703">
        <f t="shared" si="73"/>
        <v>0</v>
      </c>
      <c r="AC367" s="703">
        <f>IF($O368=0,0,           IF(FRM,_xll.qGetFwdRate(AC$14,$O367,U367,"T",DCC_Leg1_Float),_xll.qGetFwdRate(AC$14,$O367,$O368,"T",DCC_Leg1_Float)))</f>
        <v>0</v>
      </c>
      <c r="AD367" s="703">
        <f t="shared" si="78"/>
        <v>0</v>
      </c>
      <c r="AE367" s="703">
        <f t="shared" si="79"/>
        <v>0</v>
      </c>
      <c r="AF367" s="703">
        <f>IF($O368=0,0,           IF(FRM,_xll.qGetFwdRate(AF$14,$O367,X367,"T",DCC_Leg1_Float),_xll.qGetFwdRate(AF$14,$O367,$O368,"T",DCC_Leg1_Float)))</f>
        <v>0</v>
      </c>
      <c r="AG367" s="703">
        <f>IF($O368=0,0,           IF(FRM,_xll.qGetFwdRate(AG$14,$O367,Y367,"T",DCC_Leg1_Float),_xll.qGetFwdRate(AG$14,$O367,$O368,"T",DCC_Leg1_Float)))</f>
        <v>0</v>
      </c>
      <c r="AH367" s="685">
        <v>0</v>
      </c>
      <c r="AI367" s="667"/>
      <c r="AJ367" s="670">
        <f>IF(O368=0,0,             IF(ISNUMBER(AI367),AI367,             IF(ISTEXT(AI367),INDEX(Z367:AG367,MATCH(AI367,$Z$17:$AG$17,0)),           IF(AH367="INT",_xll.qInterp(O368,R367:Y367,Z367:AG367),       INDEX(Z367:AG367,MATCH(AH367,$Z$17:$AG$17,0))))))</f>
        <v>0</v>
      </c>
      <c r="AK367" s="732">
        <v>20</v>
      </c>
      <c r="AL367" s="721">
        <f t="shared" si="74"/>
        <v>0</v>
      </c>
      <c r="AM367" s="284">
        <f>IF($O368,_xll.qDateYears($O367,$O368,DCC_Leg1_Fixed),0)</f>
        <v>0</v>
      </c>
      <c r="AN367" s="284">
        <f>IF($O368,_xll.qDateYears($O367,$O368,DCC_Leg1_Float),0)</f>
        <v>0</v>
      </c>
      <c r="AP367" s="350">
        <f t="shared" si="80"/>
        <v>0</v>
      </c>
      <c r="AQ367" s="375">
        <f>IF(GenType_1a="Fixed",GenRate_1a%*$AL366*AM366,          IF(GenType_1a="Float",$AL366*(_xll.qGetFwdRate($D$18,$O366,$O367,"T",DCC_Leg1_Float)%+GenRate_1a%%)*$AN366,        IF(GenType_1a="bp (Fixed)",GenRate_1a%%*$AM366*$AL366,   IF(GenType_1a="bp (Float)",GenRate_1a%%*$AL366*$AN366,0))))</f>
        <v>0</v>
      </c>
      <c r="AR367" s="561"/>
      <c r="AT367" s="341">
        <f t="shared" si="84"/>
        <v>0</v>
      </c>
      <c r="AV367" s="356"/>
      <c r="AW367" s="122">
        <v>0</v>
      </c>
      <c r="AX367" s="128">
        <f t="shared" si="75"/>
        <v>0</v>
      </c>
      <c r="AY367" s="357">
        <v>0</v>
      </c>
      <c r="AZ367" s="699">
        <f>IF($AW368=0,0,        _xll.qDateNext($AW367,AZ$17,"M",TRUE,Currency2))</f>
        <v>0</v>
      </c>
      <c r="BA367" s="699">
        <f>IF($AW368=0,0,        _xll.qDateNext($AW367,BA$17,"M",TRUE,Currency2))</f>
        <v>0</v>
      </c>
      <c r="BB367" s="699">
        <f>IF($AW368=0,0,        _xll.qDateNext($AW367,BB$17,"M",TRUE,Currency2))</f>
        <v>0</v>
      </c>
      <c r="BC367" s="699">
        <f>IF($AW368=0,0,        _xll.qDateNext($AW367,BC$17,"M",TRUE,Currency2))</f>
        <v>0</v>
      </c>
      <c r="BD367" s="699">
        <f>IF($AW368=0,0,        _xll.qDateNext($AW367,BD$17,"M",TRUE,Currency2))</f>
        <v>0</v>
      </c>
      <c r="BE367" s="699">
        <f>IF($AW368=0,0,        _xll.qDateNext($AW367,BE$17,"M",TRUE,Currency2))</f>
        <v>0</v>
      </c>
      <c r="BF367" s="699">
        <f>IF($AW368=0,0,        _xll.qDateNext($AW367,BF$17,"M",TRUE,Currency2))</f>
        <v>0</v>
      </c>
      <c r="BG367" s="699">
        <f>IF($AW368=0,0,        _xll.qDateNext($AW367,BG$17,"M",TRUE,Currency2))</f>
        <v>0</v>
      </c>
      <c r="BH367" s="703">
        <v>0</v>
      </c>
      <c r="BI367" s="703">
        <v>0</v>
      </c>
      <c r="BJ367" s="703">
        <v>0</v>
      </c>
      <c r="BK367" s="703">
        <v>0</v>
      </c>
      <c r="BL367" s="703">
        <f t="shared" si="81"/>
        <v>0</v>
      </c>
      <c r="BM367" s="703">
        <f t="shared" si="82"/>
        <v>0</v>
      </c>
      <c r="BN367" s="703">
        <v>0</v>
      </c>
      <c r="BO367" s="703">
        <v>0</v>
      </c>
      <c r="BP367" s="685">
        <v>0</v>
      </c>
      <c r="BQ367" s="667"/>
      <c r="BR367" s="670">
        <f>IF(AW368=0,0,             IF(ISNUMBER(BQ367),BQ367,             IF(ISTEXT(BQ367),INDEX(BH367:BO367,MATCH(BQ367,$BH$17:$BO$17,0)),           IF(BP367="INT",_xll.qInterp(AW368,AZ367:BG367,BH367:BO367),       INDEX(BH367:BO367,MATCH(BP367,$BH$17:$BO$17,0))))))</f>
        <v>0</v>
      </c>
      <c r="BS367" s="731">
        <f t="shared" si="76"/>
        <v>0</v>
      </c>
      <c r="BT367" s="406">
        <f t="shared" si="77"/>
        <v>0</v>
      </c>
      <c r="BU367" s="284">
        <f>IF($AW368,_xll.qDateYears($AW367,$AW368,DCC_Leg2_Fixed),0)</f>
        <v>0</v>
      </c>
      <c r="BV367" s="284">
        <f>IF($AW368,_xll.qDateYears($AW367,$AW368,DCC_Leg2_Float),0)</f>
        <v>0</v>
      </c>
      <c r="BX367" s="350">
        <f t="shared" si="83"/>
        <v>0</v>
      </c>
      <c r="BY367" s="375">
        <f>IF(GenType_2a="Fixed",GenRate_2a%*$BT366*BU366,          IF(GenType_2a="Float",$BT366*(_xll.qGetFwdRate($J$18,$AW366,$AW367,"T",DCC_Leg2_Float)%+GenRate_2a%%)*$BV366,        IF(GenType_2a="bp (Fixed)",GenRate_2a%%*$BU366*$BT366,   IF(GenType_2a="bp (Float)",GenRate_2a%%*$BT366*$BV366,0))))</f>
        <v>0</v>
      </c>
      <c r="BZ367" s="561"/>
      <c r="CB367" s="341">
        <f t="shared" si="85"/>
        <v>0</v>
      </c>
      <c r="CC367" s="563"/>
      <c r="CD367" s="356"/>
      <c r="CE367" s="341">
        <v>0</v>
      </c>
      <c r="CF367" s="563"/>
      <c r="CG367" s="356"/>
    </row>
    <row r="368" spans="15:85">
      <c r="O368" s="122">
        <v>0</v>
      </c>
      <c r="P368" s="128">
        <f t="shared" si="72"/>
        <v>0</v>
      </c>
      <c r="Q368" s="126">
        <v>0</v>
      </c>
      <c r="R368" s="699">
        <f>IF($O369=0,0,        _xll.qDateNext($O368,R$17,"M",TRUE,Currency1))</f>
        <v>0</v>
      </c>
      <c r="S368" s="699">
        <f>IF($O369=0,0,        _xll.qDateNext($O368,S$17,"M",TRUE,Currency1))</f>
        <v>0</v>
      </c>
      <c r="T368" s="699">
        <f>IF($O369=0,0,        _xll.qDateNext($O368,T$17,"M",TRUE,Currency1))</f>
        <v>0</v>
      </c>
      <c r="U368" s="699">
        <f>IF($O369=0,0,        _xll.qDateNext($O368,U$17,"M",TRUE,Currency1))</f>
        <v>0</v>
      </c>
      <c r="V368" s="699">
        <f>IF($O369=0,0,        _xll.qDateNext($O368,V$17,"M",TRUE,Currency1))</f>
        <v>0</v>
      </c>
      <c r="W368" s="699">
        <f>IF($O369=0,0,        _xll.qDateNext($O368,W$17,"M",TRUE,Currency1))</f>
        <v>0</v>
      </c>
      <c r="X368" s="699">
        <f>IF($O369=0,0,        _xll.qDateNext($O368,X$17,"M",TRUE,Currency1))</f>
        <v>0</v>
      </c>
      <c r="Y368" s="699">
        <f>IF($O369=0,0,        _xll.qDateNext($O368,Y$17,"M",TRUE,Currency1))</f>
        <v>0</v>
      </c>
      <c r="Z368" s="703">
        <f>IF($O369=0,0,           IF(FRM,_xll.qGetFwdRate(Z$14,$O368,R368,"T",DCC_Leg1_Float),_xll.qGetFwdRate(Z$14,$O368,$O369,"T",DCC_Leg1_Float)))</f>
        <v>0</v>
      </c>
      <c r="AA368" s="703">
        <f>IF($O369=0,0,           IF(FRM,_xll.qGetFwdRate(AA$14,$O368,S368,"T",DCC_Leg1_Float),_xll.qGetFwdRate(AA$14,$O368,$O369,"T",DCC_Leg1_Float)))</f>
        <v>0</v>
      </c>
      <c r="AB368" s="703">
        <f t="shared" si="73"/>
        <v>0</v>
      </c>
      <c r="AC368" s="703">
        <f>IF($O369=0,0,           IF(FRM,_xll.qGetFwdRate(AC$14,$O368,U368,"T",DCC_Leg1_Float),_xll.qGetFwdRate(AC$14,$O368,$O369,"T",DCC_Leg1_Float)))</f>
        <v>0</v>
      </c>
      <c r="AD368" s="703">
        <f t="shared" si="78"/>
        <v>0</v>
      </c>
      <c r="AE368" s="703">
        <f t="shared" si="79"/>
        <v>0</v>
      </c>
      <c r="AF368" s="703">
        <f>IF($O369=0,0,           IF(FRM,_xll.qGetFwdRate(AF$14,$O368,X368,"T",DCC_Leg1_Float),_xll.qGetFwdRate(AF$14,$O368,$O369,"T",DCC_Leg1_Float)))</f>
        <v>0</v>
      </c>
      <c r="AG368" s="703">
        <f>IF($O369=0,0,           IF(FRM,_xll.qGetFwdRate(AG$14,$O368,Y368,"T",DCC_Leg1_Float),_xll.qGetFwdRate(AG$14,$O368,$O369,"T",DCC_Leg1_Float)))</f>
        <v>0</v>
      </c>
      <c r="AH368" s="685">
        <v>0</v>
      </c>
      <c r="AI368" s="667"/>
      <c r="AJ368" s="670">
        <f>IF(O369=0,0,             IF(ISNUMBER(AI368),AI368,             IF(ISTEXT(AI368),INDEX(Z368:AG368,MATCH(AI368,$Z$17:$AG$17,0)),           IF(AH368="INT",_xll.qInterp(O369,R368:Y368,Z368:AG368),       INDEX(Z368:AG368,MATCH(AH368,$Z$17:$AG$17,0))))))</f>
        <v>0</v>
      </c>
      <c r="AK368" s="732">
        <v>20</v>
      </c>
      <c r="AL368" s="721">
        <f t="shared" si="74"/>
        <v>0</v>
      </c>
      <c r="AM368" s="284">
        <f>IF($O369,_xll.qDateYears($O368,$O369,DCC_Leg1_Fixed),0)</f>
        <v>0</v>
      </c>
      <c r="AN368" s="284">
        <f>IF($O369,_xll.qDateYears($O368,$O369,DCC_Leg1_Float),0)</f>
        <v>0</v>
      </c>
      <c r="AP368" s="350">
        <f t="shared" si="80"/>
        <v>0</v>
      </c>
      <c r="AQ368" s="375">
        <f>IF(GenType_1a="Fixed",GenRate_1a%*$AL367*AM367,          IF(GenType_1a="Float",$AL367*(_xll.qGetFwdRate($D$18,$O367,$O368,"T",DCC_Leg1_Float)%+GenRate_1a%%)*$AN367,        IF(GenType_1a="bp (Fixed)",GenRate_1a%%*$AM367*$AL367,   IF(GenType_1a="bp (Float)",GenRate_1a%%*$AL367*$AN367,0))))</f>
        <v>0</v>
      </c>
      <c r="AR368" s="561"/>
      <c r="AT368" s="341">
        <f t="shared" si="84"/>
        <v>0</v>
      </c>
      <c r="AV368" s="356"/>
      <c r="AW368" s="122">
        <v>0</v>
      </c>
      <c r="AX368" s="128">
        <f t="shared" si="75"/>
        <v>0</v>
      </c>
      <c r="AY368" s="357">
        <v>0</v>
      </c>
      <c r="AZ368" s="699">
        <f>IF($AW369=0,0,        _xll.qDateNext($AW368,AZ$17,"M",TRUE,Currency2))</f>
        <v>0</v>
      </c>
      <c r="BA368" s="699">
        <f>IF($AW369=0,0,        _xll.qDateNext($AW368,BA$17,"M",TRUE,Currency2))</f>
        <v>0</v>
      </c>
      <c r="BB368" s="699">
        <f>IF($AW369=0,0,        _xll.qDateNext($AW368,BB$17,"M",TRUE,Currency2))</f>
        <v>0</v>
      </c>
      <c r="BC368" s="699">
        <f>IF($AW369=0,0,        _xll.qDateNext($AW368,BC$17,"M",TRUE,Currency2))</f>
        <v>0</v>
      </c>
      <c r="BD368" s="699">
        <f>IF($AW369=0,0,        _xll.qDateNext($AW368,BD$17,"M",TRUE,Currency2))</f>
        <v>0</v>
      </c>
      <c r="BE368" s="699">
        <f>IF($AW369=0,0,        _xll.qDateNext($AW368,BE$17,"M",TRUE,Currency2))</f>
        <v>0</v>
      </c>
      <c r="BF368" s="699">
        <f>IF($AW369=0,0,        _xll.qDateNext($AW368,BF$17,"M",TRUE,Currency2))</f>
        <v>0</v>
      </c>
      <c r="BG368" s="699">
        <f>IF($AW369=0,0,        _xll.qDateNext($AW368,BG$17,"M",TRUE,Currency2))</f>
        <v>0</v>
      </c>
      <c r="BH368" s="703">
        <v>0</v>
      </c>
      <c r="BI368" s="703">
        <v>0</v>
      </c>
      <c r="BJ368" s="703">
        <v>0</v>
      </c>
      <c r="BK368" s="703">
        <v>0</v>
      </c>
      <c r="BL368" s="703">
        <f t="shared" si="81"/>
        <v>0</v>
      </c>
      <c r="BM368" s="703">
        <f t="shared" si="82"/>
        <v>0</v>
      </c>
      <c r="BN368" s="703">
        <v>0</v>
      </c>
      <c r="BO368" s="703">
        <v>0</v>
      </c>
      <c r="BP368" s="685">
        <v>0</v>
      </c>
      <c r="BQ368" s="667"/>
      <c r="BR368" s="670">
        <f>IF(AW369=0,0,             IF(ISNUMBER(BQ368),BQ368,             IF(ISTEXT(BQ368),INDEX(BH368:BO368,MATCH(BQ368,$BH$17:$BO$17,0)),           IF(BP368="INT",_xll.qInterp(AW369,AZ368:BG368,BH368:BO368),       INDEX(BH368:BO368,MATCH(BP368,$BH$17:$BO$17,0))))))</f>
        <v>0</v>
      </c>
      <c r="BS368" s="731">
        <f t="shared" si="76"/>
        <v>0</v>
      </c>
      <c r="BT368" s="406">
        <f t="shared" si="77"/>
        <v>0</v>
      </c>
      <c r="BU368" s="284">
        <f>IF($AW369,_xll.qDateYears($AW368,$AW369,DCC_Leg2_Fixed),0)</f>
        <v>0</v>
      </c>
      <c r="BV368" s="284">
        <f>IF($AW369,_xll.qDateYears($AW368,$AW369,DCC_Leg2_Float),0)</f>
        <v>0</v>
      </c>
      <c r="BX368" s="350">
        <f t="shared" si="83"/>
        <v>0</v>
      </c>
      <c r="BY368" s="375">
        <f>IF(GenType_2a="Fixed",GenRate_2a%*$BT367*BU367,          IF(GenType_2a="Float",$BT367*(_xll.qGetFwdRate($J$18,$AW367,$AW368,"T",DCC_Leg2_Float)%+GenRate_2a%%)*$BV367,        IF(GenType_2a="bp (Fixed)",GenRate_2a%%*$BU367*$BT367,   IF(GenType_2a="bp (Float)",GenRate_2a%%*$BT367*$BV367,0))))</f>
        <v>0</v>
      </c>
      <c r="BZ368" s="561"/>
      <c r="CB368" s="341">
        <f t="shared" si="85"/>
        <v>0</v>
      </c>
      <c r="CC368" s="563"/>
      <c r="CD368" s="356"/>
      <c r="CE368" s="341">
        <v>0</v>
      </c>
      <c r="CF368" s="563"/>
      <c r="CG368" s="356"/>
    </row>
    <row r="369" spans="15:85">
      <c r="O369" s="122">
        <v>0</v>
      </c>
      <c r="P369" s="128">
        <f t="shared" si="72"/>
        <v>0</v>
      </c>
      <c r="Q369" s="126">
        <v>0</v>
      </c>
      <c r="R369" s="699">
        <f>IF($O370=0,0,        _xll.qDateNext($O369,R$17,"M",TRUE,Currency1))</f>
        <v>0</v>
      </c>
      <c r="S369" s="699">
        <f>IF($O370=0,0,        _xll.qDateNext($O369,S$17,"M",TRUE,Currency1))</f>
        <v>0</v>
      </c>
      <c r="T369" s="699">
        <f>IF($O370=0,0,        _xll.qDateNext($O369,T$17,"M",TRUE,Currency1))</f>
        <v>0</v>
      </c>
      <c r="U369" s="699">
        <f>IF($O370=0,0,        _xll.qDateNext($O369,U$17,"M",TRUE,Currency1))</f>
        <v>0</v>
      </c>
      <c r="V369" s="699">
        <f>IF($O370=0,0,        _xll.qDateNext($O369,V$17,"M",TRUE,Currency1))</f>
        <v>0</v>
      </c>
      <c r="W369" s="699">
        <f>IF($O370=0,0,        _xll.qDateNext($O369,W$17,"M",TRUE,Currency1))</f>
        <v>0</v>
      </c>
      <c r="X369" s="699">
        <f>IF($O370=0,0,        _xll.qDateNext($O369,X$17,"M",TRUE,Currency1))</f>
        <v>0</v>
      </c>
      <c r="Y369" s="699">
        <f>IF($O370=0,0,        _xll.qDateNext($O369,Y$17,"M",TRUE,Currency1))</f>
        <v>0</v>
      </c>
      <c r="Z369" s="703">
        <f>IF($O370=0,0,           IF(FRM,_xll.qGetFwdRate(Z$14,$O369,R369,"T",DCC_Leg1_Float),_xll.qGetFwdRate(Z$14,$O369,$O370,"T",DCC_Leg1_Float)))</f>
        <v>0</v>
      </c>
      <c r="AA369" s="703">
        <f>IF($O370=0,0,           IF(FRM,_xll.qGetFwdRate(AA$14,$O369,S369,"T",DCC_Leg1_Float),_xll.qGetFwdRate(AA$14,$O369,$O370,"T",DCC_Leg1_Float)))</f>
        <v>0</v>
      </c>
      <c r="AB369" s="703">
        <f t="shared" si="73"/>
        <v>0</v>
      </c>
      <c r="AC369" s="703">
        <f>IF($O370=0,0,           IF(FRM,_xll.qGetFwdRate(AC$14,$O369,U369,"T",DCC_Leg1_Float),_xll.qGetFwdRate(AC$14,$O369,$O370,"T",DCC_Leg1_Float)))</f>
        <v>0</v>
      </c>
      <c r="AD369" s="703">
        <f t="shared" si="78"/>
        <v>0</v>
      </c>
      <c r="AE369" s="703">
        <f t="shared" si="79"/>
        <v>0</v>
      </c>
      <c r="AF369" s="703">
        <f>IF($O370=0,0,           IF(FRM,_xll.qGetFwdRate(AF$14,$O369,X369,"T",DCC_Leg1_Float),_xll.qGetFwdRate(AF$14,$O369,$O370,"T",DCC_Leg1_Float)))</f>
        <v>0</v>
      </c>
      <c r="AG369" s="703">
        <f>IF($O370=0,0,           IF(FRM,_xll.qGetFwdRate(AG$14,$O369,Y369,"T",DCC_Leg1_Float),_xll.qGetFwdRate(AG$14,$O369,$O370,"T",DCC_Leg1_Float)))</f>
        <v>0</v>
      </c>
      <c r="AH369" s="685">
        <v>0</v>
      </c>
      <c r="AI369" s="667"/>
      <c r="AJ369" s="670">
        <f>IF(O370=0,0,             IF(ISNUMBER(AI369),AI369,             IF(ISTEXT(AI369),INDEX(Z369:AG369,MATCH(AI369,$Z$17:$AG$17,0)),           IF(AH369="INT",_xll.qInterp(O370,R369:Y369,Z369:AG369),       INDEX(Z369:AG369,MATCH(AH369,$Z$17:$AG$17,0))))))</f>
        <v>0</v>
      </c>
      <c r="AK369" s="732">
        <v>20</v>
      </c>
      <c r="AL369" s="721">
        <f t="shared" si="74"/>
        <v>0</v>
      </c>
      <c r="AM369" s="284">
        <f>IF($O370,_xll.qDateYears($O369,$O370,DCC_Leg1_Fixed),0)</f>
        <v>0</v>
      </c>
      <c r="AN369" s="284">
        <f>IF($O370,_xll.qDateYears($O369,$O370,DCC_Leg1_Float),0)</f>
        <v>0</v>
      </c>
      <c r="AP369" s="350">
        <f t="shared" si="80"/>
        <v>0</v>
      </c>
      <c r="AQ369" s="375">
        <f>IF(GenType_1a="Fixed",GenRate_1a%*$AL368*AM368,          IF(GenType_1a="Float",$AL368*(_xll.qGetFwdRate($D$18,$O368,$O369,"T",DCC_Leg1_Float)%+GenRate_1a%%)*$AN368,        IF(GenType_1a="bp (Fixed)",GenRate_1a%%*$AM368*$AL368,   IF(GenType_1a="bp (Float)",GenRate_1a%%*$AL368*$AN368,0))))</f>
        <v>0</v>
      </c>
      <c r="AR369" s="561"/>
      <c r="AT369" s="341">
        <f t="shared" si="84"/>
        <v>0</v>
      </c>
      <c r="AV369" s="356"/>
      <c r="AW369" s="122">
        <v>0</v>
      </c>
      <c r="AX369" s="128">
        <f t="shared" si="75"/>
        <v>0</v>
      </c>
      <c r="AY369" s="357">
        <v>0</v>
      </c>
      <c r="AZ369" s="699">
        <f>IF($AW370=0,0,        _xll.qDateNext($AW369,AZ$17,"M",TRUE,Currency2))</f>
        <v>0</v>
      </c>
      <c r="BA369" s="699">
        <f>IF($AW370=0,0,        _xll.qDateNext($AW369,BA$17,"M",TRUE,Currency2))</f>
        <v>0</v>
      </c>
      <c r="BB369" s="699">
        <f>IF($AW370=0,0,        _xll.qDateNext($AW369,BB$17,"M",TRUE,Currency2))</f>
        <v>0</v>
      </c>
      <c r="BC369" s="699">
        <f>IF($AW370=0,0,        _xll.qDateNext($AW369,BC$17,"M",TRUE,Currency2))</f>
        <v>0</v>
      </c>
      <c r="BD369" s="699">
        <f>IF($AW370=0,0,        _xll.qDateNext($AW369,BD$17,"M",TRUE,Currency2))</f>
        <v>0</v>
      </c>
      <c r="BE369" s="699">
        <f>IF($AW370=0,0,        _xll.qDateNext($AW369,BE$17,"M",TRUE,Currency2))</f>
        <v>0</v>
      </c>
      <c r="BF369" s="699">
        <f>IF($AW370=0,0,        _xll.qDateNext($AW369,BF$17,"M",TRUE,Currency2))</f>
        <v>0</v>
      </c>
      <c r="BG369" s="699">
        <f>IF($AW370=0,0,        _xll.qDateNext($AW369,BG$17,"M",TRUE,Currency2))</f>
        <v>0</v>
      </c>
      <c r="BH369" s="703">
        <v>0</v>
      </c>
      <c r="BI369" s="703">
        <v>0</v>
      </c>
      <c r="BJ369" s="703">
        <v>0</v>
      </c>
      <c r="BK369" s="703">
        <v>0</v>
      </c>
      <c r="BL369" s="703">
        <f t="shared" si="81"/>
        <v>0</v>
      </c>
      <c r="BM369" s="703">
        <f t="shared" si="82"/>
        <v>0</v>
      </c>
      <c r="BN369" s="703">
        <v>0</v>
      </c>
      <c r="BO369" s="703">
        <v>0</v>
      </c>
      <c r="BP369" s="685">
        <v>0</v>
      </c>
      <c r="BQ369" s="667"/>
      <c r="BR369" s="670">
        <f>IF(AW370=0,0,             IF(ISNUMBER(BQ369),BQ369,             IF(ISTEXT(BQ369),INDEX(BH369:BO369,MATCH(BQ369,$BH$17:$BO$17,0)),           IF(BP369="INT",_xll.qInterp(AW370,AZ369:BG369,BH369:BO369),       INDEX(BH369:BO369,MATCH(BP369,$BH$17:$BO$17,0))))))</f>
        <v>0</v>
      </c>
      <c r="BS369" s="731">
        <f t="shared" si="76"/>
        <v>0</v>
      </c>
      <c r="BT369" s="406">
        <f t="shared" si="77"/>
        <v>0</v>
      </c>
      <c r="BU369" s="284">
        <f>IF($AW370,_xll.qDateYears($AW369,$AW370,DCC_Leg2_Fixed),0)</f>
        <v>0</v>
      </c>
      <c r="BV369" s="284">
        <f>IF($AW370,_xll.qDateYears($AW369,$AW370,DCC_Leg2_Float),0)</f>
        <v>0</v>
      </c>
      <c r="BX369" s="350">
        <f t="shared" si="83"/>
        <v>0</v>
      </c>
      <c r="BY369" s="375">
        <f>IF(GenType_2a="Fixed",GenRate_2a%*$BT368*BU368,          IF(GenType_2a="Float",$BT368*(_xll.qGetFwdRate($J$18,$AW368,$AW369,"T",DCC_Leg2_Float)%+GenRate_2a%%)*$BV368,        IF(GenType_2a="bp (Fixed)",GenRate_2a%%*$BU368*$BT368,   IF(GenType_2a="bp (Float)",GenRate_2a%%*$BT368*$BV368,0))))</f>
        <v>0</v>
      </c>
      <c r="BZ369" s="561"/>
      <c r="CB369" s="341">
        <f t="shared" si="85"/>
        <v>0</v>
      </c>
      <c r="CC369" s="563"/>
      <c r="CD369" s="356"/>
      <c r="CE369" s="341">
        <v>0</v>
      </c>
      <c r="CF369" s="563"/>
      <c r="CG369" s="356"/>
    </row>
    <row r="370" spans="15:85">
      <c r="O370" s="122">
        <v>0</v>
      </c>
      <c r="P370" s="128">
        <f t="shared" si="72"/>
        <v>0</v>
      </c>
      <c r="Q370" s="126">
        <v>0</v>
      </c>
      <c r="R370" s="699">
        <f>IF($O371=0,0,        _xll.qDateNext($O370,R$17,"M",TRUE,Currency1))</f>
        <v>0</v>
      </c>
      <c r="S370" s="699">
        <f>IF($O371=0,0,        _xll.qDateNext($O370,S$17,"M",TRUE,Currency1))</f>
        <v>0</v>
      </c>
      <c r="T370" s="699">
        <f>IF($O371=0,0,        _xll.qDateNext($O370,T$17,"M",TRUE,Currency1))</f>
        <v>0</v>
      </c>
      <c r="U370" s="699">
        <f>IF($O371=0,0,        _xll.qDateNext($O370,U$17,"M",TRUE,Currency1))</f>
        <v>0</v>
      </c>
      <c r="V370" s="699">
        <f>IF($O371=0,0,        _xll.qDateNext($O370,V$17,"M",TRUE,Currency1))</f>
        <v>0</v>
      </c>
      <c r="W370" s="699">
        <f>IF($O371=0,0,        _xll.qDateNext($O370,W$17,"M",TRUE,Currency1))</f>
        <v>0</v>
      </c>
      <c r="X370" s="699">
        <f>IF($O371=0,0,        _xll.qDateNext($O370,X$17,"M",TRUE,Currency1))</f>
        <v>0</v>
      </c>
      <c r="Y370" s="699">
        <f>IF($O371=0,0,        _xll.qDateNext($O370,Y$17,"M",TRUE,Currency1))</f>
        <v>0</v>
      </c>
      <c r="Z370" s="703">
        <f>IF($O371=0,0,           IF(FRM,_xll.qGetFwdRate(Z$14,$O370,R370,"T",DCC_Leg1_Float),_xll.qGetFwdRate(Z$14,$O370,$O371,"T",DCC_Leg1_Float)))</f>
        <v>0</v>
      </c>
      <c r="AA370" s="703">
        <f>IF($O371=0,0,           IF(FRM,_xll.qGetFwdRate(AA$14,$O370,S370,"T",DCC_Leg1_Float),_xll.qGetFwdRate(AA$14,$O370,$O371,"T",DCC_Leg1_Float)))</f>
        <v>0</v>
      </c>
      <c r="AB370" s="703">
        <f t="shared" si="73"/>
        <v>0</v>
      </c>
      <c r="AC370" s="703">
        <f>IF($O371=0,0,           IF(FRM,_xll.qGetFwdRate(AC$14,$O370,U370,"T",DCC_Leg1_Float),_xll.qGetFwdRate(AC$14,$O370,$O371,"T",DCC_Leg1_Float)))</f>
        <v>0</v>
      </c>
      <c r="AD370" s="703">
        <f t="shared" si="78"/>
        <v>0</v>
      </c>
      <c r="AE370" s="703">
        <f t="shared" si="79"/>
        <v>0</v>
      </c>
      <c r="AF370" s="703">
        <f>IF($O371=0,0,           IF(FRM,_xll.qGetFwdRate(AF$14,$O370,X370,"T",DCC_Leg1_Float),_xll.qGetFwdRate(AF$14,$O370,$O371,"T",DCC_Leg1_Float)))</f>
        <v>0</v>
      </c>
      <c r="AG370" s="703">
        <f>IF($O371=0,0,           IF(FRM,_xll.qGetFwdRate(AG$14,$O370,Y370,"T",DCC_Leg1_Float),_xll.qGetFwdRate(AG$14,$O370,$O371,"T",DCC_Leg1_Float)))</f>
        <v>0</v>
      </c>
      <c r="AH370" s="685">
        <v>0</v>
      </c>
      <c r="AI370" s="667"/>
      <c r="AJ370" s="670">
        <f>IF(O371=0,0,             IF(ISNUMBER(AI370),AI370,             IF(ISTEXT(AI370),INDEX(Z370:AG370,MATCH(AI370,$Z$17:$AG$17,0)),           IF(AH370="INT",_xll.qInterp(O371,R370:Y370,Z370:AG370),       INDEX(Z370:AG370,MATCH(AH370,$Z$17:$AG$17,0))))))</f>
        <v>0</v>
      </c>
      <c r="AK370" s="732">
        <v>20</v>
      </c>
      <c r="AL370" s="721">
        <f t="shared" si="74"/>
        <v>0</v>
      </c>
      <c r="AM370" s="284">
        <f>IF($O371,_xll.qDateYears($O370,$O371,DCC_Leg1_Fixed),0)</f>
        <v>0</v>
      </c>
      <c r="AN370" s="284">
        <f>IF($O371,_xll.qDateYears($O370,$O371,DCC_Leg1_Float),0)</f>
        <v>0</v>
      </c>
      <c r="AP370" s="350">
        <f t="shared" si="80"/>
        <v>0</v>
      </c>
      <c r="AQ370" s="375">
        <f>IF(GenType_1a="Fixed",GenRate_1a%*$AL369*AM369,          IF(GenType_1a="Float",$AL369*(_xll.qGetFwdRate($D$18,$O369,$O370,"T",DCC_Leg1_Float)%+GenRate_1a%%)*$AN369,        IF(GenType_1a="bp (Fixed)",GenRate_1a%%*$AM369*$AL369,   IF(GenType_1a="bp (Float)",GenRate_1a%%*$AL369*$AN369,0))))</f>
        <v>0</v>
      </c>
      <c r="AR370" s="561"/>
      <c r="AT370" s="341">
        <f t="shared" si="84"/>
        <v>0</v>
      </c>
      <c r="AV370" s="356"/>
      <c r="AW370" s="122">
        <v>0</v>
      </c>
      <c r="AX370" s="128">
        <f t="shared" si="75"/>
        <v>0</v>
      </c>
      <c r="AY370" s="357">
        <v>0</v>
      </c>
      <c r="AZ370" s="699">
        <f>IF($AW371=0,0,        _xll.qDateNext($AW370,AZ$17,"M",TRUE,Currency2))</f>
        <v>0</v>
      </c>
      <c r="BA370" s="699">
        <f>IF($AW371=0,0,        _xll.qDateNext($AW370,BA$17,"M",TRUE,Currency2))</f>
        <v>0</v>
      </c>
      <c r="BB370" s="699">
        <f>IF($AW371=0,0,        _xll.qDateNext($AW370,BB$17,"M",TRUE,Currency2))</f>
        <v>0</v>
      </c>
      <c r="BC370" s="699">
        <f>IF($AW371=0,0,        _xll.qDateNext($AW370,BC$17,"M",TRUE,Currency2))</f>
        <v>0</v>
      </c>
      <c r="BD370" s="699">
        <f>IF($AW371=0,0,        _xll.qDateNext($AW370,BD$17,"M",TRUE,Currency2))</f>
        <v>0</v>
      </c>
      <c r="BE370" s="699">
        <f>IF($AW371=0,0,        _xll.qDateNext($AW370,BE$17,"M",TRUE,Currency2))</f>
        <v>0</v>
      </c>
      <c r="BF370" s="699">
        <f>IF($AW371=0,0,        _xll.qDateNext($AW370,BF$17,"M",TRUE,Currency2))</f>
        <v>0</v>
      </c>
      <c r="BG370" s="699">
        <f>IF($AW371=0,0,        _xll.qDateNext($AW370,BG$17,"M",TRUE,Currency2))</f>
        <v>0</v>
      </c>
      <c r="BH370" s="703">
        <v>0</v>
      </c>
      <c r="BI370" s="703">
        <v>0</v>
      </c>
      <c r="BJ370" s="703">
        <v>0</v>
      </c>
      <c r="BK370" s="703">
        <v>0</v>
      </c>
      <c r="BL370" s="703">
        <f t="shared" si="81"/>
        <v>0</v>
      </c>
      <c r="BM370" s="703">
        <f t="shared" si="82"/>
        <v>0</v>
      </c>
      <c r="BN370" s="703">
        <v>0</v>
      </c>
      <c r="BO370" s="703">
        <v>0</v>
      </c>
      <c r="BP370" s="685">
        <v>0</v>
      </c>
      <c r="BQ370" s="667"/>
      <c r="BR370" s="670">
        <f>IF(AW371=0,0,             IF(ISNUMBER(BQ370),BQ370,             IF(ISTEXT(BQ370),INDEX(BH370:BO370,MATCH(BQ370,$BH$17:$BO$17,0)),           IF(BP370="INT",_xll.qInterp(AW371,AZ370:BG370,BH370:BO370),       INDEX(BH370:BO370,MATCH(BP370,$BH$17:$BO$17,0))))))</f>
        <v>0</v>
      </c>
      <c r="BS370" s="731">
        <f t="shared" si="76"/>
        <v>0</v>
      </c>
      <c r="BT370" s="406">
        <f t="shared" si="77"/>
        <v>0</v>
      </c>
      <c r="BU370" s="284">
        <f>IF($AW371,_xll.qDateYears($AW370,$AW371,DCC_Leg2_Fixed),0)</f>
        <v>0</v>
      </c>
      <c r="BV370" s="284">
        <f>IF($AW371,_xll.qDateYears($AW370,$AW371,DCC_Leg2_Float),0)</f>
        <v>0</v>
      </c>
      <c r="BX370" s="350">
        <f t="shared" si="83"/>
        <v>0</v>
      </c>
      <c r="BY370" s="375">
        <f>IF(GenType_2a="Fixed",GenRate_2a%*$BT369*BU369,          IF(GenType_2a="Float",$BT369*(_xll.qGetFwdRate($J$18,$AW369,$AW370,"T",DCC_Leg2_Float)%+GenRate_2a%%)*$BV369,        IF(GenType_2a="bp (Fixed)",GenRate_2a%%*$BU369*$BT369,   IF(GenType_2a="bp (Float)",GenRate_2a%%*$BT369*$BV369,0))))</f>
        <v>0</v>
      </c>
      <c r="BZ370" s="561"/>
      <c r="CB370" s="341">
        <f t="shared" si="85"/>
        <v>0</v>
      </c>
      <c r="CC370" s="563"/>
      <c r="CD370" s="356"/>
      <c r="CE370" s="341">
        <v>0</v>
      </c>
      <c r="CF370" s="563"/>
      <c r="CG370" s="356"/>
    </row>
    <row r="371" spans="15:85">
      <c r="O371" s="122">
        <v>0</v>
      </c>
      <c r="P371" s="128">
        <f t="shared" si="72"/>
        <v>0</v>
      </c>
      <c r="Q371" s="126">
        <v>0</v>
      </c>
      <c r="R371" s="699">
        <f>IF($O372=0,0,        _xll.qDateNext($O371,R$17,"M",TRUE,Currency1))</f>
        <v>0</v>
      </c>
      <c r="S371" s="699">
        <f>IF($O372=0,0,        _xll.qDateNext($O371,S$17,"M",TRUE,Currency1))</f>
        <v>0</v>
      </c>
      <c r="T371" s="699">
        <f>IF($O372=0,0,        _xll.qDateNext($O371,T$17,"M",TRUE,Currency1))</f>
        <v>0</v>
      </c>
      <c r="U371" s="699">
        <f>IF($O372=0,0,        _xll.qDateNext($O371,U$17,"M",TRUE,Currency1))</f>
        <v>0</v>
      </c>
      <c r="V371" s="699">
        <f>IF($O372=0,0,        _xll.qDateNext($O371,V$17,"M",TRUE,Currency1))</f>
        <v>0</v>
      </c>
      <c r="W371" s="699">
        <f>IF($O372=0,0,        _xll.qDateNext($O371,W$17,"M",TRUE,Currency1))</f>
        <v>0</v>
      </c>
      <c r="X371" s="699">
        <f>IF($O372=0,0,        _xll.qDateNext($O371,X$17,"M",TRUE,Currency1))</f>
        <v>0</v>
      </c>
      <c r="Y371" s="699">
        <f>IF($O372=0,0,        _xll.qDateNext($O371,Y$17,"M",TRUE,Currency1))</f>
        <v>0</v>
      </c>
      <c r="Z371" s="703">
        <f>IF($O372=0,0,           IF(FRM,_xll.qGetFwdRate(Z$14,$O371,R371,"T",DCC_Leg1_Float),_xll.qGetFwdRate(Z$14,$O371,$O372,"T",DCC_Leg1_Float)))</f>
        <v>0</v>
      </c>
      <c r="AA371" s="703">
        <f>IF($O372=0,0,           IF(FRM,_xll.qGetFwdRate(AA$14,$O371,S371,"T",DCC_Leg1_Float),_xll.qGetFwdRate(AA$14,$O371,$O372,"T",DCC_Leg1_Float)))</f>
        <v>0</v>
      </c>
      <c r="AB371" s="703">
        <f t="shared" si="73"/>
        <v>0</v>
      </c>
      <c r="AC371" s="703">
        <f>IF($O372=0,0,           IF(FRM,_xll.qGetFwdRate(AC$14,$O371,U371,"T",DCC_Leg1_Float),_xll.qGetFwdRate(AC$14,$O371,$O372,"T",DCC_Leg1_Float)))</f>
        <v>0</v>
      </c>
      <c r="AD371" s="703">
        <f t="shared" si="78"/>
        <v>0</v>
      </c>
      <c r="AE371" s="703">
        <f t="shared" si="79"/>
        <v>0</v>
      </c>
      <c r="AF371" s="703">
        <f>IF($O372=0,0,           IF(FRM,_xll.qGetFwdRate(AF$14,$O371,X371,"T",DCC_Leg1_Float),_xll.qGetFwdRate(AF$14,$O371,$O372,"T",DCC_Leg1_Float)))</f>
        <v>0</v>
      </c>
      <c r="AG371" s="703">
        <f>IF($O372=0,0,           IF(FRM,_xll.qGetFwdRate(AG$14,$O371,Y371,"T",DCC_Leg1_Float),_xll.qGetFwdRate(AG$14,$O371,$O372,"T",DCC_Leg1_Float)))</f>
        <v>0</v>
      </c>
      <c r="AH371" s="685">
        <v>0</v>
      </c>
      <c r="AI371" s="667"/>
      <c r="AJ371" s="670">
        <f>IF(O372=0,0,             IF(ISNUMBER(AI371),AI371,             IF(ISTEXT(AI371),INDEX(Z371:AG371,MATCH(AI371,$Z$17:$AG$17,0)),           IF(AH371="INT",_xll.qInterp(O372,R371:Y371,Z371:AG371),       INDEX(Z371:AG371,MATCH(AH371,$Z$17:$AG$17,0))))))</f>
        <v>0</v>
      </c>
      <c r="AK371" s="732">
        <v>20</v>
      </c>
      <c r="AL371" s="721">
        <f t="shared" si="74"/>
        <v>0</v>
      </c>
      <c r="AM371" s="284">
        <f>IF($O372,_xll.qDateYears($O371,$O372,DCC_Leg1_Fixed),0)</f>
        <v>0</v>
      </c>
      <c r="AN371" s="284">
        <f>IF($O372,_xll.qDateYears($O371,$O372,DCC_Leg1_Float),0)</f>
        <v>0</v>
      </c>
      <c r="AP371" s="350">
        <f t="shared" si="80"/>
        <v>0</v>
      </c>
      <c r="AQ371" s="375">
        <f>IF(GenType_1a="Fixed",GenRate_1a%*$AL370*AM370,          IF(GenType_1a="Float",$AL370*(_xll.qGetFwdRate($D$18,$O370,$O371,"T",DCC_Leg1_Float)%+GenRate_1a%%)*$AN370,        IF(GenType_1a="bp (Fixed)",GenRate_1a%%*$AM370*$AL370,   IF(GenType_1a="bp (Float)",GenRate_1a%%*$AL370*$AN370,0))))</f>
        <v>0</v>
      </c>
      <c r="AR371" s="561"/>
      <c r="AT371" s="341">
        <f t="shared" si="84"/>
        <v>0</v>
      </c>
      <c r="AV371" s="356"/>
      <c r="AW371" s="122">
        <v>0</v>
      </c>
      <c r="AX371" s="128">
        <f t="shared" si="75"/>
        <v>0</v>
      </c>
      <c r="AY371" s="357">
        <v>0</v>
      </c>
      <c r="AZ371" s="699">
        <f>IF($AW372=0,0,        _xll.qDateNext($AW371,AZ$17,"M",TRUE,Currency2))</f>
        <v>0</v>
      </c>
      <c r="BA371" s="699">
        <f>IF($AW372=0,0,        _xll.qDateNext($AW371,BA$17,"M",TRUE,Currency2))</f>
        <v>0</v>
      </c>
      <c r="BB371" s="699">
        <f>IF($AW372=0,0,        _xll.qDateNext($AW371,BB$17,"M",TRUE,Currency2))</f>
        <v>0</v>
      </c>
      <c r="BC371" s="699">
        <f>IF($AW372=0,0,        _xll.qDateNext($AW371,BC$17,"M",TRUE,Currency2))</f>
        <v>0</v>
      </c>
      <c r="BD371" s="699">
        <f>IF($AW372=0,0,        _xll.qDateNext($AW371,BD$17,"M",TRUE,Currency2))</f>
        <v>0</v>
      </c>
      <c r="BE371" s="699">
        <f>IF($AW372=0,0,        _xll.qDateNext($AW371,BE$17,"M",TRUE,Currency2))</f>
        <v>0</v>
      </c>
      <c r="BF371" s="699">
        <f>IF($AW372=0,0,        _xll.qDateNext($AW371,BF$17,"M",TRUE,Currency2))</f>
        <v>0</v>
      </c>
      <c r="BG371" s="699">
        <f>IF($AW372=0,0,        _xll.qDateNext($AW371,BG$17,"M",TRUE,Currency2))</f>
        <v>0</v>
      </c>
      <c r="BH371" s="703">
        <v>0</v>
      </c>
      <c r="BI371" s="703">
        <v>0</v>
      </c>
      <c r="BJ371" s="703">
        <v>0</v>
      </c>
      <c r="BK371" s="703">
        <v>0</v>
      </c>
      <c r="BL371" s="703">
        <f t="shared" si="81"/>
        <v>0</v>
      </c>
      <c r="BM371" s="703">
        <f t="shared" si="82"/>
        <v>0</v>
      </c>
      <c r="BN371" s="703">
        <v>0</v>
      </c>
      <c r="BO371" s="703">
        <v>0</v>
      </c>
      <c r="BP371" s="685">
        <v>0</v>
      </c>
      <c r="BQ371" s="667"/>
      <c r="BR371" s="670">
        <f>IF(AW372=0,0,             IF(ISNUMBER(BQ371),BQ371,             IF(ISTEXT(BQ371),INDEX(BH371:BO371,MATCH(BQ371,$BH$17:$BO$17,0)),           IF(BP371="INT",_xll.qInterp(AW372,AZ371:BG371,BH371:BO371),       INDEX(BH371:BO371,MATCH(BP371,$BH$17:$BO$17,0))))))</f>
        <v>0</v>
      </c>
      <c r="BS371" s="731">
        <f t="shared" si="76"/>
        <v>0</v>
      </c>
      <c r="BT371" s="406">
        <f t="shared" si="77"/>
        <v>0</v>
      </c>
      <c r="BU371" s="284">
        <f>IF($AW372,_xll.qDateYears($AW371,$AW372,DCC_Leg2_Fixed),0)</f>
        <v>0</v>
      </c>
      <c r="BV371" s="284">
        <f>IF($AW372,_xll.qDateYears($AW371,$AW372,DCC_Leg2_Float),0)</f>
        <v>0</v>
      </c>
      <c r="BX371" s="350">
        <f t="shared" si="83"/>
        <v>0</v>
      </c>
      <c r="BY371" s="375">
        <f>IF(GenType_2a="Fixed",GenRate_2a%*$BT370*BU370,          IF(GenType_2a="Float",$BT370*(_xll.qGetFwdRate($J$18,$AW370,$AW371,"T",DCC_Leg2_Float)%+GenRate_2a%%)*$BV370,        IF(GenType_2a="bp (Fixed)",GenRate_2a%%*$BU370*$BT370,   IF(GenType_2a="bp (Float)",GenRate_2a%%*$BT370*$BV370,0))))</f>
        <v>0</v>
      </c>
      <c r="BZ371" s="561"/>
      <c r="CB371" s="341">
        <f t="shared" si="85"/>
        <v>0</v>
      </c>
      <c r="CC371" s="563"/>
      <c r="CD371" s="356"/>
      <c r="CE371" s="341">
        <v>0</v>
      </c>
      <c r="CF371" s="563"/>
      <c r="CG371" s="356"/>
    </row>
    <row r="372" spans="15:85">
      <c r="O372" s="122">
        <v>0</v>
      </c>
      <c r="P372" s="128">
        <f t="shared" si="72"/>
        <v>0</v>
      </c>
      <c r="Q372" s="126">
        <v>0</v>
      </c>
      <c r="R372" s="699">
        <f>IF($O373=0,0,        _xll.qDateNext($O372,R$17,"M",TRUE,Currency1))</f>
        <v>0</v>
      </c>
      <c r="S372" s="699">
        <f>IF($O373=0,0,        _xll.qDateNext($O372,S$17,"M",TRUE,Currency1))</f>
        <v>0</v>
      </c>
      <c r="T372" s="699">
        <f>IF($O373=0,0,        _xll.qDateNext($O372,T$17,"M",TRUE,Currency1))</f>
        <v>0</v>
      </c>
      <c r="U372" s="699">
        <f>IF($O373=0,0,        _xll.qDateNext($O372,U$17,"M",TRUE,Currency1))</f>
        <v>0</v>
      </c>
      <c r="V372" s="699">
        <f>IF($O373=0,0,        _xll.qDateNext($O372,V$17,"M",TRUE,Currency1))</f>
        <v>0</v>
      </c>
      <c r="W372" s="699">
        <f>IF($O373=0,0,        _xll.qDateNext($O372,W$17,"M",TRUE,Currency1))</f>
        <v>0</v>
      </c>
      <c r="X372" s="699">
        <f>IF($O373=0,0,        _xll.qDateNext($O372,X$17,"M",TRUE,Currency1))</f>
        <v>0</v>
      </c>
      <c r="Y372" s="699">
        <f>IF($O373=0,0,        _xll.qDateNext($O372,Y$17,"M",TRUE,Currency1))</f>
        <v>0</v>
      </c>
      <c r="Z372" s="703">
        <f>IF($O373=0,0,           IF(FRM,_xll.qGetFwdRate(Z$14,$O372,R372,"T",DCC_Leg1_Float),_xll.qGetFwdRate(Z$14,$O372,$O373,"T",DCC_Leg1_Float)))</f>
        <v>0</v>
      </c>
      <c r="AA372" s="703">
        <f>IF($O373=0,0,           IF(FRM,_xll.qGetFwdRate(AA$14,$O372,S372,"T",DCC_Leg1_Float),_xll.qGetFwdRate(AA$14,$O372,$O373,"T",DCC_Leg1_Float)))</f>
        <v>0</v>
      </c>
      <c r="AB372" s="703">
        <f t="shared" si="73"/>
        <v>0</v>
      </c>
      <c r="AC372" s="703">
        <f>IF($O373=0,0,           IF(FRM,_xll.qGetFwdRate(AC$14,$O372,U372,"T",DCC_Leg1_Float),_xll.qGetFwdRate(AC$14,$O372,$O373,"T",DCC_Leg1_Float)))</f>
        <v>0</v>
      </c>
      <c r="AD372" s="703">
        <f t="shared" si="78"/>
        <v>0</v>
      </c>
      <c r="AE372" s="703">
        <f t="shared" si="79"/>
        <v>0</v>
      </c>
      <c r="AF372" s="703">
        <f>IF($O373=0,0,           IF(FRM,_xll.qGetFwdRate(AF$14,$O372,X372,"T",DCC_Leg1_Float),_xll.qGetFwdRate(AF$14,$O372,$O373,"T",DCC_Leg1_Float)))</f>
        <v>0</v>
      </c>
      <c r="AG372" s="703">
        <f>IF($O373=0,0,           IF(FRM,_xll.qGetFwdRate(AG$14,$O372,Y372,"T",DCC_Leg1_Float),_xll.qGetFwdRate(AG$14,$O372,$O373,"T",DCC_Leg1_Float)))</f>
        <v>0</v>
      </c>
      <c r="AH372" s="685">
        <v>0</v>
      </c>
      <c r="AI372" s="667"/>
      <c r="AJ372" s="670">
        <f>IF(O373=0,0,             IF(ISNUMBER(AI372),AI372,             IF(ISTEXT(AI372),INDEX(Z372:AG372,MATCH(AI372,$Z$17:$AG$17,0)),           IF(AH372="INT",_xll.qInterp(O373,R372:Y372,Z372:AG372),       INDEX(Z372:AG372,MATCH(AH372,$Z$17:$AG$17,0))))))</f>
        <v>0</v>
      </c>
      <c r="AK372" s="732">
        <v>20</v>
      </c>
      <c r="AL372" s="721">
        <f t="shared" si="74"/>
        <v>0</v>
      </c>
      <c r="AM372" s="284">
        <f>IF($O373,_xll.qDateYears($O372,$O373,DCC_Leg1_Fixed),0)</f>
        <v>0</v>
      </c>
      <c r="AN372" s="284">
        <f>IF($O373,_xll.qDateYears($O372,$O373,DCC_Leg1_Float),0)</f>
        <v>0</v>
      </c>
      <c r="AP372" s="350">
        <f t="shared" si="80"/>
        <v>0</v>
      </c>
      <c r="AQ372" s="375">
        <f>IF(GenType_1a="Fixed",GenRate_1a%*$AL371*AM371,          IF(GenType_1a="Float",$AL371*(_xll.qGetFwdRate($D$18,$O371,$O372,"T",DCC_Leg1_Float)%+GenRate_1a%%)*$AN371,        IF(GenType_1a="bp (Fixed)",GenRate_1a%%*$AM371*$AL371,   IF(GenType_1a="bp (Float)",GenRate_1a%%*$AL371*$AN371,0))))</f>
        <v>0</v>
      </c>
      <c r="AR372" s="561"/>
      <c r="AT372" s="341">
        <f t="shared" si="84"/>
        <v>0</v>
      </c>
      <c r="AV372" s="356"/>
      <c r="AW372" s="122">
        <v>0</v>
      </c>
      <c r="AX372" s="128">
        <f t="shared" si="75"/>
        <v>0</v>
      </c>
      <c r="AY372" s="357">
        <v>0</v>
      </c>
      <c r="AZ372" s="699">
        <f>IF($AW373=0,0,        _xll.qDateNext($AW372,AZ$17,"M",TRUE,Currency2))</f>
        <v>0</v>
      </c>
      <c r="BA372" s="699">
        <f>IF($AW373=0,0,        _xll.qDateNext($AW372,BA$17,"M",TRUE,Currency2))</f>
        <v>0</v>
      </c>
      <c r="BB372" s="699">
        <f>IF($AW373=0,0,        _xll.qDateNext($AW372,BB$17,"M",TRUE,Currency2))</f>
        <v>0</v>
      </c>
      <c r="BC372" s="699">
        <f>IF($AW373=0,0,        _xll.qDateNext($AW372,BC$17,"M",TRUE,Currency2))</f>
        <v>0</v>
      </c>
      <c r="BD372" s="699">
        <f>IF($AW373=0,0,        _xll.qDateNext($AW372,BD$17,"M",TRUE,Currency2))</f>
        <v>0</v>
      </c>
      <c r="BE372" s="699">
        <f>IF($AW373=0,0,        _xll.qDateNext($AW372,BE$17,"M",TRUE,Currency2))</f>
        <v>0</v>
      </c>
      <c r="BF372" s="699">
        <f>IF($AW373=0,0,        _xll.qDateNext($AW372,BF$17,"M",TRUE,Currency2))</f>
        <v>0</v>
      </c>
      <c r="BG372" s="699">
        <f>IF($AW373=0,0,        _xll.qDateNext($AW372,BG$17,"M",TRUE,Currency2))</f>
        <v>0</v>
      </c>
      <c r="BH372" s="703">
        <v>0</v>
      </c>
      <c r="BI372" s="703">
        <v>0</v>
      </c>
      <c r="BJ372" s="703">
        <v>0</v>
      </c>
      <c r="BK372" s="703">
        <v>0</v>
      </c>
      <c r="BL372" s="703">
        <f t="shared" si="81"/>
        <v>0</v>
      </c>
      <c r="BM372" s="703">
        <f t="shared" si="82"/>
        <v>0</v>
      </c>
      <c r="BN372" s="703">
        <v>0</v>
      </c>
      <c r="BO372" s="703">
        <v>0</v>
      </c>
      <c r="BP372" s="685">
        <v>0</v>
      </c>
      <c r="BQ372" s="667"/>
      <c r="BR372" s="670">
        <f>IF(AW373=0,0,             IF(ISNUMBER(BQ372),BQ372,             IF(ISTEXT(BQ372),INDEX(BH372:BO372,MATCH(BQ372,$BH$17:$BO$17,0)),           IF(BP372="INT",_xll.qInterp(AW373,AZ372:BG372,BH372:BO372),       INDEX(BH372:BO372,MATCH(BP372,$BH$17:$BO$17,0))))))</f>
        <v>0</v>
      </c>
      <c r="BS372" s="731">
        <f t="shared" si="76"/>
        <v>0</v>
      </c>
      <c r="BT372" s="406">
        <f t="shared" si="77"/>
        <v>0</v>
      </c>
      <c r="BU372" s="284">
        <f>IF($AW373,_xll.qDateYears($AW372,$AW373,DCC_Leg2_Fixed),0)</f>
        <v>0</v>
      </c>
      <c r="BV372" s="284">
        <f>IF($AW373,_xll.qDateYears($AW372,$AW373,DCC_Leg2_Float),0)</f>
        <v>0</v>
      </c>
      <c r="BX372" s="350">
        <f t="shared" si="83"/>
        <v>0</v>
      </c>
      <c r="BY372" s="375">
        <f>IF(GenType_2a="Fixed",GenRate_2a%*$BT371*BU371,          IF(GenType_2a="Float",$BT371*(_xll.qGetFwdRate($J$18,$AW371,$AW372,"T",DCC_Leg2_Float)%+GenRate_2a%%)*$BV371,        IF(GenType_2a="bp (Fixed)",GenRate_2a%%*$BU371*$BT371,   IF(GenType_2a="bp (Float)",GenRate_2a%%*$BT371*$BV371,0))))</f>
        <v>0</v>
      </c>
      <c r="BZ372" s="561"/>
      <c r="CB372" s="341">
        <f t="shared" si="85"/>
        <v>0</v>
      </c>
      <c r="CC372" s="563"/>
      <c r="CD372" s="356"/>
      <c r="CE372" s="341">
        <v>0</v>
      </c>
      <c r="CF372" s="563"/>
      <c r="CG372" s="356"/>
    </row>
    <row r="373" spans="15:85">
      <c r="O373" s="122">
        <v>0</v>
      </c>
      <c r="P373" s="128">
        <f t="shared" si="72"/>
        <v>0</v>
      </c>
      <c r="Q373" s="126">
        <v>0</v>
      </c>
      <c r="R373" s="699">
        <f>IF($O374=0,0,        _xll.qDateNext($O373,R$17,"M",TRUE,Currency1))</f>
        <v>0</v>
      </c>
      <c r="S373" s="699">
        <f>IF($O374=0,0,        _xll.qDateNext($O373,S$17,"M",TRUE,Currency1))</f>
        <v>0</v>
      </c>
      <c r="T373" s="699">
        <f>IF($O374=0,0,        _xll.qDateNext($O373,T$17,"M",TRUE,Currency1))</f>
        <v>0</v>
      </c>
      <c r="U373" s="699">
        <f>IF($O374=0,0,        _xll.qDateNext($O373,U$17,"M",TRUE,Currency1))</f>
        <v>0</v>
      </c>
      <c r="V373" s="699">
        <f>IF($O374=0,0,        _xll.qDateNext($O373,V$17,"M",TRUE,Currency1))</f>
        <v>0</v>
      </c>
      <c r="W373" s="699">
        <f>IF($O374=0,0,        _xll.qDateNext($O373,W$17,"M",TRUE,Currency1))</f>
        <v>0</v>
      </c>
      <c r="X373" s="699">
        <f>IF($O374=0,0,        _xll.qDateNext($O373,X$17,"M",TRUE,Currency1))</f>
        <v>0</v>
      </c>
      <c r="Y373" s="699">
        <f>IF($O374=0,0,        _xll.qDateNext($O373,Y$17,"M",TRUE,Currency1))</f>
        <v>0</v>
      </c>
      <c r="Z373" s="703">
        <f>IF($O374=0,0,           IF(FRM,_xll.qGetFwdRate(Z$14,$O373,R373,"T",DCC_Leg1_Float),_xll.qGetFwdRate(Z$14,$O373,$O374,"T",DCC_Leg1_Float)))</f>
        <v>0</v>
      </c>
      <c r="AA373" s="703">
        <f>IF($O374=0,0,           IF(FRM,_xll.qGetFwdRate(AA$14,$O373,S373,"T",DCC_Leg1_Float),_xll.qGetFwdRate(AA$14,$O373,$O374,"T",DCC_Leg1_Float)))</f>
        <v>0</v>
      </c>
      <c r="AB373" s="703">
        <f t="shared" si="73"/>
        <v>0</v>
      </c>
      <c r="AC373" s="703">
        <f>IF($O374=0,0,           IF(FRM,_xll.qGetFwdRate(AC$14,$O373,U373,"T",DCC_Leg1_Float),_xll.qGetFwdRate(AC$14,$O373,$O374,"T",DCC_Leg1_Float)))</f>
        <v>0</v>
      </c>
      <c r="AD373" s="703">
        <f t="shared" si="78"/>
        <v>0</v>
      </c>
      <c r="AE373" s="703">
        <f t="shared" si="79"/>
        <v>0</v>
      </c>
      <c r="AF373" s="703">
        <f>IF($O374=0,0,           IF(FRM,_xll.qGetFwdRate(AF$14,$O373,X373,"T",DCC_Leg1_Float),_xll.qGetFwdRate(AF$14,$O373,$O374,"T",DCC_Leg1_Float)))</f>
        <v>0</v>
      </c>
      <c r="AG373" s="703">
        <f>IF($O374=0,0,           IF(FRM,_xll.qGetFwdRate(AG$14,$O373,Y373,"T",DCC_Leg1_Float),_xll.qGetFwdRate(AG$14,$O373,$O374,"T",DCC_Leg1_Float)))</f>
        <v>0</v>
      </c>
      <c r="AH373" s="685">
        <v>0</v>
      </c>
      <c r="AI373" s="667"/>
      <c r="AJ373" s="670">
        <f>IF(O374=0,0,             IF(ISNUMBER(AI373),AI373,             IF(ISTEXT(AI373),INDEX(Z373:AG373,MATCH(AI373,$Z$17:$AG$17,0)),           IF(AH373="INT",_xll.qInterp(O374,R373:Y373,Z373:AG373),       INDEX(Z373:AG373,MATCH(AH373,$Z$17:$AG$17,0))))))</f>
        <v>0</v>
      </c>
      <c r="AK373" s="732">
        <v>20</v>
      </c>
      <c r="AL373" s="721">
        <f t="shared" si="74"/>
        <v>0</v>
      </c>
      <c r="AM373" s="284">
        <f>IF($O374,_xll.qDateYears($O373,$O374,DCC_Leg1_Fixed),0)</f>
        <v>0</v>
      </c>
      <c r="AN373" s="284">
        <f>IF($O374,_xll.qDateYears($O373,$O374,DCC_Leg1_Float),0)</f>
        <v>0</v>
      </c>
      <c r="AP373" s="350">
        <f t="shared" si="80"/>
        <v>0</v>
      </c>
      <c r="AQ373" s="375">
        <f>IF(GenType_1a="Fixed",GenRate_1a%*$AL372*AM372,          IF(GenType_1a="Float",$AL372*(_xll.qGetFwdRate($D$18,$O372,$O373,"T",DCC_Leg1_Float)%+GenRate_1a%%)*$AN372,        IF(GenType_1a="bp (Fixed)",GenRate_1a%%*$AM372*$AL372,   IF(GenType_1a="bp (Float)",GenRate_1a%%*$AL372*$AN372,0))))</f>
        <v>0</v>
      </c>
      <c r="AR373" s="561"/>
      <c r="AT373" s="341">
        <f t="shared" si="84"/>
        <v>0</v>
      </c>
      <c r="AV373" s="356"/>
      <c r="AW373" s="122">
        <v>0</v>
      </c>
      <c r="AX373" s="128">
        <f t="shared" si="75"/>
        <v>0</v>
      </c>
      <c r="AY373" s="357">
        <v>0</v>
      </c>
      <c r="AZ373" s="699">
        <f>IF($AW374=0,0,        _xll.qDateNext($AW373,AZ$17,"M",TRUE,Currency2))</f>
        <v>0</v>
      </c>
      <c r="BA373" s="699">
        <f>IF($AW374=0,0,        _xll.qDateNext($AW373,BA$17,"M",TRUE,Currency2))</f>
        <v>0</v>
      </c>
      <c r="BB373" s="699">
        <f>IF($AW374=0,0,        _xll.qDateNext($AW373,BB$17,"M",TRUE,Currency2))</f>
        <v>0</v>
      </c>
      <c r="BC373" s="699">
        <f>IF($AW374=0,0,        _xll.qDateNext($AW373,BC$17,"M",TRUE,Currency2))</f>
        <v>0</v>
      </c>
      <c r="BD373" s="699">
        <f>IF($AW374=0,0,        _xll.qDateNext($AW373,BD$17,"M",TRUE,Currency2))</f>
        <v>0</v>
      </c>
      <c r="BE373" s="699">
        <f>IF($AW374=0,0,        _xll.qDateNext($AW373,BE$17,"M",TRUE,Currency2))</f>
        <v>0</v>
      </c>
      <c r="BF373" s="699">
        <f>IF($AW374=0,0,        _xll.qDateNext($AW373,BF$17,"M",TRUE,Currency2))</f>
        <v>0</v>
      </c>
      <c r="BG373" s="699">
        <f>IF($AW374=0,0,        _xll.qDateNext($AW373,BG$17,"M",TRUE,Currency2))</f>
        <v>0</v>
      </c>
      <c r="BH373" s="703">
        <v>0</v>
      </c>
      <c r="BI373" s="703">
        <v>0</v>
      </c>
      <c r="BJ373" s="703">
        <v>0</v>
      </c>
      <c r="BK373" s="703">
        <v>0</v>
      </c>
      <c r="BL373" s="703">
        <f t="shared" si="81"/>
        <v>0</v>
      </c>
      <c r="BM373" s="703">
        <f t="shared" si="82"/>
        <v>0</v>
      </c>
      <c r="BN373" s="703">
        <v>0</v>
      </c>
      <c r="BO373" s="703">
        <v>0</v>
      </c>
      <c r="BP373" s="685">
        <v>0</v>
      </c>
      <c r="BQ373" s="667"/>
      <c r="BR373" s="670">
        <f>IF(AW374=0,0,             IF(ISNUMBER(BQ373),BQ373,             IF(ISTEXT(BQ373),INDEX(BH373:BO373,MATCH(BQ373,$BH$17:$BO$17,0)),           IF(BP373="INT",_xll.qInterp(AW374,AZ373:BG373,BH373:BO373),       INDEX(BH373:BO373,MATCH(BP373,$BH$17:$BO$17,0))))))</f>
        <v>0</v>
      </c>
      <c r="BS373" s="731">
        <f t="shared" si="76"/>
        <v>0</v>
      </c>
      <c r="BT373" s="406">
        <f t="shared" si="77"/>
        <v>0</v>
      </c>
      <c r="BU373" s="284">
        <f>IF($AW374,_xll.qDateYears($AW373,$AW374,DCC_Leg2_Fixed),0)</f>
        <v>0</v>
      </c>
      <c r="BV373" s="284">
        <f>IF($AW374,_xll.qDateYears($AW373,$AW374,DCC_Leg2_Float),0)</f>
        <v>0</v>
      </c>
      <c r="BX373" s="350">
        <f t="shared" si="83"/>
        <v>0</v>
      </c>
      <c r="BY373" s="375">
        <f>IF(GenType_2a="Fixed",GenRate_2a%*$BT372*BU372,          IF(GenType_2a="Float",$BT372*(_xll.qGetFwdRate($J$18,$AW372,$AW373,"T",DCC_Leg2_Float)%+GenRate_2a%%)*$BV372,        IF(GenType_2a="bp (Fixed)",GenRate_2a%%*$BU372*$BT372,   IF(GenType_2a="bp (Float)",GenRate_2a%%*$BT372*$BV372,0))))</f>
        <v>0</v>
      </c>
      <c r="BZ373" s="561"/>
      <c r="CB373" s="341">
        <f t="shared" si="85"/>
        <v>0</v>
      </c>
      <c r="CC373" s="563"/>
      <c r="CD373" s="356"/>
      <c r="CE373" s="341">
        <v>0</v>
      </c>
      <c r="CF373" s="563"/>
      <c r="CG373" s="356"/>
    </row>
    <row r="374" spans="15:85">
      <c r="O374" s="122">
        <v>0</v>
      </c>
      <c r="P374" s="128">
        <f t="shared" si="72"/>
        <v>0</v>
      </c>
      <c r="Q374" s="126">
        <v>0</v>
      </c>
      <c r="R374" s="699">
        <f>IF($O375=0,0,        _xll.qDateNext($O374,R$17,"M",TRUE,Currency1))</f>
        <v>0</v>
      </c>
      <c r="S374" s="699">
        <f>IF($O375=0,0,        _xll.qDateNext($O374,S$17,"M",TRUE,Currency1))</f>
        <v>0</v>
      </c>
      <c r="T374" s="699">
        <f>IF($O375=0,0,        _xll.qDateNext($O374,T$17,"M",TRUE,Currency1))</f>
        <v>0</v>
      </c>
      <c r="U374" s="699">
        <f>IF($O375=0,0,        _xll.qDateNext($O374,U$17,"M",TRUE,Currency1))</f>
        <v>0</v>
      </c>
      <c r="V374" s="699">
        <f>IF($O375=0,0,        _xll.qDateNext($O374,V$17,"M",TRUE,Currency1))</f>
        <v>0</v>
      </c>
      <c r="W374" s="699">
        <f>IF($O375=0,0,        _xll.qDateNext($O374,W$17,"M",TRUE,Currency1))</f>
        <v>0</v>
      </c>
      <c r="X374" s="699">
        <f>IF($O375=0,0,        _xll.qDateNext($O374,X$17,"M",TRUE,Currency1))</f>
        <v>0</v>
      </c>
      <c r="Y374" s="699">
        <f>IF($O375=0,0,        _xll.qDateNext($O374,Y$17,"M",TRUE,Currency1))</f>
        <v>0</v>
      </c>
      <c r="Z374" s="703">
        <f>IF($O375=0,0,           IF(FRM,_xll.qGetFwdRate(Z$14,$O374,R374,"T",DCC_Leg1_Float),_xll.qGetFwdRate(Z$14,$O374,$O375,"T",DCC_Leg1_Float)))</f>
        <v>0</v>
      </c>
      <c r="AA374" s="703">
        <f>IF($O375=0,0,           IF(FRM,_xll.qGetFwdRate(AA$14,$O374,S374,"T",DCC_Leg1_Float),_xll.qGetFwdRate(AA$14,$O374,$O375,"T",DCC_Leg1_Float)))</f>
        <v>0</v>
      </c>
      <c r="AB374" s="703">
        <f t="shared" si="73"/>
        <v>0</v>
      </c>
      <c r="AC374" s="703">
        <f>IF($O375=0,0,           IF(FRM,_xll.qGetFwdRate(AC$14,$O374,U374,"T",DCC_Leg1_Float),_xll.qGetFwdRate(AC$14,$O374,$O375,"T",DCC_Leg1_Float)))</f>
        <v>0</v>
      </c>
      <c r="AD374" s="703">
        <f t="shared" si="78"/>
        <v>0</v>
      </c>
      <c r="AE374" s="703">
        <f t="shared" si="79"/>
        <v>0</v>
      </c>
      <c r="AF374" s="703">
        <f>IF($O375=0,0,           IF(FRM,_xll.qGetFwdRate(AF$14,$O374,X374,"T",DCC_Leg1_Float),_xll.qGetFwdRate(AF$14,$O374,$O375,"T",DCC_Leg1_Float)))</f>
        <v>0</v>
      </c>
      <c r="AG374" s="703">
        <f>IF($O375=0,0,           IF(FRM,_xll.qGetFwdRate(AG$14,$O374,Y374,"T",DCC_Leg1_Float),_xll.qGetFwdRate(AG$14,$O374,$O375,"T",DCC_Leg1_Float)))</f>
        <v>0</v>
      </c>
      <c r="AH374" s="685">
        <v>0</v>
      </c>
      <c r="AI374" s="667"/>
      <c r="AJ374" s="670">
        <f>IF(O375=0,0,             IF(ISNUMBER(AI374),AI374,             IF(ISTEXT(AI374),INDEX(Z374:AG374,MATCH(AI374,$Z$17:$AG$17,0)),           IF(AH374="INT",_xll.qInterp(O375,R374:Y374,Z374:AG374),       INDEX(Z374:AG374,MATCH(AH374,$Z$17:$AG$17,0))))))</f>
        <v>0</v>
      </c>
      <c r="AK374" s="732">
        <v>20</v>
      </c>
      <c r="AL374" s="721">
        <f t="shared" si="74"/>
        <v>0</v>
      </c>
      <c r="AM374" s="284">
        <f>IF($O375,_xll.qDateYears($O374,$O375,DCC_Leg1_Fixed),0)</f>
        <v>0</v>
      </c>
      <c r="AN374" s="284">
        <f>IF($O375,_xll.qDateYears($O374,$O375,DCC_Leg1_Float),0)</f>
        <v>0</v>
      </c>
      <c r="AP374" s="350">
        <f t="shared" si="80"/>
        <v>0</v>
      </c>
      <c r="AQ374" s="375">
        <f>IF(GenType_1a="Fixed",GenRate_1a%*$AL373*AM373,          IF(GenType_1a="Float",$AL373*(_xll.qGetFwdRate($D$18,$O373,$O374,"T",DCC_Leg1_Float)%+GenRate_1a%%)*$AN373,        IF(GenType_1a="bp (Fixed)",GenRate_1a%%*$AM373*$AL373,   IF(GenType_1a="bp (Float)",GenRate_1a%%*$AL373*$AN373,0))))</f>
        <v>0</v>
      </c>
      <c r="AR374" s="561"/>
      <c r="AT374" s="341">
        <f t="shared" si="84"/>
        <v>0</v>
      </c>
      <c r="AV374" s="356"/>
      <c r="AW374" s="122">
        <v>0</v>
      </c>
      <c r="AX374" s="128">
        <f t="shared" si="75"/>
        <v>0</v>
      </c>
      <c r="AY374" s="357">
        <v>0</v>
      </c>
      <c r="AZ374" s="699">
        <f>IF($AW375=0,0,        _xll.qDateNext($AW374,AZ$17,"M",TRUE,Currency2))</f>
        <v>0</v>
      </c>
      <c r="BA374" s="699">
        <f>IF($AW375=0,0,        _xll.qDateNext($AW374,BA$17,"M",TRUE,Currency2))</f>
        <v>0</v>
      </c>
      <c r="BB374" s="699">
        <f>IF($AW375=0,0,        _xll.qDateNext($AW374,BB$17,"M",TRUE,Currency2))</f>
        <v>0</v>
      </c>
      <c r="BC374" s="699">
        <f>IF($AW375=0,0,        _xll.qDateNext($AW374,BC$17,"M",TRUE,Currency2))</f>
        <v>0</v>
      </c>
      <c r="BD374" s="699">
        <f>IF($AW375=0,0,        _xll.qDateNext($AW374,BD$17,"M",TRUE,Currency2))</f>
        <v>0</v>
      </c>
      <c r="BE374" s="699">
        <f>IF($AW375=0,0,        _xll.qDateNext($AW374,BE$17,"M",TRUE,Currency2))</f>
        <v>0</v>
      </c>
      <c r="BF374" s="699">
        <f>IF($AW375=0,0,        _xll.qDateNext($AW374,BF$17,"M",TRUE,Currency2))</f>
        <v>0</v>
      </c>
      <c r="BG374" s="699">
        <f>IF($AW375=0,0,        _xll.qDateNext($AW374,BG$17,"M",TRUE,Currency2))</f>
        <v>0</v>
      </c>
      <c r="BH374" s="703">
        <v>0</v>
      </c>
      <c r="BI374" s="703">
        <v>0</v>
      </c>
      <c r="BJ374" s="703">
        <v>0</v>
      </c>
      <c r="BK374" s="703">
        <v>0</v>
      </c>
      <c r="BL374" s="703">
        <f t="shared" si="81"/>
        <v>0</v>
      </c>
      <c r="BM374" s="703">
        <f t="shared" si="82"/>
        <v>0</v>
      </c>
      <c r="BN374" s="703">
        <v>0</v>
      </c>
      <c r="BO374" s="703">
        <v>0</v>
      </c>
      <c r="BP374" s="685">
        <v>0</v>
      </c>
      <c r="BQ374" s="667"/>
      <c r="BR374" s="670">
        <f>IF(AW375=0,0,             IF(ISNUMBER(BQ374),BQ374,             IF(ISTEXT(BQ374),INDEX(BH374:BO374,MATCH(BQ374,$BH$17:$BO$17,0)),           IF(BP374="INT",_xll.qInterp(AW375,AZ374:BG374,BH374:BO374),       INDEX(BH374:BO374,MATCH(BP374,$BH$17:$BO$17,0))))))</f>
        <v>0</v>
      </c>
      <c r="BS374" s="731">
        <f t="shared" si="76"/>
        <v>0</v>
      </c>
      <c r="BT374" s="406">
        <f t="shared" si="77"/>
        <v>0</v>
      </c>
      <c r="BU374" s="284">
        <f>IF($AW375,_xll.qDateYears($AW374,$AW375,DCC_Leg2_Fixed),0)</f>
        <v>0</v>
      </c>
      <c r="BV374" s="284">
        <f>IF($AW375,_xll.qDateYears($AW374,$AW375,DCC_Leg2_Float),0)</f>
        <v>0</v>
      </c>
      <c r="BX374" s="350">
        <f t="shared" si="83"/>
        <v>0</v>
      </c>
      <c r="BY374" s="375">
        <f>IF(GenType_2a="Fixed",GenRate_2a%*$BT373*BU373,          IF(GenType_2a="Float",$BT373*(_xll.qGetFwdRate($J$18,$AW373,$AW374,"T",DCC_Leg2_Float)%+GenRate_2a%%)*$BV373,        IF(GenType_2a="bp (Fixed)",GenRate_2a%%*$BU373*$BT373,   IF(GenType_2a="bp (Float)",GenRate_2a%%*$BT373*$BV373,0))))</f>
        <v>0</v>
      </c>
      <c r="BZ374" s="561"/>
      <c r="CB374" s="341">
        <f t="shared" si="85"/>
        <v>0</v>
      </c>
      <c r="CC374" s="563"/>
      <c r="CD374" s="356"/>
      <c r="CE374" s="341">
        <v>0</v>
      </c>
      <c r="CF374" s="563"/>
      <c r="CG374" s="356"/>
    </row>
    <row r="375" spans="15:85">
      <c r="O375" s="122">
        <v>0</v>
      </c>
      <c r="P375" s="128">
        <f t="shared" si="72"/>
        <v>0</v>
      </c>
      <c r="Q375" s="126">
        <v>0</v>
      </c>
      <c r="R375" s="699">
        <f>IF($O376=0,0,        _xll.qDateNext($O375,R$17,"M",TRUE,Currency1))</f>
        <v>0</v>
      </c>
      <c r="S375" s="699">
        <f>IF($O376=0,0,        _xll.qDateNext($O375,S$17,"M",TRUE,Currency1))</f>
        <v>0</v>
      </c>
      <c r="T375" s="699">
        <f>IF($O376=0,0,        _xll.qDateNext($O375,T$17,"M",TRUE,Currency1))</f>
        <v>0</v>
      </c>
      <c r="U375" s="699">
        <f>IF($O376=0,0,        _xll.qDateNext($O375,U$17,"M",TRUE,Currency1))</f>
        <v>0</v>
      </c>
      <c r="V375" s="699">
        <f>IF($O376=0,0,        _xll.qDateNext($O375,V$17,"M",TRUE,Currency1))</f>
        <v>0</v>
      </c>
      <c r="W375" s="699">
        <f>IF($O376=0,0,        _xll.qDateNext($O375,W$17,"M",TRUE,Currency1))</f>
        <v>0</v>
      </c>
      <c r="X375" s="699">
        <f>IF($O376=0,0,        _xll.qDateNext($O375,X$17,"M",TRUE,Currency1))</f>
        <v>0</v>
      </c>
      <c r="Y375" s="699">
        <f>IF($O376=0,0,        _xll.qDateNext($O375,Y$17,"M",TRUE,Currency1))</f>
        <v>0</v>
      </c>
      <c r="Z375" s="703">
        <f>IF($O376=0,0,           IF(FRM,_xll.qGetFwdRate(Z$14,$O375,R375,"T",DCC_Leg1_Float),_xll.qGetFwdRate(Z$14,$O375,$O376,"T",DCC_Leg1_Float)))</f>
        <v>0</v>
      </c>
      <c r="AA375" s="703">
        <f>IF($O376=0,0,           IF(FRM,_xll.qGetFwdRate(AA$14,$O375,S375,"T",DCC_Leg1_Float),_xll.qGetFwdRate(AA$14,$O375,$O376,"T",DCC_Leg1_Float)))</f>
        <v>0</v>
      </c>
      <c r="AB375" s="703">
        <f t="shared" si="73"/>
        <v>0</v>
      </c>
      <c r="AC375" s="703">
        <f>IF($O376=0,0,           IF(FRM,_xll.qGetFwdRate(AC$14,$O375,U375,"T",DCC_Leg1_Float),_xll.qGetFwdRate(AC$14,$O375,$O376,"T",DCC_Leg1_Float)))</f>
        <v>0</v>
      </c>
      <c r="AD375" s="703">
        <f t="shared" si="78"/>
        <v>0</v>
      </c>
      <c r="AE375" s="703">
        <f t="shared" si="79"/>
        <v>0</v>
      </c>
      <c r="AF375" s="703">
        <f>IF($O376=0,0,           IF(FRM,_xll.qGetFwdRate(AF$14,$O375,X375,"T",DCC_Leg1_Float),_xll.qGetFwdRate(AF$14,$O375,$O376,"T",DCC_Leg1_Float)))</f>
        <v>0</v>
      </c>
      <c r="AG375" s="703">
        <f>IF($O376=0,0,           IF(FRM,_xll.qGetFwdRate(AG$14,$O375,Y375,"T",DCC_Leg1_Float),_xll.qGetFwdRate(AG$14,$O375,$O376,"T",DCC_Leg1_Float)))</f>
        <v>0</v>
      </c>
      <c r="AH375" s="685">
        <v>0</v>
      </c>
      <c r="AI375" s="667"/>
      <c r="AJ375" s="670">
        <f>IF(O376=0,0,             IF(ISNUMBER(AI375),AI375,             IF(ISTEXT(AI375),INDEX(Z375:AG375,MATCH(AI375,$Z$17:$AG$17,0)),           IF(AH375="INT",_xll.qInterp(O376,R375:Y375,Z375:AG375),       INDEX(Z375:AG375,MATCH(AH375,$Z$17:$AG$17,0))))))</f>
        <v>0</v>
      </c>
      <c r="AK375" s="732">
        <v>20</v>
      </c>
      <c r="AL375" s="721">
        <f t="shared" si="74"/>
        <v>0</v>
      </c>
      <c r="AM375" s="284">
        <f>IF($O376,_xll.qDateYears($O375,$O376,DCC_Leg1_Fixed),0)</f>
        <v>0</v>
      </c>
      <c r="AN375" s="284">
        <f>IF($O376,_xll.qDateYears($O375,$O376,DCC_Leg1_Float),0)</f>
        <v>0</v>
      </c>
      <c r="AP375" s="350">
        <f t="shared" si="80"/>
        <v>0</v>
      </c>
      <c r="AQ375" s="375">
        <f>IF(GenType_1a="Fixed",GenRate_1a%*$AL374*AM374,          IF(GenType_1a="Float",$AL374*(_xll.qGetFwdRate($D$18,$O374,$O375,"T",DCC_Leg1_Float)%+GenRate_1a%%)*$AN374,        IF(GenType_1a="bp (Fixed)",GenRate_1a%%*$AM374*$AL374,   IF(GenType_1a="bp (Float)",GenRate_1a%%*$AL374*$AN374,0))))</f>
        <v>0</v>
      </c>
      <c r="AR375" s="561"/>
      <c r="AT375" s="341">
        <f t="shared" si="84"/>
        <v>0</v>
      </c>
      <c r="AV375" s="356"/>
      <c r="AW375" s="122">
        <v>0</v>
      </c>
      <c r="AX375" s="128">
        <f t="shared" si="75"/>
        <v>0</v>
      </c>
      <c r="AY375" s="357">
        <v>0</v>
      </c>
      <c r="AZ375" s="699">
        <f>IF($AW376=0,0,        _xll.qDateNext($AW375,AZ$17,"M",TRUE,Currency2))</f>
        <v>0</v>
      </c>
      <c r="BA375" s="699">
        <f>IF($AW376=0,0,        _xll.qDateNext($AW375,BA$17,"M",TRUE,Currency2))</f>
        <v>0</v>
      </c>
      <c r="BB375" s="699">
        <f>IF($AW376=0,0,        _xll.qDateNext($AW375,BB$17,"M",TRUE,Currency2))</f>
        <v>0</v>
      </c>
      <c r="BC375" s="699">
        <f>IF($AW376=0,0,        _xll.qDateNext($AW375,BC$17,"M",TRUE,Currency2))</f>
        <v>0</v>
      </c>
      <c r="BD375" s="699">
        <f>IF($AW376=0,0,        _xll.qDateNext($AW375,BD$17,"M",TRUE,Currency2))</f>
        <v>0</v>
      </c>
      <c r="BE375" s="699">
        <f>IF($AW376=0,0,        _xll.qDateNext($AW375,BE$17,"M",TRUE,Currency2))</f>
        <v>0</v>
      </c>
      <c r="BF375" s="699">
        <f>IF($AW376=0,0,        _xll.qDateNext($AW375,BF$17,"M",TRUE,Currency2))</f>
        <v>0</v>
      </c>
      <c r="BG375" s="699">
        <f>IF($AW376=0,0,        _xll.qDateNext($AW375,BG$17,"M",TRUE,Currency2))</f>
        <v>0</v>
      </c>
      <c r="BH375" s="703">
        <v>0</v>
      </c>
      <c r="BI375" s="703">
        <v>0</v>
      </c>
      <c r="BJ375" s="703">
        <v>0</v>
      </c>
      <c r="BK375" s="703">
        <v>0</v>
      </c>
      <c r="BL375" s="703">
        <f t="shared" si="81"/>
        <v>0</v>
      </c>
      <c r="BM375" s="703">
        <f t="shared" si="82"/>
        <v>0</v>
      </c>
      <c r="BN375" s="703">
        <v>0</v>
      </c>
      <c r="BO375" s="703">
        <v>0</v>
      </c>
      <c r="BP375" s="685">
        <v>0</v>
      </c>
      <c r="BQ375" s="667"/>
      <c r="BR375" s="670">
        <f>IF(AW376=0,0,             IF(ISNUMBER(BQ375),BQ375,             IF(ISTEXT(BQ375),INDEX(BH375:BO375,MATCH(BQ375,$BH$17:$BO$17,0)),           IF(BP375="INT",_xll.qInterp(AW376,AZ375:BG375,BH375:BO375),       INDEX(BH375:BO375,MATCH(BP375,$BH$17:$BO$17,0))))))</f>
        <v>0</v>
      </c>
      <c r="BS375" s="731">
        <f t="shared" si="76"/>
        <v>0</v>
      </c>
      <c r="BT375" s="406">
        <f t="shared" si="77"/>
        <v>0</v>
      </c>
      <c r="BU375" s="284">
        <f>IF($AW376,_xll.qDateYears($AW375,$AW376,DCC_Leg2_Fixed),0)</f>
        <v>0</v>
      </c>
      <c r="BV375" s="284">
        <f>IF($AW376,_xll.qDateYears($AW375,$AW376,DCC_Leg2_Float),0)</f>
        <v>0</v>
      </c>
      <c r="BX375" s="350">
        <f t="shared" si="83"/>
        <v>0</v>
      </c>
      <c r="BY375" s="375">
        <f>IF(GenType_2a="Fixed",GenRate_2a%*$BT374*BU374,          IF(GenType_2a="Float",$BT374*(_xll.qGetFwdRate($J$18,$AW374,$AW375,"T",DCC_Leg2_Float)%+GenRate_2a%%)*$BV374,        IF(GenType_2a="bp (Fixed)",GenRate_2a%%*$BU374*$BT374,   IF(GenType_2a="bp (Float)",GenRate_2a%%*$BT374*$BV374,0))))</f>
        <v>0</v>
      </c>
      <c r="BZ375" s="561"/>
      <c r="CB375" s="341">
        <f t="shared" si="85"/>
        <v>0</v>
      </c>
      <c r="CC375" s="563"/>
      <c r="CD375" s="356"/>
      <c r="CE375" s="341">
        <v>0</v>
      </c>
      <c r="CF375" s="563"/>
      <c r="CG375" s="356"/>
    </row>
    <row r="376" spans="15:85">
      <c r="O376" s="122">
        <v>0</v>
      </c>
      <c r="P376" s="128">
        <f t="shared" si="72"/>
        <v>0</v>
      </c>
      <c r="Q376" s="126">
        <v>0</v>
      </c>
      <c r="R376" s="699">
        <f>IF($O377=0,0,        _xll.qDateNext($O376,R$17,"M",TRUE,Currency1))</f>
        <v>0</v>
      </c>
      <c r="S376" s="699">
        <f>IF($O377=0,0,        _xll.qDateNext($O376,S$17,"M",TRUE,Currency1))</f>
        <v>0</v>
      </c>
      <c r="T376" s="699">
        <f>IF($O377=0,0,        _xll.qDateNext($O376,T$17,"M",TRUE,Currency1))</f>
        <v>0</v>
      </c>
      <c r="U376" s="699">
        <f>IF($O377=0,0,        _xll.qDateNext($O376,U$17,"M",TRUE,Currency1))</f>
        <v>0</v>
      </c>
      <c r="V376" s="699">
        <f>IF($O377=0,0,        _xll.qDateNext($O376,V$17,"M",TRUE,Currency1))</f>
        <v>0</v>
      </c>
      <c r="W376" s="699">
        <f>IF($O377=0,0,        _xll.qDateNext($O376,W$17,"M",TRUE,Currency1))</f>
        <v>0</v>
      </c>
      <c r="X376" s="699">
        <f>IF($O377=0,0,        _xll.qDateNext($O376,X$17,"M",TRUE,Currency1))</f>
        <v>0</v>
      </c>
      <c r="Y376" s="699">
        <f>IF($O377=0,0,        _xll.qDateNext($O376,Y$17,"M",TRUE,Currency1))</f>
        <v>0</v>
      </c>
      <c r="Z376" s="703">
        <f>IF($O377=0,0,           IF(FRM,_xll.qGetFwdRate(Z$14,$O376,R376,"T",DCC_Leg1_Float),_xll.qGetFwdRate(Z$14,$O376,$O377,"T",DCC_Leg1_Float)))</f>
        <v>0</v>
      </c>
      <c r="AA376" s="703">
        <f>IF($O377=0,0,           IF(FRM,_xll.qGetFwdRate(AA$14,$O376,S376,"T",DCC_Leg1_Float),_xll.qGetFwdRate(AA$14,$O376,$O377,"T",DCC_Leg1_Float)))</f>
        <v>0</v>
      </c>
      <c r="AB376" s="703">
        <f t="shared" si="73"/>
        <v>0</v>
      </c>
      <c r="AC376" s="703">
        <f>IF($O377=0,0,           IF(FRM,_xll.qGetFwdRate(AC$14,$O376,U376,"T",DCC_Leg1_Float),_xll.qGetFwdRate(AC$14,$O376,$O377,"T",DCC_Leg1_Float)))</f>
        <v>0</v>
      </c>
      <c r="AD376" s="703">
        <f t="shared" si="78"/>
        <v>0</v>
      </c>
      <c r="AE376" s="703">
        <f t="shared" si="79"/>
        <v>0</v>
      </c>
      <c r="AF376" s="703">
        <f>IF($O377=0,0,           IF(FRM,_xll.qGetFwdRate(AF$14,$O376,X376,"T",DCC_Leg1_Float),_xll.qGetFwdRate(AF$14,$O376,$O377,"T",DCC_Leg1_Float)))</f>
        <v>0</v>
      </c>
      <c r="AG376" s="703">
        <f>IF($O377=0,0,           IF(FRM,_xll.qGetFwdRate(AG$14,$O376,Y376,"T",DCC_Leg1_Float),_xll.qGetFwdRate(AG$14,$O376,$O377,"T",DCC_Leg1_Float)))</f>
        <v>0</v>
      </c>
      <c r="AH376" s="685">
        <v>0</v>
      </c>
      <c r="AI376" s="667"/>
      <c r="AJ376" s="670">
        <f>IF(O377=0,0,             IF(ISNUMBER(AI376),AI376,             IF(ISTEXT(AI376),INDEX(Z376:AG376,MATCH(AI376,$Z$17:$AG$17,0)),           IF(AH376="INT",_xll.qInterp(O377,R376:Y376,Z376:AG376),       INDEX(Z376:AG376,MATCH(AH376,$Z$17:$AG$17,0))))))</f>
        <v>0</v>
      </c>
      <c r="AK376" s="732">
        <v>20</v>
      </c>
      <c r="AL376" s="721">
        <f t="shared" si="74"/>
        <v>0</v>
      </c>
      <c r="AM376" s="284">
        <f>IF($O377,_xll.qDateYears($O376,$O377,DCC_Leg1_Fixed),0)</f>
        <v>0</v>
      </c>
      <c r="AN376" s="284">
        <f>IF($O377,_xll.qDateYears($O376,$O377,DCC_Leg1_Float),0)</f>
        <v>0</v>
      </c>
      <c r="AP376" s="350">
        <f t="shared" si="80"/>
        <v>0</v>
      </c>
      <c r="AQ376" s="375">
        <f>IF(GenType_1a="Fixed",GenRate_1a%*$AL375*AM375,          IF(GenType_1a="Float",$AL375*(_xll.qGetFwdRate($D$18,$O375,$O376,"T",DCC_Leg1_Float)%+GenRate_1a%%)*$AN375,        IF(GenType_1a="bp (Fixed)",GenRate_1a%%*$AM375*$AL375,   IF(GenType_1a="bp (Float)",GenRate_1a%%*$AL375*$AN375,0))))</f>
        <v>0</v>
      </c>
      <c r="AR376" s="561"/>
      <c r="AT376" s="341">
        <f t="shared" si="84"/>
        <v>0</v>
      </c>
      <c r="AV376" s="356"/>
      <c r="AW376" s="122">
        <v>0</v>
      </c>
      <c r="AX376" s="128">
        <f t="shared" si="75"/>
        <v>0</v>
      </c>
      <c r="AY376" s="357">
        <v>0</v>
      </c>
      <c r="AZ376" s="699">
        <f>IF($AW377=0,0,        _xll.qDateNext($AW376,AZ$17,"M",TRUE,Currency2))</f>
        <v>0</v>
      </c>
      <c r="BA376" s="699">
        <f>IF($AW377=0,0,        _xll.qDateNext($AW376,BA$17,"M",TRUE,Currency2))</f>
        <v>0</v>
      </c>
      <c r="BB376" s="699">
        <f>IF($AW377=0,0,        _xll.qDateNext($AW376,BB$17,"M",TRUE,Currency2))</f>
        <v>0</v>
      </c>
      <c r="BC376" s="699">
        <f>IF($AW377=0,0,        _xll.qDateNext($AW376,BC$17,"M",TRUE,Currency2))</f>
        <v>0</v>
      </c>
      <c r="BD376" s="699">
        <f>IF($AW377=0,0,        _xll.qDateNext($AW376,BD$17,"M",TRUE,Currency2))</f>
        <v>0</v>
      </c>
      <c r="BE376" s="699">
        <f>IF($AW377=0,0,        _xll.qDateNext($AW376,BE$17,"M",TRUE,Currency2))</f>
        <v>0</v>
      </c>
      <c r="BF376" s="699">
        <f>IF($AW377=0,0,        _xll.qDateNext($AW376,BF$17,"M",TRUE,Currency2))</f>
        <v>0</v>
      </c>
      <c r="BG376" s="699">
        <f>IF($AW377=0,0,        _xll.qDateNext($AW376,BG$17,"M",TRUE,Currency2))</f>
        <v>0</v>
      </c>
      <c r="BH376" s="703">
        <v>0</v>
      </c>
      <c r="BI376" s="703">
        <v>0</v>
      </c>
      <c r="BJ376" s="703">
        <v>0</v>
      </c>
      <c r="BK376" s="703">
        <v>0</v>
      </c>
      <c r="BL376" s="703">
        <f t="shared" si="81"/>
        <v>0</v>
      </c>
      <c r="BM376" s="703">
        <f t="shared" si="82"/>
        <v>0</v>
      </c>
      <c r="BN376" s="703">
        <v>0</v>
      </c>
      <c r="BO376" s="703">
        <v>0</v>
      </c>
      <c r="BP376" s="685">
        <v>0</v>
      </c>
      <c r="BQ376" s="667"/>
      <c r="BR376" s="670">
        <f>IF(AW377=0,0,             IF(ISNUMBER(BQ376),BQ376,             IF(ISTEXT(BQ376),INDEX(BH376:BO376,MATCH(BQ376,$BH$17:$BO$17,0)),           IF(BP376="INT",_xll.qInterp(AW377,AZ376:BG376,BH376:BO376),       INDEX(BH376:BO376,MATCH(BP376,$BH$17:$BO$17,0))))))</f>
        <v>0</v>
      </c>
      <c r="BS376" s="731">
        <f t="shared" si="76"/>
        <v>0</v>
      </c>
      <c r="BT376" s="406">
        <f t="shared" si="77"/>
        <v>0</v>
      </c>
      <c r="BU376" s="284">
        <f>IF($AW377,_xll.qDateYears($AW376,$AW377,DCC_Leg2_Fixed),0)</f>
        <v>0</v>
      </c>
      <c r="BV376" s="284">
        <f>IF($AW377,_xll.qDateYears($AW376,$AW377,DCC_Leg2_Float),0)</f>
        <v>0</v>
      </c>
      <c r="BX376" s="350">
        <f t="shared" si="83"/>
        <v>0</v>
      </c>
      <c r="BY376" s="375">
        <f>IF(GenType_2a="Fixed",GenRate_2a%*$BT375*BU375,          IF(GenType_2a="Float",$BT375*(_xll.qGetFwdRate($J$18,$AW375,$AW376,"T",DCC_Leg2_Float)%+GenRate_2a%%)*$BV375,        IF(GenType_2a="bp (Fixed)",GenRate_2a%%*$BU375*$BT375,   IF(GenType_2a="bp (Float)",GenRate_2a%%*$BT375*$BV375,0))))</f>
        <v>0</v>
      </c>
      <c r="BZ376" s="561"/>
      <c r="CB376" s="341">
        <f t="shared" si="85"/>
        <v>0</v>
      </c>
      <c r="CC376" s="563"/>
      <c r="CD376" s="356"/>
      <c r="CE376" s="341">
        <v>0</v>
      </c>
      <c r="CF376" s="563"/>
      <c r="CG376" s="356"/>
    </row>
    <row r="377" spans="15:85">
      <c r="O377" s="122">
        <v>0</v>
      </c>
      <c r="P377" s="128">
        <f t="shared" si="72"/>
        <v>0</v>
      </c>
      <c r="Q377" s="126">
        <v>0</v>
      </c>
      <c r="R377" s="699">
        <f>IF($O378=0,0,        _xll.qDateNext($O377,R$17,"M",TRUE,Currency1))</f>
        <v>0</v>
      </c>
      <c r="S377" s="699">
        <f>IF($O378=0,0,        _xll.qDateNext($O377,S$17,"M",TRUE,Currency1))</f>
        <v>0</v>
      </c>
      <c r="T377" s="699">
        <f>IF($O378=0,0,        _xll.qDateNext($O377,T$17,"M",TRUE,Currency1))</f>
        <v>0</v>
      </c>
      <c r="U377" s="699">
        <f>IF($O378=0,0,        _xll.qDateNext($O377,U$17,"M",TRUE,Currency1))</f>
        <v>0</v>
      </c>
      <c r="V377" s="699">
        <f>IF($O378=0,0,        _xll.qDateNext($O377,V$17,"M",TRUE,Currency1))</f>
        <v>0</v>
      </c>
      <c r="W377" s="699">
        <f>IF($O378=0,0,        _xll.qDateNext($O377,W$17,"M",TRUE,Currency1))</f>
        <v>0</v>
      </c>
      <c r="X377" s="699">
        <f>IF($O378=0,0,        _xll.qDateNext($O377,X$17,"M",TRUE,Currency1))</f>
        <v>0</v>
      </c>
      <c r="Y377" s="699">
        <f>IF($O378=0,0,        _xll.qDateNext($O377,Y$17,"M",TRUE,Currency1))</f>
        <v>0</v>
      </c>
      <c r="Z377" s="703">
        <f>IF($O378=0,0,           IF(FRM,_xll.qGetFwdRate(Z$14,$O377,R377,"T",DCC_Leg1_Float),_xll.qGetFwdRate(Z$14,$O377,$O378,"T",DCC_Leg1_Float)))</f>
        <v>0</v>
      </c>
      <c r="AA377" s="703">
        <f>IF($O378=0,0,           IF(FRM,_xll.qGetFwdRate(AA$14,$O377,S377,"T",DCC_Leg1_Float),_xll.qGetFwdRate(AA$14,$O377,$O378,"T",DCC_Leg1_Float)))</f>
        <v>0</v>
      </c>
      <c r="AB377" s="703">
        <f t="shared" si="73"/>
        <v>0</v>
      </c>
      <c r="AC377" s="703">
        <f>IF($O378=0,0,           IF(FRM,_xll.qGetFwdRate(AC$14,$O377,U377,"T",DCC_Leg1_Float),_xll.qGetFwdRate(AC$14,$O377,$O378,"T",DCC_Leg1_Float)))</f>
        <v>0</v>
      </c>
      <c r="AD377" s="703">
        <f t="shared" si="78"/>
        <v>0</v>
      </c>
      <c r="AE377" s="703">
        <f t="shared" si="79"/>
        <v>0</v>
      </c>
      <c r="AF377" s="703">
        <f>IF($O378=0,0,           IF(FRM,_xll.qGetFwdRate(AF$14,$O377,X377,"T",DCC_Leg1_Float),_xll.qGetFwdRate(AF$14,$O377,$O378,"T",DCC_Leg1_Float)))</f>
        <v>0</v>
      </c>
      <c r="AG377" s="703">
        <f>IF($O378=0,0,           IF(FRM,_xll.qGetFwdRate(AG$14,$O377,Y377,"T",DCC_Leg1_Float),_xll.qGetFwdRate(AG$14,$O377,$O378,"T",DCC_Leg1_Float)))</f>
        <v>0</v>
      </c>
      <c r="AH377" s="685">
        <v>0</v>
      </c>
      <c r="AI377" s="667"/>
      <c r="AJ377" s="670">
        <f>IF(O378=0,0,             IF(ISNUMBER(AI377),AI377,             IF(ISTEXT(AI377),INDEX(Z377:AG377,MATCH(AI377,$Z$17:$AG$17,0)),           IF(AH377="INT",_xll.qInterp(O378,R377:Y377,Z377:AG377),       INDEX(Z377:AG377,MATCH(AH377,$Z$17:$AG$17,0))))))</f>
        <v>0</v>
      </c>
      <c r="AK377" s="732">
        <v>20</v>
      </c>
      <c r="AL377" s="721">
        <f t="shared" si="74"/>
        <v>0</v>
      </c>
      <c r="AM377" s="284">
        <f>IF($O378,_xll.qDateYears($O377,$O378,DCC_Leg1_Fixed),0)</f>
        <v>0</v>
      </c>
      <c r="AN377" s="284">
        <f>IF($O378,_xll.qDateYears($O377,$O378,DCC_Leg1_Float),0)</f>
        <v>0</v>
      </c>
      <c r="AP377" s="350">
        <f t="shared" si="80"/>
        <v>0</v>
      </c>
      <c r="AQ377" s="375">
        <f>IF(GenType_1a="Fixed",GenRate_1a%*$AL376*AM376,          IF(GenType_1a="Float",$AL376*(_xll.qGetFwdRate($D$18,$O376,$O377,"T",DCC_Leg1_Float)%+GenRate_1a%%)*$AN376,        IF(GenType_1a="bp (Fixed)",GenRate_1a%%*$AM376*$AL376,   IF(GenType_1a="bp (Float)",GenRate_1a%%*$AL376*$AN376,0))))</f>
        <v>0</v>
      </c>
      <c r="AR377" s="561"/>
      <c r="AT377" s="341">
        <f t="shared" si="84"/>
        <v>0</v>
      </c>
      <c r="AV377" s="356"/>
      <c r="AW377" s="122">
        <v>0</v>
      </c>
      <c r="AX377" s="128">
        <f t="shared" si="75"/>
        <v>0</v>
      </c>
      <c r="AY377" s="357">
        <v>0</v>
      </c>
      <c r="AZ377" s="699">
        <f>IF($AW378=0,0,        _xll.qDateNext($AW377,AZ$17,"M",TRUE,Currency2))</f>
        <v>0</v>
      </c>
      <c r="BA377" s="699">
        <f>IF($AW378=0,0,        _xll.qDateNext($AW377,BA$17,"M",TRUE,Currency2))</f>
        <v>0</v>
      </c>
      <c r="BB377" s="699">
        <f>IF($AW378=0,0,        _xll.qDateNext($AW377,BB$17,"M",TRUE,Currency2))</f>
        <v>0</v>
      </c>
      <c r="BC377" s="699">
        <f>IF($AW378=0,0,        _xll.qDateNext($AW377,BC$17,"M",TRUE,Currency2))</f>
        <v>0</v>
      </c>
      <c r="BD377" s="699">
        <f>IF($AW378=0,0,        _xll.qDateNext($AW377,BD$17,"M",TRUE,Currency2))</f>
        <v>0</v>
      </c>
      <c r="BE377" s="699">
        <f>IF($AW378=0,0,        _xll.qDateNext($AW377,BE$17,"M",TRUE,Currency2))</f>
        <v>0</v>
      </c>
      <c r="BF377" s="699">
        <f>IF($AW378=0,0,        _xll.qDateNext($AW377,BF$17,"M",TRUE,Currency2))</f>
        <v>0</v>
      </c>
      <c r="BG377" s="699">
        <f>IF($AW378=0,0,        _xll.qDateNext($AW377,BG$17,"M",TRUE,Currency2))</f>
        <v>0</v>
      </c>
      <c r="BH377" s="703">
        <v>0</v>
      </c>
      <c r="BI377" s="703">
        <v>0</v>
      </c>
      <c r="BJ377" s="703">
        <v>0</v>
      </c>
      <c r="BK377" s="703">
        <v>0</v>
      </c>
      <c r="BL377" s="703">
        <f t="shared" si="81"/>
        <v>0</v>
      </c>
      <c r="BM377" s="703">
        <f t="shared" si="82"/>
        <v>0</v>
      </c>
      <c r="BN377" s="703">
        <v>0</v>
      </c>
      <c r="BO377" s="703">
        <v>0</v>
      </c>
      <c r="BP377" s="685">
        <v>0</v>
      </c>
      <c r="BQ377" s="667"/>
      <c r="BR377" s="670">
        <f>IF(AW378=0,0,             IF(ISNUMBER(BQ377),BQ377,             IF(ISTEXT(BQ377),INDEX(BH377:BO377,MATCH(BQ377,$BH$17:$BO$17,0)),           IF(BP377="INT",_xll.qInterp(AW378,AZ377:BG377,BH377:BO377),       INDEX(BH377:BO377,MATCH(BP377,$BH$17:$BO$17,0))))))</f>
        <v>0</v>
      </c>
      <c r="BS377" s="731">
        <f t="shared" si="76"/>
        <v>0</v>
      </c>
      <c r="BT377" s="406">
        <f t="shared" si="77"/>
        <v>0</v>
      </c>
      <c r="BU377" s="284">
        <f>IF($AW378,_xll.qDateYears($AW377,$AW378,DCC_Leg2_Fixed),0)</f>
        <v>0</v>
      </c>
      <c r="BV377" s="284">
        <f>IF($AW378,_xll.qDateYears($AW377,$AW378,DCC_Leg2_Float),0)</f>
        <v>0</v>
      </c>
      <c r="BX377" s="350">
        <f t="shared" si="83"/>
        <v>0</v>
      </c>
      <c r="BY377" s="375">
        <f>IF(GenType_2a="Fixed",GenRate_2a%*$BT376*BU376,          IF(GenType_2a="Float",$BT376*(_xll.qGetFwdRate($J$18,$AW376,$AW377,"T",DCC_Leg2_Float)%+GenRate_2a%%)*$BV376,        IF(GenType_2a="bp (Fixed)",GenRate_2a%%*$BU376*$BT376,   IF(GenType_2a="bp (Float)",GenRate_2a%%*$BT376*$BV376,0))))</f>
        <v>0</v>
      </c>
      <c r="BZ377" s="561"/>
      <c r="CB377" s="341">
        <f t="shared" si="85"/>
        <v>0</v>
      </c>
      <c r="CC377" s="563"/>
      <c r="CD377" s="356"/>
      <c r="CE377" s="341">
        <v>0</v>
      </c>
      <c r="CF377" s="563"/>
      <c r="CG377" s="356"/>
    </row>
    <row r="378" spans="15:85">
      <c r="O378" s="122">
        <v>0</v>
      </c>
      <c r="P378" s="128">
        <f t="shared" si="72"/>
        <v>0</v>
      </c>
      <c r="Q378" s="126">
        <v>0</v>
      </c>
      <c r="R378" s="699">
        <f>IF($O379=0,0,        _xll.qDateNext($O378,R$17,"M",TRUE,Currency1))</f>
        <v>0</v>
      </c>
      <c r="S378" s="699">
        <f>IF($O379=0,0,        _xll.qDateNext($O378,S$17,"M",TRUE,Currency1))</f>
        <v>0</v>
      </c>
      <c r="T378" s="699">
        <f>IF($O379=0,0,        _xll.qDateNext($O378,T$17,"M",TRUE,Currency1))</f>
        <v>0</v>
      </c>
      <c r="U378" s="699">
        <f>IF($O379=0,0,        _xll.qDateNext($O378,U$17,"M",TRUE,Currency1))</f>
        <v>0</v>
      </c>
      <c r="V378" s="699">
        <f>IF($O379=0,0,        _xll.qDateNext($O378,V$17,"M",TRUE,Currency1))</f>
        <v>0</v>
      </c>
      <c r="W378" s="699">
        <f>IF($O379=0,0,        _xll.qDateNext($O378,W$17,"M",TRUE,Currency1))</f>
        <v>0</v>
      </c>
      <c r="X378" s="699">
        <f>IF($O379=0,0,        _xll.qDateNext($O378,X$17,"M",TRUE,Currency1))</f>
        <v>0</v>
      </c>
      <c r="Y378" s="699">
        <f>IF($O379=0,0,        _xll.qDateNext($O378,Y$17,"M",TRUE,Currency1))</f>
        <v>0</v>
      </c>
      <c r="Z378" s="703">
        <f>IF($O379=0,0,           IF(FRM,_xll.qGetFwdRate(Z$14,$O378,R378,"T",DCC_Leg1_Float),_xll.qGetFwdRate(Z$14,$O378,$O379,"T",DCC_Leg1_Float)))</f>
        <v>0</v>
      </c>
      <c r="AA378" s="703">
        <f>IF($O379=0,0,           IF(FRM,_xll.qGetFwdRate(AA$14,$O378,S378,"T",DCC_Leg1_Float),_xll.qGetFwdRate(AA$14,$O378,$O379,"T",DCC_Leg1_Float)))</f>
        <v>0</v>
      </c>
      <c r="AB378" s="703">
        <f t="shared" si="73"/>
        <v>0</v>
      </c>
      <c r="AC378" s="703">
        <f>IF($O379=0,0,           IF(FRM,_xll.qGetFwdRate(AC$14,$O378,U378,"T",DCC_Leg1_Float),_xll.qGetFwdRate(AC$14,$O378,$O379,"T",DCC_Leg1_Float)))</f>
        <v>0</v>
      </c>
      <c r="AD378" s="703">
        <f t="shared" si="78"/>
        <v>0</v>
      </c>
      <c r="AE378" s="703">
        <f t="shared" si="79"/>
        <v>0</v>
      </c>
      <c r="AF378" s="703">
        <f>IF($O379=0,0,           IF(FRM,_xll.qGetFwdRate(AF$14,$O378,X378,"T",DCC_Leg1_Float),_xll.qGetFwdRate(AF$14,$O378,$O379,"T",DCC_Leg1_Float)))</f>
        <v>0</v>
      </c>
      <c r="AG378" s="703">
        <f>IF($O379=0,0,           IF(FRM,_xll.qGetFwdRate(AG$14,$O378,Y378,"T",DCC_Leg1_Float),_xll.qGetFwdRate(AG$14,$O378,$O379,"T",DCC_Leg1_Float)))</f>
        <v>0</v>
      </c>
      <c r="AH378" s="685">
        <v>0</v>
      </c>
      <c r="AI378" s="667"/>
      <c r="AJ378" s="670">
        <f>IF(O379=0,0,             IF(ISNUMBER(AI378),AI378,             IF(ISTEXT(AI378),INDEX(Z378:AG378,MATCH(AI378,$Z$17:$AG$17,0)),           IF(AH378="INT",_xll.qInterp(O379,R378:Y378,Z378:AG378),       INDEX(Z378:AG378,MATCH(AH378,$Z$17:$AG$17,0))))))</f>
        <v>0</v>
      </c>
      <c r="AK378" s="732">
        <v>20</v>
      </c>
      <c r="AL378" s="721">
        <f t="shared" si="74"/>
        <v>0</v>
      </c>
      <c r="AM378" s="284">
        <f>IF($O379,_xll.qDateYears($O378,$O379,DCC_Leg1_Fixed),0)</f>
        <v>0</v>
      </c>
      <c r="AN378" s="284">
        <f>IF($O379,_xll.qDateYears($O378,$O379,DCC_Leg1_Float),0)</f>
        <v>0</v>
      </c>
      <c r="AP378" s="350">
        <f t="shared" si="80"/>
        <v>0</v>
      </c>
      <c r="AQ378" s="375">
        <f>IF(GenType_1a="Fixed",GenRate_1a%*$AL377*AM377,          IF(GenType_1a="Float",$AL377*(_xll.qGetFwdRate($D$18,$O377,$O378,"T",DCC_Leg1_Float)%+GenRate_1a%%)*$AN377,        IF(GenType_1a="bp (Fixed)",GenRate_1a%%*$AM377*$AL377,   IF(GenType_1a="bp (Float)",GenRate_1a%%*$AL377*$AN377,0))))</f>
        <v>0</v>
      </c>
      <c r="AR378" s="561"/>
      <c r="AT378" s="341">
        <f t="shared" si="84"/>
        <v>0</v>
      </c>
      <c r="AV378" s="356"/>
      <c r="AW378" s="122">
        <v>0</v>
      </c>
      <c r="AX378" s="128">
        <f t="shared" si="75"/>
        <v>0</v>
      </c>
      <c r="AY378" s="357">
        <v>0</v>
      </c>
      <c r="AZ378" s="699">
        <f>IF($AW379=0,0,        _xll.qDateNext($AW378,AZ$17,"M",TRUE,Currency2))</f>
        <v>0</v>
      </c>
      <c r="BA378" s="699">
        <f>IF($AW379=0,0,        _xll.qDateNext($AW378,BA$17,"M",TRUE,Currency2))</f>
        <v>0</v>
      </c>
      <c r="BB378" s="699">
        <f>IF($AW379=0,0,        _xll.qDateNext($AW378,BB$17,"M",TRUE,Currency2))</f>
        <v>0</v>
      </c>
      <c r="BC378" s="699">
        <f>IF($AW379=0,0,        _xll.qDateNext($AW378,BC$17,"M",TRUE,Currency2))</f>
        <v>0</v>
      </c>
      <c r="BD378" s="699">
        <f>IF($AW379=0,0,        _xll.qDateNext($AW378,BD$17,"M",TRUE,Currency2))</f>
        <v>0</v>
      </c>
      <c r="BE378" s="699">
        <f>IF($AW379=0,0,        _xll.qDateNext($AW378,BE$17,"M",TRUE,Currency2))</f>
        <v>0</v>
      </c>
      <c r="BF378" s="699">
        <f>IF($AW379=0,0,        _xll.qDateNext($AW378,BF$17,"M",TRUE,Currency2))</f>
        <v>0</v>
      </c>
      <c r="BG378" s="699">
        <f>IF($AW379=0,0,        _xll.qDateNext($AW378,BG$17,"M",TRUE,Currency2))</f>
        <v>0</v>
      </c>
      <c r="BH378" s="703">
        <v>0</v>
      </c>
      <c r="BI378" s="703">
        <v>0</v>
      </c>
      <c r="BJ378" s="703">
        <v>0</v>
      </c>
      <c r="BK378" s="703">
        <v>0</v>
      </c>
      <c r="BL378" s="703">
        <f t="shared" si="81"/>
        <v>0</v>
      </c>
      <c r="BM378" s="703">
        <f t="shared" si="82"/>
        <v>0</v>
      </c>
      <c r="BN378" s="703">
        <v>0</v>
      </c>
      <c r="BO378" s="703">
        <v>0</v>
      </c>
      <c r="BP378" s="685">
        <v>0</v>
      </c>
      <c r="BQ378" s="667"/>
      <c r="BR378" s="670">
        <f>IF(AW379=0,0,             IF(ISNUMBER(BQ378),BQ378,             IF(ISTEXT(BQ378),INDEX(BH378:BO378,MATCH(BQ378,$BH$17:$BO$17,0)),           IF(BP378="INT",_xll.qInterp(AW379,AZ378:BG378,BH378:BO378),       INDEX(BH378:BO378,MATCH(BP378,$BH$17:$BO$17,0))))))</f>
        <v>0</v>
      </c>
      <c r="BS378" s="731">
        <f t="shared" si="76"/>
        <v>0</v>
      </c>
      <c r="BT378" s="406">
        <f t="shared" si="77"/>
        <v>0</v>
      </c>
      <c r="BU378" s="284">
        <f>IF($AW379,_xll.qDateYears($AW378,$AW379,DCC_Leg2_Fixed),0)</f>
        <v>0</v>
      </c>
      <c r="BV378" s="284">
        <f>IF($AW379,_xll.qDateYears($AW378,$AW379,DCC_Leg2_Float),0)</f>
        <v>0</v>
      </c>
      <c r="BX378" s="350">
        <f t="shared" si="83"/>
        <v>0</v>
      </c>
      <c r="BY378" s="375">
        <f>IF(GenType_2a="Fixed",GenRate_2a%*$BT377*BU377,          IF(GenType_2a="Float",$BT377*(_xll.qGetFwdRate($J$18,$AW377,$AW378,"T",DCC_Leg2_Float)%+GenRate_2a%%)*$BV377,        IF(GenType_2a="bp (Fixed)",GenRate_2a%%*$BU377*$BT377,   IF(GenType_2a="bp (Float)",GenRate_2a%%*$BT377*$BV377,0))))</f>
        <v>0</v>
      </c>
      <c r="BZ378" s="561"/>
      <c r="CB378" s="341">
        <f t="shared" si="85"/>
        <v>0</v>
      </c>
      <c r="CC378" s="563"/>
      <c r="CD378" s="356"/>
      <c r="CE378" s="341">
        <v>0</v>
      </c>
      <c r="CF378" s="563"/>
      <c r="CG378" s="356"/>
    </row>
    <row r="379" spans="15:85">
      <c r="O379" s="122">
        <v>0</v>
      </c>
      <c r="P379" s="128">
        <f t="shared" si="72"/>
        <v>0</v>
      </c>
      <c r="Q379" s="126">
        <v>0</v>
      </c>
      <c r="R379" s="699">
        <f>IF($O380=0,0,        _xll.qDateNext($O379,R$17,"M",TRUE,Currency1))</f>
        <v>0</v>
      </c>
      <c r="S379" s="699">
        <f>IF($O380=0,0,        _xll.qDateNext($O379,S$17,"M",TRUE,Currency1))</f>
        <v>0</v>
      </c>
      <c r="T379" s="699">
        <f>IF($O380=0,0,        _xll.qDateNext($O379,T$17,"M",TRUE,Currency1))</f>
        <v>0</v>
      </c>
      <c r="U379" s="699">
        <f>IF($O380=0,0,        _xll.qDateNext($O379,U$17,"M",TRUE,Currency1))</f>
        <v>0</v>
      </c>
      <c r="V379" s="699">
        <f>IF($O380=0,0,        _xll.qDateNext($O379,V$17,"M",TRUE,Currency1))</f>
        <v>0</v>
      </c>
      <c r="W379" s="699">
        <f>IF($O380=0,0,        _xll.qDateNext($O379,W$17,"M",TRUE,Currency1))</f>
        <v>0</v>
      </c>
      <c r="X379" s="699">
        <f>IF($O380=0,0,        _xll.qDateNext($O379,X$17,"M",TRUE,Currency1))</f>
        <v>0</v>
      </c>
      <c r="Y379" s="699">
        <f>IF($O380=0,0,        _xll.qDateNext($O379,Y$17,"M",TRUE,Currency1))</f>
        <v>0</v>
      </c>
      <c r="Z379" s="703">
        <f>IF($O380=0,0,           IF(FRM,_xll.qGetFwdRate(Z$14,$O379,R379,"T",DCC_Leg1_Float),_xll.qGetFwdRate(Z$14,$O379,$O380,"T",DCC_Leg1_Float)))</f>
        <v>0</v>
      </c>
      <c r="AA379" s="703">
        <f>IF($O380=0,0,           IF(FRM,_xll.qGetFwdRate(AA$14,$O379,S379,"T",DCC_Leg1_Float),_xll.qGetFwdRate(AA$14,$O379,$O380,"T",DCC_Leg1_Float)))</f>
        <v>0</v>
      </c>
      <c r="AB379" s="703">
        <f t="shared" si="73"/>
        <v>0</v>
      </c>
      <c r="AC379" s="703">
        <f>IF($O380=0,0,           IF(FRM,_xll.qGetFwdRate(AC$14,$O379,U379,"T",DCC_Leg1_Float),_xll.qGetFwdRate(AC$14,$O379,$O380,"T",DCC_Leg1_Float)))</f>
        <v>0</v>
      </c>
      <c r="AD379" s="703">
        <f t="shared" si="78"/>
        <v>0</v>
      </c>
      <c r="AE379" s="703">
        <f t="shared" si="79"/>
        <v>0</v>
      </c>
      <c r="AF379" s="703">
        <f>IF($O380=0,0,           IF(FRM,_xll.qGetFwdRate(AF$14,$O379,X379,"T",DCC_Leg1_Float),_xll.qGetFwdRate(AF$14,$O379,$O380,"T",DCC_Leg1_Float)))</f>
        <v>0</v>
      </c>
      <c r="AG379" s="703">
        <f>IF($O380=0,0,           IF(FRM,_xll.qGetFwdRate(AG$14,$O379,Y379,"T",DCC_Leg1_Float),_xll.qGetFwdRate(AG$14,$O379,$O380,"T",DCC_Leg1_Float)))</f>
        <v>0</v>
      </c>
      <c r="AH379" s="685">
        <v>0</v>
      </c>
      <c r="AI379" s="667"/>
      <c r="AJ379" s="670">
        <f>IF(O380=0,0,             IF(ISNUMBER(AI379),AI379,             IF(ISTEXT(AI379),INDEX(Z379:AG379,MATCH(AI379,$Z$17:$AG$17,0)),           IF(AH379="INT",_xll.qInterp(O380,R379:Y379,Z379:AG379),       INDEX(Z379:AG379,MATCH(AH379,$Z$17:$AG$17,0))))))</f>
        <v>0</v>
      </c>
      <c r="AK379" s="732">
        <v>20</v>
      </c>
      <c r="AL379" s="721">
        <f t="shared" si="74"/>
        <v>0</v>
      </c>
      <c r="AM379" s="284">
        <f>IF($O380,_xll.qDateYears($O379,$O380,DCC_Leg1_Fixed),0)</f>
        <v>0</v>
      </c>
      <c r="AN379" s="284">
        <f>IF($O380,_xll.qDateYears($O379,$O380,DCC_Leg1_Float),0)</f>
        <v>0</v>
      </c>
      <c r="AP379" s="350">
        <f t="shared" si="80"/>
        <v>0</v>
      </c>
      <c r="AQ379" s="375">
        <f>IF(GenType_1a="Fixed",GenRate_1a%*$AL378*AM378,          IF(GenType_1a="Float",$AL378*(_xll.qGetFwdRate($D$18,$O378,$O379,"T",DCC_Leg1_Float)%+GenRate_1a%%)*$AN378,        IF(GenType_1a="bp (Fixed)",GenRate_1a%%*$AM378*$AL378,   IF(GenType_1a="bp (Float)",GenRate_1a%%*$AL378*$AN378,0))))</f>
        <v>0</v>
      </c>
      <c r="AR379" s="561"/>
      <c r="AT379" s="341">
        <f t="shared" si="84"/>
        <v>0</v>
      </c>
      <c r="AV379" s="356"/>
      <c r="AW379" s="122">
        <v>0</v>
      </c>
      <c r="AX379" s="128">
        <f t="shared" si="75"/>
        <v>0</v>
      </c>
      <c r="AY379" s="357">
        <v>0</v>
      </c>
      <c r="AZ379" s="699">
        <f>IF($AW380=0,0,        _xll.qDateNext($AW379,AZ$17,"M",TRUE,Currency2))</f>
        <v>0</v>
      </c>
      <c r="BA379" s="699">
        <f>IF($AW380=0,0,        _xll.qDateNext($AW379,BA$17,"M",TRUE,Currency2))</f>
        <v>0</v>
      </c>
      <c r="BB379" s="699">
        <f>IF($AW380=0,0,        _xll.qDateNext($AW379,BB$17,"M",TRUE,Currency2))</f>
        <v>0</v>
      </c>
      <c r="BC379" s="699">
        <f>IF($AW380=0,0,        _xll.qDateNext($AW379,BC$17,"M",TRUE,Currency2))</f>
        <v>0</v>
      </c>
      <c r="BD379" s="699">
        <f>IF($AW380=0,0,        _xll.qDateNext($AW379,BD$17,"M",TRUE,Currency2))</f>
        <v>0</v>
      </c>
      <c r="BE379" s="699">
        <f>IF($AW380=0,0,        _xll.qDateNext($AW379,BE$17,"M",TRUE,Currency2))</f>
        <v>0</v>
      </c>
      <c r="BF379" s="699">
        <f>IF($AW380=0,0,        _xll.qDateNext($AW379,BF$17,"M",TRUE,Currency2))</f>
        <v>0</v>
      </c>
      <c r="BG379" s="699">
        <f>IF($AW380=0,0,        _xll.qDateNext($AW379,BG$17,"M",TRUE,Currency2))</f>
        <v>0</v>
      </c>
      <c r="BH379" s="703">
        <v>0</v>
      </c>
      <c r="BI379" s="703">
        <v>0</v>
      </c>
      <c r="BJ379" s="703">
        <v>0</v>
      </c>
      <c r="BK379" s="703">
        <v>0</v>
      </c>
      <c r="BL379" s="703">
        <f t="shared" si="81"/>
        <v>0</v>
      </c>
      <c r="BM379" s="703">
        <f t="shared" si="82"/>
        <v>0</v>
      </c>
      <c r="BN379" s="703">
        <v>0</v>
      </c>
      <c r="BO379" s="703">
        <v>0</v>
      </c>
      <c r="BP379" s="685">
        <v>0</v>
      </c>
      <c r="BQ379" s="667"/>
      <c r="BR379" s="670">
        <f>IF(AW380=0,0,             IF(ISNUMBER(BQ379),BQ379,             IF(ISTEXT(BQ379),INDEX(BH379:BO379,MATCH(BQ379,$BH$17:$BO$17,0)),           IF(BP379="INT",_xll.qInterp(AW380,AZ379:BG379,BH379:BO379),       INDEX(BH379:BO379,MATCH(BP379,$BH$17:$BO$17,0))))))</f>
        <v>0</v>
      </c>
      <c r="BS379" s="731">
        <f t="shared" si="76"/>
        <v>0</v>
      </c>
      <c r="BT379" s="406">
        <f t="shared" si="77"/>
        <v>0</v>
      </c>
      <c r="BU379" s="284">
        <f>IF($AW380,_xll.qDateYears($AW379,$AW380,DCC_Leg2_Fixed),0)</f>
        <v>0</v>
      </c>
      <c r="BV379" s="284">
        <f>IF($AW380,_xll.qDateYears($AW379,$AW380,DCC_Leg2_Float),0)</f>
        <v>0</v>
      </c>
      <c r="BX379" s="350">
        <f t="shared" si="83"/>
        <v>0</v>
      </c>
      <c r="BY379" s="375">
        <f>IF(GenType_2a="Fixed",GenRate_2a%*$BT378*BU378,          IF(GenType_2a="Float",$BT378*(_xll.qGetFwdRate($J$18,$AW378,$AW379,"T",DCC_Leg2_Float)%+GenRate_2a%%)*$BV378,        IF(GenType_2a="bp (Fixed)",GenRate_2a%%*$BU378*$BT378,   IF(GenType_2a="bp (Float)",GenRate_2a%%*$BT378*$BV378,0))))</f>
        <v>0</v>
      </c>
      <c r="BZ379" s="561"/>
      <c r="CB379" s="341">
        <f t="shared" si="85"/>
        <v>0</v>
      </c>
      <c r="CC379" s="563"/>
      <c r="CD379" s="356"/>
      <c r="CE379" s="341">
        <v>0</v>
      </c>
      <c r="CF379" s="563"/>
      <c r="CG379" s="356"/>
    </row>
    <row r="380" spans="15:85">
      <c r="O380" s="122">
        <v>0</v>
      </c>
      <c r="P380" s="128">
        <f t="shared" si="72"/>
        <v>0</v>
      </c>
      <c r="Q380" s="126">
        <v>0</v>
      </c>
      <c r="R380" s="699">
        <f>IF($O381=0,0,        _xll.qDateNext($O380,R$17,"M",TRUE,Currency1))</f>
        <v>0</v>
      </c>
      <c r="S380" s="699">
        <f>IF($O381=0,0,        _xll.qDateNext($O380,S$17,"M",TRUE,Currency1))</f>
        <v>0</v>
      </c>
      <c r="T380" s="699">
        <f>IF($O381=0,0,        _xll.qDateNext($O380,T$17,"M",TRUE,Currency1))</f>
        <v>0</v>
      </c>
      <c r="U380" s="699">
        <f>IF($O381=0,0,        _xll.qDateNext($O380,U$17,"M",TRUE,Currency1))</f>
        <v>0</v>
      </c>
      <c r="V380" s="699">
        <f>IF($O381=0,0,        _xll.qDateNext($O380,V$17,"M",TRUE,Currency1))</f>
        <v>0</v>
      </c>
      <c r="W380" s="699">
        <f>IF($O381=0,0,        _xll.qDateNext($O380,W$17,"M",TRUE,Currency1))</f>
        <v>0</v>
      </c>
      <c r="X380" s="699">
        <f>IF($O381=0,0,        _xll.qDateNext($O380,X$17,"M",TRUE,Currency1))</f>
        <v>0</v>
      </c>
      <c r="Y380" s="699">
        <f>IF($O381=0,0,        _xll.qDateNext($O380,Y$17,"M",TRUE,Currency1))</f>
        <v>0</v>
      </c>
      <c r="Z380" s="703">
        <f>IF($O381=0,0,           IF(FRM,_xll.qGetFwdRate(Z$14,$O380,R380,"T",DCC_Leg1_Float),_xll.qGetFwdRate(Z$14,$O380,$O381,"T",DCC_Leg1_Float)))</f>
        <v>0</v>
      </c>
      <c r="AA380" s="703">
        <f>IF($O381=0,0,           IF(FRM,_xll.qGetFwdRate(AA$14,$O380,S380,"T",DCC_Leg1_Float),_xll.qGetFwdRate(AA$14,$O380,$O381,"T",DCC_Leg1_Float)))</f>
        <v>0</v>
      </c>
      <c r="AB380" s="703">
        <f t="shared" si="73"/>
        <v>0</v>
      </c>
      <c r="AC380" s="703">
        <f>IF($O381=0,0,           IF(FRM,_xll.qGetFwdRate(AC$14,$O380,U380,"T",DCC_Leg1_Float),_xll.qGetFwdRate(AC$14,$O380,$O381,"T",DCC_Leg1_Float)))</f>
        <v>0</v>
      </c>
      <c r="AD380" s="703">
        <f t="shared" si="78"/>
        <v>0</v>
      </c>
      <c r="AE380" s="703">
        <f t="shared" si="79"/>
        <v>0</v>
      </c>
      <c r="AF380" s="703">
        <f>IF($O381=0,0,           IF(FRM,_xll.qGetFwdRate(AF$14,$O380,X380,"T",DCC_Leg1_Float),_xll.qGetFwdRate(AF$14,$O380,$O381,"T",DCC_Leg1_Float)))</f>
        <v>0</v>
      </c>
      <c r="AG380" s="703">
        <f>IF($O381=0,0,           IF(FRM,_xll.qGetFwdRate(AG$14,$O380,Y380,"T",DCC_Leg1_Float),_xll.qGetFwdRate(AG$14,$O380,$O381,"T",DCC_Leg1_Float)))</f>
        <v>0</v>
      </c>
      <c r="AH380" s="685">
        <v>0</v>
      </c>
      <c r="AI380" s="667"/>
      <c r="AJ380" s="670">
        <f>IF(O381=0,0,             IF(ISNUMBER(AI380),AI380,             IF(ISTEXT(AI380),INDEX(Z380:AG380,MATCH(AI380,$Z$17:$AG$17,0)),           IF(AH380="INT",_xll.qInterp(O381,R380:Y380,Z380:AG380),       INDEX(Z380:AG380,MATCH(AH380,$Z$17:$AG$17,0))))))</f>
        <v>0</v>
      </c>
      <c r="AK380" s="732">
        <v>20</v>
      </c>
      <c r="AL380" s="721">
        <f t="shared" si="74"/>
        <v>0</v>
      </c>
      <c r="AM380" s="284">
        <f>IF($O381,_xll.qDateYears($O380,$O381,DCC_Leg1_Fixed),0)</f>
        <v>0</v>
      </c>
      <c r="AN380" s="284">
        <f>IF($O381,_xll.qDateYears($O380,$O381,DCC_Leg1_Float),0)</f>
        <v>0</v>
      </c>
      <c r="AP380" s="350">
        <f t="shared" si="80"/>
        <v>0</v>
      </c>
      <c r="AQ380" s="375">
        <f>IF(GenType_1a="Fixed",GenRate_1a%*$AL379*AM379,          IF(GenType_1a="Float",$AL379*(_xll.qGetFwdRate($D$18,$O379,$O380,"T",DCC_Leg1_Float)%+GenRate_1a%%)*$AN379,        IF(GenType_1a="bp (Fixed)",GenRate_1a%%*$AM379*$AL379,   IF(GenType_1a="bp (Float)",GenRate_1a%%*$AL379*$AN379,0))))</f>
        <v>0</v>
      </c>
      <c r="AR380" s="561"/>
      <c r="AT380" s="341">
        <f t="shared" si="84"/>
        <v>0</v>
      </c>
      <c r="AV380" s="356"/>
      <c r="AW380" s="122">
        <v>0</v>
      </c>
      <c r="AX380" s="128">
        <f t="shared" si="75"/>
        <v>0</v>
      </c>
      <c r="AY380" s="357">
        <v>0</v>
      </c>
      <c r="AZ380" s="699">
        <f>IF($AW381=0,0,        _xll.qDateNext($AW380,AZ$17,"M",TRUE,Currency2))</f>
        <v>0</v>
      </c>
      <c r="BA380" s="699">
        <f>IF($AW381=0,0,        _xll.qDateNext($AW380,BA$17,"M",TRUE,Currency2))</f>
        <v>0</v>
      </c>
      <c r="BB380" s="699">
        <f>IF($AW381=0,0,        _xll.qDateNext($AW380,BB$17,"M",TRUE,Currency2))</f>
        <v>0</v>
      </c>
      <c r="BC380" s="699">
        <f>IF($AW381=0,0,        _xll.qDateNext($AW380,BC$17,"M",TRUE,Currency2))</f>
        <v>0</v>
      </c>
      <c r="BD380" s="699">
        <f>IF($AW381=0,0,        _xll.qDateNext($AW380,BD$17,"M",TRUE,Currency2))</f>
        <v>0</v>
      </c>
      <c r="BE380" s="699">
        <f>IF($AW381=0,0,        _xll.qDateNext($AW380,BE$17,"M",TRUE,Currency2))</f>
        <v>0</v>
      </c>
      <c r="BF380" s="699">
        <f>IF($AW381=0,0,        _xll.qDateNext($AW380,BF$17,"M",TRUE,Currency2))</f>
        <v>0</v>
      </c>
      <c r="BG380" s="699">
        <f>IF($AW381=0,0,        _xll.qDateNext($AW380,BG$17,"M",TRUE,Currency2))</f>
        <v>0</v>
      </c>
      <c r="BH380" s="703">
        <v>0</v>
      </c>
      <c r="BI380" s="703">
        <v>0</v>
      </c>
      <c r="BJ380" s="703">
        <v>0</v>
      </c>
      <c r="BK380" s="703">
        <v>0</v>
      </c>
      <c r="BL380" s="703">
        <f t="shared" si="81"/>
        <v>0</v>
      </c>
      <c r="BM380" s="703">
        <f t="shared" si="82"/>
        <v>0</v>
      </c>
      <c r="BN380" s="703">
        <v>0</v>
      </c>
      <c r="BO380" s="703">
        <v>0</v>
      </c>
      <c r="BP380" s="685">
        <v>0</v>
      </c>
      <c r="BQ380" s="667"/>
      <c r="BR380" s="670">
        <f>IF(AW381=0,0,             IF(ISNUMBER(BQ380),BQ380,             IF(ISTEXT(BQ380),INDEX(BH380:BO380,MATCH(BQ380,$BH$17:$BO$17,0)),           IF(BP380="INT",_xll.qInterp(AW381,AZ380:BG380,BH380:BO380),       INDEX(BH380:BO380,MATCH(BP380,$BH$17:$BO$17,0))))))</f>
        <v>0</v>
      </c>
      <c r="BS380" s="731">
        <f t="shared" si="76"/>
        <v>0</v>
      </c>
      <c r="BT380" s="406">
        <f t="shared" si="77"/>
        <v>0</v>
      </c>
      <c r="BU380" s="284">
        <f>IF($AW381,_xll.qDateYears($AW380,$AW381,DCC_Leg2_Fixed),0)</f>
        <v>0</v>
      </c>
      <c r="BV380" s="284">
        <f>IF($AW381,_xll.qDateYears($AW380,$AW381,DCC_Leg2_Float),0)</f>
        <v>0</v>
      </c>
      <c r="BX380" s="350">
        <f t="shared" si="83"/>
        <v>0</v>
      </c>
      <c r="BY380" s="375">
        <f>IF(GenType_2a="Fixed",GenRate_2a%*$BT379*BU379,          IF(GenType_2a="Float",$BT379*(_xll.qGetFwdRate($J$18,$AW379,$AW380,"T",DCC_Leg2_Float)%+GenRate_2a%%)*$BV379,        IF(GenType_2a="bp (Fixed)",GenRate_2a%%*$BU379*$BT379,   IF(GenType_2a="bp (Float)",GenRate_2a%%*$BT379*$BV379,0))))</f>
        <v>0</v>
      </c>
      <c r="BZ380" s="561"/>
      <c r="CB380" s="341">
        <f t="shared" si="85"/>
        <v>0</v>
      </c>
      <c r="CC380" s="563"/>
      <c r="CD380" s="356"/>
      <c r="CE380" s="341">
        <v>0</v>
      </c>
      <c r="CF380" s="563"/>
      <c r="CG380" s="356"/>
    </row>
    <row r="381" spans="15:85">
      <c r="O381" s="122">
        <v>0</v>
      </c>
      <c r="P381" s="128">
        <f t="shared" si="72"/>
        <v>0</v>
      </c>
      <c r="Q381" s="126">
        <v>0</v>
      </c>
      <c r="R381" s="699">
        <f>IF($O382=0,0,        _xll.qDateNext($O381,R$17,"M",TRUE,Currency1))</f>
        <v>0</v>
      </c>
      <c r="S381" s="699">
        <f>IF($O382=0,0,        _xll.qDateNext($O381,S$17,"M",TRUE,Currency1))</f>
        <v>0</v>
      </c>
      <c r="T381" s="699">
        <f>IF($O382=0,0,        _xll.qDateNext($O381,T$17,"M",TRUE,Currency1))</f>
        <v>0</v>
      </c>
      <c r="U381" s="699">
        <f>IF($O382=0,0,        _xll.qDateNext($O381,U$17,"M",TRUE,Currency1))</f>
        <v>0</v>
      </c>
      <c r="V381" s="699">
        <f>IF($O382=0,0,        _xll.qDateNext($O381,V$17,"M",TRUE,Currency1))</f>
        <v>0</v>
      </c>
      <c r="W381" s="699">
        <f>IF($O382=0,0,        _xll.qDateNext($O381,W$17,"M",TRUE,Currency1))</f>
        <v>0</v>
      </c>
      <c r="X381" s="699">
        <f>IF($O382=0,0,        _xll.qDateNext($O381,X$17,"M",TRUE,Currency1))</f>
        <v>0</v>
      </c>
      <c r="Y381" s="699">
        <f>IF($O382=0,0,        _xll.qDateNext($O381,Y$17,"M",TRUE,Currency1))</f>
        <v>0</v>
      </c>
      <c r="Z381" s="703">
        <f>IF($O382=0,0,           IF(FRM,_xll.qGetFwdRate(Z$14,$O381,R381,"T",DCC_Leg1_Float),_xll.qGetFwdRate(Z$14,$O381,$O382,"T",DCC_Leg1_Float)))</f>
        <v>0</v>
      </c>
      <c r="AA381" s="703">
        <f>IF($O382=0,0,           IF(FRM,_xll.qGetFwdRate(AA$14,$O381,S381,"T",DCC_Leg1_Float),_xll.qGetFwdRate(AA$14,$O381,$O382,"T",DCC_Leg1_Float)))</f>
        <v>0</v>
      </c>
      <c r="AB381" s="703">
        <f t="shared" si="73"/>
        <v>0</v>
      </c>
      <c r="AC381" s="703">
        <f>IF($O382=0,0,           IF(FRM,_xll.qGetFwdRate(AC$14,$O381,U381,"T",DCC_Leg1_Float),_xll.qGetFwdRate(AC$14,$O381,$O382,"T",DCC_Leg1_Float)))</f>
        <v>0</v>
      </c>
      <c r="AD381" s="703">
        <f t="shared" si="78"/>
        <v>0</v>
      </c>
      <c r="AE381" s="703">
        <f t="shared" si="79"/>
        <v>0</v>
      </c>
      <c r="AF381" s="703">
        <f>IF($O382=0,0,           IF(FRM,_xll.qGetFwdRate(AF$14,$O381,X381,"T",DCC_Leg1_Float),_xll.qGetFwdRate(AF$14,$O381,$O382,"T",DCC_Leg1_Float)))</f>
        <v>0</v>
      </c>
      <c r="AG381" s="703">
        <f>IF($O382=0,0,           IF(FRM,_xll.qGetFwdRate(AG$14,$O381,Y381,"T",DCC_Leg1_Float),_xll.qGetFwdRate(AG$14,$O381,$O382,"T",DCC_Leg1_Float)))</f>
        <v>0</v>
      </c>
      <c r="AH381" s="685">
        <v>0</v>
      </c>
      <c r="AI381" s="667"/>
      <c r="AJ381" s="670">
        <f>IF(O382=0,0,             IF(ISNUMBER(AI381),AI381,             IF(ISTEXT(AI381),INDEX(Z381:AG381,MATCH(AI381,$Z$17:$AG$17,0)),           IF(AH381="INT",_xll.qInterp(O382,R381:Y381,Z381:AG381),       INDEX(Z381:AG381,MATCH(AH381,$Z$17:$AG$17,0))))))</f>
        <v>0</v>
      </c>
      <c r="AK381" s="732">
        <v>20</v>
      </c>
      <c r="AL381" s="721">
        <f t="shared" si="74"/>
        <v>0</v>
      </c>
      <c r="AM381" s="284">
        <f>IF($O382,_xll.qDateYears($O381,$O382,DCC_Leg1_Fixed),0)</f>
        <v>0</v>
      </c>
      <c r="AN381" s="284">
        <f>IF($O382,_xll.qDateYears($O381,$O382,DCC_Leg1_Float),0)</f>
        <v>0</v>
      </c>
      <c r="AP381" s="350">
        <f t="shared" si="80"/>
        <v>0</v>
      </c>
      <c r="AQ381" s="375">
        <f>IF(GenType_1a="Fixed",GenRate_1a%*$AL380*AM380,          IF(GenType_1a="Float",$AL380*(_xll.qGetFwdRate($D$18,$O380,$O381,"T",DCC_Leg1_Float)%+GenRate_1a%%)*$AN380,        IF(GenType_1a="bp (Fixed)",GenRate_1a%%*$AM380*$AL380,   IF(GenType_1a="bp (Float)",GenRate_1a%%*$AL380*$AN380,0))))</f>
        <v>0</v>
      </c>
      <c r="AR381" s="561"/>
      <c r="AT381" s="341">
        <f t="shared" si="84"/>
        <v>0</v>
      </c>
      <c r="AV381" s="356"/>
      <c r="AW381" s="122">
        <v>0</v>
      </c>
      <c r="AX381" s="128">
        <f t="shared" si="75"/>
        <v>0</v>
      </c>
      <c r="AY381" s="357">
        <v>0</v>
      </c>
      <c r="AZ381" s="699">
        <f>IF($AW382=0,0,        _xll.qDateNext($AW381,AZ$17,"M",TRUE,Currency2))</f>
        <v>0</v>
      </c>
      <c r="BA381" s="699">
        <f>IF($AW382=0,0,        _xll.qDateNext($AW381,BA$17,"M",TRUE,Currency2))</f>
        <v>0</v>
      </c>
      <c r="BB381" s="699">
        <f>IF($AW382=0,0,        _xll.qDateNext($AW381,BB$17,"M",TRUE,Currency2))</f>
        <v>0</v>
      </c>
      <c r="BC381" s="699">
        <f>IF($AW382=0,0,        _xll.qDateNext($AW381,BC$17,"M",TRUE,Currency2))</f>
        <v>0</v>
      </c>
      <c r="BD381" s="699">
        <f>IF($AW382=0,0,        _xll.qDateNext($AW381,BD$17,"M",TRUE,Currency2))</f>
        <v>0</v>
      </c>
      <c r="BE381" s="699">
        <f>IF($AW382=0,0,        _xll.qDateNext($AW381,BE$17,"M",TRUE,Currency2))</f>
        <v>0</v>
      </c>
      <c r="BF381" s="699">
        <f>IF($AW382=0,0,        _xll.qDateNext($AW381,BF$17,"M",TRUE,Currency2))</f>
        <v>0</v>
      </c>
      <c r="BG381" s="699">
        <f>IF($AW382=0,0,        _xll.qDateNext($AW381,BG$17,"M",TRUE,Currency2))</f>
        <v>0</v>
      </c>
      <c r="BH381" s="703">
        <v>0</v>
      </c>
      <c r="BI381" s="703">
        <v>0</v>
      </c>
      <c r="BJ381" s="703">
        <v>0</v>
      </c>
      <c r="BK381" s="703">
        <v>0</v>
      </c>
      <c r="BL381" s="703">
        <f t="shared" si="81"/>
        <v>0</v>
      </c>
      <c r="BM381" s="703">
        <f t="shared" si="82"/>
        <v>0</v>
      </c>
      <c r="BN381" s="703">
        <v>0</v>
      </c>
      <c r="BO381" s="703">
        <v>0</v>
      </c>
      <c r="BP381" s="685">
        <v>0</v>
      </c>
      <c r="BQ381" s="667"/>
      <c r="BR381" s="670">
        <f>IF(AW382=0,0,             IF(ISNUMBER(BQ381),BQ381,             IF(ISTEXT(BQ381),INDEX(BH381:BO381,MATCH(BQ381,$BH$17:$BO$17,0)),           IF(BP381="INT",_xll.qInterp(AW382,AZ381:BG381,BH381:BO381),       INDEX(BH381:BO381,MATCH(BP381,$BH$17:$BO$17,0))))))</f>
        <v>0</v>
      </c>
      <c r="BS381" s="731">
        <f t="shared" si="76"/>
        <v>0</v>
      </c>
      <c r="BT381" s="406">
        <f t="shared" si="77"/>
        <v>0</v>
      </c>
      <c r="BU381" s="284">
        <f>IF($AW382,_xll.qDateYears($AW381,$AW382,DCC_Leg2_Fixed),0)</f>
        <v>0</v>
      </c>
      <c r="BV381" s="284">
        <f>IF($AW382,_xll.qDateYears($AW381,$AW382,DCC_Leg2_Float),0)</f>
        <v>0</v>
      </c>
      <c r="BX381" s="350">
        <f t="shared" si="83"/>
        <v>0</v>
      </c>
      <c r="BY381" s="375">
        <f>IF(GenType_2a="Fixed",GenRate_2a%*$BT380*BU380,          IF(GenType_2a="Float",$BT380*(_xll.qGetFwdRate($J$18,$AW380,$AW381,"T",DCC_Leg2_Float)%+GenRate_2a%%)*$BV380,        IF(GenType_2a="bp (Fixed)",GenRate_2a%%*$BU380*$BT380,   IF(GenType_2a="bp (Float)",GenRate_2a%%*$BT380*$BV380,0))))</f>
        <v>0</v>
      </c>
      <c r="BZ381" s="561"/>
      <c r="CB381" s="341">
        <f t="shared" si="85"/>
        <v>0</v>
      </c>
      <c r="CC381" s="563"/>
      <c r="CD381" s="356"/>
      <c r="CE381" s="341">
        <v>0</v>
      </c>
      <c r="CF381" s="563"/>
      <c r="CG381" s="356"/>
    </row>
    <row r="382" spans="15:85">
      <c r="O382" s="122">
        <v>0</v>
      </c>
      <c r="P382" s="128">
        <f t="shared" si="72"/>
        <v>0</v>
      </c>
      <c r="Q382" s="126">
        <v>0</v>
      </c>
      <c r="R382" s="699">
        <f>IF($O383=0,0,        _xll.qDateNext($O382,R$17,"M",TRUE,Currency1))</f>
        <v>0</v>
      </c>
      <c r="S382" s="699">
        <f>IF($O383=0,0,        _xll.qDateNext($O382,S$17,"M",TRUE,Currency1))</f>
        <v>0</v>
      </c>
      <c r="T382" s="699">
        <f>IF($O383=0,0,        _xll.qDateNext($O382,T$17,"M",TRUE,Currency1))</f>
        <v>0</v>
      </c>
      <c r="U382" s="699">
        <f>IF($O383=0,0,        _xll.qDateNext($O382,U$17,"M",TRUE,Currency1))</f>
        <v>0</v>
      </c>
      <c r="V382" s="699">
        <f>IF($O383=0,0,        _xll.qDateNext($O382,V$17,"M",TRUE,Currency1))</f>
        <v>0</v>
      </c>
      <c r="W382" s="699">
        <f>IF($O383=0,0,        _xll.qDateNext($O382,W$17,"M",TRUE,Currency1))</f>
        <v>0</v>
      </c>
      <c r="X382" s="699">
        <f>IF($O383=0,0,        _xll.qDateNext($O382,X$17,"M",TRUE,Currency1))</f>
        <v>0</v>
      </c>
      <c r="Y382" s="699">
        <f>IF($O383=0,0,        _xll.qDateNext($O382,Y$17,"M",TRUE,Currency1))</f>
        <v>0</v>
      </c>
      <c r="Z382" s="703">
        <f>IF($O383=0,0,           IF(FRM,_xll.qGetFwdRate(Z$14,$O382,R382,"T",DCC_Leg1_Float),_xll.qGetFwdRate(Z$14,$O382,$O383,"T",DCC_Leg1_Float)))</f>
        <v>0</v>
      </c>
      <c r="AA382" s="703">
        <f>IF($O383=0,0,           IF(FRM,_xll.qGetFwdRate(AA$14,$O382,S382,"T",DCC_Leg1_Float),_xll.qGetFwdRate(AA$14,$O382,$O383,"T",DCC_Leg1_Float)))</f>
        <v>0</v>
      </c>
      <c r="AB382" s="703">
        <f t="shared" si="73"/>
        <v>0</v>
      </c>
      <c r="AC382" s="703">
        <f>IF($O383=0,0,           IF(FRM,_xll.qGetFwdRate(AC$14,$O382,U382,"T",DCC_Leg1_Float),_xll.qGetFwdRate(AC$14,$O382,$O383,"T",DCC_Leg1_Float)))</f>
        <v>0</v>
      </c>
      <c r="AD382" s="703">
        <f t="shared" si="78"/>
        <v>0</v>
      </c>
      <c r="AE382" s="703">
        <f t="shared" si="79"/>
        <v>0</v>
      </c>
      <c r="AF382" s="703">
        <f>IF($O383=0,0,           IF(FRM,_xll.qGetFwdRate(AF$14,$O382,X382,"T",DCC_Leg1_Float),_xll.qGetFwdRate(AF$14,$O382,$O383,"T",DCC_Leg1_Float)))</f>
        <v>0</v>
      </c>
      <c r="AG382" s="703">
        <f>IF($O383=0,0,           IF(FRM,_xll.qGetFwdRate(AG$14,$O382,Y382,"T",DCC_Leg1_Float),_xll.qGetFwdRate(AG$14,$O382,$O383,"T",DCC_Leg1_Float)))</f>
        <v>0</v>
      </c>
      <c r="AH382" s="685">
        <v>0</v>
      </c>
      <c r="AI382" s="667"/>
      <c r="AJ382" s="670">
        <f>IF(O383=0,0,             IF(ISNUMBER(AI382),AI382,             IF(ISTEXT(AI382),INDEX(Z382:AG382,MATCH(AI382,$Z$17:$AG$17,0)),           IF(AH382="INT",_xll.qInterp(O383,R382:Y382,Z382:AG382),       INDEX(Z382:AG382,MATCH(AH382,$Z$17:$AG$17,0))))))</f>
        <v>0</v>
      </c>
      <c r="AK382" s="732">
        <v>20</v>
      </c>
      <c r="AL382" s="721">
        <f t="shared" si="74"/>
        <v>0</v>
      </c>
      <c r="AM382" s="284">
        <f>IF($O383,_xll.qDateYears($O382,$O383,DCC_Leg1_Fixed),0)</f>
        <v>0</v>
      </c>
      <c r="AN382" s="284">
        <f>IF($O383,_xll.qDateYears($O382,$O383,DCC_Leg1_Float),0)</f>
        <v>0</v>
      </c>
      <c r="AP382" s="350">
        <f t="shared" si="80"/>
        <v>0</v>
      </c>
      <c r="AQ382" s="375">
        <f>IF(GenType_1a="Fixed",GenRate_1a%*$AL381*AM381,          IF(GenType_1a="Float",$AL381*(_xll.qGetFwdRate($D$18,$O381,$O382,"T",DCC_Leg1_Float)%+GenRate_1a%%)*$AN381,        IF(GenType_1a="bp (Fixed)",GenRate_1a%%*$AM381*$AL381,   IF(GenType_1a="bp (Float)",GenRate_1a%%*$AL381*$AN381,0))))</f>
        <v>0</v>
      </c>
      <c r="AR382" s="561"/>
      <c r="AT382" s="341">
        <f t="shared" si="84"/>
        <v>0</v>
      </c>
      <c r="AV382" s="356"/>
      <c r="AW382" s="122">
        <v>0</v>
      </c>
      <c r="AX382" s="128">
        <f t="shared" si="75"/>
        <v>0</v>
      </c>
      <c r="AY382" s="357">
        <v>0</v>
      </c>
      <c r="AZ382" s="699">
        <f>IF($AW383=0,0,        _xll.qDateNext($AW382,AZ$17,"M",TRUE,Currency2))</f>
        <v>0</v>
      </c>
      <c r="BA382" s="699">
        <f>IF($AW383=0,0,        _xll.qDateNext($AW382,BA$17,"M",TRUE,Currency2))</f>
        <v>0</v>
      </c>
      <c r="BB382" s="699">
        <f>IF($AW383=0,0,        _xll.qDateNext($AW382,BB$17,"M",TRUE,Currency2))</f>
        <v>0</v>
      </c>
      <c r="BC382" s="699">
        <f>IF($AW383=0,0,        _xll.qDateNext($AW382,BC$17,"M",TRUE,Currency2))</f>
        <v>0</v>
      </c>
      <c r="BD382" s="699">
        <f>IF($AW383=0,0,        _xll.qDateNext($AW382,BD$17,"M",TRUE,Currency2))</f>
        <v>0</v>
      </c>
      <c r="BE382" s="699">
        <f>IF($AW383=0,0,        _xll.qDateNext($AW382,BE$17,"M",TRUE,Currency2))</f>
        <v>0</v>
      </c>
      <c r="BF382" s="699">
        <f>IF($AW383=0,0,        _xll.qDateNext($AW382,BF$17,"M",TRUE,Currency2))</f>
        <v>0</v>
      </c>
      <c r="BG382" s="699">
        <f>IF($AW383=0,0,        _xll.qDateNext($AW382,BG$17,"M",TRUE,Currency2))</f>
        <v>0</v>
      </c>
      <c r="BH382" s="703">
        <v>0</v>
      </c>
      <c r="BI382" s="703">
        <v>0</v>
      </c>
      <c r="BJ382" s="703">
        <v>0</v>
      </c>
      <c r="BK382" s="703">
        <v>0</v>
      </c>
      <c r="BL382" s="703">
        <f t="shared" si="81"/>
        <v>0</v>
      </c>
      <c r="BM382" s="703">
        <f t="shared" si="82"/>
        <v>0</v>
      </c>
      <c r="BN382" s="703">
        <v>0</v>
      </c>
      <c r="BO382" s="703">
        <v>0</v>
      </c>
      <c r="BP382" s="685">
        <v>0</v>
      </c>
      <c r="BQ382" s="667"/>
      <c r="BR382" s="670">
        <f>IF(AW383=0,0,             IF(ISNUMBER(BQ382),BQ382,             IF(ISTEXT(BQ382),INDEX(BH382:BO382,MATCH(BQ382,$BH$17:$BO$17,0)),           IF(BP382="INT",_xll.qInterp(AW383,AZ382:BG382,BH382:BO382),       INDEX(BH382:BO382,MATCH(BP382,$BH$17:$BO$17,0))))))</f>
        <v>0</v>
      </c>
      <c r="BS382" s="731">
        <f t="shared" si="76"/>
        <v>0</v>
      </c>
      <c r="BT382" s="406">
        <f t="shared" si="77"/>
        <v>0</v>
      </c>
      <c r="BU382" s="284">
        <f>IF($AW383,_xll.qDateYears($AW382,$AW383,DCC_Leg2_Fixed),0)</f>
        <v>0</v>
      </c>
      <c r="BV382" s="284">
        <f>IF($AW383,_xll.qDateYears($AW382,$AW383,DCC_Leg2_Float),0)</f>
        <v>0</v>
      </c>
      <c r="BX382" s="350">
        <f t="shared" si="83"/>
        <v>0</v>
      </c>
      <c r="BY382" s="375">
        <f>IF(GenType_2a="Fixed",GenRate_2a%*$BT381*BU381,          IF(GenType_2a="Float",$BT381*(_xll.qGetFwdRate($J$18,$AW381,$AW382,"T",DCC_Leg2_Float)%+GenRate_2a%%)*$BV381,        IF(GenType_2a="bp (Fixed)",GenRate_2a%%*$BU381*$BT381,   IF(GenType_2a="bp (Float)",GenRate_2a%%*$BT381*$BV381,0))))</f>
        <v>0</v>
      </c>
      <c r="BZ382" s="561"/>
      <c r="CB382" s="341">
        <f t="shared" si="85"/>
        <v>0</v>
      </c>
      <c r="CC382" s="563"/>
      <c r="CD382" s="356"/>
      <c r="CE382" s="341">
        <v>0</v>
      </c>
      <c r="CF382" s="563"/>
      <c r="CG382" s="356"/>
    </row>
    <row r="383" spans="15:85">
      <c r="O383" s="122">
        <v>0</v>
      </c>
      <c r="P383" s="128">
        <f t="shared" si="72"/>
        <v>0</v>
      </c>
      <c r="Q383" s="126">
        <v>0</v>
      </c>
      <c r="R383" s="699">
        <f>IF($O384=0,0,        _xll.qDateNext($O383,R$17,"M",TRUE,Currency1))</f>
        <v>0</v>
      </c>
      <c r="S383" s="699">
        <f>IF($O384=0,0,        _xll.qDateNext($O383,S$17,"M",TRUE,Currency1))</f>
        <v>0</v>
      </c>
      <c r="T383" s="699">
        <f>IF($O384=0,0,        _xll.qDateNext($O383,T$17,"M",TRUE,Currency1))</f>
        <v>0</v>
      </c>
      <c r="U383" s="699">
        <f>IF($O384=0,0,        _xll.qDateNext($O383,U$17,"M",TRUE,Currency1))</f>
        <v>0</v>
      </c>
      <c r="V383" s="699">
        <f>IF($O384=0,0,        _xll.qDateNext($O383,V$17,"M",TRUE,Currency1))</f>
        <v>0</v>
      </c>
      <c r="W383" s="699">
        <f>IF($O384=0,0,        _xll.qDateNext($O383,W$17,"M",TRUE,Currency1))</f>
        <v>0</v>
      </c>
      <c r="X383" s="699">
        <f>IF($O384=0,0,        _xll.qDateNext($O383,X$17,"M",TRUE,Currency1))</f>
        <v>0</v>
      </c>
      <c r="Y383" s="699">
        <f>IF($O384=0,0,        _xll.qDateNext($O383,Y$17,"M",TRUE,Currency1))</f>
        <v>0</v>
      </c>
      <c r="Z383" s="703">
        <f>IF($O384=0,0,           IF(FRM,_xll.qGetFwdRate(Z$14,$O383,R383,"T",DCC_Leg1_Float),_xll.qGetFwdRate(Z$14,$O383,$O384,"T",DCC_Leg1_Float)))</f>
        <v>0</v>
      </c>
      <c r="AA383" s="703">
        <f>IF($O384=0,0,           IF(FRM,_xll.qGetFwdRate(AA$14,$O383,S383,"T",DCC_Leg1_Float),_xll.qGetFwdRate(AA$14,$O383,$O384,"T",DCC_Leg1_Float)))</f>
        <v>0</v>
      </c>
      <c r="AB383" s="703">
        <f t="shared" si="73"/>
        <v>0</v>
      </c>
      <c r="AC383" s="703">
        <f>IF($O384=0,0,           IF(FRM,_xll.qGetFwdRate(AC$14,$O383,U383,"T",DCC_Leg1_Float),_xll.qGetFwdRate(AC$14,$O383,$O384,"T",DCC_Leg1_Float)))</f>
        <v>0</v>
      </c>
      <c r="AD383" s="703">
        <f t="shared" si="78"/>
        <v>0</v>
      </c>
      <c r="AE383" s="703">
        <f t="shared" si="79"/>
        <v>0</v>
      </c>
      <c r="AF383" s="703">
        <f>IF($O384=0,0,           IF(FRM,_xll.qGetFwdRate(AF$14,$O383,X383,"T",DCC_Leg1_Float),_xll.qGetFwdRate(AF$14,$O383,$O384,"T",DCC_Leg1_Float)))</f>
        <v>0</v>
      </c>
      <c r="AG383" s="703">
        <f>IF($O384=0,0,           IF(FRM,_xll.qGetFwdRate(AG$14,$O383,Y383,"T",DCC_Leg1_Float),_xll.qGetFwdRate(AG$14,$O383,$O384,"T",DCC_Leg1_Float)))</f>
        <v>0</v>
      </c>
      <c r="AH383" s="685">
        <v>0</v>
      </c>
      <c r="AI383" s="667"/>
      <c r="AJ383" s="670">
        <f>IF(O384=0,0,             IF(ISNUMBER(AI383),AI383,             IF(ISTEXT(AI383),INDEX(Z383:AG383,MATCH(AI383,$Z$17:$AG$17,0)),           IF(AH383="INT",_xll.qInterp(O384,R383:Y383,Z383:AG383),       INDEX(Z383:AG383,MATCH(AH383,$Z$17:$AG$17,0))))))</f>
        <v>0</v>
      </c>
      <c r="AK383" s="732">
        <v>20</v>
      </c>
      <c r="AL383" s="721">
        <f t="shared" si="74"/>
        <v>0</v>
      </c>
      <c r="AM383" s="284">
        <f>IF($O384,_xll.qDateYears($O383,$O384,DCC_Leg1_Fixed),0)</f>
        <v>0</v>
      </c>
      <c r="AN383" s="284">
        <f>IF($O384,_xll.qDateYears($O383,$O384,DCC_Leg1_Float),0)</f>
        <v>0</v>
      </c>
      <c r="AP383" s="350">
        <f t="shared" si="80"/>
        <v>0</v>
      </c>
      <c r="AQ383" s="375">
        <f>IF(GenType_1a="Fixed",GenRate_1a%*$AL382*AM382,          IF(GenType_1a="Float",$AL382*(_xll.qGetFwdRate($D$18,$O382,$O383,"T",DCC_Leg1_Float)%+GenRate_1a%%)*$AN382,        IF(GenType_1a="bp (Fixed)",GenRate_1a%%*$AM382*$AL382,   IF(GenType_1a="bp (Float)",GenRate_1a%%*$AL382*$AN382,0))))</f>
        <v>0</v>
      </c>
      <c r="AR383" s="561"/>
      <c r="AT383" s="341">
        <f t="shared" si="84"/>
        <v>0</v>
      </c>
      <c r="AV383" s="356"/>
      <c r="AW383" s="122">
        <v>0</v>
      </c>
      <c r="AX383" s="128">
        <f t="shared" si="75"/>
        <v>0</v>
      </c>
      <c r="AY383" s="357">
        <v>0</v>
      </c>
      <c r="AZ383" s="699">
        <f>IF($AW384=0,0,        _xll.qDateNext($AW383,AZ$17,"M",TRUE,Currency2))</f>
        <v>0</v>
      </c>
      <c r="BA383" s="699">
        <f>IF($AW384=0,0,        _xll.qDateNext($AW383,BA$17,"M",TRUE,Currency2))</f>
        <v>0</v>
      </c>
      <c r="BB383" s="699">
        <f>IF($AW384=0,0,        _xll.qDateNext($AW383,BB$17,"M",TRUE,Currency2))</f>
        <v>0</v>
      </c>
      <c r="BC383" s="699">
        <f>IF($AW384=0,0,        _xll.qDateNext($AW383,BC$17,"M",TRUE,Currency2))</f>
        <v>0</v>
      </c>
      <c r="BD383" s="699">
        <f>IF($AW384=0,0,        _xll.qDateNext($AW383,BD$17,"M",TRUE,Currency2))</f>
        <v>0</v>
      </c>
      <c r="BE383" s="699">
        <f>IF($AW384=0,0,        _xll.qDateNext($AW383,BE$17,"M",TRUE,Currency2))</f>
        <v>0</v>
      </c>
      <c r="BF383" s="699">
        <f>IF($AW384=0,0,        _xll.qDateNext($AW383,BF$17,"M",TRUE,Currency2))</f>
        <v>0</v>
      </c>
      <c r="BG383" s="699">
        <f>IF($AW384=0,0,        _xll.qDateNext($AW383,BG$17,"M",TRUE,Currency2))</f>
        <v>0</v>
      </c>
      <c r="BH383" s="703">
        <v>0</v>
      </c>
      <c r="BI383" s="703">
        <v>0</v>
      </c>
      <c r="BJ383" s="703">
        <v>0</v>
      </c>
      <c r="BK383" s="703">
        <v>0</v>
      </c>
      <c r="BL383" s="703">
        <f t="shared" si="81"/>
        <v>0</v>
      </c>
      <c r="BM383" s="703">
        <f t="shared" si="82"/>
        <v>0</v>
      </c>
      <c r="BN383" s="703">
        <v>0</v>
      </c>
      <c r="BO383" s="703">
        <v>0</v>
      </c>
      <c r="BP383" s="685">
        <v>0</v>
      </c>
      <c r="BQ383" s="667"/>
      <c r="BR383" s="670">
        <f>IF(AW384=0,0,             IF(ISNUMBER(BQ383),BQ383,             IF(ISTEXT(BQ383),INDEX(BH383:BO383,MATCH(BQ383,$BH$17:$BO$17,0)),           IF(BP383="INT",_xll.qInterp(AW384,AZ383:BG383,BH383:BO383),       INDEX(BH383:BO383,MATCH(BP383,$BH$17:$BO$17,0))))))</f>
        <v>0</v>
      </c>
      <c r="BS383" s="731">
        <f t="shared" si="76"/>
        <v>0</v>
      </c>
      <c r="BT383" s="406">
        <f t="shared" si="77"/>
        <v>0</v>
      </c>
      <c r="BU383" s="284">
        <f>IF($AW384,_xll.qDateYears($AW383,$AW384,DCC_Leg2_Fixed),0)</f>
        <v>0</v>
      </c>
      <c r="BV383" s="284">
        <f>IF($AW384,_xll.qDateYears($AW383,$AW384,DCC_Leg2_Float),0)</f>
        <v>0</v>
      </c>
      <c r="BX383" s="350">
        <f t="shared" si="83"/>
        <v>0</v>
      </c>
      <c r="BY383" s="375">
        <f>IF(GenType_2a="Fixed",GenRate_2a%*$BT382*BU382,          IF(GenType_2a="Float",$BT382*(_xll.qGetFwdRate($J$18,$AW382,$AW383,"T",DCC_Leg2_Float)%+GenRate_2a%%)*$BV382,        IF(GenType_2a="bp (Fixed)",GenRate_2a%%*$BU382*$BT382,   IF(GenType_2a="bp (Float)",GenRate_2a%%*$BT382*$BV382,0))))</f>
        <v>0</v>
      </c>
      <c r="BZ383" s="561"/>
      <c r="CB383" s="341">
        <f t="shared" si="85"/>
        <v>0</v>
      </c>
      <c r="CC383" s="563"/>
      <c r="CD383" s="356"/>
      <c r="CE383" s="341">
        <v>0</v>
      </c>
      <c r="CF383" s="563"/>
      <c r="CG383" s="356"/>
    </row>
    <row r="384" spans="15:85">
      <c r="O384" s="122">
        <v>0</v>
      </c>
      <c r="P384" s="128">
        <f t="shared" si="72"/>
        <v>0</v>
      </c>
      <c r="Q384" s="126">
        <v>0</v>
      </c>
      <c r="R384" s="699">
        <f>IF($O385=0,0,        _xll.qDateNext($O384,R$17,"M",TRUE,Currency1))</f>
        <v>0</v>
      </c>
      <c r="S384" s="699">
        <f>IF($O385=0,0,        _xll.qDateNext($O384,S$17,"M",TRUE,Currency1))</f>
        <v>0</v>
      </c>
      <c r="T384" s="699">
        <f>IF($O385=0,0,        _xll.qDateNext($O384,T$17,"M",TRUE,Currency1))</f>
        <v>0</v>
      </c>
      <c r="U384" s="699">
        <f>IF($O385=0,0,        _xll.qDateNext($O384,U$17,"M",TRUE,Currency1))</f>
        <v>0</v>
      </c>
      <c r="V384" s="699">
        <f>IF($O385=0,0,        _xll.qDateNext($O384,V$17,"M",TRUE,Currency1))</f>
        <v>0</v>
      </c>
      <c r="W384" s="699">
        <f>IF($O385=0,0,        _xll.qDateNext($O384,W$17,"M",TRUE,Currency1))</f>
        <v>0</v>
      </c>
      <c r="X384" s="699">
        <f>IF($O385=0,0,        _xll.qDateNext($O384,X$17,"M",TRUE,Currency1))</f>
        <v>0</v>
      </c>
      <c r="Y384" s="699">
        <f>IF($O385=0,0,        _xll.qDateNext($O384,Y$17,"M",TRUE,Currency1))</f>
        <v>0</v>
      </c>
      <c r="Z384" s="703">
        <f>IF($O385=0,0,           IF(FRM,_xll.qGetFwdRate(Z$14,$O384,R384,"T",DCC_Leg1_Float),_xll.qGetFwdRate(Z$14,$O384,$O385,"T",DCC_Leg1_Float)))</f>
        <v>0</v>
      </c>
      <c r="AA384" s="703">
        <f>IF($O385=0,0,           IF(FRM,_xll.qGetFwdRate(AA$14,$O384,S384,"T",DCC_Leg1_Float),_xll.qGetFwdRate(AA$14,$O384,$O385,"T",DCC_Leg1_Float)))</f>
        <v>0</v>
      </c>
      <c r="AB384" s="703">
        <f t="shared" si="73"/>
        <v>0</v>
      </c>
      <c r="AC384" s="703">
        <f>IF($O385=0,0,           IF(FRM,_xll.qGetFwdRate(AC$14,$O384,U384,"T",DCC_Leg1_Float),_xll.qGetFwdRate(AC$14,$O384,$O385,"T",DCC_Leg1_Float)))</f>
        <v>0</v>
      </c>
      <c r="AD384" s="703">
        <f t="shared" si="78"/>
        <v>0</v>
      </c>
      <c r="AE384" s="703">
        <f t="shared" si="79"/>
        <v>0</v>
      </c>
      <c r="AF384" s="703">
        <f>IF($O385=0,0,           IF(FRM,_xll.qGetFwdRate(AF$14,$O384,X384,"T",DCC_Leg1_Float),_xll.qGetFwdRate(AF$14,$O384,$O385,"T",DCC_Leg1_Float)))</f>
        <v>0</v>
      </c>
      <c r="AG384" s="703">
        <f>IF($O385=0,0,           IF(FRM,_xll.qGetFwdRate(AG$14,$O384,Y384,"T",DCC_Leg1_Float),_xll.qGetFwdRate(AG$14,$O384,$O385,"T",DCC_Leg1_Float)))</f>
        <v>0</v>
      </c>
      <c r="AH384" s="685">
        <v>0</v>
      </c>
      <c r="AI384" s="667"/>
      <c r="AJ384" s="670">
        <f>IF(O385=0,0,             IF(ISNUMBER(AI384),AI384,             IF(ISTEXT(AI384),INDEX(Z384:AG384,MATCH(AI384,$Z$17:$AG$17,0)),           IF(AH384="INT",_xll.qInterp(O385,R384:Y384,Z384:AG384),       INDEX(Z384:AG384,MATCH(AH384,$Z$17:$AG$17,0))))))</f>
        <v>0</v>
      </c>
      <c r="AK384" s="732">
        <v>20</v>
      </c>
      <c r="AL384" s="721">
        <f t="shared" si="74"/>
        <v>0</v>
      </c>
      <c r="AM384" s="284">
        <f>IF($O385,_xll.qDateYears($O384,$O385,DCC_Leg1_Fixed),0)</f>
        <v>0</v>
      </c>
      <c r="AN384" s="284">
        <f>IF($O385,_xll.qDateYears($O384,$O385,DCC_Leg1_Float),0)</f>
        <v>0</v>
      </c>
      <c r="AP384" s="350">
        <f t="shared" si="80"/>
        <v>0</v>
      </c>
      <c r="AQ384" s="375">
        <f>IF(GenType_1a="Fixed",GenRate_1a%*$AL383*AM383,          IF(GenType_1a="Float",$AL383*(_xll.qGetFwdRate($D$18,$O383,$O384,"T",DCC_Leg1_Float)%+GenRate_1a%%)*$AN383,        IF(GenType_1a="bp (Fixed)",GenRate_1a%%*$AM383*$AL383,   IF(GenType_1a="bp (Float)",GenRate_1a%%*$AL383*$AN383,0))))</f>
        <v>0</v>
      </c>
      <c r="AR384" s="561"/>
      <c r="AT384" s="341">
        <f t="shared" si="84"/>
        <v>0</v>
      </c>
      <c r="AV384" s="356"/>
      <c r="AW384" s="122">
        <v>0</v>
      </c>
      <c r="AX384" s="128">
        <f t="shared" si="75"/>
        <v>0</v>
      </c>
      <c r="AY384" s="357">
        <v>0</v>
      </c>
      <c r="AZ384" s="699">
        <f>IF($AW385=0,0,        _xll.qDateNext($AW384,AZ$17,"M",TRUE,Currency2))</f>
        <v>0</v>
      </c>
      <c r="BA384" s="699">
        <f>IF($AW385=0,0,        _xll.qDateNext($AW384,BA$17,"M",TRUE,Currency2))</f>
        <v>0</v>
      </c>
      <c r="BB384" s="699">
        <f>IF($AW385=0,0,        _xll.qDateNext($AW384,BB$17,"M",TRUE,Currency2))</f>
        <v>0</v>
      </c>
      <c r="BC384" s="699">
        <f>IF($AW385=0,0,        _xll.qDateNext($AW384,BC$17,"M",TRUE,Currency2))</f>
        <v>0</v>
      </c>
      <c r="BD384" s="699">
        <f>IF($AW385=0,0,        _xll.qDateNext($AW384,BD$17,"M",TRUE,Currency2))</f>
        <v>0</v>
      </c>
      <c r="BE384" s="699">
        <f>IF($AW385=0,0,        _xll.qDateNext($AW384,BE$17,"M",TRUE,Currency2))</f>
        <v>0</v>
      </c>
      <c r="BF384" s="699">
        <f>IF($AW385=0,0,        _xll.qDateNext($AW384,BF$17,"M",TRUE,Currency2))</f>
        <v>0</v>
      </c>
      <c r="BG384" s="699">
        <f>IF($AW385=0,0,        _xll.qDateNext($AW384,BG$17,"M",TRUE,Currency2))</f>
        <v>0</v>
      </c>
      <c r="BH384" s="703">
        <v>0</v>
      </c>
      <c r="BI384" s="703">
        <v>0</v>
      </c>
      <c r="BJ384" s="703">
        <v>0</v>
      </c>
      <c r="BK384" s="703">
        <v>0</v>
      </c>
      <c r="BL384" s="703">
        <f t="shared" si="81"/>
        <v>0</v>
      </c>
      <c r="BM384" s="703">
        <f t="shared" si="82"/>
        <v>0</v>
      </c>
      <c r="BN384" s="703">
        <v>0</v>
      </c>
      <c r="BO384" s="703">
        <v>0</v>
      </c>
      <c r="BP384" s="685">
        <v>0</v>
      </c>
      <c r="BQ384" s="667"/>
      <c r="BR384" s="670">
        <f>IF(AW385=0,0,             IF(ISNUMBER(BQ384),BQ384,             IF(ISTEXT(BQ384),INDEX(BH384:BO384,MATCH(BQ384,$BH$17:$BO$17,0)),           IF(BP384="INT",_xll.qInterp(AW385,AZ384:BG384,BH384:BO384),       INDEX(BH384:BO384,MATCH(BP384,$BH$17:$BO$17,0))))))</f>
        <v>0</v>
      </c>
      <c r="BS384" s="731">
        <f t="shared" si="76"/>
        <v>0</v>
      </c>
      <c r="BT384" s="406">
        <f t="shared" si="77"/>
        <v>0</v>
      </c>
      <c r="BU384" s="284">
        <f>IF($AW385,_xll.qDateYears($AW384,$AW385,DCC_Leg2_Fixed),0)</f>
        <v>0</v>
      </c>
      <c r="BV384" s="284">
        <f>IF($AW385,_xll.qDateYears($AW384,$AW385,DCC_Leg2_Float),0)</f>
        <v>0</v>
      </c>
      <c r="BX384" s="350">
        <f t="shared" si="83"/>
        <v>0</v>
      </c>
      <c r="BY384" s="375">
        <f>IF(GenType_2a="Fixed",GenRate_2a%*$BT383*BU383,          IF(GenType_2a="Float",$BT383*(_xll.qGetFwdRate($J$18,$AW383,$AW384,"T",DCC_Leg2_Float)%+GenRate_2a%%)*$BV383,        IF(GenType_2a="bp (Fixed)",GenRate_2a%%*$BU383*$BT383,   IF(GenType_2a="bp (Float)",GenRate_2a%%*$BT383*$BV383,0))))</f>
        <v>0</v>
      </c>
      <c r="BZ384" s="561"/>
      <c r="CB384" s="341">
        <f t="shared" si="85"/>
        <v>0</v>
      </c>
      <c r="CC384" s="563"/>
      <c r="CD384" s="356"/>
      <c r="CE384" s="341">
        <v>0</v>
      </c>
      <c r="CF384" s="563"/>
      <c r="CG384" s="356"/>
    </row>
    <row r="385" spans="15:85">
      <c r="O385" s="122">
        <v>0</v>
      </c>
      <c r="P385" s="128">
        <f t="shared" si="72"/>
        <v>0</v>
      </c>
      <c r="Q385" s="126">
        <v>0</v>
      </c>
      <c r="R385" s="699">
        <f>IF($O386=0,0,        _xll.qDateNext($O385,R$17,"M",TRUE,Currency1))</f>
        <v>0</v>
      </c>
      <c r="S385" s="699">
        <f>IF($O386=0,0,        _xll.qDateNext($O385,S$17,"M",TRUE,Currency1))</f>
        <v>0</v>
      </c>
      <c r="T385" s="699">
        <f>IF($O386=0,0,        _xll.qDateNext($O385,T$17,"M",TRUE,Currency1))</f>
        <v>0</v>
      </c>
      <c r="U385" s="699">
        <f>IF($O386=0,0,        _xll.qDateNext($O385,U$17,"M",TRUE,Currency1))</f>
        <v>0</v>
      </c>
      <c r="V385" s="699">
        <f>IF($O386=0,0,        _xll.qDateNext($O385,V$17,"M",TRUE,Currency1))</f>
        <v>0</v>
      </c>
      <c r="W385" s="699">
        <f>IF($O386=0,0,        _xll.qDateNext($O385,W$17,"M",TRUE,Currency1))</f>
        <v>0</v>
      </c>
      <c r="X385" s="699">
        <f>IF($O386=0,0,        _xll.qDateNext($O385,X$17,"M",TRUE,Currency1))</f>
        <v>0</v>
      </c>
      <c r="Y385" s="699">
        <f>IF($O386=0,0,        _xll.qDateNext($O385,Y$17,"M",TRUE,Currency1))</f>
        <v>0</v>
      </c>
      <c r="Z385" s="703">
        <f>IF($O386=0,0,           IF(FRM,_xll.qGetFwdRate(Z$14,$O385,R385,"T",DCC_Leg1_Float),_xll.qGetFwdRate(Z$14,$O385,$O386,"T",DCC_Leg1_Float)))</f>
        <v>0</v>
      </c>
      <c r="AA385" s="703">
        <f>IF($O386=0,0,           IF(FRM,_xll.qGetFwdRate(AA$14,$O385,S385,"T",DCC_Leg1_Float),_xll.qGetFwdRate(AA$14,$O385,$O386,"T",DCC_Leg1_Float)))</f>
        <v>0</v>
      </c>
      <c r="AB385" s="703">
        <f t="shared" si="73"/>
        <v>0</v>
      </c>
      <c r="AC385" s="703">
        <f>IF($O386=0,0,           IF(FRM,_xll.qGetFwdRate(AC$14,$O385,U385,"T",DCC_Leg1_Float),_xll.qGetFwdRate(AC$14,$O385,$O386,"T",DCC_Leg1_Float)))</f>
        <v>0</v>
      </c>
      <c r="AD385" s="703">
        <f t="shared" si="78"/>
        <v>0</v>
      </c>
      <c r="AE385" s="703">
        <f t="shared" si="79"/>
        <v>0</v>
      </c>
      <c r="AF385" s="703">
        <f>IF($O386=0,0,           IF(FRM,_xll.qGetFwdRate(AF$14,$O385,X385,"T",DCC_Leg1_Float),_xll.qGetFwdRate(AF$14,$O385,$O386,"T",DCC_Leg1_Float)))</f>
        <v>0</v>
      </c>
      <c r="AG385" s="703">
        <f>IF($O386=0,0,           IF(FRM,_xll.qGetFwdRate(AG$14,$O385,Y385,"T",DCC_Leg1_Float),_xll.qGetFwdRate(AG$14,$O385,$O386,"T",DCC_Leg1_Float)))</f>
        <v>0</v>
      </c>
      <c r="AH385" s="685">
        <v>0</v>
      </c>
      <c r="AI385" s="667"/>
      <c r="AJ385" s="670">
        <f>IF(O386=0,0,             IF(ISNUMBER(AI385),AI385,             IF(ISTEXT(AI385),INDEX(Z385:AG385,MATCH(AI385,$Z$17:$AG$17,0)),           IF(AH385="INT",_xll.qInterp(O386,R385:Y385,Z385:AG385),       INDEX(Z385:AG385,MATCH(AH385,$Z$17:$AG$17,0))))))</f>
        <v>0</v>
      </c>
      <c r="AK385" s="732">
        <v>20</v>
      </c>
      <c r="AL385" s="721">
        <f t="shared" si="74"/>
        <v>0</v>
      </c>
      <c r="AM385" s="284">
        <f>IF($O386,_xll.qDateYears($O385,$O386,DCC_Leg1_Fixed),0)</f>
        <v>0</v>
      </c>
      <c r="AN385" s="284">
        <f>IF($O386,_xll.qDateYears($O385,$O386,DCC_Leg1_Float),0)</f>
        <v>0</v>
      </c>
      <c r="AP385" s="350">
        <f t="shared" si="80"/>
        <v>0</v>
      </c>
      <c r="AQ385" s="375">
        <f>IF(GenType_1a="Fixed",GenRate_1a%*$AL384*AM384,          IF(GenType_1a="Float",$AL384*(_xll.qGetFwdRate($D$18,$O384,$O385,"T",DCC_Leg1_Float)%+GenRate_1a%%)*$AN384,        IF(GenType_1a="bp (Fixed)",GenRate_1a%%*$AM384*$AL384,   IF(GenType_1a="bp (Float)",GenRate_1a%%*$AL384*$AN384,0))))</f>
        <v>0</v>
      </c>
      <c r="AR385" s="561"/>
      <c r="AT385" s="341">
        <f t="shared" si="84"/>
        <v>0</v>
      </c>
      <c r="AV385" s="356"/>
      <c r="AW385" s="122">
        <v>0</v>
      </c>
      <c r="AX385" s="128">
        <f t="shared" si="75"/>
        <v>0</v>
      </c>
      <c r="AY385" s="357">
        <v>0</v>
      </c>
      <c r="AZ385" s="699">
        <f>IF($AW386=0,0,        _xll.qDateNext($AW385,AZ$17,"M",TRUE,Currency2))</f>
        <v>0</v>
      </c>
      <c r="BA385" s="699">
        <f>IF($AW386=0,0,        _xll.qDateNext($AW385,BA$17,"M",TRUE,Currency2))</f>
        <v>0</v>
      </c>
      <c r="BB385" s="699">
        <f>IF($AW386=0,0,        _xll.qDateNext($AW385,BB$17,"M",TRUE,Currency2))</f>
        <v>0</v>
      </c>
      <c r="BC385" s="699">
        <f>IF($AW386=0,0,        _xll.qDateNext($AW385,BC$17,"M",TRUE,Currency2))</f>
        <v>0</v>
      </c>
      <c r="BD385" s="699">
        <f>IF($AW386=0,0,        _xll.qDateNext($AW385,BD$17,"M",TRUE,Currency2))</f>
        <v>0</v>
      </c>
      <c r="BE385" s="699">
        <f>IF($AW386=0,0,        _xll.qDateNext($AW385,BE$17,"M",TRUE,Currency2))</f>
        <v>0</v>
      </c>
      <c r="BF385" s="699">
        <f>IF($AW386=0,0,        _xll.qDateNext($AW385,BF$17,"M",TRUE,Currency2))</f>
        <v>0</v>
      </c>
      <c r="BG385" s="699">
        <f>IF($AW386=0,0,        _xll.qDateNext($AW385,BG$17,"M",TRUE,Currency2))</f>
        <v>0</v>
      </c>
      <c r="BH385" s="703">
        <v>0</v>
      </c>
      <c r="BI385" s="703">
        <v>0</v>
      </c>
      <c r="BJ385" s="703">
        <v>0</v>
      </c>
      <c r="BK385" s="703">
        <v>0</v>
      </c>
      <c r="BL385" s="703">
        <f t="shared" si="81"/>
        <v>0</v>
      </c>
      <c r="BM385" s="703">
        <f t="shared" si="82"/>
        <v>0</v>
      </c>
      <c r="BN385" s="703">
        <v>0</v>
      </c>
      <c r="BO385" s="703">
        <v>0</v>
      </c>
      <c r="BP385" s="685">
        <v>0</v>
      </c>
      <c r="BQ385" s="667"/>
      <c r="BR385" s="670">
        <f>IF(AW386=0,0,             IF(ISNUMBER(BQ385),BQ385,             IF(ISTEXT(BQ385),INDEX(BH385:BO385,MATCH(BQ385,$BH$17:$BO$17,0)),           IF(BP385="INT",_xll.qInterp(AW386,AZ385:BG385,BH385:BO385),       INDEX(BH385:BO385,MATCH(BP385,$BH$17:$BO$17,0))))))</f>
        <v>0</v>
      </c>
      <c r="BS385" s="731">
        <f t="shared" si="76"/>
        <v>0</v>
      </c>
      <c r="BT385" s="406">
        <f t="shared" si="77"/>
        <v>0</v>
      </c>
      <c r="BU385" s="284">
        <f>IF($AW386,_xll.qDateYears($AW385,$AW386,DCC_Leg2_Fixed),0)</f>
        <v>0</v>
      </c>
      <c r="BV385" s="284">
        <f>IF($AW386,_xll.qDateYears($AW385,$AW386,DCC_Leg2_Float),0)</f>
        <v>0</v>
      </c>
      <c r="BX385" s="350">
        <f t="shared" si="83"/>
        <v>0</v>
      </c>
      <c r="BY385" s="375">
        <f>IF(GenType_2a="Fixed",GenRate_2a%*$BT384*BU384,          IF(GenType_2a="Float",$BT384*(_xll.qGetFwdRate($J$18,$AW384,$AW385,"T",DCC_Leg2_Float)%+GenRate_2a%%)*$BV384,        IF(GenType_2a="bp (Fixed)",GenRate_2a%%*$BU384*$BT384,   IF(GenType_2a="bp (Float)",GenRate_2a%%*$BT384*$BV384,0))))</f>
        <v>0</v>
      </c>
      <c r="BZ385" s="561"/>
      <c r="CB385" s="341">
        <f t="shared" si="85"/>
        <v>0</v>
      </c>
      <c r="CC385" s="563"/>
      <c r="CD385" s="356"/>
      <c r="CE385" s="341">
        <v>0</v>
      </c>
      <c r="CF385" s="563"/>
      <c r="CG385" s="356"/>
    </row>
    <row r="386" spans="15:85">
      <c r="O386" s="122">
        <v>0</v>
      </c>
      <c r="P386" s="128">
        <f t="shared" si="72"/>
        <v>0</v>
      </c>
      <c r="Q386" s="126">
        <v>0</v>
      </c>
      <c r="R386" s="699">
        <f>IF($O387=0,0,        _xll.qDateNext($O386,R$17,"M",TRUE,Currency1))</f>
        <v>0</v>
      </c>
      <c r="S386" s="699">
        <f>IF($O387=0,0,        _xll.qDateNext($O386,S$17,"M",TRUE,Currency1))</f>
        <v>0</v>
      </c>
      <c r="T386" s="699">
        <f>IF($O387=0,0,        _xll.qDateNext($O386,T$17,"M",TRUE,Currency1))</f>
        <v>0</v>
      </c>
      <c r="U386" s="699">
        <f>IF($O387=0,0,        _xll.qDateNext($O386,U$17,"M",TRUE,Currency1))</f>
        <v>0</v>
      </c>
      <c r="V386" s="699">
        <f>IF($O387=0,0,        _xll.qDateNext($O386,V$17,"M",TRUE,Currency1))</f>
        <v>0</v>
      </c>
      <c r="W386" s="699">
        <f>IF($O387=0,0,        _xll.qDateNext($O386,W$17,"M",TRUE,Currency1))</f>
        <v>0</v>
      </c>
      <c r="X386" s="699">
        <f>IF($O387=0,0,        _xll.qDateNext($O386,X$17,"M",TRUE,Currency1))</f>
        <v>0</v>
      </c>
      <c r="Y386" s="699">
        <f>IF($O387=0,0,        _xll.qDateNext($O386,Y$17,"M",TRUE,Currency1))</f>
        <v>0</v>
      </c>
      <c r="Z386" s="703">
        <f>IF($O387=0,0,           IF(FRM,_xll.qGetFwdRate(Z$14,$O386,R386,"T",DCC_Leg1_Float),_xll.qGetFwdRate(Z$14,$O386,$O387,"T",DCC_Leg1_Float)))</f>
        <v>0</v>
      </c>
      <c r="AA386" s="703">
        <f>IF($O387=0,0,           IF(FRM,_xll.qGetFwdRate(AA$14,$O386,S386,"T",DCC_Leg1_Float),_xll.qGetFwdRate(AA$14,$O386,$O387,"T",DCC_Leg1_Float)))</f>
        <v>0</v>
      </c>
      <c r="AB386" s="703">
        <f t="shared" si="73"/>
        <v>0</v>
      </c>
      <c r="AC386" s="703">
        <f>IF($O387=0,0,           IF(FRM,_xll.qGetFwdRate(AC$14,$O386,U386,"T",DCC_Leg1_Float),_xll.qGetFwdRate(AC$14,$O386,$O387,"T",DCC_Leg1_Float)))</f>
        <v>0</v>
      </c>
      <c r="AD386" s="703">
        <f t="shared" si="78"/>
        <v>0</v>
      </c>
      <c r="AE386" s="703">
        <f t="shared" si="79"/>
        <v>0</v>
      </c>
      <c r="AF386" s="703">
        <f>IF($O387=0,0,           IF(FRM,_xll.qGetFwdRate(AF$14,$O386,X386,"T",DCC_Leg1_Float),_xll.qGetFwdRate(AF$14,$O386,$O387,"T",DCC_Leg1_Float)))</f>
        <v>0</v>
      </c>
      <c r="AG386" s="703">
        <f>IF($O387=0,0,           IF(FRM,_xll.qGetFwdRate(AG$14,$O386,Y386,"T",DCC_Leg1_Float),_xll.qGetFwdRate(AG$14,$O386,$O387,"T",DCC_Leg1_Float)))</f>
        <v>0</v>
      </c>
      <c r="AH386" s="685">
        <v>0</v>
      </c>
      <c r="AI386" s="667"/>
      <c r="AJ386" s="670">
        <f>IF(O387=0,0,             IF(ISNUMBER(AI386),AI386,             IF(ISTEXT(AI386),INDEX(Z386:AG386,MATCH(AI386,$Z$17:$AG$17,0)),           IF(AH386="INT",_xll.qInterp(O387,R386:Y386,Z386:AG386),       INDEX(Z386:AG386,MATCH(AH386,$Z$17:$AG$17,0))))))</f>
        <v>0</v>
      </c>
      <c r="AK386" s="732">
        <v>20</v>
      </c>
      <c r="AL386" s="721">
        <f t="shared" si="74"/>
        <v>0</v>
      </c>
      <c r="AM386" s="284">
        <f>IF($O387,_xll.qDateYears($O386,$O387,DCC_Leg1_Fixed),0)</f>
        <v>0</v>
      </c>
      <c r="AN386" s="284">
        <f>IF($O387,_xll.qDateYears($O386,$O387,DCC_Leg1_Float),0)</f>
        <v>0</v>
      </c>
      <c r="AP386" s="350">
        <f t="shared" si="80"/>
        <v>0</v>
      </c>
      <c r="AQ386" s="375">
        <f>IF(GenType_1a="Fixed",GenRate_1a%*$AL385*AM385,          IF(GenType_1a="Float",$AL385*(_xll.qGetFwdRate($D$18,$O385,$O386,"T",DCC_Leg1_Float)%+GenRate_1a%%)*$AN385,        IF(GenType_1a="bp (Fixed)",GenRate_1a%%*$AM385*$AL385,   IF(GenType_1a="bp (Float)",GenRate_1a%%*$AL385*$AN385,0))))</f>
        <v>0</v>
      </c>
      <c r="AR386" s="561"/>
      <c r="AT386" s="341">
        <f t="shared" si="84"/>
        <v>0</v>
      </c>
      <c r="AV386" s="356"/>
      <c r="AW386" s="122">
        <v>0</v>
      </c>
      <c r="AX386" s="128">
        <f t="shared" si="75"/>
        <v>0</v>
      </c>
      <c r="AY386" s="357">
        <v>0</v>
      </c>
      <c r="AZ386" s="699">
        <f>IF($AW387=0,0,        _xll.qDateNext($AW386,AZ$17,"M",TRUE,Currency2))</f>
        <v>0</v>
      </c>
      <c r="BA386" s="699">
        <f>IF($AW387=0,0,        _xll.qDateNext($AW386,BA$17,"M",TRUE,Currency2))</f>
        <v>0</v>
      </c>
      <c r="BB386" s="699">
        <f>IF($AW387=0,0,        _xll.qDateNext($AW386,BB$17,"M",TRUE,Currency2))</f>
        <v>0</v>
      </c>
      <c r="BC386" s="699">
        <f>IF($AW387=0,0,        _xll.qDateNext($AW386,BC$17,"M",TRUE,Currency2))</f>
        <v>0</v>
      </c>
      <c r="BD386" s="699">
        <f>IF($AW387=0,0,        _xll.qDateNext($AW386,BD$17,"M",TRUE,Currency2))</f>
        <v>0</v>
      </c>
      <c r="BE386" s="699">
        <f>IF($AW387=0,0,        _xll.qDateNext($AW386,BE$17,"M",TRUE,Currency2))</f>
        <v>0</v>
      </c>
      <c r="BF386" s="699">
        <f>IF($AW387=0,0,        _xll.qDateNext($AW386,BF$17,"M",TRUE,Currency2))</f>
        <v>0</v>
      </c>
      <c r="BG386" s="699">
        <f>IF($AW387=0,0,        _xll.qDateNext($AW386,BG$17,"M",TRUE,Currency2))</f>
        <v>0</v>
      </c>
      <c r="BH386" s="703">
        <v>0</v>
      </c>
      <c r="BI386" s="703">
        <v>0</v>
      </c>
      <c r="BJ386" s="703">
        <v>0</v>
      </c>
      <c r="BK386" s="703">
        <v>0</v>
      </c>
      <c r="BL386" s="703">
        <f t="shared" si="81"/>
        <v>0</v>
      </c>
      <c r="BM386" s="703">
        <f t="shared" si="82"/>
        <v>0</v>
      </c>
      <c r="BN386" s="703">
        <v>0</v>
      </c>
      <c r="BO386" s="703">
        <v>0</v>
      </c>
      <c r="BP386" s="685">
        <v>0</v>
      </c>
      <c r="BQ386" s="667"/>
      <c r="BR386" s="670">
        <f>IF(AW387=0,0,             IF(ISNUMBER(BQ386),BQ386,             IF(ISTEXT(BQ386),INDEX(BH386:BO386,MATCH(BQ386,$BH$17:$BO$17,0)),           IF(BP386="INT",_xll.qInterp(AW387,AZ386:BG386,BH386:BO386),       INDEX(BH386:BO386,MATCH(BP386,$BH$17:$BO$17,0))))))</f>
        <v>0</v>
      </c>
      <c r="BS386" s="731">
        <f t="shared" si="76"/>
        <v>0</v>
      </c>
      <c r="BT386" s="406">
        <f t="shared" si="77"/>
        <v>0</v>
      </c>
      <c r="BU386" s="284">
        <f>IF($AW387,_xll.qDateYears($AW386,$AW387,DCC_Leg2_Fixed),0)</f>
        <v>0</v>
      </c>
      <c r="BV386" s="284">
        <f>IF($AW387,_xll.qDateYears($AW386,$AW387,DCC_Leg2_Float),0)</f>
        <v>0</v>
      </c>
      <c r="BX386" s="350">
        <f t="shared" si="83"/>
        <v>0</v>
      </c>
      <c r="BY386" s="375">
        <f>IF(GenType_2a="Fixed",GenRate_2a%*$BT385*BU385,          IF(GenType_2a="Float",$BT385*(_xll.qGetFwdRate($J$18,$AW385,$AW386,"T",DCC_Leg2_Float)%+GenRate_2a%%)*$BV385,        IF(GenType_2a="bp (Fixed)",GenRate_2a%%*$BU385*$BT385,   IF(GenType_2a="bp (Float)",GenRate_2a%%*$BT385*$BV385,0))))</f>
        <v>0</v>
      </c>
      <c r="BZ386" s="561"/>
      <c r="CB386" s="341">
        <f t="shared" si="85"/>
        <v>0</v>
      </c>
      <c r="CC386" s="563"/>
      <c r="CD386" s="356"/>
      <c r="CE386" s="341">
        <v>0</v>
      </c>
      <c r="CF386" s="563"/>
      <c r="CG386" s="356"/>
    </row>
    <row r="387" spans="15:85">
      <c r="O387" s="122">
        <v>0</v>
      </c>
      <c r="P387" s="128">
        <f t="shared" si="72"/>
        <v>0</v>
      </c>
      <c r="Q387" s="126">
        <v>0</v>
      </c>
      <c r="R387" s="699">
        <f>IF($O388=0,0,        _xll.qDateNext($O387,R$17,"M",TRUE,Currency1))</f>
        <v>0</v>
      </c>
      <c r="S387" s="699">
        <f>IF($O388=0,0,        _xll.qDateNext($O387,S$17,"M",TRUE,Currency1))</f>
        <v>0</v>
      </c>
      <c r="T387" s="699">
        <f>IF($O388=0,0,        _xll.qDateNext($O387,T$17,"M",TRUE,Currency1))</f>
        <v>0</v>
      </c>
      <c r="U387" s="699">
        <f>IF($O388=0,0,        _xll.qDateNext($O387,U$17,"M",TRUE,Currency1))</f>
        <v>0</v>
      </c>
      <c r="V387" s="699">
        <f>IF($O388=0,0,        _xll.qDateNext($O387,V$17,"M",TRUE,Currency1))</f>
        <v>0</v>
      </c>
      <c r="W387" s="699">
        <f>IF($O388=0,0,        _xll.qDateNext($O387,W$17,"M",TRUE,Currency1))</f>
        <v>0</v>
      </c>
      <c r="X387" s="699">
        <f>IF($O388=0,0,        _xll.qDateNext($O387,X$17,"M",TRUE,Currency1))</f>
        <v>0</v>
      </c>
      <c r="Y387" s="699">
        <f>IF($O388=0,0,        _xll.qDateNext($O387,Y$17,"M",TRUE,Currency1))</f>
        <v>0</v>
      </c>
      <c r="Z387" s="703">
        <f>IF($O388=0,0,           IF(FRM,_xll.qGetFwdRate(Z$14,$O387,R387,"T",DCC_Leg1_Float),_xll.qGetFwdRate(Z$14,$O387,$O388,"T",DCC_Leg1_Float)))</f>
        <v>0</v>
      </c>
      <c r="AA387" s="703">
        <f>IF($O388=0,0,           IF(FRM,_xll.qGetFwdRate(AA$14,$O387,S387,"T",DCC_Leg1_Float),_xll.qGetFwdRate(AA$14,$O387,$O388,"T",DCC_Leg1_Float)))</f>
        <v>0</v>
      </c>
      <c r="AB387" s="703">
        <f t="shared" si="73"/>
        <v>0</v>
      </c>
      <c r="AC387" s="703">
        <f>IF($O388=0,0,           IF(FRM,_xll.qGetFwdRate(AC$14,$O387,U387,"T",DCC_Leg1_Float),_xll.qGetFwdRate(AC$14,$O387,$O388,"T",DCC_Leg1_Float)))</f>
        <v>0</v>
      </c>
      <c r="AD387" s="703">
        <f t="shared" si="78"/>
        <v>0</v>
      </c>
      <c r="AE387" s="703">
        <f t="shared" si="79"/>
        <v>0</v>
      </c>
      <c r="AF387" s="703">
        <f>IF($O388=0,0,           IF(FRM,_xll.qGetFwdRate(AF$14,$O387,X387,"T",DCC_Leg1_Float),_xll.qGetFwdRate(AF$14,$O387,$O388,"T",DCC_Leg1_Float)))</f>
        <v>0</v>
      </c>
      <c r="AG387" s="703">
        <f>IF($O388=0,0,           IF(FRM,_xll.qGetFwdRate(AG$14,$O387,Y387,"T",DCC_Leg1_Float),_xll.qGetFwdRate(AG$14,$O387,$O388,"T",DCC_Leg1_Float)))</f>
        <v>0</v>
      </c>
      <c r="AH387" s="685">
        <v>0</v>
      </c>
      <c r="AI387" s="667"/>
      <c r="AJ387" s="670">
        <f>IF(O388=0,0,             IF(ISNUMBER(AI387),AI387,             IF(ISTEXT(AI387),INDEX(Z387:AG387,MATCH(AI387,$Z$17:$AG$17,0)),           IF(AH387="INT",_xll.qInterp(O388,R387:Y387,Z387:AG387),       INDEX(Z387:AG387,MATCH(AH387,$Z$17:$AG$17,0))))))</f>
        <v>0</v>
      </c>
      <c r="AK387" s="732">
        <v>20</v>
      </c>
      <c r="AL387" s="721">
        <f t="shared" si="74"/>
        <v>0</v>
      </c>
      <c r="AM387" s="284">
        <f>IF($O388,_xll.qDateYears($O387,$O388,DCC_Leg1_Fixed),0)</f>
        <v>0</v>
      </c>
      <c r="AN387" s="284">
        <f>IF($O388,_xll.qDateYears($O387,$O388,DCC_Leg1_Float),0)</f>
        <v>0</v>
      </c>
      <c r="AP387" s="350">
        <f t="shared" si="80"/>
        <v>0</v>
      </c>
      <c r="AQ387" s="375">
        <f>IF(GenType_1a="Fixed",GenRate_1a%*$AL386*AM386,          IF(GenType_1a="Float",$AL386*(_xll.qGetFwdRate($D$18,$O386,$O387,"T",DCC_Leg1_Float)%+GenRate_1a%%)*$AN386,        IF(GenType_1a="bp (Fixed)",GenRate_1a%%*$AM386*$AL386,   IF(GenType_1a="bp (Float)",GenRate_1a%%*$AL386*$AN386,0))))</f>
        <v>0</v>
      </c>
      <c r="AR387" s="561"/>
      <c r="AT387" s="341">
        <f t="shared" si="84"/>
        <v>0</v>
      </c>
      <c r="AV387" s="356"/>
      <c r="AW387" s="122">
        <v>0</v>
      </c>
      <c r="AX387" s="128">
        <f t="shared" si="75"/>
        <v>0</v>
      </c>
      <c r="AY387" s="357">
        <v>0</v>
      </c>
      <c r="AZ387" s="699">
        <f>IF($AW388=0,0,        _xll.qDateNext($AW387,AZ$17,"M",TRUE,Currency2))</f>
        <v>0</v>
      </c>
      <c r="BA387" s="699">
        <f>IF($AW388=0,0,        _xll.qDateNext($AW387,BA$17,"M",TRUE,Currency2))</f>
        <v>0</v>
      </c>
      <c r="BB387" s="699">
        <f>IF($AW388=0,0,        _xll.qDateNext($AW387,BB$17,"M",TRUE,Currency2))</f>
        <v>0</v>
      </c>
      <c r="BC387" s="699">
        <f>IF($AW388=0,0,        _xll.qDateNext($AW387,BC$17,"M",TRUE,Currency2))</f>
        <v>0</v>
      </c>
      <c r="BD387" s="699">
        <f>IF($AW388=0,0,        _xll.qDateNext($AW387,BD$17,"M",TRUE,Currency2))</f>
        <v>0</v>
      </c>
      <c r="BE387" s="699">
        <f>IF($AW388=0,0,        _xll.qDateNext($AW387,BE$17,"M",TRUE,Currency2))</f>
        <v>0</v>
      </c>
      <c r="BF387" s="699">
        <f>IF($AW388=0,0,        _xll.qDateNext($AW387,BF$17,"M",TRUE,Currency2))</f>
        <v>0</v>
      </c>
      <c r="BG387" s="699">
        <f>IF($AW388=0,0,        _xll.qDateNext($AW387,BG$17,"M",TRUE,Currency2))</f>
        <v>0</v>
      </c>
      <c r="BH387" s="703">
        <v>0</v>
      </c>
      <c r="BI387" s="703">
        <v>0</v>
      </c>
      <c r="BJ387" s="703">
        <v>0</v>
      </c>
      <c r="BK387" s="703">
        <v>0</v>
      </c>
      <c r="BL387" s="703">
        <f t="shared" si="81"/>
        <v>0</v>
      </c>
      <c r="BM387" s="703">
        <f t="shared" si="82"/>
        <v>0</v>
      </c>
      <c r="BN387" s="703">
        <v>0</v>
      </c>
      <c r="BO387" s="703">
        <v>0</v>
      </c>
      <c r="BP387" s="685">
        <v>0</v>
      </c>
      <c r="BQ387" s="667"/>
      <c r="BR387" s="670">
        <f>IF(AW388=0,0,             IF(ISNUMBER(BQ387),BQ387,             IF(ISTEXT(BQ387),INDEX(BH387:BO387,MATCH(BQ387,$BH$17:$BO$17,0)),           IF(BP387="INT",_xll.qInterp(AW388,AZ387:BG387,BH387:BO387),       INDEX(BH387:BO387,MATCH(BP387,$BH$17:$BO$17,0))))))</f>
        <v>0</v>
      </c>
      <c r="BS387" s="731">
        <f t="shared" si="76"/>
        <v>0</v>
      </c>
      <c r="BT387" s="406">
        <f t="shared" si="77"/>
        <v>0</v>
      </c>
      <c r="BU387" s="284">
        <f>IF($AW388,_xll.qDateYears($AW387,$AW388,DCC_Leg2_Fixed),0)</f>
        <v>0</v>
      </c>
      <c r="BV387" s="284">
        <f>IF($AW388,_xll.qDateYears($AW387,$AW388,DCC_Leg2_Float),0)</f>
        <v>0</v>
      </c>
      <c r="BX387" s="350">
        <f t="shared" si="83"/>
        <v>0</v>
      </c>
      <c r="BY387" s="375">
        <f>IF(GenType_2a="Fixed",GenRate_2a%*$BT386*BU386,          IF(GenType_2a="Float",$BT386*(_xll.qGetFwdRate($J$18,$AW386,$AW387,"T",DCC_Leg2_Float)%+GenRate_2a%%)*$BV386,        IF(GenType_2a="bp (Fixed)",GenRate_2a%%*$BU386*$BT386,   IF(GenType_2a="bp (Float)",GenRate_2a%%*$BT386*$BV386,0))))</f>
        <v>0</v>
      </c>
      <c r="BZ387" s="561"/>
      <c r="CB387" s="341">
        <f t="shared" si="85"/>
        <v>0</v>
      </c>
      <c r="CC387" s="563"/>
      <c r="CD387" s="356"/>
      <c r="CE387" s="341">
        <v>0</v>
      </c>
      <c r="CF387" s="563"/>
      <c r="CG387" s="356"/>
    </row>
    <row r="388" spans="15:85">
      <c r="O388" s="122">
        <v>0</v>
      </c>
      <c r="P388" s="128">
        <f t="shared" si="72"/>
        <v>0</v>
      </c>
      <c r="Q388" s="126">
        <v>0</v>
      </c>
      <c r="R388" s="699">
        <f>IF($O389=0,0,        _xll.qDateNext($O388,R$17,"M",TRUE,Currency1))</f>
        <v>0</v>
      </c>
      <c r="S388" s="699">
        <f>IF($O389=0,0,        _xll.qDateNext($O388,S$17,"M",TRUE,Currency1))</f>
        <v>0</v>
      </c>
      <c r="T388" s="699">
        <f>IF($O389=0,0,        _xll.qDateNext($O388,T$17,"M",TRUE,Currency1))</f>
        <v>0</v>
      </c>
      <c r="U388" s="699">
        <f>IF($O389=0,0,        _xll.qDateNext($O388,U$17,"M",TRUE,Currency1))</f>
        <v>0</v>
      </c>
      <c r="V388" s="699">
        <f>IF($O389=0,0,        _xll.qDateNext($O388,V$17,"M",TRUE,Currency1))</f>
        <v>0</v>
      </c>
      <c r="W388" s="699">
        <f>IF($O389=0,0,        _xll.qDateNext($O388,W$17,"M",TRUE,Currency1))</f>
        <v>0</v>
      </c>
      <c r="X388" s="699">
        <f>IF($O389=0,0,        _xll.qDateNext($O388,X$17,"M",TRUE,Currency1))</f>
        <v>0</v>
      </c>
      <c r="Y388" s="699">
        <f>IF($O389=0,0,        _xll.qDateNext($O388,Y$17,"M",TRUE,Currency1))</f>
        <v>0</v>
      </c>
      <c r="Z388" s="703">
        <f>IF($O389=0,0,           IF(FRM,_xll.qGetFwdRate(Z$14,$O388,R388,"T",DCC_Leg1_Float),_xll.qGetFwdRate(Z$14,$O388,$O389,"T",DCC_Leg1_Float)))</f>
        <v>0</v>
      </c>
      <c r="AA388" s="703">
        <f>IF($O389=0,0,           IF(FRM,_xll.qGetFwdRate(AA$14,$O388,S388,"T",DCC_Leg1_Float),_xll.qGetFwdRate(AA$14,$O388,$O389,"T",DCC_Leg1_Float)))</f>
        <v>0</v>
      </c>
      <c r="AB388" s="703">
        <f t="shared" si="73"/>
        <v>0</v>
      </c>
      <c r="AC388" s="703">
        <f>IF($O389=0,0,           IF(FRM,_xll.qGetFwdRate(AC$14,$O388,U388,"T",DCC_Leg1_Float),_xll.qGetFwdRate(AC$14,$O388,$O389,"T",DCC_Leg1_Float)))</f>
        <v>0</v>
      </c>
      <c r="AD388" s="703">
        <f t="shared" si="78"/>
        <v>0</v>
      </c>
      <c r="AE388" s="703">
        <f t="shared" si="79"/>
        <v>0</v>
      </c>
      <c r="AF388" s="703">
        <f>IF($O389=0,0,           IF(FRM,_xll.qGetFwdRate(AF$14,$O388,X388,"T",DCC_Leg1_Float),_xll.qGetFwdRate(AF$14,$O388,$O389,"T",DCC_Leg1_Float)))</f>
        <v>0</v>
      </c>
      <c r="AG388" s="703">
        <f>IF($O389=0,0,           IF(FRM,_xll.qGetFwdRate(AG$14,$O388,Y388,"T",DCC_Leg1_Float),_xll.qGetFwdRate(AG$14,$O388,$O389,"T",DCC_Leg1_Float)))</f>
        <v>0</v>
      </c>
      <c r="AH388" s="685">
        <v>0</v>
      </c>
      <c r="AI388" s="667"/>
      <c r="AJ388" s="670">
        <f>IF(O389=0,0,             IF(ISNUMBER(AI388),AI388,             IF(ISTEXT(AI388),INDEX(Z388:AG388,MATCH(AI388,$Z$17:$AG$17,0)),           IF(AH388="INT",_xll.qInterp(O389,R388:Y388,Z388:AG388),       INDEX(Z388:AG388,MATCH(AH388,$Z$17:$AG$17,0))))))</f>
        <v>0</v>
      </c>
      <c r="AK388" s="732">
        <v>20</v>
      </c>
      <c r="AL388" s="721">
        <f t="shared" si="74"/>
        <v>0</v>
      </c>
      <c r="AM388" s="284">
        <f>IF($O389,_xll.qDateYears($O388,$O389,DCC_Leg1_Fixed),0)</f>
        <v>0</v>
      </c>
      <c r="AN388" s="284">
        <f>IF($O389,_xll.qDateYears($O388,$O389,DCC_Leg1_Float),0)</f>
        <v>0</v>
      </c>
      <c r="AP388" s="350">
        <f t="shared" si="80"/>
        <v>0</v>
      </c>
      <c r="AQ388" s="375">
        <f>IF(GenType_1a="Fixed",GenRate_1a%*$AL387*AM387,          IF(GenType_1a="Float",$AL387*(_xll.qGetFwdRate($D$18,$O387,$O388,"T",DCC_Leg1_Float)%+GenRate_1a%%)*$AN387,        IF(GenType_1a="bp (Fixed)",GenRate_1a%%*$AM387*$AL387,   IF(GenType_1a="bp (Float)",GenRate_1a%%*$AL387*$AN387,0))))</f>
        <v>0</v>
      </c>
      <c r="AR388" s="561"/>
      <c r="AT388" s="341">
        <f t="shared" si="84"/>
        <v>0</v>
      </c>
      <c r="AV388" s="356"/>
      <c r="AW388" s="122">
        <v>0</v>
      </c>
      <c r="AX388" s="128">
        <f t="shared" si="75"/>
        <v>0</v>
      </c>
      <c r="AY388" s="357">
        <v>0</v>
      </c>
      <c r="AZ388" s="699">
        <f>IF($AW389=0,0,        _xll.qDateNext($AW388,AZ$17,"M",TRUE,Currency2))</f>
        <v>0</v>
      </c>
      <c r="BA388" s="699">
        <f>IF($AW389=0,0,        _xll.qDateNext($AW388,BA$17,"M",TRUE,Currency2))</f>
        <v>0</v>
      </c>
      <c r="BB388" s="699">
        <f>IF($AW389=0,0,        _xll.qDateNext($AW388,BB$17,"M",TRUE,Currency2))</f>
        <v>0</v>
      </c>
      <c r="BC388" s="699">
        <f>IF($AW389=0,0,        _xll.qDateNext($AW388,BC$17,"M",TRUE,Currency2))</f>
        <v>0</v>
      </c>
      <c r="BD388" s="699">
        <f>IF($AW389=0,0,        _xll.qDateNext($AW388,BD$17,"M",TRUE,Currency2))</f>
        <v>0</v>
      </c>
      <c r="BE388" s="699">
        <f>IF($AW389=0,0,        _xll.qDateNext($AW388,BE$17,"M",TRUE,Currency2))</f>
        <v>0</v>
      </c>
      <c r="BF388" s="699">
        <f>IF($AW389=0,0,        _xll.qDateNext($AW388,BF$17,"M",TRUE,Currency2))</f>
        <v>0</v>
      </c>
      <c r="BG388" s="699">
        <f>IF($AW389=0,0,        _xll.qDateNext($AW388,BG$17,"M",TRUE,Currency2))</f>
        <v>0</v>
      </c>
      <c r="BH388" s="703">
        <v>0</v>
      </c>
      <c r="BI388" s="703">
        <v>0</v>
      </c>
      <c r="BJ388" s="703">
        <v>0</v>
      </c>
      <c r="BK388" s="703">
        <v>0</v>
      </c>
      <c r="BL388" s="703">
        <f t="shared" si="81"/>
        <v>0</v>
      </c>
      <c r="BM388" s="703">
        <f t="shared" si="82"/>
        <v>0</v>
      </c>
      <c r="BN388" s="703">
        <v>0</v>
      </c>
      <c r="BO388" s="703">
        <v>0</v>
      </c>
      <c r="BP388" s="685">
        <v>0</v>
      </c>
      <c r="BQ388" s="667"/>
      <c r="BR388" s="670">
        <f>IF(AW389=0,0,             IF(ISNUMBER(BQ388),BQ388,             IF(ISTEXT(BQ388),INDEX(BH388:BO388,MATCH(BQ388,$BH$17:$BO$17,0)),           IF(BP388="INT",_xll.qInterp(AW389,AZ388:BG388,BH388:BO388),       INDEX(BH388:BO388,MATCH(BP388,$BH$17:$BO$17,0))))))</f>
        <v>0</v>
      </c>
      <c r="BS388" s="731">
        <f t="shared" si="76"/>
        <v>0</v>
      </c>
      <c r="BT388" s="406">
        <f t="shared" si="77"/>
        <v>0</v>
      </c>
      <c r="BU388" s="284">
        <f>IF($AW389,_xll.qDateYears($AW388,$AW389,DCC_Leg2_Fixed),0)</f>
        <v>0</v>
      </c>
      <c r="BV388" s="284">
        <f>IF($AW389,_xll.qDateYears($AW388,$AW389,DCC_Leg2_Float),0)</f>
        <v>0</v>
      </c>
      <c r="BX388" s="350">
        <f t="shared" si="83"/>
        <v>0</v>
      </c>
      <c r="BY388" s="375">
        <f>IF(GenType_2a="Fixed",GenRate_2a%*$BT387*BU387,          IF(GenType_2a="Float",$BT387*(_xll.qGetFwdRate($J$18,$AW387,$AW388,"T",DCC_Leg2_Float)%+GenRate_2a%%)*$BV387,        IF(GenType_2a="bp (Fixed)",GenRate_2a%%*$BU387*$BT387,   IF(GenType_2a="bp (Float)",GenRate_2a%%*$BT387*$BV387,0))))</f>
        <v>0</v>
      </c>
      <c r="BZ388" s="561"/>
      <c r="CB388" s="341">
        <f t="shared" si="85"/>
        <v>0</v>
      </c>
      <c r="CC388" s="563"/>
      <c r="CD388" s="356"/>
      <c r="CE388" s="341">
        <v>0</v>
      </c>
      <c r="CF388" s="563"/>
      <c r="CG388" s="356"/>
    </row>
    <row r="389" spans="15:85">
      <c r="O389" s="122">
        <v>0</v>
      </c>
      <c r="P389" s="128">
        <f t="shared" si="72"/>
        <v>0</v>
      </c>
      <c r="Q389" s="126">
        <v>0</v>
      </c>
      <c r="R389" s="699">
        <f>IF($O390=0,0,        _xll.qDateNext($O389,R$17,"M",TRUE,Currency1))</f>
        <v>0</v>
      </c>
      <c r="S389" s="699">
        <f>IF($O390=0,0,        _xll.qDateNext($O389,S$17,"M",TRUE,Currency1))</f>
        <v>0</v>
      </c>
      <c r="T389" s="699">
        <f>IF($O390=0,0,        _xll.qDateNext($O389,T$17,"M",TRUE,Currency1))</f>
        <v>0</v>
      </c>
      <c r="U389" s="699">
        <f>IF($O390=0,0,        _xll.qDateNext($O389,U$17,"M",TRUE,Currency1))</f>
        <v>0</v>
      </c>
      <c r="V389" s="699">
        <f>IF($O390=0,0,        _xll.qDateNext($O389,V$17,"M",TRUE,Currency1))</f>
        <v>0</v>
      </c>
      <c r="W389" s="699">
        <f>IF($O390=0,0,        _xll.qDateNext($O389,W$17,"M",TRUE,Currency1))</f>
        <v>0</v>
      </c>
      <c r="X389" s="699">
        <f>IF($O390=0,0,        _xll.qDateNext($O389,X$17,"M",TRUE,Currency1))</f>
        <v>0</v>
      </c>
      <c r="Y389" s="699">
        <f>IF($O390=0,0,        _xll.qDateNext($O389,Y$17,"M",TRUE,Currency1))</f>
        <v>0</v>
      </c>
      <c r="Z389" s="703">
        <f>IF($O390=0,0,           IF(FRM,_xll.qGetFwdRate(Z$14,$O389,R389,"T",DCC_Leg1_Float),_xll.qGetFwdRate(Z$14,$O389,$O390,"T",DCC_Leg1_Float)))</f>
        <v>0</v>
      </c>
      <c r="AA389" s="703">
        <f>IF($O390=0,0,           IF(FRM,_xll.qGetFwdRate(AA$14,$O389,S389,"T",DCC_Leg1_Float),_xll.qGetFwdRate(AA$14,$O389,$O390,"T",DCC_Leg1_Float)))</f>
        <v>0</v>
      </c>
      <c r="AB389" s="703">
        <f t="shared" si="73"/>
        <v>0</v>
      </c>
      <c r="AC389" s="703">
        <f>IF($O390=0,0,           IF(FRM,_xll.qGetFwdRate(AC$14,$O389,U389,"T",DCC_Leg1_Float),_xll.qGetFwdRate(AC$14,$O389,$O390,"T",DCC_Leg1_Float)))</f>
        <v>0</v>
      </c>
      <c r="AD389" s="703">
        <f t="shared" si="78"/>
        <v>0</v>
      </c>
      <c r="AE389" s="703">
        <f t="shared" si="79"/>
        <v>0</v>
      </c>
      <c r="AF389" s="703">
        <f>IF($O390=0,0,           IF(FRM,_xll.qGetFwdRate(AF$14,$O389,X389,"T",DCC_Leg1_Float),_xll.qGetFwdRate(AF$14,$O389,$O390,"T",DCC_Leg1_Float)))</f>
        <v>0</v>
      </c>
      <c r="AG389" s="703">
        <f>IF($O390=0,0,           IF(FRM,_xll.qGetFwdRate(AG$14,$O389,Y389,"T",DCC_Leg1_Float),_xll.qGetFwdRate(AG$14,$O389,$O390,"T",DCC_Leg1_Float)))</f>
        <v>0</v>
      </c>
      <c r="AH389" s="685">
        <v>0</v>
      </c>
      <c r="AI389" s="667"/>
      <c r="AJ389" s="670">
        <f>IF(O390=0,0,             IF(ISNUMBER(AI389),AI389,             IF(ISTEXT(AI389),INDEX(Z389:AG389,MATCH(AI389,$Z$17:$AG$17,0)),           IF(AH389="INT",_xll.qInterp(O390,R389:Y389,Z389:AG389),       INDEX(Z389:AG389,MATCH(AH389,$Z$17:$AG$17,0))))))</f>
        <v>0</v>
      </c>
      <c r="AK389" s="732">
        <v>20</v>
      </c>
      <c r="AL389" s="721">
        <f t="shared" si="74"/>
        <v>0</v>
      </c>
      <c r="AM389" s="284">
        <f>IF($O390,_xll.qDateYears($O389,$O390,DCC_Leg1_Fixed),0)</f>
        <v>0</v>
      </c>
      <c r="AN389" s="284">
        <f>IF($O390,_xll.qDateYears($O389,$O390,DCC_Leg1_Float),0)</f>
        <v>0</v>
      </c>
      <c r="AP389" s="350">
        <f t="shared" si="80"/>
        <v>0</v>
      </c>
      <c r="AQ389" s="375">
        <f>IF(GenType_1a="Fixed",GenRate_1a%*$AL388*AM388,          IF(GenType_1a="Float",$AL388*(_xll.qGetFwdRate($D$18,$O388,$O389,"T",DCC_Leg1_Float)%+GenRate_1a%%)*$AN388,        IF(GenType_1a="bp (Fixed)",GenRate_1a%%*$AM388*$AL388,   IF(GenType_1a="bp (Float)",GenRate_1a%%*$AL388*$AN388,0))))</f>
        <v>0</v>
      </c>
      <c r="AR389" s="561"/>
      <c r="AT389" s="341">
        <f t="shared" si="84"/>
        <v>0</v>
      </c>
      <c r="AV389" s="356"/>
      <c r="AW389" s="122">
        <v>0</v>
      </c>
      <c r="AX389" s="128">
        <f t="shared" si="75"/>
        <v>0</v>
      </c>
      <c r="AY389" s="357">
        <v>0</v>
      </c>
      <c r="AZ389" s="699">
        <f>IF($AW390=0,0,        _xll.qDateNext($AW389,AZ$17,"M",TRUE,Currency2))</f>
        <v>0</v>
      </c>
      <c r="BA389" s="699">
        <f>IF($AW390=0,0,        _xll.qDateNext($AW389,BA$17,"M",TRUE,Currency2))</f>
        <v>0</v>
      </c>
      <c r="BB389" s="699">
        <f>IF($AW390=0,0,        _xll.qDateNext($AW389,BB$17,"M",TRUE,Currency2))</f>
        <v>0</v>
      </c>
      <c r="BC389" s="699">
        <f>IF($AW390=0,0,        _xll.qDateNext($AW389,BC$17,"M",TRUE,Currency2))</f>
        <v>0</v>
      </c>
      <c r="BD389" s="699">
        <f>IF($AW390=0,0,        _xll.qDateNext($AW389,BD$17,"M",TRUE,Currency2))</f>
        <v>0</v>
      </c>
      <c r="BE389" s="699">
        <f>IF($AW390=0,0,        _xll.qDateNext($AW389,BE$17,"M",TRUE,Currency2))</f>
        <v>0</v>
      </c>
      <c r="BF389" s="699">
        <f>IF($AW390=0,0,        _xll.qDateNext($AW389,BF$17,"M",TRUE,Currency2))</f>
        <v>0</v>
      </c>
      <c r="BG389" s="699">
        <f>IF($AW390=0,0,        _xll.qDateNext($AW389,BG$17,"M",TRUE,Currency2))</f>
        <v>0</v>
      </c>
      <c r="BH389" s="703">
        <v>0</v>
      </c>
      <c r="BI389" s="703">
        <v>0</v>
      </c>
      <c r="BJ389" s="703">
        <v>0</v>
      </c>
      <c r="BK389" s="703">
        <v>0</v>
      </c>
      <c r="BL389" s="703">
        <f t="shared" si="81"/>
        <v>0</v>
      </c>
      <c r="BM389" s="703">
        <f t="shared" si="82"/>
        <v>0</v>
      </c>
      <c r="BN389" s="703">
        <v>0</v>
      </c>
      <c r="BO389" s="703">
        <v>0</v>
      </c>
      <c r="BP389" s="685">
        <v>0</v>
      </c>
      <c r="BQ389" s="667"/>
      <c r="BR389" s="670">
        <f>IF(AW390=0,0,             IF(ISNUMBER(BQ389),BQ389,             IF(ISTEXT(BQ389),INDEX(BH389:BO389,MATCH(BQ389,$BH$17:$BO$17,0)),           IF(BP389="INT",_xll.qInterp(AW390,AZ389:BG389,BH389:BO389),       INDEX(BH389:BO389,MATCH(BP389,$BH$17:$BO$17,0))))))</f>
        <v>0</v>
      </c>
      <c r="BS389" s="731">
        <f t="shared" si="76"/>
        <v>0</v>
      </c>
      <c r="BT389" s="406">
        <f t="shared" si="77"/>
        <v>0</v>
      </c>
      <c r="BU389" s="284">
        <f>IF($AW390,_xll.qDateYears($AW389,$AW390,DCC_Leg2_Fixed),0)</f>
        <v>0</v>
      </c>
      <c r="BV389" s="284">
        <f>IF($AW390,_xll.qDateYears($AW389,$AW390,DCC_Leg2_Float),0)</f>
        <v>0</v>
      </c>
      <c r="BX389" s="350">
        <f t="shared" si="83"/>
        <v>0</v>
      </c>
      <c r="BY389" s="375">
        <f>IF(GenType_2a="Fixed",GenRate_2a%*$BT388*BU388,          IF(GenType_2a="Float",$BT388*(_xll.qGetFwdRate($J$18,$AW388,$AW389,"T",DCC_Leg2_Float)%+GenRate_2a%%)*$BV388,        IF(GenType_2a="bp (Fixed)",GenRate_2a%%*$BU388*$BT388,   IF(GenType_2a="bp (Float)",GenRate_2a%%*$BT388*$BV388,0))))</f>
        <v>0</v>
      </c>
      <c r="BZ389" s="561"/>
      <c r="CB389" s="341">
        <f t="shared" si="85"/>
        <v>0</v>
      </c>
      <c r="CC389" s="563"/>
      <c r="CD389" s="356"/>
      <c r="CE389" s="341">
        <v>0</v>
      </c>
      <c r="CF389" s="563"/>
      <c r="CG389" s="356"/>
    </row>
    <row r="390" spans="15:85">
      <c r="O390" s="122">
        <v>0</v>
      </c>
      <c r="P390" s="128">
        <f t="shared" si="72"/>
        <v>0</v>
      </c>
      <c r="Q390" s="126">
        <v>0</v>
      </c>
      <c r="R390" s="699">
        <f>IF($O391=0,0,        _xll.qDateNext($O390,R$17,"M",TRUE,Currency1))</f>
        <v>0</v>
      </c>
      <c r="S390" s="699">
        <f>IF($O391=0,0,        _xll.qDateNext($O390,S$17,"M",TRUE,Currency1))</f>
        <v>0</v>
      </c>
      <c r="T390" s="699">
        <f>IF($O391=0,0,        _xll.qDateNext($O390,T$17,"M",TRUE,Currency1))</f>
        <v>0</v>
      </c>
      <c r="U390" s="699">
        <f>IF($O391=0,0,        _xll.qDateNext($O390,U$17,"M",TRUE,Currency1))</f>
        <v>0</v>
      </c>
      <c r="V390" s="699">
        <f>IF($O391=0,0,        _xll.qDateNext($O390,V$17,"M",TRUE,Currency1))</f>
        <v>0</v>
      </c>
      <c r="W390" s="699">
        <f>IF($O391=0,0,        _xll.qDateNext($O390,W$17,"M",TRUE,Currency1))</f>
        <v>0</v>
      </c>
      <c r="X390" s="699">
        <f>IF($O391=0,0,        _xll.qDateNext($O390,X$17,"M",TRUE,Currency1))</f>
        <v>0</v>
      </c>
      <c r="Y390" s="699">
        <f>IF($O391=0,0,        _xll.qDateNext($O390,Y$17,"M",TRUE,Currency1))</f>
        <v>0</v>
      </c>
      <c r="Z390" s="703">
        <f>IF($O391=0,0,           IF(FRM,_xll.qGetFwdRate(Z$14,$O390,R390,"T",DCC_Leg1_Float),_xll.qGetFwdRate(Z$14,$O390,$O391,"T",DCC_Leg1_Float)))</f>
        <v>0</v>
      </c>
      <c r="AA390" s="703">
        <f>IF($O391=0,0,           IF(FRM,_xll.qGetFwdRate(AA$14,$O390,S390,"T",DCC_Leg1_Float),_xll.qGetFwdRate(AA$14,$O390,$O391,"T",DCC_Leg1_Float)))</f>
        <v>0</v>
      </c>
      <c r="AB390" s="703">
        <f t="shared" si="73"/>
        <v>0</v>
      </c>
      <c r="AC390" s="703">
        <f>IF($O391=0,0,           IF(FRM,_xll.qGetFwdRate(AC$14,$O390,U390,"T",DCC_Leg1_Float),_xll.qGetFwdRate(AC$14,$O390,$O391,"T",DCC_Leg1_Float)))</f>
        <v>0</v>
      </c>
      <c r="AD390" s="703">
        <f t="shared" si="78"/>
        <v>0</v>
      </c>
      <c r="AE390" s="703">
        <f t="shared" si="79"/>
        <v>0</v>
      </c>
      <c r="AF390" s="703">
        <f>IF($O391=0,0,           IF(FRM,_xll.qGetFwdRate(AF$14,$O390,X390,"T",DCC_Leg1_Float),_xll.qGetFwdRate(AF$14,$O390,$O391,"T",DCC_Leg1_Float)))</f>
        <v>0</v>
      </c>
      <c r="AG390" s="703">
        <f>IF($O391=0,0,           IF(FRM,_xll.qGetFwdRate(AG$14,$O390,Y390,"T",DCC_Leg1_Float),_xll.qGetFwdRate(AG$14,$O390,$O391,"T",DCC_Leg1_Float)))</f>
        <v>0</v>
      </c>
      <c r="AH390" s="685">
        <v>0</v>
      </c>
      <c r="AI390" s="667"/>
      <c r="AJ390" s="670">
        <f>IF(O391=0,0,             IF(ISNUMBER(AI390),AI390,             IF(ISTEXT(AI390),INDEX(Z390:AG390,MATCH(AI390,$Z$17:$AG$17,0)),           IF(AH390="INT",_xll.qInterp(O391,R390:Y390,Z390:AG390),       INDEX(Z390:AG390,MATCH(AH390,$Z$17:$AG$17,0))))))</f>
        <v>0</v>
      </c>
      <c r="AK390" s="732">
        <v>20</v>
      </c>
      <c r="AL390" s="721">
        <f t="shared" si="74"/>
        <v>0</v>
      </c>
      <c r="AM390" s="284">
        <f>IF($O391,_xll.qDateYears($O390,$O391,DCC_Leg1_Fixed),0)</f>
        <v>0</v>
      </c>
      <c r="AN390" s="284">
        <f>IF($O391,_xll.qDateYears($O390,$O391,DCC_Leg1_Float),0)</f>
        <v>0</v>
      </c>
      <c r="AP390" s="350">
        <f t="shared" si="80"/>
        <v>0</v>
      </c>
      <c r="AQ390" s="375">
        <f>IF(GenType_1a="Fixed",GenRate_1a%*$AL389*AM389,          IF(GenType_1a="Float",$AL389*(_xll.qGetFwdRate($D$18,$O389,$O390,"T",DCC_Leg1_Float)%+GenRate_1a%%)*$AN389,        IF(GenType_1a="bp (Fixed)",GenRate_1a%%*$AM389*$AL389,   IF(GenType_1a="bp (Float)",GenRate_1a%%*$AL389*$AN389,0))))</f>
        <v>0</v>
      </c>
      <c r="AR390" s="561"/>
      <c r="AT390" s="341">
        <f t="shared" si="84"/>
        <v>0</v>
      </c>
      <c r="AV390" s="356"/>
      <c r="AW390" s="122">
        <v>0</v>
      </c>
      <c r="AX390" s="128">
        <f t="shared" si="75"/>
        <v>0</v>
      </c>
      <c r="AY390" s="357">
        <v>0</v>
      </c>
      <c r="AZ390" s="699">
        <f>IF($AW391=0,0,        _xll.qDateNext($AW390,AZ$17,"M",TRUE,Currency2))</f>
        <v>0</v>
      </c>
      <c r="BA390" s="699">
        <f>IF($AW391=0,0,        _xll.qDateNext($AW390,BA$17,"M",TRUE,Currency2))</f>
        <v>0</v>
      </c>
      <c r="BB390" s="699">
        <f>IF($AW391=0,0,        _xll.qDateNext($AW390,BB$17,"M",TRUE,Currency2))</f>
        <v>0</v>
      </c>
      <c r="BC390" s="699">
        <f>IF($AW391=0,0,        _xll.qDateNext($AW390,BC$17,"M",TRUE,Currency2))</f>
        <v>0</v>
      </c>
      <c r="BD390" s="699">
        <f>IF($AW391=0,0,        _xll.qDateNext($AW390,BD$17,"M",TRUE,Currency2))</f>
        <v>0</v>
      </c>
      <c r="BE390" s="699">
        <f>IF($AW391=0,0,        _xll.qDateNext($AW390,BE$17,"M",TRUE,Currency2))</f>
        <v>0</v>
      </c>
      <c r="BF390" s="699">
        <f>IF($AW391=0,0,        _xll.qDateNext($AW390,BF$17,"M",TRUE,Currency2))</f>
        <v>0</v>
      </c>
      <c r="BG390" s="699">
        <f>IF($AW391=0,0,        _xll.qDateNext($AW390,BG$17,"M",TRUE,Currency2))</f>
        <v>0</v>
      </c>
      <c r="BH390" s="703">
        <v>0</v>
      </c>
      <c r="BI390" s="703">
        <v>0</v>
      </c>
      <c r="BJ390" s="703">
        <v>0</v>
      </c>
      <c r="BK390" s="703">
        <v>0</v>
      </c>
      <c r="BL390" s="703">
        <f t="shared" si="81"/>
        <v>0</v>
      </c>
      <c r="BM390" s="703">
        <f t="shared" si="82"/>
        <v>0</v>
      </c>
      <c r="BN390" s="703">
        <v>0</v>
      </c>
      <c r="BO390" s="703">
        <v>0</v>
      </c>
      <c r="BP390" s="685">
        <v>0</v>
      </c>
      <c r="BQ390" s="667"/>
      <c r="BR390" s="670">
        <f>IF(AW391=0,0,             IF(ISNUMBER(BQ390),BQ390,             IF(ISTEXT(BQ390),INDEX(BH390:BO390,MATCH(BQ390,$BH$17:$BO$17,0)),           IF(BP390="INT",_xll.qInterp(AW391,AZ390:BG390,BH390:BO390),       INDEX(BH390:BO390,MATCH(BP390,$BH$17:$BO$17,0))))))</f>
        <v>0</v>
      </c>
      <c r="BS390" s="731">
        <f t="shared" si="76"/>
        <v>0</v>
      </c>
      <c r="BT390" s="406">
        <f t="shared" si="77"/>
        <v>0</v>
      </c>
      <c r="BU390" s="284">
        <f>IF($AW391,_xll.qDateYears($AW390,$AW391,DCC_Leg2_Fixed),0)</f>
        <v>0</v>
      </c>
      <c r="BV390" s="284">
        <f>IF($AW391,_xll.qDateYears($AW390,$AW391,DCC_Leg2_Float),0)</f>
        <v>0</v>
      </c>
      <c r="BX390" s="350">
        <f t="shared" si="83"/>
        <v>0</v>
      </c>
      <c r="BY390" s="375">
        <f>IF(GenType_2a="Fixed",GenRate_2a%*$BT389*BU389,          IF(GenType_2a="Float",$BT389*(_xll.qGetFwdRate($J$18,$AW389,$AW390,"T",DCC_Leg2_Float)%+GenRate_2a%%)*$BV389,        IF(GenType_2a="bp (Fixed)",GenRate_2a%%*$BU389*$BT389,   IF(GenType_2a="bp (Float)",GenRate_2a%%*$BT389*$BV389,0))))</f>
        <v>0</v>
      </c>
      <c r="BZ390" s="561"/>
      <c r="CB390" s="341">
        <f t="shared" si="85"/>
        <v>0</v>
      </c>
      <c r="CC390" s="563"/>
      <c r="CD390" s="356"/>
      <c r="CE390" s="341">
        <v>0</v>
      </c>
      <c r="CF390" s="563"/>
      <c r="CG390" s="356"/>
    </row>
    <row r="391" spans="15:85">
      <c r="O391" s="122">
        <v>0</v>
      </c>
      <c r="P391" s="128">
        <f t="shared" si="72"/>
        <v>0</v>
      </c>
      <c r="Q391" s="126">
        <v>0</v>
      </c>
      <c r="R391" s="699">
        <f>IF($O392=0,0,        _xll.qDateNext($O391,R$17,"M",TRUE,Currency1))</f>
        <v>0</v>
      </c>
      <c r="S391" s="699">
        <f>IF($O392=0,0,        _xll.qDateNext($O391,S$17,"M",TRUE,Currency1))</f>
        <v>0</v>
      </c>
      <c r="T391" s="699">
        <f>IF($O392=0,0,        _xll.qDateNext($O391,T$17,"M",TRUE,Currency1))</f>
        <v>0</v>
      </c>
      <c r="U391" s="699">
        <f>IF($O392=0,0,        _xll.qDateNext($O391,U$17,"M",TRUE,Currency1))</f>
        <v>0</v>
      </c>
      <c r="V391" s="699">
        <f>IF($O392=0,0,        _xll.qDateNext($O391,V$17,"M",TRUE,Currency1))</f>
        <v>0</v>
      </c>
      <c r="W391" s="699">
        <f>IF($O392=0,0,        _xll.qDateNext($O391,W$17,"M",TRUE,Currency1))</f>
        <v>0</v>
      </c>
      <c r="X391" s="699">
        <f>IF($O392=0,0,        _xll.qDateNext($O391,X$17,"M",TRUE,Currency1))</f>
        <v>0</v>
      </c>
      <c r="Y391" s="699">
        <f>IF($O392=0,0,        _xll.qDateNext($O391,Y$17,"M",TRUE,Currency1))</f>
        <v>0</v>
      </c>
      <c r="Z391" s="703">
        <f>IF($O392=0,0,           IF(FRM,_xll.qGetFwdRate(Z$14,$O391,R391,"T",DCC_Leg1_Float),_xll.qGetFwdRate(Z$14,$O391,$O392,"T",DCC_Leg1_Float)))</f>
        <v>0</v>
      </c>
      <c r="AA391" s="703">
        <f>IF($O392=0,0,           IF(FRM,_xll.qGetFwdRate(AA$14,$O391,S391,"T",DCC_Leg1_Float),_xll.qGetFwdRate(AA$14,$O391,$O392,"T",DCC_Leg1_Float)))</f>
        <v>0</v>
      </c>
      <c r="AB391" s="703">
        <f t="shared" si="73"/>
        <v>0</v>
      </c>
      <c r="AC391" s="703">
        <f>IF($O392=0,0,           IF(FRM,_xll.qGetFwdRate(AC$14,$O391,U391,"T",DCC_Leg1_Float),_xll.qGetFwdRate(AC$14,$O391,$O392,"T",DCC_Leg1_Float)))</f>
        <v>0</v>
      </c>
      <c r="AD391" s="703">
        <f t="shared" si="78"/>
        <v>0</v>
      </c>
      <c r="AE391" s="703">
        <f t="shared" si="79"/>
        <v>0</v>
      </c>
      <c r="AF391" s="703">
        <f>IF($O392=0,0,           IF(FRM,_xll.qGetFwdRate(AF$14,$O391,X391,"T",DCC_Leg1_Float),_xll.qGetFwdRate(AF$14,$O391,$O392,"T",DCC_Leg1_Float)))</f>
        <v>0</v>
      </c>
      <c r="AG391" s="703">
        <f>IF($O392=0,0,           IF(FRM,_xll.qGetFwdRate(AG$14,$O391,Y391,"T",DCC_Leg1_Float),_xll.qGetFwdRate(AG$14,$O391,$O392,"T",DCC_Leg1_Float)))</f>
        <v>0</v>
      </c>
      <c r="AH391" s="685">
        <v>0</v>
      </c>
      <c r="AI391" s="667"/>
      <c r="AJ391" s="670">
        <f>IF(O392=0,0,             IF(ISNUMBER(AI391),AI391,             IF(ISTEXT(AI391),INDEX(Z391:AG391,MATCH(AI391,$Z$17:$AG$17,0)),           IF(AH391="INT",_xll.qInterp(O392,R391:Y391,Z391:AG391),       INDEX(Z391:AG391,MATCH(AH391,$Z$17:$AG$17,0))))))</f>
        <v>0</v>
      </c>
      <c r="AK391" s="732">
        <v>20</v>
      </c>
      <c r="AL391" s="721">
        <f t="shared" si="74"/>
        <v>0</v>
      </c>
      <c r="AM391" s="284">
        <f>IF($O392,_xll.qDateYears($O391,$O392,DCC_Leg1_Fixed),0)</f>
        <v>0</v>
      </c>
      <c r="AN391" s="284">
        <f>IF($O392,_xll.qDateYears($O391,$O392,DCC_Leg1_Float),0)</f>
        <v>0</v>
      </c>
      <c r="AP391" s="350">
        <f t="shared" si="80"/>
        <v>0</v>
      </c>
      <c r="AQ391" s="375">
        <f>IF(GenType_1a="Fixed",GenRate_1a%*$AL390*AM390,          IF(GenType_1a="Float",$AL390*(_xll.qGetFwdRate($D$18,$O390,$O391,"T",DCC_Leg1_Float)%+GenRate_1a%%)*$AN390,        IF(GenType_1a="bp (Fixed)",GenRate_1a%%*$AM390*$AL390,   IF(GenType_1a="bp (Float)",GenRate_1a%%*$AL390*$AN390,0))))</f>
        <v>0</v>
      </c>
      <c r="AR391" s="561"/>
      <c r="AT391" s="341">
        <f t="shared" si="84"/>
        <v>0</v>
      </c>
      <c r="AV391" s="356"/>
      <c r="AW391" s="122">
        <v>0</v>
      </c>
      <c r="AX391" s="128">
        <f t="shared" si="75"/>
        <v>0</v>
      </c>
      <c r="AY391" s="357">
        <v>0</v>
      </c>
      <c r="AZ391" s="699">
        <f>IF($AW392=0,0,        _xll.qDateNext($AW391,AZ$17,"M",TRUE,Currency2))</f>
        <v>0</v>
      </c>
      <c r="BA391" s="699">
        <f>IF($AW392=0,0,        _xll.qDateNext($AW391,BA$17,"M",TRUE,Currency2))</f>
        <v>0</v>
      </c>
      <c r="BB391" s="699">
        <f>IF($AW392=0,0,        _xll.qDateNext($AW391,BB$17,"M",TRUE,Currency2))</f>
        <v>0</v>
      </c>
      <c r="BC391" s="699">
        <f>IF($AW392=0,0,        _xll.qDateNext($AW391,BC$17,"M",TRUE,Currency2))</f>
        <v>0</v>
      </c>
      <c r="BD391" s="699">
        <f>IF($AW392=0,0,        _xll.qDateNext($AW391,BD$17,"M",TRUE,Currency2))</f>
        <v>0</v>
      </c>
      <c r="BE391" s="699">
        <f>IF($AW392=0,0,        _xll.qDateNext($AW391,BE$17,"M",TRUE,Currency2))</f>
        <v>0</v>
      </c>
      <c r="BF391" s="699">
        <f>IF($AW392=0,0,        _xll.qDateNext($AW391,BF$17,"M",TRUE,Currency2))</f>
        <v>0</v>
      </c>
      <c r="BG391" s="699">
        <f>IF($AW392=0,0,        _xll.qDateNext($AW391,BG$17,"M",TRUE,Currency2))</f>
        <v>0</v>
      </c>
      <c r="BH391" s="703">
        <v>0</v>
      </c>
      <c r="BI391" s="703">
        <v>0</v>
      </c>
      <c r="BJ391" s="703">
        <v>0</v>
      </c>
      <c r="BK391" s="703">
        <v>0</v>
      </c>
      <c r="BL391" s="703">
        <f t="shared" si="81"/>
        <v>0</v>
      </c>
      <c r="BM391" s="703">
        <f t="shared" si="82"/>
        <v>0</v>
      </c>
      <c r="BN391" s="703">
        <v>0</v>
      </c>
      <c r="BO391" s="703">
        <v>0</v>
      </c>
      <c r="BP391" s="685">
        <v>0</v>
      </c>
      <c r="BQ391" s="667"/>
      <c r="BR391" s="670">
        <f>IF(AW392=0,0,             IF(ISNUMBER(BQ391),BQ391,             IF(ISTEXT(BQ391),INDEX(BH391:BO391,MATCH(BQ391,$BH$17:$BO$17,0)),           IF(BP391="INT",_xll.qInterp(AW392,AZ391:BG391,BH391:BO391),       INDEX(BH391:BO391,MATCH(BP391,$BH$17:$BO$17,0))))))</f>
        <v>0</v>
      </c>
      <c r="BS391" s="731">
        <f t="shared" si="76"/>
        <v>0</v>
      </c>
      <c r="BT391" s="406">
        <f t="shared" si="77"/>
        <v>0</v>
      </c>
      <c r="BU391" s="284">
        <f>IF($AW392,_xll.qDateYears($AW391,$AW392,DCC_Leg2_Fixed),0)</f>
        <v>0</v>
      </c>
      <c r="BV391" s="284">
        <f>IF($AW392,_xll.qDateYears($AW391,$AW392,DCC_Leg2_Float),0)</f>
        <v>0</v>
      </c>
      <c r="BX391" s="350">
        <f t="shared" si="83"/>
        <v>0</v>
      </c>
      <c r="BY391" s="375">
        <f>IF(GenType_2a="Fixed",GenRate_2a%*$BT390*BU390,          IF(GenType_2a="Float",$BT390*(_xll.qGetFwdRate($J$18,$AW390,$AW391,"T",DCC_Leg2_Float)%+GenRate_2a%%)*$BV390,        IF(GenType_2a="bp (Fixed)",GenRate_2a%%*$BU390*$BT390,   IF(GenType_2a="bp (Float)",GenRate_2a%%*$BT390*$BV390,0))))</f>
        <v>0</v>
      </c>
      <c r="BZ391" s="561"/>
      <c r="CB391" s="341">
        <f t="shared" si="85"/>
        <v>0</v>
      </c>
      <c r="CC391" s="563"/>
      <c r="CD391" s="356"/>
      <c r="CE391" s="341">
        <v>0</v>
      </c>
      <c r="CF391" s="563"/>
      <c r="CG391" s="356"/>
    </row>
    <row r="392" spans="15:85">
      <c r="O392" s="122">
        <v>0</v>
      </c>
      <c r="P392" s="128">
        <f t="shared" si="72"/>
        <v>0</v>
      </c>
      <c r="Q392" s="126">
        <v>0</v>
      </c>
      <c r="R392" s="699">
        <f>IF($O393=0,0,        _xll.qDateNext($O392,R$17,"M",TRUE,Currency1))</f>
        <v>0</v>
      </c>
      <c r="S392" s="699">
        <f>IF($O393=0,0,        _xll.qDateNext($O392,S$17,"M",TRUE,Currency1))</f>
        <v>0</v>
      </c>
      <c r="T392" s="699">
        <f>IF($O393=0,0,        _xll.qDateNext($O392,T$17,"M",TRUE,Currency1))</f>
        <v>0</v>
      </c>
      <c r="U392" s="699">
        <f>IF($O393=0,0,        _xll.qDateNext($O392,U$17,"M",TRUE,Currency1))</f>
        <v>0</v>
      </c>
      <c r="V392" s="699">
        <f>IF($O393=0,0,        _xll.qDateNext($O392,V$17,"M",TRUE,Currency1))</f>
        <v>0</v>
      </c>
      <c r="W392" s="699">
        <f>IF($O393=0,0,        _xll.qDateNext($O392,W$17,"M",TRUE,Currency1))</f>
        <v>0</v>
      </c>
      <c r="X392" s="699">
        <f>IF($O393=0,0,        _xll.qDateNext($O392,X$17,"M",TRUE,Currency1))</f>
        <v>0</v>
      </c>
      <c r="Y392" s="699">
        <f>IF($O393=0,0,        _xll.qDateNext($O392,Y$17,"M",TRUE,Currency1))</f>
        <v>0</v>
      </c>
      <c r="Z392" s="703">
        <f>IF($O393=0,0,           IF(FRM,_xll.qGetFwdRate(Z$14,$O392,R392,"T",DCC_Leg1_Float),_xll.qGetFwdRate(Z$14,$O392,$O393,"T",DCC_Leg1_Float)))</f>
        <v>0</v>
      </c>
      <c r="AA392" s="703">
        <f>IF($O393=0,0,           IF(FRM,_xll.qGetFwdRate(AA$14,$O392,S392,"T",DCC_Leg1_Float),_xll.qGetFwdRate(AA$14,$O392,$O393,"T",DCC_Leg1_Float)))</f>
        <v>0</v>
      </c>
      <c r="AB392" s="703">
        <f t="shared" si="73"/>
        <v>0</v>
      </c>
      <c r="AC392" s="703">
        <f>IF($O393=0,0,           IF(FRM,_xll.qGetFwdRate(AC$14,$O392,U392,"T",DCC_Leg1_Float),_xll.qGetFwdRate(AC$14,$O392,$O393,"T",DCC_Leg1_Float)))</f>
        <v>0</v>
      </c>
      <c r="AD392" s="703">
        <f t="shared" si="78"/>
        <v>0</v>
      </c>
      <c r="AE392" s="703">
        <f t="shared" si="79"/>
        <v>0</v>
      </c>
      <c r="AF392" s="703">
        <f>IF($O393=0,0,           IF(FRM,_xll.qGetFwdRate(AF$14,$O392,X392,"T",DCC_Leg1_Float),_xll.qGetFwdRate(AF$14,$O392,$O393,"T",DCC_Leg1_Float)))</f>
        <v>0</v>
      </c>
      <c r="AG392" s="703">
        <f>IF($O393=0,0,           IF(FRM,_xll.qGetFwdRate(AG$14,$O392,Y392,"T",DCC_Leg1_Float),_xll.qGetFwdRate(AG$14,$O392,$O393,"T",DCC_Leg1_Float)))</f>
        <v>0</v>
      </c>
      <c r="AH392" s="685">
        <v>0</v>
      </c>
      <c r="AI392" s="667"/>
      <c r="AJ392" s="670">
        <f>IF(O393=0,0,             IF(ISNUMBER(AI392),AI392,             IF(ISTEXT(AI392),INDEX(Z392:AG392,MATCH(AI392,$Z$17:$AG$17,0)),           IF(AH392="INT",_xll.qInterp(O393,R392:Y392,Z392:AG392),       INDEX(Z392:AG392,MATCH(AH392,$Z$17:$AG$17,0))))))</f>
        <v>0</v>
      </c>
      <c r="AK392" s="732">
        <v>20</v>
      </c>
      <c r="AL392" s="721">
        <f t="shared" si="74"/>
        <v>0</v>
      </c>
      <c r="AM392" s="284">
        <f>IF($O393,_xll.qDateYears($O392,$O393,DCC_Leg1_Fixed),0)</f>
        <v>0</v>
      </c>
      <c r="AN392" s="284">
        <f>IF($O393,_xll.qDateYears($O392,$O393,DCC_Leg1_Float),0)</f>
        <v>0</v>
      </c>
      <c r="AP392" s="350">
        <f t="shared" si="80"/>
        <v>0</v>
      </c>
      <c r="AQ392" s="375">
        <f>IF(GenType_1a="Fixed",GenRate_1a%*$AL391*AM391,          IF(GenType_1a="Float",$AL391*(_xll.qGetFwdRate($D$18,$O391,$O392,"T",DCC_Leg1_Float)%+GenRate_1a%%)*$AN391,        IF(GenType_1a="bp (Fixed)",GenRate_1a%%*$AM391*$AL391,   IF(GenType_1a="bp (Float)",GenRate_1a%%*$AL391*$AN391,0))))</f>
        <v>0</v>
      </c>
      <c r="AR392" s="561"/>
      <c r="AT392" s="341">
        <f t="shared" si="84"/>
        <v>0</v>
      </c>
      <c r="AV392" s="356"/>
      <c r="AW392" s="122">
        <v>0</v>
      </c>
      <c r="AX392" s="128">
        <f t="shared" si="75"/>
        <v>0</v>
      </c>
      <c r="AY392" s="357">
        <v>0</v>
      </c>
      <c r="AZ392" s="699">
        <f>IF($AW393=0,0,        _xll.qDateNext($AW392,AZ$17,"M",TRUE,Currency2))</f>
        <v>0</v>
      </c>
      <c r="BA392" s="699">
        <f>IF($AW393=0,0,        _xll.qDateNext($AW392,BA$17,"M",TRUE,Currency2))</f>
        <v>0</v>
      </c>
      <c r="BB392" s="699">
        <f>IF($AW393=0,0,        _xll.qDateNext($AW392,BB$17,"M",TRUE,Currency2))</f>
        <v>0</v>
      </c>
      <c r="BC392" s="699">
        <f>IF($AW393=0,0,        _xll.qDateNext($AW392,BC$17,"M",TRUE,Currency2))</f>
        <v>0</v>
      </c>
      <c r="BD392" s="699">
        <f>IF($AW393=0,0,        _xll.qDateNext($AW392,BD$17,"M",TRUE,Currency2))</f>
        <v>0</v>
      </c>
      <c r="BE392" s="699">
        <f>IF($AW393=0,0,        _xll.qDateNext($AW392,BE$17,"M",TRUE,Currency2))</f>
        <v>0</v>
      </c>
      <c r="BF392" s="699">
        <f>IF($AW393=0,0,        _xll.qDateNext($AW392,BF$17,"M",TRUE,Currency2))</f>
        <v>0</v>
      </c>
      <c r="BG392" s="699">
        <f>IF($AW393=0,0,        _xll.qDateNext($AW392,BG$17,"M",TRUE,Currency2))</f>
        <v>0</v>
      </c>
      <c r="BH392" s="703">
        <v>0</v>
      </c>
      <c r="BI392" s="703">
        <v>0</v>
      </c>
      <c r="BJ392" s="703">
        <v>0</v>
      </c>
      <c r="BK392" s="703">
        <v>0</v>
      </c>
      <c r="BL392" s="703">
        <f t="shared" si="81"/>
        <v>0</v>
      </c>
      <c r="BM392" s="703">
        <f t="shared" si="82"/>
        <v>0</v>
      </c>
      <c r="BN392" s="703">
        <v>0</v>
      </c>
      <c r="BO392" s="703">
        <v>0</v>
      </c>
      <c r="BP392" s="685">
        <v>0</v>
      </c>
      <c r="BQ392" s="667"/>
      <c r="BR392" s="670">
        <f>IF(AW393=0,0,             IF(ISNUMBER(BQ392),BQ392,             IF(ISTEXT(BQ392),INDEX(BH392:BO392,MATCH(BQ392,$BH$17:$BO$17,0)),           IF(BP392="INT",_xll.qInterp(AW393,AZ392:BG392,BH392:BO392),       INDEX(BH392:BO392,MATCH(BP392,$BH$17:$BO$17,0))))))</f>
        <v>0</v>
      </c>
      <c r="BS392" s="731">
        <f t="shared" si="76"/>
        <v>0</v>
      </c>
      <c r="BT392" s="406">
        <f t="shared" si="77"/>
        <v>0</v>
      </c>
      <c r="BU392" s="284">
        <f>IF($AW393,_xll.qDateYears($AW392,$AW393,DCC_Leg2_Fixed),0)</f>
        <v>0</v>
      </c>
      <c r="BV392" s="284">
        <f>IF($AW393,_xll.qDateYears($AW392,$AW393,DCC_Leg2_Float),0)</f>
        <v>0</v>
      </c>
      <c r="BX392" s="350">
        <f t="shared" si="83"/>
        <v>0</v>
      </c>
      <c r="BY392" s="375">
        <f>IF(GenType_2a="Fixed",GenRate_2a%*$BT391*BU391,          IF(GenType_2a="Float",$BT391*(_xll.qGetFwdRate($J$18,$AW391,$AW392,"T",DCC_Leg2_Float)%+GenRate_2a%%)*$BV391,        IF(GenType_2a="bp (Fixed)",GenRate_2a%%*$BU391*$BT391,   IF(GenType_2a="bp (Float)",GenRate_2a%%*$BT391*$BV391,0))))</f>
        <v>0</v>
      </c>
      <c r="BZ392" s="561"/>
      <c r="CB392" s="341">
        <f t="shared" si="85"/>
        <v>0</v>
      </c>
      <c r="CC392" s="563"/>
      <c r="CD392" s="356"/>
      <c r="CE392" s="341">
        <v>0</v>
      </c>
      <c r="CF392" s="563"/>
      <c r="CG392" s="356"/>
    </row>
    <row r="393" spans="15:85">
      <c r="O393" s="122">
        <v>0</v>
      </c>
      <c r="P393" s="128">
        <f t="shared" si="72"/>
        <v>0</v>
      </c>
      <c r="Q393" s="126">
        <v>0</v>
      </c>
      <c r="R393" s="699">
        <f>IF($O394=0,0,        _xll.qDateNext($O393,R$17,"M",TRUE,Currency1))</f>
        <v>0</v>
      </c>
      <c r="S393" s="699">
        <f>IF($O394=0,0,        _xll.qDateNext($O393,S$17,"M",TRUE,Currency1))</f>
        <v>0</v>
      </c>
      <c r="T393" s="699">
        <f>IF($O394=0,0,        _xll.qDateNext($O393,T$17,"M",TRUE,Currency1))</f>
        <v>0</v>
      </c>
      <c r="U393" s="699">
        <f>IF($O394=0,0,        _xll.qDateNext($O393,U$17,"M",TRUE,Currency1))</f>
        <v>0</v>
      </c>
      <c r="V393" s="699">
        <f>IF($O394=0,0,        _xll.qDateNext($O393,V$17,"M",TRUE,Currency1))</f>
        <v>0</v>
      </c>
      <c r="W393" s="699">
        <f>IF($O394=0,0,        _xll.qDateNext($O393,W$17,"M",TRUE,Currency1))</f>
        <v>0</v>
      </c>
      <c r="X393" s="699">
        <f>IF($O394=0,0,        _xll.qDateNext($O393,X$17,"M",TRUE,Currency1))</f>
        <v>0</v>
      </c>
      <c r="Y393" s="699">
        <f>IF($O394=0,0,        _xll.qDateNext($O393,Y$17,"M",TRUE,Currency1))</f>
        <v>0</v>
      </c>
      <c r="Z393" s="703">
        <f>IF($O394=0,0,           IF(FRM,_xll.qGetFwdRate(Z$14,$O393,R393,"T",DCC_Leg1_Float),_xll.qGetFwdRate(Z$14,$O393,$O394,"T",DCC_Leg1_Float)))</f>
        <v>0</v>
      </c>
      <c r="AA393" s="703">
        <f>IF($O394=0,0,           IF(FRM,_xll.qGetFwdRate(AA$14,$O393,S393,"T",DCC_Leg1_Float),_xll.qGetFwdRate(AA$14,$O393,$O394,"T",DCC_Leg1_Float)))</f>
        <v>0</v>
      </c>
      <c r="AB393" s="703">
        <f t="shared" si="73"/>
        <v>0</v>
      </c>
      <c r="AC393" s="703">
        <f>IF($O394=0,0,           IF(FRM,_xll.qGetFwdRate(AC$14,$O393,U393,"T",DCC_Leg1_Float),_xll.qGetFwdRate(AC$14,$O393,$O394,"T",DCC_Leg1_Float)))</f>
        <v>0</v>
      </c>
      <c r="AD393" s="703">
        <f t="shared" si="78"/>
        <v>0</v>
      </c>
      <c r="AE393" s="703">
        <f t="shared" si="79"/>
        <v>0</v>
      </c>
      <c r="AF393" s="703">
        <f>IF($O394=0,0,           IF(FRM,_xll.qGetFwdRate(AF$14,$O393,X393,"T",DCC_Leg1_Float),_xll.qGetFwdRate(AF$14,$O393,$O394,"T",DCC_Leg1_Float)))</f>
        <v>0</v>
      </c>
      <c r="AG393" s="703">
        <f>IF($O394=0,0,           IF(FRM,_xll.qGetFwdRate(AG$14,$O393,Y393,"T",DCC_Leg1_Float),_xll.qGetFwdRate(AG$14,$O393,$O394,"T",DCC_Leg1_Float)))</f>
        <v>0</v>
      </c>
      <c r="AH393" s="685">
        <v>0</v>
      </c>
      <c r="AI393" s="667"/>
      <c r="AJ393" s="670">
        <f>IF(O394=0,0,             IF(ISNUMBER(AI393),AI393,             IF(ISTEXT(AI393),INDEX(Z393:AG393,MATCH(AI393,$Z$17:$AG$17,0)),           IF(AH393="INT",_xll.qInterp(O394,R393:Y393,Z393:AG393),       INDEX(Z393:AG393,MATCH(AH393,$Z$17:$AG$17,0))))))</f>
        <v>0</v>
      </c>
      <c r="AK393" s="732">
        <v>20</v>
      </c>
      <c r="AL393" s="721">
        <f t="shared" si="74"/>
        <v>0</v>
      </c>
      <c r="AM393" s="284">
        <f>IF($O394,_xll.qDateYears($O393,$O394,DCC_Leg1_Fixed),0)</f>
        <v>0</v>
      </c>
      <c r="AN393" s="284">
        <f>IF($O394,_xll.qDateYears($O393,$O394,DCC_Leg1_Float),0)</f>
        <v>0</v>
      </c>
      <c r="AP393" s="350">
        <f t="shared" si="80"/>
        <v>0</v>
      </c>
      <c r="AQ393" s="375">
        <f>IF(GenType_1a="Fixed",GenRate_1a%*$AL392*AM392,          IF(GenType_1a="Float",$AL392*(_xll.qGetFwdRate($D$18,$O392,$O393,"T",DCC_Leg1_Float)%+GenRate_1a%%)*$AN392,        IF(GenType_1a="bp (Fixed)",GenRate_1a%%*$AM392*$AL392,   IF(GenType_1a="bp (Float)",GenRate_1a%%*$AL392*$AN392,0))))</f>
        <v>0</v>
      </c>
      <c r="AR393" s="561"/>
      <c r="AT393" s="341">
        <f t="shared" si="84"/>
        <v>0</v>
      </c>
      <c r="AV393" s="356"/>
      <c r="AW393" s="122">
        <v>0</v>
      </c>
      <c r="AX393" s="128">
        <f t="shared" si="75"/>
        <v>0</v>
      </c>
      <c r="AY393" s="357">
        <v>0</v>
      </c>
      <c r="AZ393" s="699">
        <f>IF($AW394=0,0,        _xll.qDateNext($AW393,AZ$17,"M",TRUE,Currency2))</f>
        <v>0</v>
      </c>
      <c r="BA393" s="699">
        <f>IF($AW394=0,0,        _xll.qDateNext($AW393,BA$17,"M",TRUE,Currency2))</f>
        <v>0</v>
      </c>
      <c r="BB393" s="699">
        <f>IF($AW394=0,0,        _xll.qDateNext($AW393,BB$17,"M",TRUE,Currency2))</f>
        <v>0</v>
      </c>
      <c r="BC393" s="699">
        <f>IF($AW394=0,0,        _xll.qDateNext($AW393,BC$17,"M",TRUE,Currency2))</f>
        <v>0</v>
      </c>
      <c r="BD393" s="699">
        <f>IF($AW394=0,0,        _xll.qDateNext($AW393,BD$17,"M",TRUE,Currency2))</f>
        <v>0</v>
      </c>
      <c r="BE393" s="699">
        <f>IF($AW394=0,0,        _xll.qDateNext($AW393,BE$17,"M",TRUE,Currency2))</f>
        <v>0</v>
      </c>
      <c r="BF393" s="699">
        <f>IF($AW394=0,0,        _xll.qDateNext($AW393,BF$17,"M",TRUE,Currency2))</f>
        <v>0</v>
      </c>
      <c r="BG393" s="699">
        <f>IF($AW394=0,0,        _xll.qDateNext($AW393,BG$17,"M",TRUE,Currency2))</f>
        <v>0</v>
      </c>
      <c r="BH393" s="703">
        <v>0</v>
      </c>
      <c r="BI393" s="703">
        <v>0</v>
      </c>
      <c r="BJ393" s="703">
        <v>0</v>
      </c>
      <c r="BK393" s="703">
        <v>0</v>
      </c>
      <c r="BL393" s="703">
        <f t="shared" si="81"/>
        <v>0</v>
      </c>
      <c r="BM393" s="703">
        <f t="shared" si="82"/>
        <v>0</v>
      </c>
      <c r="BN393" s="703">
        <v>0</v>
      </c>
      <c r="BO393" s="703">
        <v>0</v>
      </c>
      <c r="BP393" s="685">
        <v>0</v>
      </c>
      <c r="BQ393" s="667"/>
      <c r="BR393" s="670">
        <f>IF(AW394=0,0,             IF(ISNUMBER(BQ393),BQ393,             IF(ISTEXT(BQ393),INDEX(BH393:BO393,MATCH(BQ393,$BH$17:$BO$17,0)),           IF(BP393="INT",_xll.qInterp(AW394,AZ393:BG393,BH393:BO393),       INDEX(BH393:BO393,MATCH(BP393,$BH$17:$BO$17,0))))))</f>
        <v>0</v>
      </c>
      <c r="BS393" s="731">
        <f t="shared" si="76"/>
        <v>0</v>
      </c>
      <c r="BT393" s="406">
        <f t="shared" si="77"/>
        <v>0</v>
      </c>
      <c r="BU393" s="284">
        <f>IF($AW394,_xll.qDateYears($AW393,$AW394,DCC_Leg2_Fixed),0)</f>
        <v>0</v>
      </c>
      <c r="BV393" s="284">
        <f>IF($AW394,_xll.qDateYears($AW393,$AW394,DCC_Leg2_Float),0)</f>
        <v>0</v>
      </c>
      <c r="BX393" s="350">
        <f t="shared" si="83"/>
        <v>0</v>
      </c>
      <c r="BY393" s="375">
        <f>IF(GenType_2a="Fixed",GenRate_2a%*$BT392*BU392,          IF(GenType_2a="Float",$BT392*(_xll.qGetFwdRate($J$18,$AW392,$AW393,"T",DCC_Leg2_Float)%+GenRate_2a%%)*$BV392,        IF(GenType_2a="bp (Fixed)",GenRate_2a%%*$BU392*$BT392,   IF(GenType_2a="bp (Float)",GenRate_2a%%*$BT392*$BV392,0))))</f>
        <v>0</v>
      </c>
      <c r="BZ393" s="561"/>
      <c r="CB393" s="341">
        <f t="shared" si="85"/>
        <v>0</v>
      </c>
      <c r="CC393" s="563"/>
      <c r="CD393" s="356"/>
      <c r="CE393" s="341">
        <v>0</v>
      </c>
      <c r="CF393" s="563"/>
      <c r="CG393" s="356"/>
    </row>
    <row r="394" spans="15:85">
      <c r="O394" s="122">
        <v>0</v>
      </c>
      <c r="P394" s="128">
        <f t="shared" si="72"/>
        <v>0</v>
      </c>
      <c r="Q394" s="126">
        <v>0</v>
      </c>
      <c r="R394" s="699">
        <f>IF($O395=0,0,        _xll.qDateNext($O394,R$17,"M",TRUE,Currency1))</f>
        <v>0</v>
      </c>
      <c r="S394" s="699">
        <f>IF($O395=0,0,        _xll.qDateNext($O394,S$17,"M",TRUE,Currency1))</f>
        <v>0</v>
      </c>
      <c r="T394" s="699">
        <f>IF($O395=0,0,        _xll.qDateNext($O394,T$17,"M",TRUE,Currency1))</f>
        <v>0</v>
      </c>
      <c r="U394" s="699">
        <f>IF($O395=0,0,        _xll.qDateNext($O394,U$17,"M",TRUE,Currency1))</f>
        <v>0</v>
      </c>
      <c r="V394" s="699">
        <f>IF($O395=0,0,        _xll.qDateNext($O394,V$17,"M",TRUE,Currency1))</f>
        <v>0</v>
      </c>
      <c r="W394" s="699">
        <f>IF($O395=0,0,        _xll.qDateNext($O394,W$17,"M",TRUE,Currency1))</f>
        <v>0</v>
      </c>
      <c r="X394" s="699">
        <f>IF($O395=0,0,        _xll.qDateNext($O394,X$17,"M",TRUE,Currency1))</f>
        <v>0</v>
      </c>
      <c r="Y394" s="699">
        <f>IF($O395=0,0,        _xll.qDateNext($O394,Y$17,"M",TRUE,Currency1))</f>
        <v>0</v>
      </c>
      <c r="Z394" s="703">
        <f>IF($O395=0,0,           IF(FRM,_xll.qGetFwdRate(Z$14,$O394,R394,"T",DCC_Leg1_Float),_xll.qGetFwdRate(Z$14,$O394,$O395,"T",DCC_Leg1_Float)))</f>
        <v>0</v>
      </c>
      <c r="AA394" s="703">
        <f>IF($O395=0,0,           IF(FRM,_xll.qGetFwdRate(AA$14,$O394,S394,"T",DCC_Leg1_Float),_xll.qGetFwdRate(AA$14,$O394,$O395,"T",DCC_Leg1_Float)))</f>
        <v>0</v>
      </c>
      <c r="AB394" s="703">
        <f t="shared" si="73"/>
        <v>0</v>
      </c>
      <c r="AC394" s="703">
        <f>IF($O395=0,0,           IF(FRM,_xll.qGetFwdRate(AC$14,$O394,U394,"T",DCC_Leg1_Float),_xll.qGetFwdRate(AC$14,$O394,$O395,"T",DCC_Leg1_Float)))</f>
        <v>0</v>
      </c>
      <c r="AD394" s="703">
        <f t="shared" si="78"/>
        <v>0</v>
      </c>
      <c r="AE394" s="703">
        <f t="shared" si="79"/>
        <v>0</v>
      </c>
      <c r="AF394" s="703">
        <f>IF($O395=0,0,           IF(FRM,_xll.qGetFwdRate(AF$14,$O394,X394,"T",DCC_Leg1_Float),_xll.qGetFwdRate(AF$14,$O394,$O395,"T",DCC_Leg1_Float)))</f>
        <v>0</v>
      </c>
      <c r="AG394" s="703">
        <f>IF($O395=0,0,           IF(FRM,_xll.qGetFwdRate(AG$14,$O394,Y394,"T",DCC_Leg1_Float),_xll.qGetFwdRate(AG$14,$O394,$O395,"T",DCC_Leg1_Float)))</f>
        <v>0</v>
      </c>
      <c r="AH394" s="685">
        <v>0</v>
      </c>
      <c r="AI394" s="667"/>
      <c r="AJ394" s="670">
        <f>IF(O395=0,0,             IF(ISNUMBER(AI394),AI394,             IF(ISTEXT(AI394),INDEX(Z394:AG394,MATCH(AI394,$Z$17:$AG$17,0)),           IF(AH394="INT",_xll.qInterp(O395,R394:Y394,Z394:AG394),       INDEX(Z394:AG394,MATCH(AH394,$Z$17:$AG$17,0))))))</f>
        <v>0</v>
      </c>
      <c r="AK394" s="732">
        <v>20</v>
      </c>
      <c r="AL394" s="721">
        <f t="shared" si="74"/>
        <v>0</v>
      </c>
      <c r="AM394" s="284">
        <f>IF($O395,_xll.qDateYears($O394,$O395,DCC_Leg1_Fixed),0)</f>
        <v>0</v>
      </c>
      <c r="AN394" s="284">
        <f>IF($O395,_xll.qDateYears($O394,$O395,DCC_Leg1_Float),0)</f>
        <v>0</v>
      </c>
      <c r="AP394" s="350">
        <f t="shared" si="80"/>
        <v>0</v>
      </c>
      <c r="AQ394" s="375">
        <f>IF(GenType_1a="Fixed",GenRate_1a%*$AL393*AM393,          IF(GenType_1a="Float",$AL393*(_xll.qGetFwdRate($D$18,$O393,$O394,"T",DCC_Leg1_Float)%+GenRate_1a%%)*$AN393,        IF(GenType_1a="bp (Fixed)",GenRate_1a%%*$AM393*$AL393,   IF(GenType_1a="bp (Float)",GenRate_1a%%*$AL393*$AN393,0))))</f>
        <v>0</v>
      </c>
      <c r="AR394" s="561"/>
      <c r="AT394" s="341">
        <f t="shared" si="84"/>
        <v>0</v>
      </c>
      <c r="AV394" s="356"/>
      <c r="AW394" s="122">
        <v>0</v>
      </c>
      <c r="AX394" s="128">
        <f t="shared" si="75"/>
        <v>0</v>
      </c>
      <c r="AY394" s="357">
        <v>0</v>
      </c>
      <c r="AZ394" s="699">
        <f>IF($AW395=0,0,        _xll.qDateNext($AW394,AZ$17,"M",TRUE,Currency2))</f>
        <v>0</v>
      </c>
      <c r="BA394" s="699">
        <f>IF($AW395=0,0,        _xll.qDateNext($AW394,BA$17,"M",TRUE,Currency2))</f>
        <v>0</v>
      </c>
      <c r="BB394" s="699">
        <f>IF($AW395=0,0,        _xll.qDateNext($AW394,BB$17,"M",TRUE,Currency2))</f>
        <v>0</v>
      </c>
      <c r="BC394" s="699">
        <f>IF($AW395=0,0,        _xll.qDateNext($AW394,BC$17,"M",TRUE,Currency2))</f>
        <v>0</v>
      </c>
      <c r="BD394" s="699">
        <f>IF($AW395=0,0,        _xll.qDateNext($AW394,BD$17,"M",TRUE,Currency2))</f>
        <v>0</v>
      </c>
      <c r="BE394" s="699">
        <f>IF($AW395=0,0,        _xll.qDateNext($AW394,BE$17,"M",TRUE,Currency2))</f>
        <v>0</v>
      </c>
      <c r="BF394" s="699">
        <f>IF($AW395=0,0,        _xll.qDateNext($AW394,BF$17,"M",TRUE,Currency2))</f>
        <v>0</v>
      </c>
      <c r="BG394" s="699">
        <f>IF($AW395=0,0,        _xll.qDateNext($AW394,BG$17,"M",TRUE,Currency2))</f>
        <v>0</v>
      </c>
      <c r="BH394" s="703">
        <v>0</v>
      </c>
      <c r="BI394" s="703">
        <v>0</v>
      </c>
      <c r="BJ394" s="703">
        <v>0</v>
      </c>
      <c r="BK394" s="703">
        <v>0</v>
      </c>
      <c r="BL394" s="703">
        <f t="shared" si="81"/>
        <v>0</v>
      </c>
      <c r="BM394" s="703">
        <f t="shared" si="82"/>
        <v>0</v>
      </c>
      <c r="BN394" s="703">
        <v>0</v>
      </c>
      <c r="BO394" s="703">
        <v>0</v>
      </c>
      <c r="BP394" s="685">
        <v>0</v>
      </c>
      <c r="BQ394" s="667"/>
      <c r="BR394" s="670">
        <f>IF(AW395=0,0,             IF(ISNUMBER(BQ394),BQ394,             IF(ISTEXT(BQ394),INDEX(BH394:BO394,MATCH(BQ394,$BH$17:$BO$17,0)),           IF(BP394="INT",_xll.qInterp(AW395,AZ394:BG394,BH394:BO394),       INDEX(BH394:BO394,MATCH(BP394,$BH$17:$BO$17,0))))))</f>
        <v>0</v>
      </c>
      <c r="BS394" s="731">
        <f t="shared" si="76"/>
        <v>0</v>
      </c>
      <c r="BT394" s="406">
        <f t="shared" si="77"/>
        <v>0</v>
      </c>
      <c r="BU394" s="284">
        <f>IF($AW395,_xll.qDateYears($AW394,$AW395,DCC_Leg2_Fixed),0)</f>
        <v>0</v>
      </c>
      <c r="BV394" s="284">
        <f>IF($AW395,_xll.qDateYears($AW394,$AW395,DCC_Leg2_Float),0)</f>
        <v>0</v>
      </c>
      <c r="BX394" s="350">
        <f t="shared" si="83"/>
        <v>0</v>
      </c>
      <c r="BY394" s="375">
        <f>IF(GenType_2a="Fixed",GenRate_2a%*$BT393*BU393,          IF(GenType_2a="Float",$BT393*(_xll.qGetFwdRate($J$18,$AW393,$AW394,"T",DCC_Leg2_Float)%+GenRate_2a%%)*$BV393,        IF(GenType_2a="bp (Fixed)",GenRate_2a%%*$BU393*$BT393,   IF(GenType_2a="bp (Float)",GenRate_2a%%*$BT393*$BV393,0))))</f>
        <v>0</v>
      </c>
      <c r="BZ394" s="561"/>
      <c r="CB394" s="341">
        <f t="shared" si="85"/>
        <v>0</v>
      </c>
      <c r="CC394" s="563"/>
      <c r="CD394" s="356"/>
      <c r="CE394" s="341">
        <v>0</v>
      </c>
      <c r="CF394" s="563"/>
      <c r="CG394" s="356"/>
    </row>
    <row r="395" spans="15:85">
      <c r="O395" s="122">
        <v>0</v>
      </c>
      <c r="P395" s="128">
        <f t="shared" si="72"/>
        <v>0</v>
      </c>
      <c r="Q395" s="126">
        <v>0</v>
      </c>
      <c r="R395" s="699">
        <f>IF($O396=0,0,        _xll.qDateNext($O395,R$17,"M",TRUE,Currency1))</f>
        <v>0</v>
      </c>
      <c r="S395" s="699">
        <f>IF($O396=0,0,        _xll.qDateNext($O395,S$17,"M",TRUE,Currency1))</f>
        <v>0</v>
      </c>
      <c r="T395" s="699">
        <f>IF($O396=0,0,        _xll.qDateNext($O395,T$17,"M",TRUE,Currency1))</f>
        <v>0</v>
      </c>
      <c r="U395" s="699">
        <f>IF($O396=0,0,        _xll.qDateNext($O395,U$17,"M",TRUE,Currency1))</f>
        <v>0</v>
      </c>
      <c r="V395" s="699">
        <f>IF($O396=0,0,        _xll.qDateNext($O395,V$17,"M",TRUE,Currency1))</f>
        <v>0</v>
      </c>
      <c r="W395" s="699">
        <f>IF($O396=0,0,        _xll.qDateNext($O395,W$17,"M",TRUE,Currency1))</f>
        <v>0</v>
      </c>
      <c r="X395" s="699">
        <f>IF($O396=0,0,        _xll.qDateNext($O395,X$17,"M",TRUE,Currency1))</f>
        <v>0</v>
      </c>
      <c r="Y395" s="699">
        <f>IF($O396=0,0,        _xll.qDateNext($O395,Y$17,"M",TRUE,Currency1))</f>
        <v>0</v>
      </c>
      <c r="Z395" s="703">
        <f>IF($O396=0,0,           IF(FRM,_xll.qGetFwdRate(Z$14,$O395,R395,"T",DCC_Leg1_Float),_xll.qGetFwdRate(Z$14,$O395,$O396,"T",DCC_Leg1_Float)))</f>
        <v>0</v>
      </c>
      <c r="AA395" s="703">
        <f>IF($O396=0,0,           IF(FRM,_xll.qGetFwdRate(AA$14,$O395,S395,"T",DCC_Leg1_Float),_xll.qGetFwdRate(AA$14,$O395,$O396,"T",DCC_Leg1_Float)))</f>
        <v>0</v>
      </c>
      <c r="AB395" s="703">
        <f t="shared" si="73"/>
        <v>0</v>
      </c>
      <c r="AC395" s="703">
        <f>IF($O396=0,0,           IF(FRM,_xll.qGetFwdRate(AC$14,$O395,U395,"T",DCC_Leg1_Float),_xll.qGetFwdRate(AC$14,$O395,$O396,"T",DCC_Leg1_Float)))</f>
        <v>0</v>
      </c>
      <c r="AD395" s="703">
        <f t="shared" si="78"/>
        <v>0</v>
      </c>
      <c r="AE395" s="703">
        <f t="shared" si="79"/>
        <v>0</v>
      </c>
      <c r="AF395" s="703">
        <f>IF($O396=0,0,           IF(FRM,_xll.qGetFwdRate(AF$14,$O395,X395,"T",DCC_Leg1_Float),_xll.qGetFwdRate(AF$14,$O395,$O396,"T",DCC_Leg1_Float)))</f>
        <v>0</v>
      </c>
      <c r="AG395" s="703">
        <f>IF($O396=0,0,           IF(FRM,_xll.qGetFwdRate(AG$14,$O395,Y395,"T",DCC_Leg1_Float),_xll.qGetFwdRate(AG$14,$O395,$O396,"T",DCC_Leg1_Float)))</f>
        <v>0</v>
      </c>
      <c r="AH395" s="685">
        <v>0</v>
      </c>
      <c r="AI395" s="667"/>
      <c r="AJ395" s="670">
        <f>IF(O396=0,0,             IF(ISNUMBER(AI395),AI395,             IF(ISTEXT(AI395),INDEX(Z395:AG395,MATCH(AI395,$Z$17:$AG$17,0)),           IF(AH395="INT",_xll.qInterp(O396,R395:Y395,Z395:AG395),       INDEX(Z395:AG395,MATCH(AH395,$Z$17:$AG$17,0))))))</f>
        <v>0</v>
      </c>
      <c r="AK395" s="732">
        <v>20</v>
      </c>
      <c r="AL395" s="721">
        <f t="shared" si="74"/>
        <v>0</v>
      </c>
      <c r="AM395" s="284">
        <f>IF($O396,_xll.qDateYears($O395,$O396,DCC_Leg1_Fixed),0)</f>
        <v>0</v>
      </c>
      <c r="AN395" s="284">
        <f>IF($O396,_xll.qDateYears($O395,$O396,DCC_Leg1_Float),0)</f>
        <v>0</v>
      </c>
      <c r="AP395" s="350">
        <f t="shared" si="80"/>
        <v>0</v>
      </c>
      <c r="AQ395" s="375">
        <f>IF(GenType_1a="Fixed",GenRate_1a%*$AL394*AM394,          IF(GenType_1a="Float",$AL394*(_xll.qGetFwdRate($D$18,$O394,$O395,"T",DCC_Leg1_Float)%+GenRate_1a%%)*$AN394,        IF(GenType_1a="bp (Fixed)",GenRate_1a%%*$AM394*$AL394,   IF(GenType_1a="bp (Float)",GenRate_1a%%*$AL394*$AN394,0))))</f>
        <v>0</v>
      </c>
      <c r="AR395" s="561"/>
      <c r="AT395" s="341">
        <f t="shared" si="84"/>
        <v>0</v>
      </c>
      <c r="AV395" s="356"/>
      <c r="AW395" s="122">
        <v>0</v>
      </c>
      <c r="AX395" s="128">
        <f t="shared" si="75"/>
        <v>0</v>
      </c>
      <c r="AY395" s="357">
        <v>0</v>
      </c>
      <c r="AZ395" s="699">
        <f>IF($AW396=0,0,        _xll.qDateNext($AW395,AZ$17,"M",TRUE,Currency2))</f>
        <v>0</v>
      </c>
      <c r="BA395" s="699">
        <f>IF($AW396=0,0,        _xll.qDateNext($AW395,BA$17,"M",TRUE,Currency2))</f>
        <v>0</v>
      </c>
      <c r="BB395" s="699">
        <f>IF($AW396=0,0,        _xll.qDateNext($AW395,BB$17,"M",TRUE,Currency2))</f>
        <v>0</v>
      </c>
      <c r="BC395" s="699">
        <f>IF($AW396=0,0,        _xll.qDateNext($AW395,BC$17,"M",TRUE,Currency2))</f>
        <v>0</v>
      </c>
      <c r="BD395" s="699">
        <f>IF($AW396=0,0,        _xll.qDateNext($AW395,BD$17,"M",TRUE,Currency2))</f>
        <v>0</v>
      </c>
      <c r="BE395" s="699">
        <f>IF($AW396=0,0,        _xll.qDateNext($AW395,BE$17,"M",TRUE,Currency2))</f>
        <v>0</v>
      </c>
      <c r="BF395" s="699">
        <f>IF($AW396=0,0,        _xll.qDateNext($AW395,BF$17,"M",TRUE,Currency2))</f>
        <v>0</v>
      </c>
      <c r="BG395" s="699">
        <f>IF($AW396=0,0,        _xll.qDateNext($AW395,BG$17,"M",TRUE,Currency2))</f>
        <v>0</v>
      </c>
      <c r="BH395" s="703">
        <v>0</v>
      </c>
      <c r="BI395" s="703">
        <v>0</v>
      </c>
      <c r="BJ395" s="703">
        <v>0</v>
      </c>
      <c r="BK395" s="703">
        <v>0</v>
      </c>
      <c r="BL395" s="703">
        <f t="shared" si="81"/>
        <v>0</v>
      </c>
      <c r="BM395" s="703">
        <f t="shared" si="82"/>
        <v>0</v>
      </c>
      <c r="BN395" s="703">
        <v>0</v>
      </c>
      <c r="BO395" s="703">
        <v>0</v>
      </c>
      <c r="BP395" s="685">
        <v>0</v>
      </c>
      <c r="BQ395" s="667"/>
      <c r="BR395" s="670">
        <f>IF(AW396=0,0,             IF(ISNUMBER(BQ395),BQ395,             IF(ISTEXT(BQ395),INDEX(BH395:BO395,MATCH(BQ395,$BH$17:$BO$17,0)),           IF(BP395="INT",_xll.qInterp(AW396,AZ395:BG395,BH395:BO395),       INDEX(BH395:BO395,MATCH(BP395,$BH$17:$BO$17,0))))))</f>
        <v>0</v>
      </c>
      <c r="BS395" s="731">
        <f t="shared" si="76"/>
        <v>0</v>
      </c>
      <c r="BT395" s="406">
        <f t="shared" si="77"/>
        <v>0</v>
      </c>
      <c r="BU395" s="284">
        <f>IF($AW396,_xll.qDateYears($AW395,$AW396,DCC_Leg2_Fixed),0)</f>
        <v>0</v>
      </c>
      <c r="BV395" s="284">
        <f>IF($AW396,_xll.qDateYears($AW395,$AW396,DCC_Leg2_Float),0)</f>
        <v>0</v>
      </c>
      <c r="BX395" s="350">
        <f t="shared" si="83"/>
        <v>0</v>
      </c>
      <c r="BY395" s="375">
        <f>IF(GenType_2a="Fixed",GenRate_2a%*$BT394*BU394,          IF(GenType_2a="Float",$BT394*(_xll.qGetFwdRate($J$18,$AW394,$AW395,"T",DCC_Leg2_Float)%+GenRate_2a%%)*$BV394,        IF(GenType_2a="bp (Fixed)",GenRate_2a%%*$BU394*$BT394,   IF(GenType_2a="bp (Float)",GenRate_2a%%*$BT394*$BV394,0))))</f>
        <v>0</v>
      </c>
      <c r="BZ395" s="561"/>
      <c r="CB395" s="341">
        <f t="shared" si="85"/>
        <v>0</v>
      </c>
      <c r="CC395" s="563"/>
      <c r="CD395" s="356"/>
      <c r="CE395" s="341">
        <v>0</v>
      </c>
      <c r="CF395" s="563"/>
      <c r="CG395" s="356"/>
    </row>
    <row r="396" spans="15:85">
      <c r="O396" s="122">
        <v>0</v>
      </c>
      <c r="P396" s="128">
        <f t="shared" si="72"/>
        <v>0</v>
      </c>
      <c r="Q396" s="126">
        <v>0</v>
      </c>
      <c r="R396" s="699">
        <f>IF($O397=0,0,        _xll.qDateNext($O396,R$17,"M",TRUE,Currency1))</f>
        <v>0</v>
      </c>
      <c r="S396" s="699">
        <f>IF($O397=0,0,        _xll.qDateNext($O396,S$17,"M",TRUE,Currency1))</f>
        <v>0</v>
      </c>
      <c r="T396" s="699">
        <f>IF($O397=0,0,        _xll.qDateNext($O396,T$17,"M",TRUE,Currency1))</f>
        <v>0</v>
      </c>
      <c r="U396" s="699">
        <f>IF($O397=0,0,        _xll.qDateNext($O396,U$17,"M",TRUE,Currency1))</f>
        <v>0</v>
      </c>
      <c r="V396" s="699">
        <f>IF($O397=0,0,        _xll.qDateNext($O396,V$17,"M",TRUE,Currency1))</f>
        <v>0</v>
      </c>
      <c r="W396" s="699">
        <f>IF($O397=0,0,        _xll.qDateNext($O396,W$17,"M",TRUE,Currency1))</f>
        <v>0</v>
      </c>
      <c r="X396" s="699">
        <f>IF($O397=0,0,        _xll.qDateNext($O396,X$17,"M",TRUE,Currency1))</f>
        <v>0</v>
      </c>
      <c r="Y396" s="699">
        <f>IF($O397=0,0,        _xll.qDateNext($O396,Y$17,"M",TRUE,Currency1))</f>
        <v>0</v>
      </c>
      <c r="Z396" s="703">
        <f>IF($O397=0,0,           IF(FRM,_xll.qGetFwdRate(Z$14,$O396,R396,"T",DCC_Leg1_Float),_xll.qGetFwdRate(Z$14,$O396,$O397,"T",DCC_Leg1_Float)))</f>
        <v>0</v>
      </c>
      <c r="AA396" s="703">
        <f>IF($O397=0,0,           IF(FRM,_xll.qGetFwdRate(AA$14,$O396,S396,"T",DCC_Leg1_Float),_xll.qGetFwdRate(AA$14,$O396,$O397,"T",DCC_Leg1_Float)))</f>
        <v>0</v>
      </c>
      <c r="AB396" s="703">
        <f t="shared" si="73"/>
        <v>0</v>
      </c>
      <c r="AC396" s="703">
        <f>IF($O397=0,0,           IF(FRM,_xll.qGetFwdRate(AC$14,$O396,U396,"T",DCC_Leg1_Float),_xll.qGetFwdRate(AC$14,$O396,$O397,"T",DCC_Leg1_Float)))</f>
        <v>0</v>
      </c>
      <c r="AD396" s="703">
        <f t="shared" si="78"/>
        <v>0</v>
      </c>
      <c r="AE396" s="703">
        <f t="shared" si="79"/>
        <v>0</v>
      </c>
      <c r="AF396" s="703">
        <f>IF($O397=0,0,           IF(FRM,_xll.qGetFwdRate(AF$14,$O396,X396,"T",DCC_Leg1_Float),_xll.qGetFwdRate(AF$14,$O396,$O397,"T",DCC_Leg1_Float)))</f>
        <v>0</v>
      </c>
      <c r="AG396" s="703">
        <f>IF($O397=0,0,           IF(FRM,_xll.qGetFwdRate(AG$14,$O396,Y396,"T",DCC_Leg1_Float),_xll.qGetFwdRate(AG$14,$O396,$O397,"T",DCC_Leg1_Float)))</f>
        <v>0</v>
      </c>
      <c r="AH396" s="685">
        <v>0</v>
      </c>
      <c r="AI396" s="667"/>
      <c r="AJ396" s="670">
        <f>IF(O397=0,0,             IF(ISNUMBER(AI396),AI396,             IF(ISTEXT(AI396),INDEX(Z396:AG396,MATCH(AI396,$Z$17:$AG$17,0)),           IF(AH396="INT",_xll.qInterp(O397,R396:Y396,Z396:AG396),       INDEX(Z396:AG396,MATCH(AH396,$Z$17:$AG$17,0))))))</f>
        <v>0</v>
      </c>
      <c r="AK396" s="732">
        <v>20</v>
      </c>
      <c r="AL396" s="721">
        <f t="shared" si="74"/>
        <v>0</v>
      </c>
      <c r="AM396" s="284">
        <f>IF($O397,_xll.qDateYears($O396,$O397,DCC_Leg1_Fixed),0)</f>
        <v>0</v>
      </c>
      <c r="AN396" s="284">
        <f>IF($O397,_xll.qDateYears($O396,$O397,DCC_Leg1_Float),0)</f>
        <v>0</v>
      </c>
      <c r="AP396" s="350">
        <f t="shared" si="80"/>
        <v>0</v>
      </c>
      <c r="AQ396" s="375">
        <f>IF(GenType_1a="Fixed",GenRate_1a%*$AL395*AM395,          IF(GenType_1a="Float",$AL395*(_xll.qGetFwdRate($D$18,$O395,$O396,"T",DCC_Leg1_Float)%+GenRate_1a%%)*$AN395,        IF(GenType_1a="bp (Fixed)",GenRate_1a%%*$AM395*$AL395,   IF(GenType_1a="bp (Float)",GenRate_1a%%*$AL395*$AN395,0))))</f>
        <v>0</v>
      </c>
      <c r="AR396" s="561"/>
      <c r="AT396" s="341">
        <f t="shared" si="84"/>
        <v>0</v>
      </c>
      <c r="AV396" s="356"/>
      <c r="AW396" s="122">
        <v>0</v>
      </c>
      <c r="AX396" s="128">
        <f t="shared" si="75"/>
        <v>0</v>
      </c>
      <c r="AY396" s="357">
        <v>0</v>
      </c>
      <c r="AZ396" s="699">
        <f>IF($AW397=0,0,        _xll.qDateNext($AW396,AZ$17,"M",TRUE,Currency2))</f>
        <v>0</v>
      </c>
      <c r="BA396" s="699">
        <f>IF($AW397=0,0,        _xll.qDateNext($AW396,BA$17,"M",TRUE,Currency2))</f>
        <v>0</v>
      </c>
      <c r="BB396" s="699">
        <f>IF($AW397=0,0,        _xll.qDateNext($AW396,BB$17,"M",TRUE,Currency2))</f>
        <v>0</v>
      </c>
      <c r="BC396" s="699">
        <f>IF($AW397=0,0,        _xll.qDateNext($AW396,BC$17,"M",TRUE,Currency2))</f>
        <v>0</v>
      </c>
      <c r="BD396" s="699">
        <f>IF($AW397=0,0,        _xll.qDateNext($AW396,BD$17,"M",TRUE,Currency2))</f>
        <v>0</v>
      </c>
      <c r="BE396" s="699">
        <f>IF($AW397=0,0,        _xll.qDateNext($AW396,BE$17,"M",TRUE,Currency2))</f>
        <v>0</v>
      </c>
      <c r="BF396" s="699">
        <f>IF($AW397=0,0,        _xll.qDateNext($AW396,BF$17,"M",TRUE,Currency2))</f>
        <v>0</v>
      </c>
      <c r="BG396" s="699">
        <f>IF($AW397=0,0,        _xll.qDateNext($AW396,BG$17,"M",TRUE,Currency2))</f>
        <v>0</v>
      </c>
      <c r="BH396" s="703">
        <v>0</v>
      </c>
      <c r="BI396" s="703">
        <v>0</v>
      </c>
      <c r="BJ396" s="703">
        <v>0</v>
      </c>
      <c r="BK396" s="703">
        <v>0</v>
      </c>
      <c r="BL396" s="703">
        <f t="shared" si="81"/>
        <v>0</v>
      </c>
      <c r="BM396" s="703">
        <f t="shared" si="82"/>
        <v>0</v>
      </c>
      <c r="BN396" s="703">
        <v>0</v>
      </c>
      <c r="BO396" s="703">
        <v>0</v>
      </c>
      <c r="BP396" s="685">
        <v>0</v>
      </c>
      <c r="BQ396" s="667"/>
      <c r="BR396" s="670">
        <f>IF(AW397=0,0,             IF(ISNUMBER(BQ396),BQ396,             IF(ISTEXT(BQ396),INDEX(BH396:BO396,MATCH(BQ396,$BH$17:$BO$17,0)),           IF(BP396="INT",_xll.qInterp(AW397,AZ396:BG396,BH396:BO396),       INDEX(BH396:BO396,MATCH(BP396,$BH$17:$BO$17,0))))))</f>
        <v>0</v>
      </c>
      <c r="BS396" s="731">
        <f t="shared" si="76"/>
        <v>0</v>
      </c>
      <c r="BT396" s="406">
        <f t="shared" si="77"/>
        <v>0</v>
      </c>
      <c r="BU396" s="284">
        <f>IF($AW397,_xll.qDateYears($AW396,$AW397,DCC_Leg2_Fixed),0)</f>
        <v>0</v>
      </c>
      <c r="BV396" s="284">
        <f>IF($AW397,_xll.qDateYears($AW396,$AW397,DCC_Leg2_Float),0)</f>
        <v>0</v>
      </c>
      <c r="BX396" s="350">
        <f t="shared" si="83"/>
        <v>0</v>
      </c>
      <c r="BY396" s="375">
        <f>IF(GenType_2a="Fixed",GenRate_2a%*$BT395*BU395,          IF(GenType_2a="Float",$BT395*(_xll.qGetFwdRate($J$18,$AW395,$AW396,"T",DCC_Leg2_Float)%+GenRate_2a%%)*$BV395,        IF(GenType_2a="bp (Fixed)",GenRate_2a%%*$BU395*$BT395,   IF(GenType_2a="bp (Float)",GenRate_2a%%*$BT395*$BV395,0))))</f>
        <v>0</v>
      </c>
      <c r="BZ396" s="561"/>
      <c r="CB396" s="341">
        <f t="shared" si="85"/>
        <v>0</v>
      </c>
      <c r="CC396" s="563"/>
      <c r="CD396" s="356"/>
      <c r="CE396" s="341">
        <v>0</v>
      </c>
      <c r="CF396" s="563"/>
      <c r="CG396" s="356"/>
    </row>
    <row r="397" spans="15:85">
      <c r="O397" s="122">
        <v>0</v>
      </c>
      <c r="P397" s="128">
        <f t="shared" si="72"/>
        <v>0</v>
      </c>
      <c r="Q397" s="126">
        <v>0</v>
      </c>
      <c r="R397" s="699">
        <f>IF($O398=0,0,        _xll.qDateNext($O397,R$17,"M",TRUE,Currency1))</f>
        <v>0</v>
      </c>
      <c r="S397" s="699">
        <f>IF($O398=0,0,        _xll.qDateNext($O397,S$17,"M",TRUE,Currency1))</f>
        <v>0</v>
      </c>
      <c r="T397" s="699">
        <f>IF($O398=0,0,        _xll.qDateNext($O397,T$17,"M",TRUE,Currency1))</f>
        <v>0</v>
      </c>
      <c r="U397" s="699">
        <f>IF($O398=0,0,        _xll.qDateNext($O397,U$17,"M",TRUE,Currency1))</f>
        <v>0</v>
      </c>
      <c r="V397" s="699">
        <f>IF($O398=0,0,        _xll.qDateNext($O397,V$17,"M",TRUE,Currency1))</f>
        <v>0</v>
      </c>
      <c r="W397" s="699">
        <f>IF($O398=0,0,        _xll.qDateNext($O397,W$17,"M",TRUE,Currency1))</f>
        <v>0</v>
      </c>
      <c r="X397" s="699">
        <f>IF($O398=0,0,        _xll.qDateNext($O397,X$17,"M",TRUE,Currency1))</f>
        <v>0</v>
      </c>
      <c r="Y397" s="699">
        <f>IF($O398=0,0,        _xll.qDateNext($O397,Y$17,"M",TRUE,Currency1))</f>
        <v>0</v>
      </c>
      <c r="Z397" s="703">
        <f>IF($O398=0,0,           IF(FRM,_xll.qGetFwdRate(Z$14,$O397,R397,"T",DCC_Leg1_Float),_xll.qGetFwdRate(Z$14,$O397,$O398,"T",DCC_Leg1_Float)))</f>
        <v>0</v>
      </c>
      <c r="AA397" s="703">
        <f>IF($O398=0,0,           IF(FRM,_xll.qGetFwdRate(AA$14,$O397,S397,"T",DCC_Leg1_Float),_xll.qGetFwdRate(AA$14,$O397,$O398,"T",DCC_Leg1_Float)))</f>
        <v>0</v>
      </c>
      <c r="AB397" s="703">
        <f t="shared" si="73"/>
        <v>0</v>
      </c>
      <c r="AC397" s="703">
        <f>IF($O398=0,0,           IF(FRM,_xll.qGetFwdRate(AC$14,$O397,U397,"T",DCC_Leg1_Float),_xll.qGetFwdRate(AC$14,$O397,$O398,"T",DCC_Leg1_Float)))</f>
        <v>0</v>
      </c>
      <c r="AD397" s="703">
        <f t="shared" si="78"/>
        <v>0</v>
      </c>
      <c r="AE397" s="703">
        <f t="shared" si="79"/>
        <v>0</v>
      </c>
      <c r="AF397" s="703">
        <f>IF($O398=0,0,           IF(FRM,_xll.qGetFwdRate(AF$14,$O397,X397,"T",DCC_Leg1_Float),_xll.qGetFwdRate(AF$14,$O397,$O398,"T",DCC_Leg1_Float)))</f>
        <v>0</v>
      </c>
      <c r="AG397" s="703">
        <f>IF($O398=0,0,           IF(FRM,_xll.qGetFwdRate(AG$14,$O397,Y397,"T",DCC_Leg1_Float),_xll.qGetFwdRate(AG$14,$O397,$O398,"T",DCC_Leg1_Float)))</f>
        <v>0</v>
      </c>
      <c r="AH397" s="685">
        <v>0</v>
      </c>
      <c r="AI397" s="667"/>
      <c r="AJ397" s="670">
        <f>IF(O398=0,0,             IF(ISNUMBER(AI397),AI397,             IF(ISTEXT(AI397),INDEX(Z397:AG397,MATCH(AI397,$Z$17:$AG$17,0)),           IF(AH397="INT",_xll.qInterp(O398,R397:Y397,Z397:AG397),       INDEX(Z397:AG397,MATCH(AH397,$Z$17:$AG$17,0))))))</f>
        <v>0</v>
      </c>
      <c r="AK397" s="732">
        <v>20</v>
      </c>
      <c r="AL397" s="721">
        <f t="shared" si="74"/>
        <v>0</v>
      </c>
      <c r="AM397" s="284">
        <f>IF($O398,_xll.qDateYears($O397,$O398,DCC_Leg1_Fixed),0)</f>
        <v>0</v>
      </c>
      <c r="AN397" s="284">
        <f>IF($O398,_xll.qDateYears($O397,$O398,DCC_Leg1_Float),0)</f>
        <v>0</v>
      </c>
      <c r="AP397" s="350">
        <f t="shared" si="80"/>
        <v>0</v>
      </c>
      <c r="AQ397" s="375">
        <f>IF(GenType_1a="Fixed",GenRate_1a%*$AL396*AM396,          IF(GenType_1a="Float",$AL396*(_xll.qGetFwdRate($D$18,$O396,$O397,"T",DCC_Leg1_Float)%+GenRate_1a%%)*$AN396,        IF(GenType_1a="bp (Fixed)",GenRate_1a%%*$AM396*$AL396,   IF(GenType_1a="bp (Float)",GenRate_1a%%*$AL396*$AN396,0))))</f>
        <v>0</v>
      </c>
      <c r="AR397" s="561"/>
      <c r="AT397" s="341">
        <f t="shared" si="84"/>
        <v>0</v>
      </c>
      <c r="AV397" s="356"/>
      <c r="AW397" s="122">
        <v>0</v>
      </c>
      <c r="AX397" s="128">
        <f t="shared" si="75"/>
        <v>0</v>
      </c>
      <c r="AY397" s="357">
        <v>0</v>
      </c>
      <c r="AZ397" s="699">
        <f>IF($AW398=0,0,        _xll.qDateNext($AW397,AZ$17,"M",TRUE,Currency2))</f>
        <v>0</v>
      </c>
      <c r="BA397" s="699">
        <f>IF($AW398=0,0,        _xll.qDateNext($AW397,BA$17,"M",TRUE,Currency2))</f>
        <v>0</v>
      </c>
      <c r="BB397" s="699">
        <f>IF($AW398=0,0,        _xll.qDateNext($AW397,BB$17,"M",TRUE,Currency2))</f>
        <v>0</v>
      </c>
      <c r="BC397" s="699">
        <f>IF($AW398=0,0,        _xll.qDateNext($AW397,BC$17,"M",TRUE,Currency2))</f>
        <v>0</v>
      </c>
      <c r="BD397" s="699">
        <f>IF($AW398=0,0,        _xll.qDateNext($AW397,BD$17,"M",TRUE,Currency2))</f>
        <v>0</v>
      </c>
      <c r="BE397" s="699">
        <f>IF($AW398=0,0,        _xll.qDateNext($AW397,BE$17,"M",TRUE,Currency2))</f>
        <v>0</v>
      </c>
      <c r="BF397" s="699">
        <f>IF($AW398=0,0,        _xll.qDateNext($AW397,BF$17,"M",TRUE,Currency2))</f>
        <v>0</v>
      </c>
      <c r="BG397" s="699">
        <f>IF($AW398=0,0,        _xll.qDateNext($AW397,BG$17,"M",TRUE,Currency2))</f>
        <v>0</v>
      </c>
      <c r="BH397" s="703">
        <v>0</v>
      </c>
      <c r="BI397" s="703">
        <v>0</v>
      </c>
      <c r="BJ397" s="703">
        <v>0</v>
      </c>
      <c r="BK397" s="703">
        <v>0</v>
      </c>
      <c r="BL397" s="703">
        <f t="shared" si="81"/>
        <v>0</v>
      </c>
      <c r="BM397" s="703">
        <f t="shared" si="82"/>
        <v>0</v>
      </c>
      <c r="BN397" s="703">
        <v>0</v>
      </c>
      <c r="BO397" s="703">
        <v>0</v>
      </c>
      <c r="BP397" s="685">
        <v>0</v>
      </c>
      <c r="BQ397" s="667"/>
      <c r="BR397" s="670">
        <f>IF(AW398=0,0,             IF(ISNUMBER(BQ397),BQ397,             IF(ISTEXT(BQ397),INDEX(BH397:BO397,MATCH(BQ397,$BH$17:$BO$17,0)),           IF(BP397="INT",_xll.qInterp(AW398,AZ397:BG397,BH397:BO397),       INDEX(BH397:BO397,MATCH(BP397,$BH$17:$BO$17,0))))))</f>
        <v>0</v>
      </c>
      <c r="BS397" s="731">
        <f t="shared" si="76"/>
        <v>0</v>
      </c>
      <c r="BT397" s="406">
        <f t="shared" si="77"/>
        <v>0</v>
      </c>
      <c r="BU397" s="284">
        <f>IF($AW398,_xll.qDateYears($AW397,$AW398,DCC_Leg2_Fixed),0)</f>
        <v>0</v>
      </c>
      <c r="BV397" s="284">
        <f>IF($AW398,_xll.qDateYears($AW397,$AW398,DCC_Leg2_Float),0)</f>
        <v>0</v>
      </c>
      <c r="BX397" s="350">
        <f t="shared" si="83"/>
        <v>0</v>
      </c>
      <c r="BY397" s="375">
        <f>IF(GenType_2a="Fixed",GenRate_2a%*$BT396*BU396,          IF(GenType_2a="Float",$BT396*(_xll.qGetFwdRate($J$18,$AW396,$AW397,"T",DCC_Leg2_Float)%+GenRate_2a%%)*$BV396,        IF(GenType_2a="bp (Fixed)",GenRate_2a%%*$BU396*$BT396,   IF(GenType_2a="bp (Float)",GenRate_2a%%*$BT396*$BV396,0))))</f>
        <v>0</v>
      </c>
      <c r="BZ397" s="561"/>
      <c r="CB397" s="341">
        <f t="shared" si="85"/>
        <v>0</v>
      </c>
      <c r="CC397" s="563"/>
      <c r="CD397" s="356"/>
      <c r="CE397" s="341">
        <v>0</v>
      </c>
      <c r="CF397" s="563"/>
      <c r="CG397" s="356"/>
    </row>
    <row r="398" spans="15:85">
      <c r="O398" s="122">
        <v>0</v>
      </c>
      <c r="P398" s="128">
        <f t="shared" si="72"/>
        <v>0</v>
      </c>
      <c r="Q398" s="126">
        <v>0</v>
      </c>
      <c r="R398" s="699">
        <f>IF($O399=0,0,        _xll.qDateNext($O398,R$17,"M",TRUE,Currency1))</f>
        <v>0</v>
      </c>
      <c r="S398" s="699">
        <f>IF($O399=0,0,        _xll.qDateNext($O398,S$17,"M",TRUE,Currency1))</f>
        <v>0</v>
      </c>
      <c r="T398" s="699">
        <f>IF($O399=0,0,        _xll.qDateNext($O398,T$17,"M",TRUE,Currency1))</f>
        <v>0</v>
      </c>
      <c r="U398" s="699">
        <f>IF($O399=0,0,        _xll.qDateNext($O398,U$17,"M",TRUE,Currency1))</f>
        <v>0</v>
      </c>
      <c r="V398" s="699">
        <f>IF($O399=0,0,        _xll.qDateNext($O398,V$17,"M",TRUE,Currency1))</f>
        <v>0</v>
      </c>
      <c r="W398" s="699">
        <f>IF($O399=0,0,        _xll.qDateNext($O398,W$17,"M",TRUE,Currency1))</f>
        <v>0</v>
      </c>
      <c r="X398" s="699">
        <f>IF($O399=0,0,        _xll.qDateNext($O398,X$17,"M",TRUE,Currency1))</f>
        <v>0</v>
      </c>
      <c r="Y398" s="699">
        <f>IF($O399=0,0,        _xll.qDateNext($O398,Y$17,"M",TRUE,Currency1))</f>
        <v>0</v>
      </c>
      <c r="Z398" s="703">
        <f>IF($O399=0,0,           IF(FRM,_xll.qGetFwdRate(Z$14,$O398,R398,"T",DCC_Leg1_Float),_xll.qGetFwdRate(Z$14,$O398,$O399,"T",DCC_Leg1_Float)))</f>
        <v>0</v>
      </c>
      <c r="AA398" s="703">
        <f>IF($O399=0,0,           IF(FRM,_xll.qGetFwdRate(AA$14,$O398,S398,"T",DCC_Leg1_Float),_xll.qGetFwdRate(AA$14,$O398,$O399,"T",DCC_Leg1_Float)))</f>
        <v>0</v>
      </c>
      <c r="AB398" s="703">
        <f t="shared" si="73"/>
        <v>0</v>
      </c>
      <c r="AC398" s="703">
        <f>IF($O399=0,0,           IF(FRM,_xll.qGetFwdRate(AC$14,$O398,U398,"T",DCC_Leg1_Float),_xll.qGetFwdRate(AC$14,$O398,$O399,"T",DCC_Leg1_Float)))</f>
        <v>0</v>
      </c>
      <c r="AD398" s="703">
        <f t="shared" si="78"/>
        <v>0</v>
      </c>
      <c r="AE398" s="703">
        <f t="shared" si="79"/>
        <v>0</v>
      </c>
      <c r="AF398" s="703">
        <f>IF($O399=0,0,           IF(FRM,_xll.qGetFwdRate(AF$14,$O398,X398,"T",DCC_Leg1_Float),_xll.qGetFwdRate(AF$14,$O398,$O399,"T",DCC_Leg1_Float)))</f>
        <v>0</v>
      </c>
      <c r="AG398" s="703">
        <f>IF($O399=0,0,           IF(FRM,_xll.qGetFwdRate(AG$14,$O398,Y398,"T",DCC_Leg1_Float),_xll.qGetFwdRate(AG$14,$O398,$O399,"T",DCC_Leg1_Float)))</f>
        <v>0</v>
      </c>
      <c r="AH398" s="685">
        <v>0</v>
      </c>
      <c r="AI398" s="667"/>
      <c r="AJ398" s="670">
        <f>IF(O399=0,0,             IF(ISNUMBER(AI398),AI398,             IF(ISTEXT(AI398),INDEX(Z398:AG398,MATCH(AI398,$Z$17:$AG$17,0)),           IF(AH398="INT",_xll.qInterp(O399,R398:Y398,Z398:AG398),       INDEX(Z398:AG398,MATCH(AH398,$Z$17:$AG$17,0))))))</f>
        <v>0</v>
      </c>
      <c r="AK398" s="732">
        <v>20</v>
      </c>
      <c r="AL398" s="721">
        <f t="shared" si="74"/>
        <v>0</v>
      </c>
      <c r="AM398" s="284">
        <f>IF($O399,_xll.qDateYears($O398,$O399,DCC_Leg1_Fixed),0)</f>
        <v>0</v>
      </c>
      <c r="AN398" s="284">
        <f>IF($O399,_xll.qDateYears($O398,$O399,DCC_Leg1_Float),0)</f>
        <v>0</v>
      </c>
      <c r="AP398" s="350">
        <f t="shared" si="80"/>
        <v>0</v>
      </c>
      <c r="AQ398" s="375">
        <f>IF(GenType_1a="Fixed",GenRate_1a%*$AL397*AM397,          IF(GenType_1a="Float",$AL397*(_xll.qGetFwdRate($D$18,$O397,$O398,"T",DCC_Leg1_Float)%+GenRate_1a%%)*$AN397,        IF(GenType_1a="bp (Fixed)",GenRate_1a%%*$AM397*$AL397,   IF(GenType_1a="bp (Float)",GenRate_1a%%*$AL397*$AN397,0))))</f>
        <v>0</v>
      </c>
      <c r="AR398" s="561"/>
      <c r="AT398" s="341">
        <f t="shared" si="84"/>
        <v>0</v>
      </c>
      <c r="AV398" s="356"/>
      <c r="AW398" s="122">
        <v>0</v>
      </c>
      <c r="AX398" s="128">
        <f t="shared" si="75"/>
        <v>0</v>
      </c>
      <c r="AY398" s="357">
        <v>0</v>
      </c>
      <c r="AZ398" s="699">
        <f>IF($AW399=0,0,        _xll.qDateNext($AW398,AZ$17,"M",TRUE,Currency2))</f>
        <v>0</v>
      </c>
      <c r="BA398" s="699">
        <f>IF($AW399=0,0,        _xll.qDateNext($AW398,BA$17,"M",TRUE,Currency2))</f>
        <v>0</v>
      </c>
      <c r="BB398" s="699">
        <f>IF($AW399=0,0,        _xll.qDateNext($AW398,BB$17,"M",TRUE,Currency2))</f>
        <v>0</v>
      </c>
      <c r="BC398" s="699">
        <f>IF($AW399=0,0,        _xll.qDateNext($AW398,BC$17,"M",TRUE,Currency2))</f>
        <v>0</v>
      </c>
      <c r="BD398" s="699">
        <f>IF($AW399=0,0,        _xll.qDateNext($AW398,BD$17,"M",TRUE,Currency2))</f>
        <v>0</v>
      </c>
      <c r="BE398" s="699">
        <f>IF($AW399=0,0,        _xll.qDateNext($AW398,BE$17,"M",TRUE,Currency2))</f>
        <v>0</v>
      </c>
      <c r="BF398" s="699">
        <f>IF($AW399=0,0,        _xll.qDateNext($AW398,BF$17,"M",TRUE,Currency2))</f>
        <v>0</v>
      </c>
      <c r="BG398" s="699">
        <f>IF($AW399=0,0,        _xll.qDateNext($AW398,BG$17,"M",TRUE,Currency2))</f>
        <v>0</v>
      </c>
      <c r="BH398" s="703">
        <v>0</v>
      </c>
      <c r="BI398" s="703">
        <v>0</v>
      </c>
      <c r="BJ398" s="703">
        <v>0</v>
      </c>
      <c r="BK398" s="703">
        <v>0</v>
      </c>
      <c r="BL398" s="703">
        <f t="shared" si="81"/>
        <v>0</v>
      </c>
      <c r="BM398" s="703">
        <f t="shared" si="82"/>
        <v>0</v>
      </c>
      <c r="BN398" s="703">
        <v>0</v>
      </c>
      <c r="BO398" s="703">
        <v>0</v>
      </c>
      <c r="BP398" s="685">
        <v>0</v>
      </c>
      <c r="BQ398" s="667"/>
      <c r="BR398" s="670">
        <f>IF(AW399=0,0,             IF(ISNUMBER(BQ398),BQ398,             IF(ISTEXT(BQ398),INDEX(BH398:BO398,MATCH(BQ398,$BH$17:$BO$17,0)),           IF(BP398="INT",_xll.qInterp(AW399,AZ398:BG398,BH398:BO398),       INDEX(BH398:BO398,MATCH(BP398,$BH$17:$BO$17,0))))))</f>
        <v>0</v>
      </c>
      <c r="BS398" s="731">
        <f t="shared" si="76"/>
        <v>0</v>
      </c>
      <c r="BT398" s="406">
        <f t="shared" si="77"/>
        <v>0</v>
      </c>
      <c r="BU398" s="284">
        <f>IF($AW399,_xll.qDateYears($AW398,$AW399,DCC_Leg2_Fixed),0)</f>
        <v>0</v>
      </c>
      <c r="BV398" s="284">
        <f>IF($AW399,_xll.qDateYears($AW398,$AW399,DCC_Leg2_Float),0)</f>
        <v>0</v>
      </c>
      <c r="BX398" s="350">
        <f t="shared" si="83"/>
        <v>0</v>
      </c>
      <c r="BY398" s="375">
        <f>IF(GenType_2a="Fixed",GenRate_2a%*$BT397*BU397,          IF(GenType_2a="Float",$BT397*(_xll.qGetFwdRate($J$18,$AW397,$AW398,"T",DCC_Leg2_Float)%+GenRate_2a%%)*$BV397,        IF(GenType_2a="bp (Fixed)",GenRate_2a%%*$BU397*$BT397,   IF(GenType_2a="bp (Float)",GenRate_2a%%*$BT397*$BV397,0))))</f>
        <v>0</v>
      </c>
      <c r="BZ398" s="561"/>
      <c r="CB398" s="341">
        <f t="shared" si="85"/>
        <v>0</v>
      </c>
      <c r="CC398" s="563"/>
      <c r="CD398" s="356"/>
      <c r="CE398" s="341">
        <v>0</v>
      </c>
      <c r="CF398" s="563"/>
      <c r="CG398" s="356"/>
    </row>
    <row r="399" spans="15:85">
      <c r="O399" s="122">
        <v>0</v>
      </c>
      <c r="P399" s="128">
        <f t="shared" si="72"/>
        <v>0</v>
      </c>
      <c r="Q399" s="126">
        <v>0</v>
      </c>
      <c r="R399" s="699">
        <f>IF($O400=0,0,        _xll.qDateNext($O399,R$17,"M",TRUE,Currency1))</f>
        <v>0</v>
      </c>
      <c r="S399" s="699">
        <f>IF($O400=0,0,        _xll.qDateNext($O399,S$17,"M",TRUE,Currency1))</f>
        <v>0</v>
      </c>
      <c r="T399" s="699">
        <f>IF($O400=0,0,        _xll.qDateNext($O399,T$17,"M",TRUE,Currency1))</f>
        <v>0</v>
      </c>
      <c r="U399" s="699">
        <f>IF($O400=0,0,        _xll.qDateNext($O399,U$17,"M",TRUE,Currency1))</f>
        <v>0</v>
      </c>
      <c r="V399" s="699">
        <f>IF($O400=0,0,        _xll.qDateNext($O399,V$17,"M",TRUE,Currency1))</f>
        <v>0</v>
      </c>
      <c r="W399" s="699">
        <f>IF($O400=0,0,        _xll.qDateNext($O399,W$17,"M",TRUE,Currency1))</f>
        <v>0</v>
      </c>
      <c r="X399" s="699">
        <f>IF($O400=0,0,        _xll.qDateNext($O399,X$17,"M",TRUE,Currency1))</f>
        <v>0</v>
      </c>
      <c r="Y399" s="699">
        <f>IF($O400=0,0,        _xll.qDateNext($O399,Y$17,"M",TRUE,Currency1))</f>
        <v>0</v>
      </c>
      <c r="Z399" s="703">
        <f>IF($O400=0,0,           IF(FRM,_xll.qGetFwdRate(Z$14,$O399,R399,"T",DCC_Leg1_Float),_xll.qGetFwdRate(Z$14,$O399,$O400,"T",DCC_Leg1_Float)))</f>
        <v>0</v>
      </c>
      <c r="AA399" s="703">
        <f>IF($O400=0,0,           IF(FRM,_xll.qGetFwdRate(AA$14,$O399,S399,"T",DCC_Leg1_Float),_xll.qGetFwdRate(AA$14,$O399,$O400,"T",DCC_Leg1_Float)))</f>
        <v>0</v>
      </c>
      <c r="AB399" s="703">
        <f t="shared" si="73"/>
        <v>0</v>
      </c>
      <c r="AC399" s="703">
        <f>IF($O400=0,0,           IF(FRM,_xll.qGetFwdRate(AC$14,$O399,U399,"T",DCC_Leg1_Float),_xll.qGetFwdRate(AC$14,$O399,$O400,"T",DCC_Leg1_Float)))</f>
        <v>0</v>
      </c>
      <c r="AD399" s="703">
        <f t="shared" si="78"/>
        <v>0</v>
      </c>
      <c r="AE399" s="703">
        <f t="shared" si="79"/>
        <v>0</v>
      </c>
      <c r="AF399" s="703">
        <f>IF($O400=0,0,           IF(FRM,_xll.qGetFwdRate(AF$14,$O399,X399,"T",DCC_Leg1_Float),_xll.qGetFwdRate(AF$14,$O399,$O400,"T",DCC_Leg1_Float)))</f>
        <v>0</v>
      </c>
      <c r="AG399" s="703">
        <f>IF($O400=0,0,           IF(FRM,_xll.qGetFwdRate(AG$14,$O399,Y399,"T",DCC_Leg1_Float),_xll.qGetFwdRate(AG$14,$O399,$O400,"T",DCC_Leg1_Float)))</f>
        <v>0</v>
      </c>
      <c r="AH399" s="685">
        <v>0</v>
      </c>
      <c r="AI399" s="667"/>
      <c r="AJ399" s="670">
        <f>IF(O400=0,0,             IF(ISNUMBER(AI399),AI399,             IF(ISTEXT(AI399),INDEX(Z399:AG399,MATCH(AI399,$Z$17:$AG$17,0)),           IF(AH399="INT",_xll.qInterp(O400,R399:Y399,Z399:AG399),       INDEX(Z399:AG399,MATCH(AH399,$Z$17:$AG$17,0))))))</f>
        <v>0</v>
      </c>
      <c r="AK399" s="732">
        <v>20</v>
      </c>
      <c r="AL399" s="721">
        <f t="shared" si="74"/>
        <v>0</v>
      </c>
      <c r="AM399" s="284">
        <f>IF($O400,_xll.qDateYears($O399,$O400,DCC_Leg1_Fixed),0)</f>
        <v>0</v>
      </c>
      <c r="AN399" s="284">
        <f>IF($O400,_xll.qDateYears($O399,$O400,DCC_Leg1_Float),0)</f>
        <v>0</v>
      </c>
      <c r="AP399" s="350">
        <f t="shared" si="80"/>
        <v>0</v>
      </c>
      <c r="AQ399" s="375">
        <f>IF(GenType_1a="Fixed",GenRate_1a%*$AL398*AM398,          IF(GenType_1a="Float",$AL398*(_xll.qGetFwdRate($D$18,$O398,$O399,"T",DCC_Leg1_Float)%+GenRate_1a%%)*$AN398,        IF(GenType_1a="bp (Fixed)",GenRate_1a%%*$AM398*$AL398,   IF(GenType_1a="bp (Float)",GenRate_1a%%*$AL398*$AN398,0))))</f>
        <v>0</v>
      </c>
      <c r="AR399" s="561"/>
      <c r="AT399" s="341">
        <f t="shared" si="84"/>
        <v>0</v>
      </c>
      <c r="AV399" s="356"/>
      <c r="AW399" s="122">
        <v>0</v>
      </c>
      <c r="AX399" s="128">
        <f t="shared" si="75"/>
        <v>0</v>
      </c>
      <c r="AY399" s="357">
        <v>0</v>
      </c>
      <c r="AZ399" s="699">
        <f>IF($AW400=0,0,        _xll.qDateNext($AW399,AZ$17,"M",TRUE,Currency2))</f>
        <v>0</v>
      </c>
      <c r="BA399" s="699">
        <f>IF($AW400=0,0,        _xll.qDateNext($AW399,BA$17,"M",TRUE,Currency2))</f>
        <v>0</v>
      </c>
      <c r="BB399" s="699">
        <f>IF($AW400=0,0,        _xll.qDateNext($AW399,BB$17,"M",TRUE,Currency2))</f>
        <v>0</v>
      </c>
      <c r="BC399" s="699">
        <f>IF($AW400=0,0,        _xll.qDateNext($AW399,BC$17,"M",TRUE,Currency2))</f>
        <v>0</v>
      </c>
      <c r="BD399" s="699">
        <f>IF($AW400=0,0,        _xll.qDateNext($AW399,BD$17,"M",TRUE,Currency2))</f>
        <v>0</v>
      </c>
      <c r="BE399" s="699">
        <f>IF($AW400=0,0,        _xll.qDateNext($AW399,BE$17,"M",TRUE,Currency2))</f>
        <v>0</v>
      </c>
      <c r="BF399" s="699">
        <f>IF($AW400=0,0,        _xll.qDateNext($AW399,BF$17,"M",TRUE,Currency2))</f>
        <v>0</v>
      </c>
      <c r="BG399" s="699">
        <f>IF($AW400=0,0,        _xll.qDateNext($AW399,BG$17,"M",TRUE,Currency2))</f>
        <v>0</v>
      </c>
      <c r="BH399" s="703">
        <v>0</v>
      </c>
      <c r="BI399" s="703">
        <v>0</v>
      </c>
      <c r="BJ399" s="703">
        <v>0</v>
      </c>
      <c r="BK399" s="703">
        <v>0</v>
      </c>
      <c r="BL399" s="703">
        <f t="shared" si="81"/>
        <v>0</v>
      </c>
      <c r="BM399" s="703">
        <f t="shared" si="82"/>
        <v>0</v>
      </c>
      <c r="BN399" s="703">
        <v>0</v>
      </c>
      <c r="BO399" s="703">
        <v>0</v>
      </c>
      <c r="BP399" s="685">
        <v>0</v>
      </c>
      <c r="BQ399" s="667"/>
      <c r="BR399" s="670">
        <f>IF(AW400=0,0,             IF(ISNUMBER(BQ399),BQ399,             IF(ISTEXT(BQ399),INDEX(BH399:BO399,MATCH(BQ399,$BH$17:$BO$17,0)),           IF(BP399="INT",_xll.qInterp(AW400,AZ399:BG399,BH399:BO399),       INDEX(BH399:BO399,MATCH(BP399,$BH$17:$BO$17,0))))))</f>
        <v>0</v>
      </c>
      <c r="BS399" s="731">
        <f t="shared" si="76"/>
        <v>0</v>
      </c>
      <c r="BT399" s="406">
        <f t="shared" si="77"/>
        <v>0</v>
      </c>
      <c r="BU399" s="284">
        <f>IF($AW400,_xll.qDateYears($AW399,$AW400,DCC_Leg2_Fixed),0)</f>
        <v>0</v>
      </c>
      <c r="BV399" s="284">
        <f>IF($AW400,_xll.qDateYears($AW399,$AW400,DCC_Leg2_Float),0)</f>
        <v>0</v>
      </c>
      <c r="BX399" s="350">
        <f t="shared" si="83"/>
        <v>0</v>
      </c>
      <c r="BY399" s="375">
        <f>IF(GenType_2a="Fixed",GenRate_2a%*$BT398*BU398,          IF(GenType_2a="Float",$BT398*(_xll.qGetFwdRate($J$18,$AW398,$AW399,"T",DCC_Leg2_Float)%+GenRate_2a%%)*$BV398,        IF(GenType_2a="bp (Fixed)",GenRate_2a%%*$BU398*$BT398,   IF(GenType_2a="bp (Float)",GenRate_2a%%*$BT398*$BV398,0))))</f>
        <v>0</v>
      </c>
      <c r="BZ399" s="561"/>
      <c r="CB399" s="341">
        <f t="shared" si="85"/>
        <v>0</v>
      </c>
      <c r="CC399" s="563"/>
      <c r="CD399" s="356"/>
      <c r="CE399" s="341">
        <v>0</v>
      </c>
      <c r="CF399" s="563"/>
      <c r="CG399" s="356"/>
    </row>
    <row r="400" spans="15:85">
      <c r="O400" s="122">
        <v>0</v>
      </c>
      <c r="P400" s="128">
        <f t="shared" si="72"/>
        <v>0</v>
      </c>
      <c r="Q400" s="126">
        <v>0</v>
      </c>
      <c r="R400" s="699">
        <f>IF($O401=0,0,        _xll.qDateNext($O400,R$17,"M",TRUE,Currency1))</f>
        <v>0</v>
      </c>
      <c r="S400" s="699">
        <f>IF($O401=0,0,        _xll.qDateNext($O400,S$17,"M",TRUE,Currency1))</f>
        <v>0</v>
      </c>
      <c r="T400" s="699">
        <f>IF($O401=0,0,        _xll.qDateNext($O400,T$17,"M",TRUE,Currency1))</f>
        <v>0</v>
      </c>
      <c r="U400" s="699">
        <f>IF($O401=0,0,        _xll.qDateNext($O400,U$17,"M",TRUE,Currency1))</f>
        <v>0</v>
      </c>
      <c r="V400" s="699">
        <f>IF($O401=0,0,        _xll.qDateNext($O400,V$17,"M",TRUE,Currency1))</f>
        <v>0</v>
      </c>
      <c r="W400" s="699">
        <f>IF($O401=0,0,        _xll.qDateNext($O400,W$17,"M",TRUE,Currency1))</f>
        <v>0</v>
      </c>
      <c r="X400" s="699">
        <f>IF($O401=0,0,        _xll.qDateNext($O400,X$17,"M",TRUE,Currency1))</f>
        <v>0</v>
      </c>
      <c r="Y400" s="699">
        <f>IF($O401=0,0,        _xll.qDateNext($O400,Y$17,"M",TRUE,Currency1))</f>
        <v>0</v>
      </c>
      <c r="Z400" s="703">
        <f>IF($O401=0,0,           IF(FRM,_xll.qGetFwdRate(Z$14,$O400,R400,"T",DCC_Leg1_Float),_xll.qGetFwdRate(Z$14,$O400,$O401,"T",DCC_Leg1_Float)))</f>
        <v>0</v>
      </c>
      <c r="AA400" s="703">
        <f>IF($O401=0,0,           IF(FRM,_xll.qGetFwdRate(AA$14,$O400,S400,"T",DCC_Leg1_Float),_xll.qGetFwdRate(AA$14,$O400,$O401,"T",DCC_Leg1_Float)))</f>
        <v>0</v>
      </c>
      <c r="AB400" s="703">
        <f t="shared" si="73"/>
        <v>0</v>
      </c>
      <c r="AC400" s="703">
        <f>IF($O401=0,0,           IF(FRM,_xll.qGetFwdRate(AC$14,$O400,U400,"T",DCC_Leg1_Float),_xll.qGetFwdRate(AC$14,$O400,$O401,"T",DCC_Leg1_Float)))</f>
        <v>0</v>
      </c>
      <c r="AD400" s="703">
        <f t="shared" si="78"/>
        <v>0</v>
      </c>
      <c r="AE400" s="703">
        <f t="shared" si="79"/>
        <v>0</v>
      </c>
      <c r="AF400" s="703">
        <f>IF($O401=0,0,           IF(FRM,_xll.qGetFwdRate(AF$14,$O400,X400,"T",DCC_Leg1_Float),_xll.qGetFwdRate(AF$14,$O400,$O401,"T",DCC_Leg1_Float)))</f>
        <v>0</v>
      </c>
      <c r="AG400" s="703">
        <f>IF($O401=0,0,           IF(FRM,_xll.qGetFwdRate(AG$14,$O400,Y400,"T",DCC_Leg1_Float),_xll.qGetFwdRate(AG$14,$O400,$O401,"T",DCC_Leg1_Float)))</f>
        <v>0</v>
      </c>
      <c r="AH400" s="685">
        <v>0</v>
      </c>
      <c r="AI400" s="667"/>
      <c r="AJ400" s="670">
        <f>IF(O401=0,0,             IF(ISNUMBER(AI400),AI400,             IF(ISTEXT(AI400),INDEX(Z400:AG400,MATCH(AI400,$Z$17:$AG$17,0)),           IF(AH400="INT",_xll.qInterp(O401,R400:Y400,Z400:AG400),       INDEX(Z400:AG400,MATCH(AH400,$Z$17:$AG$17,0))))))</f>
        <v>0</v>
      </c>
      <c r="AK400" s="732">
        <v>20</v>
      </c>
      <c r="AL400" s="721">
        <f t="shared" si="74"/>
        <v>0</v>
      </c>
      <c r="AM400" s="284">
        <f>IF($O401,_xll.qDateYears($O400,$O401,DCC_Leg1_Fixed),0)</f>
        <v>0</v>
      </c>
      <c r="AN400" s="284">
        <f>IF($O401,_xll.qDateYears($O400,$O401,DCC_Leg1_Float),0)</f>
        <v>0</v>
      </c>
      <c r="AP400" s="350">
        <f t="shared" si="80"/>
        <v>0</v>
      </c>
      <c r="AQ400" s="375">
        <f>IF(GenType_1a="Fixed",GenRate_1a%*$AL399*AM399,          IF(GenType_1a="Float",$AL399*(_xll.qGetFwdRate($D$18,$O399,$O400,"T",DCC_Leg1_Float)%+GenRate_1a%%)*$AN399,        IF(GenType_1a="bp (Fixed)",GenRate_1a%%*$AM399*$AL399,   IF(GenType_1a="bp (Float)",GenRate_1a%%*$AL399*$AN399,0))))</f>
        <v>0</v>
      </c>
      <c r="AR400" s="561"/>
      <c r="AT400" s="341">
        <f t="shared" si="84"/>
        <v>0</v>
      </c>
      <c r="AV400" s="356"/>
      <c r="AW400" s="122">
        <v>0</v>
      </c>
      <c r="AX400" s="128">
        <f t="shared" si="75"/>
        <v>0</v>
      </c>
      <c r="AY400" s="357">
        <v>0</v>
      </c>
      <c r="AZ400" s="699">
        <f>IF($AW401=0,0,        _xll.qDateNext($AW400,AZ$17,"M",TRUE,Currency2))</f>
        <v>0</v>
      </c>
      <c r="BA400" s="699">
        <f>IF($AW401=0,0,        _xll.qDateNext($AW400,BA$17,"M",TRUE,Currency2))</f>
        <v>0</v>
      </c>
      <c r="BB400" s="699">
        <f>IF($AW401=0,0,        _xll.qDateNext($AW400,BB$17,"M",TRUE,Currency2))</f>
        <v>0</v>
      </c>
      <c r="BC400" s="699">
        <f>IF($AW401=0,0,        _xll.qDateNext($AW400,BC$17,"M",TRUE,Currency2))</f>
        <v>0</v>
      </c>
      <c r="BD400" s="699">
        <f>IF($AW401=0,0,        _xll.qDateNext($AW400,BD$17,"M",TRUE,Currency2))</f>
        <v>0</v>
      </c>
      <c r="BE400" s="699">
        <f>IF($AW401=0,0,        _xll.qDateNext($AW400,BE$17,"M",TRUE,Currency2))</f>
        <v>0</v>
      </c>
      <c r="BF400" s="699">
        <f>IF($AW401=0,0,        _xll.qDateNext($AW400,BF$17,"M",TRUE,Currency2))</f>
        <v>0</v>
      </c>
      <c r="BG400" s="699">
        <f>IF($AW401=0,0,        _xll.qDateNext($AW400,BG$17,"M",TRUE,Currency2))</f>
        <v>0</v>
      </c>
      <c r="BH400" s="703">
        <v>0</v>
      </c>
      <c r="BI400" s="703">
        <v>0</v>
      </c>
      <c r="BJ400" s="703">
        <v>0</v>
      </c>
      <c r="BK400" s="703">
        <v>0</v>
      </c>
      <c r="BL400" s="703">
        <f t="shared" si="81"/>
        <v>0</v>
      </c>
      <c r="BM400" s="703">
        <f t="shared" si="82"/>
        <v>0</v>
      </c>
      <c r="BN400" s="703">
        <v>0</v>
      </c>
      <c r="BO400" s="703">
        <v>0</v>
      </c>
      <c r="BP400" s="685">
        <v>0</v>
      </c>
      <c r="BQ400" s="667"/>
      <c r="BR400" s="670">
        <f>IF(AW401=0,0,             IF(ISNUMBER(BQ400),BQ400,             IF(ISTEXT(BQ400),INDEX(BH400:BO400,MATCH(BQ400,$BH$17:$BO$17,0)),           IF(BP400="INT",_xll.qInterp(AW401,AZ400:BG400,BH400:BO400),       INDEX(BH400:BO400,MATCH(BP400,$BH$17:$BO$17,0))))))</f>
        <v>0</v>
      </c>
      <c r="BS400" s="731">
        <f t="shared" si="76"/>
        <v>0</v>
      </c>
      <c r="BT400" s="406">
        <f t="shared" si="77"/>
        <v>0</v>
      </c>
      <c r="BU400" s="284">
        <f>IF($AW401,_xll.qDateYears($AW400,$AW401,DCC_Leg2_Fixed),0)</f>
        <v>0</v>
      </c>
      <c r="BV400" s="284">
        <f>IF($AW401,_xll.qDateYears($AW400,$AW401,DCC_Leg2_Float),0)</f>
        <v>0</v>
      </c>
      <c r="BX400" s="350">
        <f t="shared" si="83"/>
        <v>0</v>
      </c>
      <c r="BY400" s="375">
        <f>IF(GenType_2a="Fixed",GenRate_2a%*$BT399*BU399,          IF(GenType_2a="Float",$BT399*(_xll.qGetFwdRate($J$18,$AW399,$AW400,"T",DCC_Leg2_Float)%+GenRate_2a%%)*$BV399,        IF(GenType_2a="bp (Fixed)",GenRate_2a%%*$BU399*$BT399,   IF(GenType_2a="bp (Float)",GenRate_2a%%*$BT399*$BV399,0))))</f>
        <v>0</v>
      </c>
      <c r="BZ400" s="561"/>
      <c r="CB400" s="341">
        <f t="shared" si="85"/>
        <v>0</v>
      </c>
      <c r="CC400" s="563"/>
      <c r="CD400" s="356"/>
      <c r="CE400" s="341">
        <v>0</v>
      </c>
      <c r="CF400" s="563"/>
      <c r="CG400" s="356"/>
    </row>
    <row r="401" spans="15:85">
      <c r="O401" s="122">
        <v>0</v>
      </c>
      <c r="P401" s="128">
        <f t="shared" si="72"/>
        <v>0</v>
      </c>
      <c r="Q401" s="126">
        <v>0</v>
      </c>
      <c r="R401" s="699">
        <f>IF($O402=0,0,        _xll.qDateNext($O401,R$17,"M",TRUE,Currency1))</f>
        <v>0</v>
      </c>
      <c r="S401" s="699">
        <f>IF($O402=0,0,        _xll.qDateNext($O401,S$17,"M",TRUE,Currency1))</f>
        <v>0</v>
      </c>
      <c r="T401" s="699">
        <f>IF($O402=0,0,        _xll.qDateNext($O401,T$17,"M",TRUE,Currency1))</f>
        <v>0</v>
      </c>
      <c r="U401" s="699">
        <f>IF($O402=0,0,        _xll.qDateNext($O401,U$17,"M",TRUE,Currency1))</f>
        <v>0</v>
      </c>
      <c r="V401" s="699">
        <f>IF($O402=0,0,        _xll.qDateNext($O401,V$17,"M",TRUE,Currency1))</f>
        <v>0</v>
      </c>
      <c r="W401" s="699">
        <f>IF($O402=0,0,        _xll.qDateNext($O401,W$17,"M",TRUE,Currency1))</f>
        <v>0</v>
      </c>
      <c r="X401" s="699">
        <f>IF($O402=0,0,        _xll.qDateNext($O401,X$17,"M",TRUE,Currency1))</f>
        <v>0</v>
      </c>
      <c r="Y401" s="699">
        <f>IF($O402=0,0,        _xll.qDateNext($O401,Y$17,"M",TRUE,Currency1))</f>
        <v>0</v>
      </c>
      <c r="Z401" s="703">
        <f>IF($O402=0,0,           IF(FRM,_xll.qGetFwdRate(Z$14,$O401,R401,"T",DCC_Leg1_Float),_xll.qGetFwdRate(Z$14,$O401,$O402,"T",DCC_Leg1_Float)))</f>
        <v>0</v>
      </c>
      <c r="AA401" s="703">
        <f>IF($O402=0,0,           IF(FRM,_xll.qGetFwdRate(AA$14,$O401,S401,"T",DCC_Leg1_Float),_xll.qGetFwdRate(AA$14,$O401,$O402,"T",DCC_Leg1_Float)))</f>
        <v>0</v>
      </c>
      <c r="AB401" s="703">
        <f t="shared" si="73"/>
        <v>0</v>
      </c>
      <c r="AC401" s="703">
        <f>IF($O402=0,0,           IF(FRM,_xll.qGetFwdRate(AC$14,$O401,U401,"T",DCC_Leg1_Float),_xll.qGetFwdRate(AC$14,$O401,$O402,"T",DCC_Leg1_Float)))</f>
        <v>0</v>
      </c>
      <c r="AD401" s="703">
        <f t="shared" si="78"/>
        <v>0</v>
      </c>
      <c r="AE401" s="703">
        <f t="shared" si="79"/>
        <v>0</v>
      </c>
      <c r="AF401" s="703">
        <f>IF($O402=0,0,           IF(FRM,_xll.qGetFwdRate(AF$14,$O401,X401,"T",DCC_Leg1_Float),_xll.qGetFwdRate(AF$14,$O401,$O402,"T",DCC_Leg1_Float)))</f>
        <v>0</v>
      </c>
      <c r="AG401" s="703">
        <f>IF($O402=0,0,           IF(FRM,_xll.qGetFwdRate(AG$14,$O401,Y401,"T",DCC_Leg1_Float),_xll.qGetFwdRate(AG$14,$O401,$O402,"T",DCC_Leg1_Float)))</f>
        <v>0</v>
      </c>
      <c r="AH401" s="685">
        <v>0</v>
      </c>
      <c r="AI401" s="667"/>
      <c r="AJ401" s="670">
        <f>IF(O402=0,0,             IF(ISNUMBER(AI401),AI401,             IF(ISTEXT(AI401),INDEX(Z401:AG401,MATCH(AI401,$Z$17:$AG$17,0)),           IF(AH401="INT",_xll.qInterp(O402,R401:Y401,Z401:AG401),       INDEX(Z401:AG401,MATCH(AH401,$Z$17:$AG$17,0))))))</f>
        <v>0</v>
      </c>
      <c r="AK401" s="732">
        <v>20</v>
      </c>
      <c r="AL401" s="721">
        <f t="shared" si="74"/>
        <v>0</v>
      </c>
      <c r="AM401" s="284">
        <f>IF($O402,_xll.qDateYears($O401,$O402,DCC_Leg1_Fixed),0)</f>
        <v>0</v>
      </c>
      <c r="AN401" s="284">
        <f>IF($O402,_xll.qDateYears($O401,$O402,DCC_Leg1_Float),0)</f>
        <v>0</v>
      </c>
      <c r="AP401" s="350">
        <f t="shared" si="80"/>
        <v>0</v>
      </c>
      <c r="AQ401" s="375">
        <f>IF(GenType_1a="Fixed",GenRate_1a%*$AL400*AM400,          IF(GenType_1a="Float",$AL400*(_xll.qGetFwdRate($D$18,$O400,$O401,"T",DCC_Leg1_Float)%+GenRate_1a%%)*$AN400,        IF(GenType_1a="bp (Fixed)",GenRate_1a%%*$AM400*$AL400,   IF(GenType_1a="bp (Float)",GenRate_1a%%*$AL400*$AN400,0))))</f>
        <v>0</v>
      </c>
      <c r="AR401" s="561"/>
      <c r="AT401" s="341">
        <f t="shared" si="84"/>
        <v>0</v>
      </c>
      <c r="AV401" s="356"/>
      <c r="AW401" s="122">
        <v>0</v>
      </c>
      <c r="AX401" s="128">
        <f t="shared" si="75"/>
        <v>0</v>
      </c>
      <c r="AY401" s="357">
        <v>0</v>
      </c>
      <c r="AZ401" s="699">
        <f>IF($AW402=0,0,        _xll.qDateNext($AW401,AZ$17,"M",TRUE,Currency2))</f>
        <v>0</v>
      </c>
      <c r="BA401" s="699">
        <f>IF($AW402=0,0,        _xll.qDateNext($AW401,BA$17,"M",TRUE,Currency2))</f>
        <v>0</v>
      </c>
      <c r="BB401" s="699">
        <f>IF($AW402=0,0,        _xll.qDateNext($AW401,BB$17,"M",TRUE,Currency2))</f>
        <v>0</v>
      </c>
      <c r="BC401" s="699">
        <f>IF($AW402=0,0,        _xll.qDateNext($AW401,BC$17,"M",TRUE,Currency2))</f>
        <v>0</v>
      </c>
      <c r="BD401" s="699">
        <f>IF($AW402=0,0,        _xll.qDateNext($AW401,BD$17,"M",TRUE,Currency2))</f>
        <v>0</v>
      </c>
      <c r="BE401" s="699">
        <f>IF($AW402=0,0,        _xll.qDateNext($AW401,BE$17,"M",TRUE,Currency2))</f>
        <v>0</v>
      </c>
      <c r="BF401" s="699">
        <f>IF($AW402=0,0,        _xll.qDateNext($AW401,BF$17,"M",TRUE,Currency2))</f>
        <v>0</v>
      </c>
      <c r="BG401" s="699">
        <f>IF($AW402=0,0,        _xll.qDateNext($AW401,BG$17,"M",TRUE,Currency2))</f>
        <v>0</v>
      </c>
      <c r="BH401" s="703">
        <v>0</v>
      </c>
      <c r="BI401" s="703">
        <v>0</v>
      </c>
      <c r="BJ401" s="703">
        <v>0</v>
      </c>
      <c r="BK401" s="703">
        <v>0</v>
      </c>
      <c r="BL401" s="703">
        <f t="shared" si="81"/>
        <v>0</v>
      </c>
      <c r="BM401" s="703">
        <f t="shared" si="82"/>
        <v>0</v>
      </c>
      <c r="BN401" s="703">
        <v>0</v>
      </c>
      <c r="BO401" s="703">
        <v>0</v>
      </c>
      <c r="BP401" s="685">
        <v>0</v>
      </c>
      <c r="BQ401" s="667"/>
      <c r="BR401" s="670">
        <f>IF(AW402=0,0,             IF(ISNUMBER(BQ401),BQ401,             IF(ISTEXT(BQ401),INDEX(BH401:BO401,MATCH(BQ401,$BH$17:$BO$17,0)),           IF(BP401="INT",_xll.qInterp(AW402,AZ401:BG401,BH401:BO401),       INDEX(BH401:BO401,MATCH(BP401,$BH$17:$BO$17,0))))))</f>
        <v>0</v>
      </c>
      <c r="BS401" s="731">
        <f t="shared" si="76"/>
        <v>0</v>
      </c>
      <c r="BT401" s="406">
        <f t="shared" si="77"/>
        <v>0</v>
      </c>
      <c r="BU401" s="284">
        <f>IF($AW402,_xll.qDateYears($AW401,$AW402,DCC_Leg2_Fixed),0)</f>
        <v>0</v>
      </c>
      <c r="BV401" s="284">
        <f>IF($AW402,_xll.qDateYears($AW401,$AW402,DCC_Leg2_Float),0)</f>
        <v>0</v>
      </c>
      <c r="BX401" s="350">
        <f t="shared" si="83"/>
        <v>0</v>
      </c>
      <c r="BY401" s="375">
        <f>IF(GenType_2a="Fixed",GenRate_2a%*$BT400*BU400,          IF(GenType_2a="Float",$BT400*(_xll.qGetFwdRate($J$18,$AW400,$AW401,"T",DCC_Leg2_Float)%+GenRate_2a%%)*$BV400,        IF(GenType_2a="bp (Fixed)",GenRate_2a%%*$BU400*$BT400,   IF(GenType_2a="bp (Float)",GenRate_2a%%*$BT400*$BV400,0))))</f>
        <v>0</v>
      </c>
      <c r="BZ401" s="561"/>
      <c r="CB401" s="341">
        <f t="shared" si="85"/>
        <v>0</v>
      </c>
      <c r="CC401" s="563"/>
      <c r="CD401" s="356"/>
      <c r="CE401" s="341">
        <v>0</v>
      </c>
      <c r="CF401" s="563"/>
      <c r="CG401" s="356"/>
    </row>
    <row r="402" spans="15:85">
      <c r="O402" s="122">
        <v>0</v>
      </c>
      <c r="P402" s="128">
        <f t="shared" ref="P402:P465" si="86">IF(O403,O403-O402,0)</f>
        <v>0</v>
      </c>
      <c r="Q402" s="126">
        <v>0</v>
      </c>
      <c r="R402" s="699">
        <f>IF($O403=0,0,        _xll.qDateNext($O402,R$17,"M",TRUE,Currency1))</f>
        <v>0</v>
      </c>
      <c r="S402" s="699">
        <f>IF($O403=0,0,        _xll.qDateNext($O402,S$17,"M",TRUE,Currency1))</f>
        <v>0</v>
      </c>
      <c r="T402" s="699">
        <f>IF($O403=0,0,        _xll.qDateNext($O402,T$17,"M",TRUE,Currency1))</f>
        <v>0</v>
      </c>
      <c r="U402" s="699">
        <f>IF($O403=0,0,        _xll.qDateNext($O402,U$17,"M",TRUE,Currency1))</f>
        <v>0</v>
      </c>
      <c r="V402" s="699">
        <f>IF($O403=0,0,        _xll.qDateNext($O402,V$17,"M",TRUE,Currency1))</f>
        <v>0</v>
      </c>
      <c r="W402" s="699">
        <f>IF($O403=0,0,        _xll.qDateNext($O402,W$17,"M",TRUE,Currency1))</f>
        <v>0</v>
      </c>
      <c r="X402" s="699">
        <f>IF($O403=0,0,        _xll.qDateNext($O402,X$17,"M",TRUE,Currency1))</f>
        <v>0</v>
      </c>
      <c r="Y402" s="699">
        <f>IF($O403=0,0,        _xll.qDateNext($O402,Y$17,"M",TRUE,Currency1))</f>
        <v>0</v>
      </c>
      <c r="Z402" s="703">
        <f>IF($O403=0,0,           IF(FRM,_xll.qGetFwdRate(Z$14,$O402,R402,"T",DCC_Leg1_Float),_xll.qGetFwdRate(Z$14,$O402,$O403,"T",DCC_Leg1_Float)))</f>
        <v>0</v>
      </c>
      <c r="AA402" s="703">
        <f>IF($O403=0,0,           IF(FRM,_xll.qGetFwdRate(AA$14,$O402,S402,"T",DCC_Leg1_Float),_xll.qGetFwdRate(AA$14,$O402,$O403,"T",DCC_Leg1_Float)))</f>
        <v>0</v>
      </c>
      <c r="AB402" s="703">
        <f t="shared" ref="AB402:AB465" si="87">AVERAGE(AA402,AC402)</f>
        <v>0</v>
      </c>
      <c r="AC402" s="703">
        <f>IF($O403=0,0,           IF(FRM,_xll.qGetFwdRate(AC$14,$O402,U402,"T",DCC_Leg1_Float),_xll.qGetFwdRate(AC$14,$O402,$O403,"T",DCC_Leg1_Float)))</f>
        <v>0</v>
      </c>
      <c r="AD402" s="703">
        <f t="shared" si="78"/>
        <v>0</v>
      </c>
      <c r="AE402" s="703">
        <f t="shared" si="79"/>
        <v>0</v>
      </c>
      <c r="AF402" s="703">
        <f>IF($O403=0,0,           IF(FRM,_xll.qGetFwdRate(AF$14,$O402,X402,"T",DCC_Leg1_Float),_xll.qGetFwdRate(AF$14,$O402,$O403,"T",DCC_Leg1_Float)))</f>
        <v>0</v>
      </c>
      <c r="AG402" s="703">
        <f>IF($O403=0,0,           IF(FRM,_xll.qGetFwdRate(AG$14,$O402,Y402,"T",DCC_Leg1_Float),_xll.qGetFwdRate(AG$14,$O402,$O403,"T",DCC_Leg1_Float)))</f>
        <v>0</v>
      </c>
      <c r="AH402" s="685">
        <v>0</v>
      </c>
      <c r="AI402" s="667"/>
      <c r="AJ402" s="670">
        <f>IF(O403=0,0,             IF(ISNUMBER(AI402),AI402,             IF(ISTEXT(AI402),INDEX(Z402:AG402,MATCH(AI402,$Z$17:$AG$17,0)),           IF(AH402="INT",_xll.qInterp(O403,R402:Y402,Z402:AG402),       INDEX(Z402:AG402,MATCH(AH402,$Z$17:$AG$17,0))))))</f>
        <v>0</v>
      </c>
      <c r="AK402" s="732">
        <v>20</v>
      </c>
      <c r="AL402" s="721">
        <f t="shared" ref="AL402:AL465" si="88">IF(O403,AK402*1000000*$AN$11,0)</f>
        <v>0</v>
      </c>
      <c r="AM402" s="284">
        <f>IF($O403,_xll.qDateYears($O402,$O403,DCC_Leg1_Fixed),0)</f>
        <v>0</v>
      </c>
      <c r="AN402" s="284">
        <f>IF($O403,_xll.qDateYears($O402,$O403,DCC_Leg1_Float),0)</f>
        <v>0</v>
      </c>
      <c r="AP402" s="350">
        <f t="shared" si="80"/>
        <v>0</v>
      </c>
      <c r="AQ402" s="375">
        <f>IF(GenType_1a="Fixed",GenRate_1a%*$AL401*AM401,          IF(GenType_1a="Float",$AL401*(_xll.qGetFwdRate($D$18,$O401,$O402,"T",DCC_Leg1_Float)%+GenRate_1a%%)*$AN401,        IF(GenType_1a="bp (Fixed)",GenRate_1a%%*$AM401*$AL401,   IF(GenType_1a="bp (Float)",GenRate_1a%%*$AL401*$AN401,0))))</f>
        <v>0</v>
      </c>
      <c r="AR402" s="561"/>
      <c r="AT402" s="341">
        <f t="shared" si="84"/>
        <v>0</v>
      </c>
      <c r="AV402" s="356"/>
      <c r="AW402" s="122">
        <v>0</v>
      </c>
      <c r="AX402" s="128">
        <f t="shared" ref="AX402:AX465" si="89">IF(AW403,AW403-AW402,0)</f>
        <v>0</v>
      </c>
      <c r="AY402" s="357">
        <v>0</v>
      </c>
      <c r="AZ402" s="699">
        <f>IF($AW403=0,0,        _xll.qDateNext($AW402,AZ$17,"M",TRUE,Currency2))</f>
        <v>0</v>
      </c>
      <c r="BA402" s="699">
        <f>IF($AW403=0,0,        _xll.qDateNext($AW402,BA$17,"M",TRUE,Currency2))</f>
        <v>0</v>
      </c>
      <c r="BB402" s="699">
        <f>IF($AW403=0,0,        _xll.qDateNext($AW402,BB$17,"M",TRUE,Currency2))</f>
        <v>0</v>
      </c>
      <c r="BC402" s="699">
        <f>IF($AW403=0,0,        _xll.qDateNext($AW402,BC$17,"M",TRUE,Currency2))</f>
        <v>0</v>
      </c>
      <c r="BD402" s="699">
        <f>IF($AW403=0,0,        _xll.qDateNext($AW402,BD$17,"M",TRUE,Currency2))</f>
        <v>0</v>
      </c>
      <c r="BE402" s="699">
        <f>IF($AW403=0,0,        _xll.qDateNext($AW402,BE$17,"M",TRUE,Currency2))</f>
        <v>0</v>
      </c>
      <c r="BF402" s="699">
        <f>IF($AW403=0,0,        _xll.qDateNext($AW402,BF$17,"M",TRUE,Currency2))</f>
        <v>0</v>
      </c>
      <c r="BG402" s="699">
        <f>IF($AW403=0,0,        _xll.qDateNext($AW402,BG$17,"M",TRUE,Currency2))</f>
        <v>0</v>
      </c>
      <c r="BH402" s="703">
        <v>0</v>
      </c>
      <c r="BI402" s="703">
        <v>0</v>
      </c>
      <c r="BJ402" s="703">
        <v>0</v>
      </c>
      <c r="BK402" s="703">
        <v>0</v>
      </c>
      <c r="BL402" s="703">
        <f t="shared" si="81"/>
        <v>0</v>
      </c>
      <c r="BM402" s="703">
        <f t="shared" si="82"/>
        <v>0</v>
      </c>
      <c r="BN402" s="703">
        <v>0</v>
      </c>
      <c r="BO402" s="703">
        <v>0</v>
      </c>
      <c r="BP402" s="685">
        <v>0</v>
      </c>
      <c r="BQ402" s="667"/>
      <c r="BR402" s="670">
        <f>IF(AW403=0,0,             IF(ISNUMBER(BQ402),BQ402,             IF(ISTEXT(BQ402),INDEX(BH402:BO402,MATCH(BQ402,$BH$17:$BO$17,0)),           IF(BP402="INT",_xll.qInterp(AW403,AZ402:BG402,BH402:BO402),       INDEX(BH402:BO402,MATCH(BP402,$BH$17:$BO$17,0))))))</f>
        <v>0</v>
      </c>
      <c r="BS402" s="731">
        <f t="shared" ref="BS402:BS465" si="90">IF(AW403,INDEX($AK$18:$AK$516,MATCH(AW402,OFFSET($O$18,0,0,$AN$12,1)))*$F$6,0)</f>
        <v>0</v>
      </c>
      <c r="BT402" s="406">
        <f t="shared" ref="BT402:BT465" si="91">IF(AW402,BS402*1000000*$BV$11,0)</f>
        <v>0</v>
      </c>
      <c r="BU402" s="284">
        <f>IF($AW403,_xll.qDateYears($AW402,$AW403,DCC_Leg2_Fixed),0)</f>
        <v>0</v>
      </c>
      <c r="BV402" s="284">
        <f>IF($AW403,_xll.qDateYears($AW402,$AW403,DCC_Leg2_Float),0)</f>
        <v>0</v>
      </c>
      <c r="BX402" s="350">
        <f t="shared" si="83"/>
        <v>0</v>
      </c>
      <c r="BY402" s="375">
        <f>IF(GenType_2a="Fixed",GenRate_2a%*$BT401*BU401,          IF(GenType_2a="Float",$BT401*(_xll.qGetFwdRate($J$18,$AW401,$AW402,"T",DCC_Leg2_Float)%+GenRate_2a%%)*$BV401,        IF(GenType_2a="bp (Fixed)",GenRate_2a%%*$BU401*$BT401,   IF(GenType_2a="bp (Float)",GenRate_2a%%*$BT401*$BV401,0))))</f>
        <v>0</v>
      </c>
      <c r="BZ402" s="561"/>
      <c r="CB402" s="341">
        <f t="shared" si="85"/>
        <v>0</v>
      </c>
      <c r="CC402" s="563"/>
      <c r="CD402" s="356"/>
      <c r="CE402" s="341">
        <v>0</v>
      </c>
      <c r="CF402" s="563"/>
      <c r="CG402" s="356"/>
    </row>
    <row r="403" spans="15:85">
      <c r="O403" s="122">
        <v>0</v>
      </c>
      <c r="P403" s="128">
        <f t="shared" si="86"/>
        <v>0</v>
      </c>
      <c r="Q403" s="126">
        <v>0</v>
      </c>
      <c r="R403" s="699">
        <f>IF($O404=0,0,        _xll.qDateNext($O403,R$17,"M",TRUE,Currency1))</f>
        <v>0</v>
      </c>
      <c r="S403" s="699">
        <f>IF($O404=0,0,        _xll.qDateNext($O403,S$17,"M",TRUE,Currency1))</f>
        <v>0</v>
      </c>
      <c r="T403" s="699">
        <f>IF($O404=0,0,        _xll.qDateNext($O403,T$17,"M",TRUE,Currency1))</f>
        <v>0</v>
      </c>
      <c r="U403" s="699">
        <f>IF($O404=0,0,        _xll.qDateNext($O403,U$17,"M",TRUE,Currency1))</f>
        <v>0</v>
      </c>
      <c r="V403" s="699">
        <f>IF($O404=0,0,        _xll.qDateNext($O403,V$17,"M",TRUE,Currency1))</f>
        <v>0</v>
      </c>
      <c r="W403" s="699">
        <f>IF($O404=0,0,        _xll.qDateNext($O403,W$17,"M",TRUE,Currency1))</f>
        <v>0</v>
      </c>
      <c r="X403" s="699">
        <f>IF($O404=0,0,        _xll.qDateNext($O403,X$17,"M",TRUE,Currency1))</f>
        <v>0</v>
      </c>
      <c r="Y403" s="699">
        <f>IF($O404=0,0,        _xll.qDateNext($O403,Y$17,"M",TRUE,Currency1))</f>
        <v>0</v>
      </c>
      <c r="Z403" s="703">
        <f>IF($O404=0,0,           IF(FRM,_xll.qGetFwdRate(Z$14,$O403,R403,"T",DCC_Leg1_Float),_xll.qGetFwdRate(Z$14,$O403,$O404,"T",DCC_Leg1_Float)))</f>
        <v>0</v>
      </c>
      <c r="AA403" s="703">
        <f>IF($O404=0,0,           IF(FRM,_xll.qGetFwdRate(AA$14,$O403,S403,"T",DCC_Leg1_Float),_xll.qGetFwdRate(AA$14,$O403,$O404,"T",DCC_Leg1_Float)))</f>
        <v>0</v>
      </c>
      <c r="AB403" s="703">
        <f t="shared" si="87"/>
        <v>0</v>
      </c>
      <c r="AC403" s="703">
        <f>IF($O404=0,0,           IF(FRM,_xll.qGetFwdRate(AC$14,$O403,U403,"T",DCC_Leg1_Float),_xll.qGetFwdRate(AC$14,$O403,$O404,"T",DCC_Leg1_Float)))</f>
        <v>0</v>
      </c>
      <c r="AD403" s="703">
        <f t="shared" ref="AD403:AD466" si="92">(AF403-AC403)/3+AC403</f>
        <v>0</v>
      </c>
      <c r="AE403" s="703">
        <f t="shared" ref="AE403:AE466" si="93">AVERAGE(AD403,AF403)</f>
        <v>0</v>
      </c>
      <c r="AF403" s="703">
        <f>IF($O404=0,0,           IF(FRM,_xll.qGetFwdRate(AF$14,$O403,X403,"T",DCC_Leg1_Float),_xll.qGetFwdRate(AF$14,$O403,$O404,"T",DCC_Leg1_Float)))</f>
        <v>0</v>
      </c>
      <c r="AG403" s="703">
        <f>IF($O404=0,0,           IF(FRM,_xll.qGetFwdRate(AG$14,$O403,Y403,"T",DCC_Leg1_Float),_xll.qGetFwdRate(AG$14,$O403,$O404,"T",DCC_Leg1_Float)))</f>
        <v>0</v>
      </c>
      <c r="AH403" s="685">
        <v>0</v>
      </c>
      <c r="AI403" s="667"/>
      <c r="AJ403" s="670">
        <f>IF(O404=0,0,             IF(ISNUMBER(AI403),AI403,             IF(ISTEXT(AI403),INDEX(Z403:AG403,MATCH(AI403,$Z$17:$AG$17,0)),           IF(AH403="INT",_xll.qInterp(O404,R403:Y403,Z403:AG403),       INDEX(Z403:AG403,MATCH(AH403,$Z$17:$AG$17,0))))))</f>
        <v>0</v>
      </c>
      <c r="AK403" s="732">
        <v>20</v>
      </c>
      <c r="AL403" s="721">
        <f t="shared" si="88"/>
        <v>0</v>
      </c>
      <c r="AM403" s="284">
        <f>IF($O404,_xll.qDateYears($O403,$O404,DCC_Leg1_Fixed),0)</f>
        <v>0</v>
      </c>
      <c r="AN403" s="284">
        <f>IF($O404,_xll.qDateYears($O403,$O404,DCC_Leg1_Float),0)</f>
        <v>0</v>
      </c>
      <c r="AP403" s="350">
        <f t="shared" ref="AP403:AP466" si="94">IF(Principal1?,$AL402-$AL403,       0)</f>
        <v>0</v>
      </c>
      <c r="AQ403" s="375">
        <f>IF(GenType_1a="Fixed",GenRate_1a%*$AL402*AM402,          IF(GenType_1a="Float",$AL402*(_xll.qGetFwdRate($D$18,$O402,$O403,"T",DCC_Leg1_Float)%+GenRate_1a%%)*$AN402,        IF(GenType_1a="bp (Fixed)",GenRate_1a%%*$AM402*$AL402,   IF(GenType_1a="bp (Float)",GenRate_1a%%*$AL402*$AN402,0))))</f>
        <v>0</v>
      </c>
      <c r="AR403" s="561"/>
      <c r="AT403" s="341">
        <f t="shared" si="84"/>
        <v>0</v>
      </c>
      <c r="AV403" s="356"/>
      <c r="AW403" s="122">
        <v>0</v>
      </c>
      <c r="AX403" s="128">
        <f t="shared" si="89"/>
        <v>0</v>
      </c>
      <c r="AY403" s="357">
        <v>0</v>
      </c>
      <c r="AZ403" s="699">
        <f>IF($AW404=0,0,        _xll.qDateNext($AW403,AZ$17,"M",TRUE,Currency2))</f>
        <v>0</v>
      </c>
      <c r="BA403" s="699">
        <f>IF($AW404=0,0,        _xll.qDateNext($AW403,BA$17,"M",TRUE,Currency2))</f>
        <v>0</v>
      </c>
      <c r="BB403" s="699">
        <f>IF($AW404=0,0,        _xll.qDateNext($AW403,BB$17,"M",TRUE,Currency2))</f>
        <v>0</v>
      </c>
      <c r="BC403" s="699">
        <f>IF($AW404=0,0,        _xll.qDateNext($AW403,BC$17,"M",TRUE,Currency2))</f>
        <v>0</v>
      </c>
      <c r="BD403" s="699">
        <f>IF($AW404=0,0,        _xll.qDateNext($AW403,BD$17,"M",TRUE,Currency2))</f>
        <v>0</v>
      </c>
      <c r="BE403" s="699">
        <f>IF($AW404=0,0,        _xll.qDateNext($AW403,BE$17,"M",TRUE,Currency2))</f>
        <v>0</v>
      </c>
      <c r="BF403" s="699">
        <f>IF($AW404=0,0,        _xll.qDateNext($AW403,BF$17,"M",TRUE,Currency2))</f>
        <v>0</v>
      </c>
      <c r="BG403" s="699">
        <f>IF($AW404=0,0,        _xll.qDateNext($AW403,BG$17,"M",TRUE,Currency2))</f>
        <v>0</v>
      </c>
      <c r="BH403" s="703">
        <v>0</v>
      </c>
      <c r="BI403" s="703">
        <v>0</v>
      </c>
      <c r="BJ403" s="703">
        <v>0</v>
      </c>
      <c r="BK403" s="703">
        <v>0</v>
      </c>
      <c r="BL403" s="703">
        <f t="shared" ref="BL403:BL466" si="95">(BN403-BK403)/3+BK403</f>
        <v>0</v>
      </c>
      <c r="BM403" s="703">
        <f t="shared" ref="BM403:BM466" si="96">AVERAGE(BL403,BN403)</f>
        <v>0</v>
      </c>
      <c r="BN403" s="703">
        <v>0</v>
      </c>
      <c r="BO403" s="703">
        <v>0</v>
      </c>
      <c r="BP403" s="685">
        <v>0</v>
      </c>
      <c r="BQ403" s="667"/>
      <c r="BR403" s="670">
        <f>IF(AW404=0,0,             IF(ISNUMBER(BQ403),BQ403,             IF(ISTEXT(BQ403),INDEX(BH403:BO403,MATCH(BQ403,$BH$17:$BO$17,0)),           IF(BP403="INT",_xll.qInterp(AW404,AZ403:BG403,BH403:BO403),       INDEX(BH403:BO403,MATCH(BP403,$BH$17:$BO$17,0))))))</f>
        <v>0</v>
      </c>
      <c r="BS403" s="731">
        <f t="shared" si="90"/>
        <v>0</v>
      </c>
      <c r="BT403" s="406">
        <f t="shared" si="91"/>
        <v>0</v>
      </c>
      <c r="BU403" s="284">
        <f>IF($AW404,_xll.qDateYears($AW403,$AW404,DCC_Leg2_Fixed),0)</f>
        <v>0</v>
      </c>
      <c r="BV403" s="284">
        <f>IF($AW404,_xll.qDateYears($AW403,$AW404,DCC_Leg2_Float),0)</f>
        <v>0</v>
      </c>
      <c r="BX403" s="350">
        <f t="shared" ref="BX403:BX466" si="97">IF(Principal2?,$BT402-$BT403,       0)</f>
        <v>0</v>
      </c>
      <c r="BY403" s="375">
        <f>IF(GenType_2a="Fixed",GenRate_2a%*$BT402*BU402,          IF(GenType_2a="Float",$BT402*(_xll.qGetFwdRate($J$18,$AW402,$AW403,"T",DCC_Leg2_Float)%+GenRate_2a%%)*$BV402,        IF(GenType_2a="bp (Fixed)",GenRate_2a%%*$BU402*$BT402,   IF(GenType_2a="bp (Float)",GenRate_2a%%*$BT402*$BV402,0))))</f>
        <v>0</v>
      </c>
      <c r="BZ403" s="561"/>
      <c r="CB403" s="341">
        <f t="shared" si="85"/>
        <v>0</v>
      </c>
      <c r="CC403" s="563"/>
      <c r="CD403" s="356"/>
      <c r="CE403" s="341">
        <v>0</v>
      </c>
      <c r="CF403" s="563"/>
      <c r="CG403" s="356"/>
    </row>
    <row r="404" spans="15:85">
      <c r="O404" s="122">
        <v>0</v>
      </c>
      <c r="P404" s="128">
        <f t="shared" si="86"/>
        <v>0</v>
      </c>
      <c r="Q404" s="126">
        <v>0</v>
      </c>
      <c r="R404" s="699">
        <f>IF($O405=0,0,        _xll.qDateNext($O404,R$17,"M",TRUE,Currency1))</f>
        <v>0</v>
      </c>
      <c r="S404" s="699">
        <f>IF($O405=0,0,        _xll.qDateNext($O404,S$17,"M",TRUE,Currency1))</f>
        <v>0</v>
      </c>
      <c r="T404" s="699">
        <f>IF($O405=0,0,        _xll.qDateNext($O404,T$17,"M",TRUE,Currency1))</f>
        <v>0</v>
      </c>
      <c r="U404" s="699">
        <f>IF($O405=0,0,        _xll.qDateNext($O404,U$17,"M",TRUE,Currency1))</f>
        <v>0</v>
      </c>
      <c r="V404" s="699">
        <f>IF($O405=0,0,        _xll.qDateNext($O404,V$17,"M",TRUE,Currency1))</f>
        <v>0</v>
      </c>
      <c r="W404" s="699">
        <f>IF($O405=0,0,        _xll.qDateNext($O404,W$17,"M",TRUE,Currency1))</f>
        <v>0</v>
      </c>
      <c r="X404" s="699">
        <f>IF($O405=0,0,        _xll.qDateNext($O404,X$17,"M",TRUE,Currency1))</f>
        <v>0</v>
      </c>
      <c r="Y404" s="699">
        <f>IF($O405=0,0,        _xll.qDateNext($O404,Y$17,"M",TRUE,Currency1))</f>
        <v>0</v>
      </c>
      <c r="Z404" s="703">
        <f>IF($O405=0,0,           IF(FRM,_xll.qGetFwdRate(Z$14,$O404,R404,"T",DCC_Leg1_Float),_xll.qGetFwdRate(Z$14,$O404,$O405,"T",DCC_Leg1_Float)))</f>
        <v>0</v>
      </c>
      <c r="AA404" s="703">
        <f>IF($O405=0,0,           IF(FRM,_xll.qGetFwdRate(AA$14,$O404,S404,"T",DCC_Leg1_Float),_xll.qGetFwdRate(AA$14,$O404,$O405,"T",DCC_Leg1_Float)))</f>
        <v>0</v>
      </c>
      <c r="AB404" s="703">
        <f t="shared" si="87"/>
        <v>0</v>
      </c>
      <c r="AC404" s="703">
        <f>IF($O405=0,0,           IF(FRM,_xll.qGetFwdRate(AC$14,$O404,U404,"T",DCC_Leg1_Float),_xll.qGetFwdRate(AC$14,$O404,$O405,"T",DCC_Leg1_Float)))</f>
        <v>0</v>
      </c>
      <c r="AD404" s="703">
        <f t="shared" si="92"/>
        <v>0</v>
      </c>
      <c r="AE404" s="703">
        <f t="shared" si="93"/>
        <v>0</v>
      </c>
      <c r="AF404" s="703">
        <f>IF($O405=0,0,           IF(FRM,_xll.qGetFwdRate(AF$14,$O404,X404,"T",DCC_Leg1_Float),_xll.qGetFwdRate(AF$14,$O404,$O405,"T",DCC_Leg1_Float)))</f>
        <v>0</v>
      </c>
      <c r="AG404" s="703">
        <f>IF($O405=0,0,           IF(FRM,_xll.qGetFwdRate(AG$14,$O404,Y404,"T",DCC_Leg1_Float),_xll.qGetFwdRate(AG$14,$O404,$O405,"T",DCC_Leg1_Float)))</f>
        <v>0</v>
      </c>
      <c r="AH404" s="685">
        <v>0</v>
      </c>
      <c r="AI404" s="667"/>
      <c r="AJ404" s="670">
        <f>IF(O405=0,0,             IF(ISNUMBER(AI404),AI404,             IF(ISTEXT(AI404),INDEX(Z404:AG404,MATCH(AI404,$Z$17:$AG$17,0)),           IF(AH404="INT",_xll.qInterp(O405,R404:Y404,Z404:AG404),       INDEX(Z404:AG404,MATCH(AH404,$Z$17:$AG$17,0))))))</f>
        <v>0</v>
      </c>
      <c r="AK404" s="732">
        <v>20</v>
      </c>
      <c r="AL404" s="721">
        <f t="shared" si="88"/>
        <v>0</v>
      </c>
      <c r="AM404" s="284">
        <f>IF($O405,_xll.qDateYears($O404,$O405,DCC_Leg1_Fixed),0)</f>
        <v>0</v>
      </c>
      <c r="AN404" s="284">
        <f>IF($O405,_xll.qDateYears($O404,$O405,DCC_Leg1_Float),0)</f>
        <v>0</v>
      </c>
      <c r="AP404" s="350">
        <f t="shared" si="94"/>
        <v>0</v>
      </c>
      <c r="AQ404" s="375">
        <f>IF(GenType_1a="Fixed",GenRate_1a%*$AL403*AM403,          IF(GenType_1a="Float",$AL403*(_xll.qGetFwdRate($D$18,$O403,$O404,"T",DCC_Leg1_Float)%+GenRate_1a%%)*$AN403,        IF(GenType_1a="bp (Fixed)",GenRate_1a%%*$AM403*$AL403,   IF(GenType_1a="bp (Float)",GenRate_1a%%*$AL403*$AN403,0))))</f>
        <v>0</v>
      </c>
      <c r="AR404" s="561"/>
      <c r="AT404" s="341">
        <f t="shared" si="84"/>
        <v>0</v>
      </c>
      <c r="AV404" s="356"/>
      <c r="AW404" s="122">
        <v>0</v>
      </c>
      <c r="AX404" s="128">
        <f t="shared" si="89"/>
        <v>0</v>
      </c>
      <c r="AY404" s="357">
        <v>0</v>
      </c>
      <c r="AZ404" s="699">
        <f>IF($AW405=0,0,        _xll.qDateNext($AW404,AZ$17,"M",TRUE,Currency2))</f>
        <v>0</v>
      </c>
      <c r="BA404" s="699">
        <f>IF($AW405=0,0,        _xll.qDateNext($AW404,BA$17,"M",TRUE,Currency2))</f>
        <v>0</v>
      </c>
      <c r="BB404" s="699">
        <f>IF($AW405=0,0,        _xll.qDateNext($AW404,BB$17,"M",TRUE,Currency2))</f>
        <v>0</v>
      </c>
      <c r="BC404" s="699">
        <f>IF($AW405=0,0,        _xll.qDateNext($AW404,BC$17,"M",TRUE,Currency2))</f>
        <v>0</v>
      </c>
      <c r="BD404" s="699">
        <f>IF($AW405=0,0,        _xll.qDateNext($AW404,BD$17,"M",TRUE,Currency2))</f>
        <v>0</v>
      </c>
      <c r="BE404" s="699">
        <f>IF($AW405=0,0,        _xll.qDateNext($AW404,BE$17,"M",TRUE,Currency2))</f>
        <v>0</v>
      </c>
      <c r="BF404" s="699">
        <f>IF($AW405=0,0,        _xll.qDateNext($AW404,BF$17,"M",TRUE,Currency2))</f>
        <v>0</v>
      </c>
      <c r="BG404" s="699">
        <f>IF($AW405=0,0,        _xll.qDateNext($AW404,BG$17,"M",TRUE,Currency2))</f>
        <v>0</v>
      </c>
      <c r="BH404" s="703">
        <v>0</v>
      </c>
      <c r="BI404" s="703">
        <v>0</v>
      </c>
      <c r="BJ404" s="703">
        <v>0</v>
      </c>
      <c r="BK404" s="703">
        <v>0</v>
      </c>
      <c r="BL404" s="703">
        <f t="shared" si="95"/>
        <v>0</v>
      </c>
      <c r="BM404" s="703">
        <f t="shared" si="96"/>
        <v>0</v>
      </c>
      <c r="BN404" s="703">
        <v>0</v>
      </c>
      <c r="BO404" s="703">
        <v>0</v>
      </c>
      <c r="BP404" s="685">
        <v>0</v>
      </c>
      <c r="BQ404" s="667"/>
      <c r="BR404" s="670">
        <f>IF(AW405=0,0,             IF(ISNUMBER(BQ404),BQ404,             IF(ISTEXT(BQ404),INDEX(BH404:BO404,MATCH(BQ404,$BH$17:$BO$17,0)),           IF(BP404="INT",_xll.qInterp(AW405,AZ404:BG404,BH404:BO404),       INDEX(BH404:BO404,MATCH(BP404,$BH$17:$BO$17,0))))))</f>
        <v>0</v>
      </c>
      <c r="BS404" s="731">
        <f t="shared" si="90"/>
        <v>0</v>
      </c>
      <c r="BT404" s="406">
        <f t="shared" si="91"/>
        <v>0</v>
      </c>
      <c r="BU404" s="284">
        <f>IF($AW405,_xll.qDateYears($AW404,$AW405,DCC_Leg2_Fixed),0)</f>
        <v>0</v>
      </c>
      <c r="BV404" s="284">
        <f>IF($AW405,_xll.qDateYears($AW404,$AW405,DCC_Leg2_Float),0)</f>
        <v>0</v>
      </c>
      <c r="BX404" s="350">
        <f t="shared" si="97"/>
        <v>0</v>
      </c>
      <c r="BY404" s="375">
        <f>IF(GenType_2a="Fixed",GenRate_2a%*$BT403*BU403,          IF(GenType_2a="Float",$BT403*(_xll.qGetFwdRate($J$18,$AW403,$AW404,"T",DCC_Leg2_Float)%+GenRate_2a%%)*$BV403,        IF(GenType_2a="bp (Fixed)",GenRate_2a%%*$BU403*$BT403,   IF(GenType_2a="bp (Float)",GenRate_2a%%*$BT403*$BV403,0))))</f>
        <v>0</v>
      </c>
      <c r="BZ404" s="561"/>
      <c r="CB404" s="341">
        <f t="shared" si="85"/>
        <v>0</v>
      </c>
      <c r="CC404" s="563"/>
      <c r="CD404" s="356"/>
      <c r="CE404" s="341">
        <v>0</v>
      </c>
      <c r="CF404" s="563"/>
      <c r="CG404" s="356"/>
    </row>
    <row r="405" spans="15:85">
      <c r="O405" s="122">
        <v>0</v>
      </c>
      <c r="P405" s="128">
        <f t="shared" si="86"/>
        <v>0</v>
      </c>
      <c r="Q405" s="126">
        <v>0</v>
      </c>
      <c r="R405" s="699">
        <f>IF($O406=0,0,        _xll.qDateNext($O405,R$17,"M",TRUE,Currency1))</f>
        <v>0</v>
      </c>
      <c r="S405" s="699">
        <f>IF($O406=0,0,        _xll.qDateNext($O405,S$17,"M",TRUE,Currency1))</f>
        <v>0</v>
      </c>
      <c r="T405" s="699">
        <f>IF($O406=0,0,        _xll.qDateNext($O405,T$17,"M",TRUE,Currency1))</f>
        <v>0</v>
      </c>
      <c r="U405" s="699">
        <f>IF($O406=0,0,        _xll.qDateNext($O405,U$17,"M",TRUE,Currency1))</f>
        <v>0</v>
      </c>
      <c r="V405" s="699">
        <f>IF($O406=0,0,        _xll.qDateNext($O405,V$17,"M",TRUE,Currency1))</f>
        <v>0</v>
      </c>
      <c r="W405" s="699">
        <f>IF($O406=0,0,        _xll.qDateNext($O405,W$17,"M",TRUE,Currency1))</f>
        <v>0</v>
      </c>
      <c r="X405" s="699">
        <f>IF($O406=0,0,        _xll.qDateNext($O405,X$17,"M",TRUE,Currency1))</f>
        <v>0</v>
      </c>
      <c r="Y405" s="699">
        <f>IF($O406=0,0,        _xll.qDateNext($O405,Y$17,"M",TRUE,Currency1))</f>
        <v>0</v>
      </c>
      <c r="Z405" s="703">
        <f>IF($O406=0,0,           IF(FRM,_xll.qGetFwdRate(Z$14,$O405,R405,"T",DCC_Leg1_Float),_xll.qGetFwdRate(Z$14,$O405,$O406,"T",DCC_Leg1_Float)))</f>
        <v>0</v>
      </c>
      <c r="AA405" s="703">
        <f>IF($O406=0,0,           IF(FRM,_xll.qGetFwdRate(AA$14,$O405,S405,"T",DCC_Leg1_Float),_xll.qGetFwdRate(AA$14,$O405,$O406,"T",DCC_Leg1_Float)))</f>
        <v>0</v>
      </c>
      <c r="AB405" s="703">
        <f t="shared" si="87"/>
        <v>0</v>
      </c>
      <c r="AC405" s="703">
        <f>IF($O406=0,0,           IF(FRM,_xll.qGetFwdRate(AC$14,$O405,U405,"T",DCC_Leg1_Float),_xll.qGetFwdRate(AC$14,$O405,$O406,"T",DCC_Leg1_Float)))</f>
        <v>0</v>
      </c>
      <c r="AD405" s="703">
        <f t="shared" si="92"/>
        <v>0</v>
      </c>
      <c r="AE405" s="703">
        <f t="shared" si="93"/>
        <v>0</v>
      </c>
      <c r="AF405" s="703">
        <f>IF($O406=0,0,           IF(FRM,_xll.qGetFwdRate(AF$14,$O405,X405,"T",DCC_Leg1_Float),_xll.qGetFwdRate(AF$14,$O405,$O406,"T",DCC_Leg1_Float)))</f>
        <v>0</v>
      </c>
      <c r="AG405" s="703">
        <f>IF($O406=0,0,           IF(FRM,_xll.qGetFwdRate(AG$14,$O405,Y405,"T",DCC_Leg1_Float),_xll.qGetFwdRate(AG$14,$O405,$O406,"T",DCC_Leg1_Float)))</f>
        <v>0</v>
      </c>
      <c r="AH405" s="685">
        <v>0</v>
      </c>
      <c r="AI405" s="667"/>
      <c r="AJ405" s="670">
        <f>IF(O406=0,0,             IF(ISNUMBER(AI405),AI405,             IF(ISTEXT(AI405),INDEX(Z405:AG405,MATCH(AI405,$Z$17:$AG$17,0)),           IF(AH405="INT",_xll.qInterp(O406,R405:Y405,Z405:AG405),       INDEX(Z405:AG405,MATCH(AH405,$Z$17:$AG$17,0))))))</f>
        <v>0</v>
      </c>
      <c r="AK405" s="732">
        <v>20</v>
      </c>
      <c r="AL405" s="721">
        <f t="shared" si="88"/>
        <v>0</v>
      </c>
      <c r="AM405" s="284">
        <f>IF($O406,_xll.qDateYears($O405,$O406,DCC_Leg1_Fixed),0)</f>
        <v>0</v>
      </c>
      <c r="AN405" s="284">
        <f>IF($O406,_xll.qDateYears($O405,$O406,DCC_Leg1_Float),0)</f>
        <v>0</v>
      </c>
      <c r="AP405" s="350">
        <f t="shared" si="94"/>
        <v>0</v>
      </c>
      <c r="AQ405" s="375">
        <f>IF(GenType_1a="Fixed",GenRate_1a%*$AL404*AM404,          IF(GenType_1a="Float",$AL404*(_xll.qGetFwdRate($D$18,$O404,$O405,"T",DCC_Leg1_Float)%+GenRate_1a%%)*$AN404,        IF(GenType_1a="bp (Fixed)",GenRate_1a%%*$AM404*$AL404,   IF(GenType_1a="bp (Float)",GenRate_1a%%*$AL404*$AN404,0))))</f>
        <v>0</v>
      </c>
      <c r="AR405" s="561"/>
      <c r="AT405" s="341">
        <f t="shared" si="84"/>
        <v>0</v>
      </c>
      <c r="AV405" s="356"/>
      <c r="AW405" s="122">
        <v>0</v>
      </c>
      <c r="AX405" s="128">
        <f t="shared" si="89"/>
        <v>0</v>
      </c>
      <c r="AY405" s="357">
        <v>0</v>
      </c>
      <c r="AZ405" s="699">
        <f>IF($AW406=0,0,        _xll.qDateNext($AW405,AZ$17,"M",TRUE,Currency2))</f>
        <v>0</v>
      </c>
      <c r="BA405" s="699">
        <f>IF($AW406=0,0,        _xll.qDateNext($AW405,BA$17,"M",TRUE,Currency2))</f>
        <v>0</v>
      </c>
      <c r="BB405" s="699">
        <f>IF($AW406=0,0,        _xll.qDateNext($AW405,BB$17,"M",TRUE,Currency2))</f>
        <v>0</v>
      </c>
      <c r="BC405" s="699">
        <f>IF($AW406=0,0,        _xll.qDateNext($AW405,BC$17,"M",TRUE,Currency2))</f>
        <v>0</v>
      </c>
      <c r="BD405" s="699">
        <f>IF($AW406=0,0,        _xll.qDateNext($AW405,BD$17,"M",TRUE,Currency2))</f>
        <v>0</v>
      </c>
      <c r="BE405" s="699">
        <f>IF($AW406=0,0,        _xll.qDateNext($AW405,BE$17,"M",TRUE,Currency2))</f>
        <v>0</v>
      </c>
      <c r="BF405" s="699">
        <f>IF($AW406=0,0,        _xll.qDateNext($AW405,BF$17,"M",TRUE,Currency2))</f>
        <v>0</v>
      </c>
      <c r="BG405" s="699">
        <f>IF($AW406=0,0,        _xll.qDateNext($AW405,BG$17,"M",TRUE,Currency2))</f>
        <v>0</v>
      </c>
      <c r="BH405" s="703">
        <v>0</v>
      </c>
      <c r="BI405" s="703">
        <v>0</v>
      </c>
      <c r="BJ405" s="703">
        <v>0</v>
      </c>
      <c r="BK405" s="703">
        <v>0</v>
      </c>
      <c r="BL405" s="703">
        <f t="shared" si="95"/>
        <v>0</v>
      </c>
      <c r="BM405" s="703">
        <f t="shared" si="96"/>
        <v>0</v>
      </c>
      <c r="BN405" s="703">
        <v>0</v>
      </c>
      <c r="BO405" s="703">
        <v>0</v>
      </c>
      <c r="BP405" s="685">
        <v>0</v>
      </c>
      <c r="BQ405" s="667"/>
      <c r="BR405" s="670">
        <f>IF(AW406=0,0,             IF(ISNUMBER(BQ405),BQ405,             IF(ISTEXT(BQ405),INDEX(BH405:BO405,MATCH(BQ405,$BH$17:$BO$17,0)),           IF(BP405="INT",_xll.qInterp(AW406,AZ405:BG405,BH405:BO405),       INDEX(BH405:BO405,MATCH(BP405,$BH$17:$BO$17,0))))))</f>
        <v>0</v>
      </c>
      <c r="BS405" s="731">
        <f t="shared" si="90"/>
        <v>0</v>
      </c>
      <c r="BT405" s="406">
        <f t="shared" si="91"/>
        <v>0</v>
      </c>
      <c r="BU405" s="284">
        <f>IF($AW406,_xll.qDateYears($AW405,$AW406,DCC_Leg2_Fixed),0)</f>
        <v>0</v>
      </c>
      <c r="BV405" s="284">
        <f>IF($AW406,_xll.qDateYears($AW405,$AW406,DCC_Leg2_Float),0)</f>
        <v>0</v>
      </c>
      <c r="BX405" s="350">
        <f t="shared" si="97"/>
        <v>0</v>
      </c>
      <c r="BY405" s="375">
        <f>IF(GenType_2a="Fixed",GenRate_2a%*$BT404*BU404,          IF(GenType_2a="Float",$BT404*(_xll.qGetFwdRate($J$18,$AW404,$AW405,"T",DCC_Leg2_Float)%+GenRate_2a%%)*$BV404,        IF(GenType_2a="bp (Fixed)",GenRate_2a%%*$BU404*$BT404,   IF(GenType_2a="bp (Float)",GenRate_2a%%*$BT404*$BV404,0))))</f>
        <v>0</v>
      </c>
      <c r="BZ405" s="561"/>
      <c r="CB405" s="341">
        <f t="shared" si="85"/>
        <v>0</v>
      </c>
      <c r="CC405" s="563"/>
      <c r="CD405" s="356"/>
      <c r="CE405" s="341">
        <v>0</v>
      </c>
      <c r="CF405" s="563"/>
      <c r="CG405" s="356"/>
    </row>
    <row r="406" spans="15:85">
      <c r="O406" s="122">
        <v>0</v>
      </c>
      <c r="P406" s="128">
        <f t="shared" si="86"/>
        <v>0</v>
      </c>
      <c r="Q406" s="126">
        <v>0</v>
      </c>
      <c r="R406" s="699">
        <f>IF($O407=0,0,        _xll.qDateNext($O406,R$17,"M",TRUE,Currency1))</f>
        <v>0</v>
      </c>
      <c r="S406" s="699">
        <f>IF($O407=0,0,        _xll.qDateNext($O406,S$17,"M",TRUE,Currency1))</f>
        <v>0</v>
      </c>
      <c r="T406" s="699">
        <f>IF($O407=0,0,        _xll.qDateNext($O406,T$17,"M",TRUE,Currency1))</f>
        <v>0</v>
      </c>
      <c r="U406" s="699">
        <f>IF($O407=0,0,        _xll.qDateNext($O406,U$17,"M",TRUE,Currency1))</f>
        <v>0</v>
      </c>
      <c r="V406" s="699">
        <f>IF($O407=0,0,        _xll.qDateNext($O406,V$17,"M",TRUE,Currency1))</f>
        <v>0</v>
      </c>
      <c r="W406" s="699">
        <f>IF($O407=0,0,        _xll.qDateNext($O406,W$17,"M",TRUE,Currency1))</f>
        <v>0</v>
      </c>
      <c r="X406" s="699">
        <f>IF($O407=0,0,        _xll.qDateNext($O406,X$17,"M",TRUE,Currency1))</f>
        <v>0</v>
      </c>
      <c r="Y406" s="699">
        <f>IF($O407=0,0,        _xll.qDateNext($O406,Y$17,"M",TRUE,Currency1))</f>
        <v>0</v>
      </c>
      <c r="Z406" s="703">
        <f>IF($O407=0,0,           IF(FRM,_xll.qGetFwdRate(Z$14,$O406,R406,"T",DCC_Leg1_Float),_xll.qGetFwdRate(Z$14,$O406,$O407,"T",DCC_Leg1_Float)))</f>
        <v>0</v>
      </c>
      <c r="AA406" s="703">
        <f>IF($O407=0,0,           IF(FRM,_xll.qGetFwdRate(AA$14,$O406,S406,"T",DCC_Leg1_Float),_xll.qGetFwdRate(AA$14,$O406,$O407,"T",DCC_Leg1_Float)))</f>
        <v>0</v>
      </c>
      <c r="AB406" s="703">
        <f t="shared" si="87"/>
        <v>0</v>
      </c>
      <c r="AC406" s="703">
        <f>IF($O407=0,0,           IF(FRM,_xll.qGetFwdRate(AC$14,$O406,U406,"T",DCC_Leg1_Float),_xll.qGetFwdRate(AC$14,$O406,$O407,"T",DCC_Leg1_Float)))</f>
        <v>0</v>
      </c>
      <c r="AD406" s="703">
        <f t="shared" si="92"/>
        <v>0</v>
      </c>
      <c r="AE406" s="703">
        <f t="shared" si="93"/>
        <v>0</v>
      </c>
      <c r="AF406" s="703">
        <f>IF($O407=0,0,           IF(FRM,_xll.qGetFwdRate(AF$14,$O406,X406,"T",DCC_Leg1_Float),_xll.qGetFwdRate(AF$14,$O406,$O407,"T",DCC_Leg1_Float)))</f>
        <v>0</v>
      </c>
      <c r="AG406" s="703">
        <f>IF($O407=0,0,           IF(FRM,_xll.qGetFwdRate(AG$14,$O406,Y406,"T",DCC_Leg1_Float),_xll.qGetFwdRate(AG$14,$O406,$O407,"T",DCC_Leg1_Float)))</f>
        <v>0</v>
      </c>
      <c r="AH406" s="685">
        <v>0</v>
      </c>
      <c r="AI406" s="667"/>
      <c r="AJ406" s="670">
        <f>IF(O407=0,0,             IF(ISNUMBER(AI406),AI406,             IF(ISTEXT(AI406),INDEX(Z406:AG406,MATCH(AI406,$Z$17:$AG$17,0)),           IF(AH406="INT",_xll.qInterp(O407,R406:Y406,Z406:AG406),       INDEX(Z406:AG406,MATCH(AH406,$Z$17:$AG$17,0))))))</f>
        <v>0</v>
      </c>
      <c r="AK406" s="732">
        <v>20</v>
      </c>
      <c r="AL406" s="721">
        <f t="shared" si="88"/>
        <v>0</v>
      </c>
      <c r="AM406" s="284">
        <f>IF($O407,_xll.qDateYears($O406,$O407,DCC_Leg1_Fixed),0)</f>
        <v>0</v>
      </c>
      <c r="AN406" s="284">
        <f>IF($O407,_xll.qDateYears($O406,$O407,DCC_Leg1_Float),0)</f>
        <v>0</v>
      </c>
      <c r="AP406" s="350">
        <f t="shared" si="94"/>
        <v>0</v>
      </c>
      <c r="AQ406" s="375">
        <f>IF(GenType_1a="Fixed",GenRate_1a%*$AL405*AM405,          IF(GenType_1a="Float",$AL405*(_xll.qGetFwdRate($D$18,$O405,$O406,"T",DCC_Leg1_Float)%+GenRate_1a%%)*$AN405,        IF(GenType_1a="bp (Fixed)",GenRate_1a%%*$AM405*$AL405,   IF(GenType_1a="bp (Float)",GenRate_1a%%*$AL405*$AN405,0))))</f>
        <v>0</v>
      </c>
      <c r="AR406" s="561"/>
      <c r="AT406" s="341">
        <f t="shared" si="84"/>
        <v>0</v>
      </c>
      <c r="AV406" s="356"/>
      <c r="AW406" s="122">
        <v>0</v>
      </c>
      <c r="AX406" s="128">
        <f t="shared" si="89"/>
        <v>0</v>
      </c>
      <c r="AY406" s="357">
        <v>0</v>
      </c>
      <c r="AZ406" s="699">
        <f>IF($AW407=0,0,        _xll.qDateNext($AW406,AZ$17,"M",TRUE,Currency2))</f>
        <v>0</v>
      </c>
      <c r="BA406" s="699">
        <f>IF($AW407=0,0,        _xll.qDateNext($AW406,BA$17,"M",TRUE,Currency2))</f>
        <v>0</v>
      </c>
      <c r="BB406" s="699">
        <f>IF($AW407=0,0,        _xll.qDateNext($AW406,BB$17,"M",TRUE,Currency2))</f>
        <v>0</v>
      </c>
      <c r="BC406" s="699">
        <f>IF($AW407=0,0,        _xll.qDateNext($AW406,BC$17,"M",TRUE,Currency2))</f>
        <v>0</v>
      </c>
      <c r="BD406" s="699">
        <f>IF($AW407=0,0,        _xll.qDateNext($AW406,BD$17,"M",TRUE,Currency2))</f>
        <v>0</v>
      </c>
      <c r="BE406" s="699">
        <f>IF($AW407=0,0,        _xll.qDateNext($AW406,BE$17,"M",TRUE,Currency2))</f>
        <v>0</v>
      </c>
      <c r="BF406" s="699">
        <f>IF($AW407=0,0,        _xll.qDateNext($AW406,BF$17,"M",TRUE,Currency2))</f>
        <v>0</v>
      </c>
      <c r="BG406" s="699">
        <f>IF($AW407=0,0,        _xll.qDateNext($AW406,BG$17,"M",TRUE,Currency2))</f>
        <v>0</v>
      </c>
      <c r="BH406" s="703">
        <v>0</v>
      </c>
      <c r="BI406" s="703">
        <v>0</v>
      </c>
      <c r="BJ406" s="703">
        <v>0</v>
      </c>
      <c r="BK406" s="703">
        <v>0</v>
      </c>
      <c r="BL406" s="703">
        <f t="shared" si="95"/>
        <v>0</v>
      </c>
      <c r="BM406" s="703">
        <f t="shared" si="96"/>
        <v>0</v>
      </c>
      <c r="BN406" s="703">
        <v>0</v>
      </c>
      <c r="BO406" s="703">
        <v>0</v>
      </c>
      <c r="BP406" s="685">
        <v>0</v>
      </c>
      <c r="BQ406" s="667"/>
      <c r="BR406" s="670">
        <f>IF(AW407=0,0,             IF(ISNUMBER(BQ406),BQ406,             IF(ISTEXT(BQ406),INDEX(BH406:BO406,MATCH(BQ406,$BH$17:$BO$17,0)),           IF(BP406="INT",_xll.qInterp(AW407,AZ406:BG406,BH406:BO406),       INDEX(BH406:BO406,MATCH(BP406,$BH$17:$BO$17,0))))))</f>
        <v>0</v>
      </c>
      <c r="BS406" s="731">
        <f t="shared" si="90"/>
        <v>0</v>
      </c>
      <c r="BT406" s="406">
        <f t="shared" si="91"/>
        <v>0</v>
      </c>
      <c r="BU406" s="284">
        <f>IF($AW407,_xll.qDateYears($AW406,$AW407,DCC_Leg2_Fixed),0)</f>
        <v>0</v>
      </c>
      <c r="BV406" s="284">
        <f>IF($AW407,_xll.qDateYears($AW406,$AW407,DCC_Leg2_Float),0)</f>
        <v>0</v>
      </c>
      <c r="BX406" s="350">
        <f t="shared" si="97"/>
        <v>0</v>
      </c>
      <c r="BY406" s="375">
        <f>IF(GenType_2a="Fixed",GenRate_2a%*$BT405*BU405,          IF(GenType_2a="Float",$BT405*(_xll.qGetFwdRate($J$18,$AW405,$AW406,"T",DCC_Leg2_Float)%+GenRate_2a%%)*$BV405,        IF(GenType_2a="bp (Fixed)",GenRate_2a%%*$BU405*$BT405,   IF(GenType_2a="bp (Float)",GenRate_2a%%*$BT405*$BV405,0))))</f>
        <v>0</v>
      </c>
      <c r="BZ406" s="561"/>
      <c r="CB406" s="341">
        <f t="shared" si="85"/>
        <v>0</v>
      </c>
      <c r="CC406" s="563"/>
      <c r="CD406" s="356"/>
      <c r="CE406" s="341">
        <v>0</v>
      </c>
      <c r="CF406" s="563"/>
      <c r="CG406" s="356"/>
    </row>
    <row r="407" spans="15:85">
      <c r="O407" s="122">
        <v>0</v>
      </c>
      <c r="P407" s="128">
        <f t="shared" si="86"/>
        <v>0</v>
      </c>
      <c r="Q407" s="126">
        <v>0</v>
      </c>
      <c r="R407" s="699">
        <f>IF($O408=0,0,        _xll.qDateNext($O407,R$17,"M",TRUE,Currency1))</f>
        <v>0</v>
      </c>
      <c r="S407" s="699">
        <f>IF($O408=0,0,        _xll.qDateNext($O407,S$17,"M",TRUE,Currency1))</f>
        <v>0</v>
      </c>
      <c r="T407" s="699">
        <f>IF($O408=0,0,        _xll.qDateNext($O407,T$17,"M",TRUE,Currency1))</f>
        <v>0</v>
      </c>
      <c r="U407" s="699">
        <f>IF($O408=0,0,        _xll.qDateNext($O407,U$17,"M",TRUE,Currency1))</f>
        <v>0</v>
      </c>
      <c r="V407" s="699">
        <f>IF($O408=0,0,        _xll.qDateNext($O407,V$17,"M",TRUE,Currency1))</f>
        <v>0</v>
      </c>
      <c r="W407" s="699">
        <f>IF($O408=0,0,        _xll.qDateNext($O407,W$17,"M",TRUE,Currency1))</f>
        <v>0</v>
      </c>
      <c r="X407" s="699">
        <f>IF($O408=0,0,        _xll.qDateNext($O407,X$17,"M",TRUE,Currency1))</f>
        <v>0</v>
      </c>
      <c r="Y407" s="699">
        <f>IF($O408=0,0,        _xll.qDateNext($O407,Y$17,"M",TRUE,Currency1))</f>
        <v>0</v>
      </c>
      <c r="Z407" s="703">
        <f>IF($O408=0,0,           IF(FRM,_xll.qGetFwdRate(Z$14,$O407,R407,"T",DCC_Leg1_Float),_xll.qGetFwdRate(Z$14,$O407,$O408,"T",DCC_Leg1_Float)))</f>
        <v>0</v>
      </c>
      <c r="AA407" s="703">
        <f>IF($O408=0,0,           IF(FRM,_xll.qGetFwdRate(AA$14,$O407,S407,"T",DCC_Leg1_Float),_xll.qGetFwdRate(AA$14,$O407,$O408,"T",DCC_Leg1_Float)))</f>
        <v>0</v>
      </c>
      <c r="AB407" s="703">
        <f t="shared" si="87"/>
        <v>0</v>
      </c>
      <c r="AC407" s="703">
        <f>IF($O408=0,0,           IF(FRM,_xll.qGetFwdRate(AC$14,$O407,U407,"T",DCC_Leg1_Float),_xll.qGetFwdRate(AC$14,$O407,$O408,"T",DCC_Leg1_Float)))</f>
        <v>0</v>
      </c>
      <c r="AD407" s="703">
        <f t="shared" si="92"/>
        <v>0</v>
      </c>
      <c r="AE407" s="703">
        <f t="shared" si="93"/>
        <v>0</v>
      </c>
      <c r="AF407" s="703">
        <f>IF($O408=0,0,           IF(FRM,_xll.qGetFwdRate(AF$14,$O407,X407,"T",DCC_Leg1_Float),_xll.qGetFwdRate(AF$14,$O407,$O408,"T",DCC_Leg1_Float)))</f>
        <v>0</v>
      </c>
      <c r="AG407" s="703">
        <f>IF($O408=0,0,           IF(FRM,_xll.qGetFwdRate(AG$14,$O407,Y407,"T",DCC_Leg1_Float),_xll.qGetFwdRate(AG$14,$O407,$O408,"T",DCC_Leg1_Float)))</f>
        <v>0</v>
      </c>
      <c r="AH407" s="685">
        <v>0</v>
      </c>
      <c r="AI407" s="667"/>
      <c r="AJ407" s="670">
        <f>IF(O408=0,0,             IF(ISNUMBER(AI407),AI407,             IF(ISTEXT(AI407),INDEX(Z407:AG407,MATCH(AI407,$Z$17:$AG$17,0)),           IF(AH407="INT",_xll.qInterp(O408,R407:Y407,Z407:AG407),       INDEX(Z407:AG407,MATCH(AH407,$Z$17:$AG$17,0))))))</f>
        <v>0</v>
      </c>
      <c r="AK407" s="732">
        <v>20</v>
      </c>
      <c r="AL407" s="721">
        <f t="shared" si="88"/>
        <v>0</v>
      </c>
      <c r="AM407" s="284">
        <f>IF($O408,_xll.qDateYears($O407,$O408,DCC_Leg1_Fixed),0)</f>
        <v>0</v>
      </c>
      <c r="AN407" s="284">
        <f>IF($O408,_xll.qDateYears($O407,$O408,DCC_Leg1_Float),0)</f>
        <v>0</v>
      </c>
      <c r="AP407" s="350">
        <f t="shared" si="94"/>
        <v>0</v>
      </c>
      <c r="AQ407" s="375">
        <f>IF(GenType_1a="Fixed",GenRate_1a%*$AL406*AM406,          IF(GenType_1a="Float",$AL406*(_xll.qGetFwdRate($D$18,$O406,$O407,"T",DCC_Leg1_Float)%+GenRate_1a%%)*$AN406,        IF(GenType_1a="bp (Fixed)",GenRate_1a%%*$AM406*$AL406,   IF(GenType_1a="bp (Float)",GenRate_1a%%*$AL406*$AN406,0))))</f>
        <v>0</v>
      </c>
      <c r="AR407" s="561"/>
      <c r="AT407" s="341">
        <f t="shared" si="84"/>
        <v>0</v>
      </c>
      <c r="AV407" s="356"/>
      <c r="AW407" s="122">
        <v>0</v>
      </c>
      <c r="AX407" s="128">
        <f t="shared" si="89"/>
        <v>0</v>
      </c>
      <c r="AY407" s="357">
        <v>0</v>
      </c>
      <c r="AZ407" s="699">
        <f>IF($AW408=0,0,        _xll.qDateNext($AW407,AZ$17,"M",TRUE,Currency2))</f>
        <v>0</v>
      </c>
      <c r="BA407" s="699">
        <f>IF($AW408=0,0,        _xll.qDateNext($AW407,BA$17,"M",TRUE,Currency2))</f>
        <v>0</v>
      </c>
      <c r="BB407" s="699">
        <f>IF($AW408=0,0,        _xll.qDateNext($AW407,BB$17,"M",TRUE,Currency2))</f>
        <v>0</v>
      </c>
      <c r="BC407" s="699">
        <f>IF($AW408=0,0,        _xll.qDateNext($AW407,BC$17,"M",TRUE,Currency2))</f>
        <v>0</v>
      </c>
      <c r="BD407" s="699">
        <f>IF($AW408=0,0,        _xll.qDateNext($AW407,BD$17,"M",TRUE,Currency2))</f>
        <v>0</v>
      </c>
      <c r="BE407" s="699">
        <f>IF($AW408=0,0,        _xll.qDateNext($AW407,BE$17,"M",TRUE,Currency2))</f>
        <v>0</v>
      </c>
      <c r="BF407" s="699">
        <f>IF($AW408=0,0,        _xll.qDateNext($AW407,BF$17,"M",TRUE,Currency2))</f>
        <v>0</v>
      </c>
      <c r="BG407" s="699">
        <f>IF($AW408=0,0,        _xll.qDateNext($AW407,BG$17,"M",TRUE,Currency2))</f>
        <v>0</v>
      </c>
      <c r="BH407" s="703">
        <v>0</v>
      </c>
      <c r="BI407" s="703">
        <v>0</v>
      </c>
      <c r="BJ407" s="703">
        <v>0</v>
      </c>
      <c r="BK407" s="703">
        <v>0</v>
      </c>
      <c r="BL407" s="703">
        <f t="shared" si="95"/>
        <v>0</v>
      </c>
      <c r="BM407" s="703">
        <f t="shared" si="96"/>
        <v>0</v>
      </c>
      <c r="BN407" s="703">
        <v>0</v>
      </c>
      <c r="BO407" s="703">
        <v>0</v>
      </c>
      <c r="BP407" s="685">
        <v>0</v>
      </c>
      <c r="BQ407" s="667"/>
      <c r="BR407" s="670">
        <f>IF(AW408=0,0,             IF(ISNUMBER(BQ407),BQ407,             IF(ISTEXT(BQ407),INDEX(BH407:BO407,MATCH(BQ407,$BH$17:$BO$17,0)),           IF(BP407="INT",_xll.qInterp(AW408,AZ407:BG407,BH407:BO407),       INDEX(BH407:BO407,MATCH(BP407,$BH$17:$BO$17,0))))))</f>
        <v>0</v>
      </c>
      <c r="BS407" s="731">
        <f t="shared" si="90"/>
        <v>0</v>
      </c>
      <c r="BT407" s="406">
        <f t="shared" si="91"/>
        <v>0</v>
      </c>
      <c r="BU407" s="284">
        <f>IF($AW408,_xll.qDateYears($AW407,$AW408,DCC_Leg2_Fixed),0)</f>
        <v>0</v>
      </c>
      <c r="BV407" s="284">
        <f>IF($AW408,_xll.qDateYears($AW407,$AW408,DCC_Leg2_Float),0)</f>
        <v>0</v>
      </c>
      <c r="BX407" s="350">
        <f t="shared" si="97"/>
        <v>0</v>
      </c>
      <c r="BY407" s="375">
        <f>IF(GenType_2a="Fixed",GenRate_2a%*$BT406*BU406,          IF(GenType_2a="Float",$BT406*(_xll.qGetFwdRate($J$18,$AW406,$AW407,"T",DCC_Leg2_Float)%+GenRate_2a%%)*$BV406,        IF(GenType_2a="bp (Fixed)",GenRate_2a%%*$BU406*$BT406,   IF(GenType_2a="bp (Float)",GenRate_2a%%*$BT406*$BV406,0))))</f>
        <v>0</v>
      </c>
      <c r="BZ407" s="561"/>
      <c r="CB407" s="341">
        <f t="shared" si="85"/>
        <v>0</v>
      </c>
      <c r="CC407" s="563"/>
      <c r="CD407" s="356"/>
      <c r="CE407" s="341">
        <v>0</v>
      </c>
      <c r="CF407" s="563"/>
      <c r="CG407" s="356"/>
    </row>
    <row r="408" spans="15:85">
      <c r="O408" s="122">
        <v>0</v>
      </c>
      <c r="P408" s="128">
        <f t="shared" si="86"/>
        <v>0</v>
      </c>
      <c r="Q408" s="126">
        <v>0</v>
      </c>
      <c r="R408" s="699">
        <f>IF($O409=0,0,        _xll.qDateNext($O408,R$17,"M",TRUE,Currency1))</f>
        <v>0</v>
      </c>
      <c r="S408" s="699">
        <f>IF($O409=0,0,        _xll.qDateNext($O408,S$17,"M",TRUE,Currency1))</f>
        <v>0</v>
      </c>
      <c r="T408" s="699">
        <f>IF($O409=0,0,        _xll.qDateNext($O408,T$17,"M",TRUE,Currency1))</f>
        <v>0</v>
      </c>
      <c r="U408" s="699">
        <f>IF($O409=0,0,        _xll.qDateNext($O408,U$17,"M",TRUE,Currency1))</f>
        <v>0</v>
      </c>
      <c r="V408" s="699">
        <f>IF($O409=0,0,        _xll.qDateNext($O408,V$17,"M",TRUE,Currency1))</f>
        <v>0</v>
      </c>
      <c r="W408" s="699">
        <f>IF($O409=0,0,        _xll.qDateNext($O408,W$17,"M",TRUE,Currency1))</f>
        <v>0</v>
      </c>
      <c r="X408" s="699">
        <f>IF($O409=0,0,        _xll.qDateNext($O408,X$17,"M",TRUE,Currency1))</f>
        <v>0</v>
      </c>
      <c r="Y408" s="699">
        <f>IF($O409=0,0,        _xll.qDateNext($O408,Y$17,"M",TRUE,Currency1))</f>
        <v>0</v>
      </c>
      <c r="Z408" s="703">
        <f>IF($O409=0,0,           IF(FRM,_xll.qGetFwdRate(Z$14,$O408,R408,"T",DCC_Leg1_Float),_xll.qGetFwdRate(Z$14,$O408,$O409,"T",DCC_Leg1_Float)))</f>
        <v>0</v>
      </c>
      <c r="AA408" s="703">
        <f>IF($O409=0,0,           IF(FRM,_xll.qGetFwdRate(AA$14,$O408,S408,"T",DCC_Leg1_Float),_xll.qGetFwdRate(AA$14,$O408,$O409,"T",DCC_Leg1_Float)))</f>
        <v>0</v>
      </c>
      <c r="AB408" s="703">
        <f t="shared" si="87"/>
        <v>0</v>
      </c>
      <c r="AC408" s="703">
        <f>IF($O409=0,0,           IF(FRM,_xll.qGetFwdRate(AC$14,$O408,U408,"T",DCC_Leg1_Float),_xll.qGetFwdRate(AC$14,$O408,$O409,"T",DCC_Leg1_Float)))</f>
        <v>0</v>
      </c>
      <c r="AD408" s="703">
        <f t="shared" si="92"/>
        <v>0</v>
      </c>
      <c r="AE408" s="703">
        <f t="shared" si="93"/>
        <v>0</v>
      </c>
      <c r="AF408" s="703">
        <f>IF($O409=0,0,           IF(FRM,_xll.qGetFwdRate(AF$14,$O408,X408,"T",DCC_Leg1_Float),_xll.qGetFwdRate(AF$14,$O408,$O409,"T",DCC_Leg1_Float)))</f>
        <v>0</v>
      </c>
      <c r="AG408" s="703">
        <f>IF($O409=0,0,           IF(FRM,_xll.qGetFwdRate(AG$14,$O408,Y408,"T",DCC_Leg1_Float),_xll.qGetFwdRate(AG$14,$O408,$O409,"T",DCC_Leg1_Float)))</f>
        <v>0</v>
      </c>
      <c r="AH408" s="685">
        <v>0</v>
      </c>
      <c r="AI408" s="667"/>
      <c r="AJ408" s="670">
        <f>IF(O409=0,0,             IF(ISNUMBER(AI408),AI408,             IF(ISTEXT(AI408),INDEX(Z408:AG408,MATCH(AI408,$Z$17:$AG$17,0)),           IF(AH408="INT",_xll.qInterp(O409,R408:Y408,Z408:AG408),       INDEX(Z408:AG408,MATCH(AH408,$Z$17:$AG$17,0))))))</f>
        <v>0</v>
      </c>
      <c r="AK408" s="732">
        <v>20</v>
      </c>
      <c r="AL408" s="721">
        <f t="shared" si="88"/>
        <v>0</v>
      </c>
      <c r="AM408" s="284">
        <f>IF($O409,_xll.qDateYears($O408,$O409,DCC_Leg1_Fixed),0)</f>
        <v>0</v>
      </c>
      <c r="AN408" s="284">
        <f>IF($O409,_xll.qDateYears($O408,$O409,DCC_Leg1_Float),0)</f>
        <v>0</v>
      </c>
      <c r="AP408" s="350">
        <f t="shared" si="94"/>
        <v>0</v>
      </c>
      <c r="AQ408" s="375">
        <f>IF(GenType_1a="Fixed",GenRate_1a%*$AL407*AM407,          IF(GenType_1a="Float",$AL407*(_xll.qGetFwdRate($D$18,$O407,$O408,"T",DCC_Leg1_Float)%+GenRate_1a%%)*$AN407,        IF(GenType_1a="bp (Fixed)",GenRate_1a%%*$AM407*$AL407,   IF(GenType_1a="bp (Float)",GenRate_1a%%*$AL407*$AN407,0))))</f>
        <v>0</v>
      </c>
      <c r="AR408" s="561"/>
      <c r="AT408" s="341">
        <f t="shared" si="84"/>
        <v>0</v>
      </c>
      <c r="AV408" s="356"/>
      <c r="AW408" s="122">
        <v>0</v>
      </c>
      <c r="AX408" s="128">
        <f t="shared" si="89"/>
        <v>0</v>
      </c>
      <c r="AY408" s="357">
        <v>0</v>
      </c>
      <c r="AZ408" s="699">
        <f>IF($AW409=0,0,        _xll.qDateNext($AW408,AZ$17,"M",TRUE,Currency2))</f>
        <v>0</v>
      </c>
      <c r="BA408" s="699">
        <f>IF($AW409=0,0,        _xll.qDateNext($AW408,BA$17,"M",TRUE,Currency2))</f>
        <v>0</v>
      </c>
      <c r="BB408" s="699">
        <f>IF($AW409=0,0,        _xll.qDateNext($AW408,BB$17,"M",TRUE,Currency2))</f>
        <v>0</v>
      </c>
      <c r="BC408" s="699">
        <f>IF($AW409=0,0,        _xll.qDateNext($AW408,BC$17,"M",TRUE,Currency2))</f>
        <v>0</v>
      </c>
      <c r="BD408" s="699">
        <f>IF($AW409=0,0,        _xll.qDateNext($AW408,BD$17,"M",TRUE,Currency2))</f>
        <v>0</v>
      </c>
      <c r="BE408" s="699">
        <f>IF($AW409=0,0,        _xll.qDateNext($AW408,BE$17,"M",TRUE,Currency2))</f>
        <v>0</v>
      </c>
      <c r="BF408" s="699">
        <f>IF($AW409=0,0,        _xll.qDateNext($AW408,BF$17,"M",TRUE,Currency2))</f>
        <v>0</v>
      </c>
      <c r="BG408" s="699">
        <f>IF($AW409=0,0,        _xll.qDateNext($AW408,BG$17,"M",TRUE,Currency2))</f>
        <v>0</v>
      </c>
      <c r="BH408" s="703">
        <v>0</v>
      </c>
      <c r="BI408" s="703">
        <v>0</v>
      </c>
      <c r="BJ408" s="703">
        <v>0</v>
      </c>
      <c r="BK408" s="703">
        <v>0</v>
      </c>
      <c r="BL408" s="703">
        <f t="shared" si="95"/>
        <v>0</v>
      </c>
      <c r="BM408" s="703">
        <f t="shared" si="96"/>
        <v>0</v>
      </c>
      <c r="BN408" s="703">
        <v>0</v>
      </c>
      <c r="BO408" s="703">
        <v>0</v>
      </c>
      <c r="BP408" s="685">
        <v>0</v>
      </c>
      <c r="BQ408" s="667"/>
      <c r="BR408" s="670">
        <f>IF(AW409=0,0,             IF(ISNUMBER(BQ408),BQ408,             IF(ISTEXT(BQ408),INDEX(BH408:BO408,MATCH(BQ408,$BH$17:$BO$17,0)),           IF(BP408="INT",_xll.qInterp(AW409,AZ408:BG408,BH408:BO408),       INDEX(BH408:BO408,MATCH(BP408,$BH$17:$BO$17,0))))))</f>
        <v>0</v>
      </c>
      <c r="BS408" s="731">
        <f t="shared" si="90"/>
        <v>0</v>
      </c>
      <c r="BT408" s="406">
        <f t="shared" si="91"/>
        <v>0</v>
      </c>
      <c r="BU408" s="284">
        <f>IF($AW409,_xll.qDateYears($AW408,$AW409,DCC_Leg2_Fixed),0)</f>
        <v>0</v>
      </c>
      <c r="BV408" s="284">
        <f>IF($AW409,_xll.qDateYears($AW408,$AW409,DCC_Leg2_Float),0)</f>
        <v>0</v>
      </c>
      <c r="BX408" s="350">
        <f t="shared" si="97"/>
        <v>0</v>
      </c>
      <c r="BY408" s="375">
        <f>IF(GenType_2a="Fixed",GenRate_2a%*$BT407*BU407,          IF(GenType_2a="Float",$BT407*(_xll.qGetFwdRate($J$18,$AW407,$AW408,"T",DCC_Leg2_Float)%+GenRate_2a%%)*$BV407,        IF(GenType_2a="bp (Fixed)",GenRate_2a%%*$BU407*$BT407,   IF(GenType_2a="bp (Float)",GenRate_2a%%*$BT407*$BV407,0))))</f>
        <v>0</v>
      </c>
      <c r="BZ408" s="561"/>
      <c r="CB408" s="341">
        <f t="shared" si="85"/>
        <v>0</v>
      </c>
      <c r="CC408" s="563"/>
      <c r="CD408" s="356"/>
      <c r="CE408" s="341">
        <v>0</v>
      </c>
      <c r="CF408" s="563"/>
      <c r="CG408" s="356"/>
    </row>
    <row r="409" spans="15:85">
      <c r="O409" s="122">
        <v>0</v>
      </c>
      <c r="P409" s="128">
        <f t="shared" si="86"/>
        <v>0</v>
      </c>
      <c r="Q409" s="126">
        <v>0</v>
      </c>
      <c r="R409" s="699">
        <f>IF($O410=0,0,        _xll.qDateNext($O409,R$17,"M",TRUE,Currency1))</f>
        <v>0</v>
      </c>
      <c r="S409" s="699">
        <f>IF($O410=0,0,        _xll.qDateNext($O409,S$17,"M",TRUE,Currency1))</f>
        <v>0</v>
      </c>
      <c r="T409" s="699">
        <f>IF($O410=0,0,        _xll.qDateNext($O409,T$17,"M",TRUE,Currency1))</f>
        <v>0</v>
      </c>
      <c r="U409" s="699">
        <f>IF($O410=0,0,        _xll.qDateNext($O409,U$17,"M",TRUE,Currency1))</f>
        <v>0</v>
      </c>
      <c r="V409" s="699">
        <f>IF($O410=0,0,        _xll.qDateNext($O409,V$17,"M",TRUE,Currency1))</f>
        <v>0</v>
      </c>
      <c r="W409" s="699">
        <f>IF($O410=0,0,        _xll.qDateNext($O409,W$17,"M",TRUE,Currency1))</f>
        <v>0</v>
      </c>
      <c r="X409" s="699">
        <f>IF($O410=0,0,        _xll.qDateNext($O409,X$17,"M",TRUE,Currency1))</f>
        <v>0</v>
      </c>
      <c r="Y409" s="699">
        <f>IF($O410=0,0,        _xll.qDateNext($O409,Y$17,"M",TRUE,Currency1))</f>
        <v>0</v>
      </c>
      <c r="Z409" s="703">
        <f>IF($O410=0,0,           IF(FRM,_xll.qGetFwdRate(Z$14,$O409,R409,"T",DCC_Leg1_Float),_xll.qGetFwdRate(Z$14,$O409,$O410,"T",DCC_Leg1_Float)))</f>
        <v>0</v>
      </c>
      <c r="AA409" s="703">
        <f>IF($O410=0,0,           IF(FRM,_xll.qGetFwdRate(AA$14,$O409,S409,"T",DCC_Leg1_Float),_xll.qGetFwdRate(AA$14,$O409,$O410,"T",DCC_Leg1_Float)))</f>
        <v>0</v>
      </c>
      <c r="AB409" s="703">
        <f t="shared" si="87"/>
        <v>0</v>
      </c>
      <c r="AC409" s="703">
        <f>IF($O410=0,0,           IF(FRM,_xll.qGetFwdRate(AC$14,$O409,U409,"T",DCC_Leg1_Float),_xll.qGetFwdRate(AC$14,$O409,$O410,"T",DCC_Leg1_Float)))</f>
        <v>0</v>
      </c>
      <c r="AD409" s="703">
        <f t="shared" si="92"/>
        <v>0</v>
      </c>
      <c r="AE409" s="703">
        <f t="shared" si="93"/>
        <v>0</v>
      </c>
      <c r="AF409" s="703">
        <f>IF($O410=0,0,           IF(FRM,_xll.qGetFwdRate(AF$14,$O409,X409,"T",DCC_Leg1_Float),_xll.qGetFwdRate(AF$14,$O409,$O410,"T",DCC_Leg1_Float)))</f>
        <v>0</v>
      </c>
      <c r="AG409" s="703">
        <f>IF($O410=0,0,           IF(FRM,_xll.qGetFwdRate(AG$14,$O409,Y409,"T",DCC_Leg1_Float),_xll.qGetFwdRate(AG$14,$O409,$O410,"T",DCC_Leg1_Float)))</f>
        <v>0</v>
      </c>
      <c r="AH409" s="685">
        <v>0</v>
      </c>
      <c r="AI409" s="667"/>
      <c r="AJ409" s="670">
        <f>IF(O410=0,0,             IF(ISNUMBER(AI409),AI409,             IF(ISTEXT(AI409),INDEX(Z409:AG409,MATCH(AI409,$Z$17:$AG$17,0)),           IF(AH409="INT",_xll.qInterp(O410,R409:Y409,Z409:AG409),       INDEX(Z409:AG409,MATCH(AH409,$Z$17:$AG$17,0))))))</f>
        <v>0</v>
      </c>
      <c r="AK409" s="732">
        <v>20</v>
      </c>
      <c r="AL409" s="721">
        <f t="shared" si="88"/>
        <v>0</v>
      </c>
      <c r="AM409" s="284">
        <f>IF($O410,_xll.qDateYears($O409,$O410,DCC_Leg1_Fixed),0)</f>
        <v>0</v>
      </c>
      <c r="AN409" s="284">
        <f>IF($O410,_xll.qDateYears($O409,$O410,DCC_Leg1_Float),0)</f>
        <v>0</v>
      </c>
      <c r="AP409" s="350">
        <f t="shared" si="94"/>
        <v>0</v>
      </c>
      <c r="AQ409" s="375">
        <f>IF(GenType_1a="Fixed",GenRate_1a%*$AL408*AM408,          IF(GenType_1a="Float",$AL408*(_xll.qGetFwdRate($D$18,$O408,$O409,"T",DCC_Leg1_Float)%+GenRate_1a%%)*$AN408,        IF(GenType_1a="bp (Fixed)",GenRate_1a%%*$AM408*$AL408,   IF(GenType_1a="bp (Float)",GenRate_1a%%*$AL408*$AN408,0))))</f>
        <v>0</v>
      </c>
      <c r="AR409" s="561"/>
      <c r="AT409" s="341">
        <f t="shared" si="84"/>
        <v>0</v>
      </c>
      <c r="AV409" s="356"/>
      <c r="AW409" s="122">
        <v>0</v>
      </c>
      <c r="AX409" s="128">
        <f t="shared" si="89"/>
        <v>0</v>
      </c>
      <c r="AY409" s="357">
        <v>0</v>
      </c>
      <c r="AZ409" s="699">
        <f>IF($AW410=0,0,        _xll.qDateNext($AW409,AZ$17,"M",TRUE,Currency2))</f>
        <v>0</v>
      </c>
      <c r="BA409" s="699">
        <f>IF($AW410=0,0,        _xll.qDateNext($AW409,BA$17,"M",TRUE,Currency2))</f>
        <v>0</v>
      </c>
      <c r="BB409" s="699">
        <f>IF($AW410=0,0,        _xll.qDateNext($AW409,BB$17,"M",TRUE,Currency2))</f>
        <v>0</v>
      </c>
      <c r="BC409" s="699">
        <f>IF($AW410=0,0,        _xll.qDateNext($AW409,BC$17,"M",TRUE,Currency2))</f>
        <v>0</v>
      </c>
      <c r="BD409" s="699">
        <f>IF($AW410=0,0,        _xll.qDateNext($AW409,BD$17,"M",TRUE,Currency2))</f>
        <v>0</v>
      </c>
      <c r="BE409" s="699">
        <f>IF($AW410=0,0,        _xll.qDateNext($AW409,BE$17,"M",TRUE,Currency2))</f>
        <v>0</v>
      </c>
      <c r="BF409" s="699">
        <f>IF($AW410=0,0,        _xll.qDateNext($AW409,BF$17,"M",TRUE,Currency2))</f>
        <v>0</v>
      </c>
      <c r="BG409" s="699">
        <f>IF($AW410=0,0,        _xll.qDateNext($AW409,BG$17,"M",TRUE,Currency2))</f>
        <v>0</v>
      </c>
      <c r="BH409" s="703">
        <v>0</v>
      </c>
      <c r="BI409" s="703">
        <v>0</v>
      </c>
      <c r="BJ409" s="703">
        <v>0</v>
      </c>
      <c r="BK409" s="703">
        <v>0</v>
      </c>
      <c r="BL409" s="703">
        <f t="shared" si="95"/>
        <v>0</v>
      </c>
      <c r="BM409" s="703">
        <f t="shared" si="96"/>
        <v>0</v>
      </c>
      <c r="BN409" s="703">
        <v>0</v>
      </c>
      <c r="BO409" s="703">
        <v>0</v>
      </c>
      <c r="BP409" s="685">
        <v>0</v>
      </c>
      <c r="BQ409" s="667"/>
      <c r="BR409" s="670">
        <f>IF(AW410=0,0,             IF(ISNUMBER(BQ409),BQ409,             IF(ISTEXT(BQ409),INDEX(BH409:BO409,MATCH(BQ409,$BH$17:$BO$17,0)),           IF(BP409="INT",_xll.qInterp(AW410,AZ409:BG409,BH409:BO409),       INDEX(BH409:BO409,MATCH(BP409,$BH$17:$BO$17,0))))))</f>
        <v>0</v>
      </c>
      <c r="BS409" s="731">
        <f t="shared" si="90"/>
        <v>0</v>
      </c>
      <c r="BT409" s="406">
        <f t="shared" si="91"/>
        <v>0</v>
      </c>
      <c r="BU409" s="284">
        <f>IF($AW410,_xll.qDateYears($AW409,$AW410,DCC_Leg2_Fixed),0)</f>
        <v>0</v>
      </c>
      <c r="BV409" s="284">
        <f>IF($AW410,_xll.qDateYears($AW409,$AW410,DCC_Leg2_Float),0)</f>
        <v>0</v>
      </c>
      <c r="BX409" s="350">
        <f t="shared" si="97"/>
        <v>0</v>
      </c>
      <c r="BY409" s="375">
        <f>IF(GenType_2a="Fixed",GenRate_2a%*$BT408*BU408,          IF(GenType_2a="Float",$BT408*(_xll.qGetFwdRate($J$18,$AW408,$AW409,"T",DCC_Leg2_Float)%+GenRate_2a%%)*$BV408,        IF(GenType_2a="bp (Fixed)",GenRate_2a%%*$BU408*$BT408,   IF(GenType_2a="bp (Float)",GenRate_2a%%*$BT408*$BV408,0))))</f>
        <v>0</v>
      </c>
      <c r="BZ409" s="561"/>
      <c r="CB409" s="341">
        <f t="shared" si="85"/>
        <v>0</v>
      </c>
      <c r="CC409" s="563"/>
      <c r="CD409" s="356"/>
      <c r="CE409" s="341">
        <v>0</v>
      </c>
      <c r="CF409" s="563"/>
      <c r="CG409" s="356"/>
    </row>
    <row r="410" spans="15:85">
      <c r="O410" s="122">
        <v>0</v>
      </c>
      <c r="P410" s="128">
        <f t="shared" si="86"/>
        <v>0</v>
      </c>
      <c r="Q410" s="126">
        <v>0</v>
      </c>
      <c r="R410" s="699">
        <f>IF($O411=0,0,        _xll.qDateNext($O410,R$17,"M",TRUE,Currency1))</f>
        <v>0</v>
      </c>
      <c r="S410" s="699">
        <f>IF($O411=0,0,        _xll.qDateNext($O410,S$17,"M",TRUE,Currency1))</f>
        <v>0</v>
      </c>
      <c r="T410" s="699">
        <f>IF($O411=0,0,        _xll.qDateNext($O410,T$17,"M",TRUE,Currency1))</f>
        <v>0</v>
      </c>
      <c r="U410" s="699">
        <f>IF($O411=0,0,        _xll.qDateNext($O410,U$17,"M",TRUE,Currency1))</f>
        <v>0</v>
      </c>
      <c r="V410" s="699">
        <f>IF($O411=0,0,        _xll.qDateNext($O410,V$17,"M",TRUE,Currency1))</f>
        <v>0</v>
      </c>
      <c r="W410" s="699">
        <f>IF($O411=0,0,        _xll.qDateNext($O410,W$17,"M",TRUE,Currency1))</f>
        <v>0</v>
      </c>
      <c r="X410" s="699">
        <f>IF($O411=0,0,        _xll.qDateNext($O410,X$17,"M",TRUE,Currency1))</f>
        <v>0</v>
      </c>
      <c r="Y410" s="699">
        <f>IF($O411=0,0,        _xll.qDateNext($O410,Y$17,"M",TRUE,Currency1))</f>
        <v>0</v>
      </c>
      <c r="Z410" s="703">
        <f>IF($O411=0,0,           IF(FRM,_xll.qGetFwdRate(Z$14,$O410,R410,"T",DCC_Leg1_Float),_xll.qGetFwdRate(Z$14,$O410,$O411,"T",DCC_Leg1_Float)))</f>
        <v>0</v>
      </c>
      <c r="AA410" s="703">
        <f>IF($O411=0,0,           IF(FRM,_xll.qGetFwdRate(AA$14,$O410,S410,"T",DCC_Leg1_Float),_xll.qGetFwdRate(AA$14,$O410,$O411,"T",DCC_Leg1_Float)))</f>
        <v>0</v>
      </c>
      <c r="AB410" s="703">
        <f t="shared" si="87"/>
        <v>0</v>
      </c>
      <c r="AC410" s="703">
        <f>IF($O411=0,0,           IF(FRM,_xll.qGetFwdRate(AC$14,$O410,U410,"T",DCC_Leg1_Float),_xll.qGetFwdRate(AC$14,$O410,$O411,"T",DCC_Leg1_Float)))</f>
        <v>0</v>
      </c>
      <c r="AD410" s="703">
        <f t="shared" si="92"/>
        <v>0</v>
      </c>
      <c r="AE410" s="703">
        <f t="shared" si="93"/>
        <v>0</v>
      </c>
      <c r="AF410" s="703">
        <f>IF($O411=0,0,           IF(FRM,_xll.qGetFwdRate(AF$14,$O410,X410,"T",DCC_Leg1_Float),_xll.qGetFwdRate(AF$14,$O410,$O411,"T",DCC_Leg1_Float)))</f>
        <v>0</v>
      </c>
      <c r="AG410" s="703">
        <f>IF($O411=0,0,           IF(FRM,_xll.qGetFwdRate(AG$14,$O410,Y410,"T",DCC_Leg1_Float),_xll.qGetFwdRate(AG$14,$O410,$O411,"T",DCC_Leg1_Float)))</f>
        <v>0</v>
      </c>
      <c r="AH410" s="685">
        <v>0</v>
      </c>
      <c r="AI410" s="667"/>
      <c r="AJ410" s="670">
        <f>IF(O411=0,0,             IF(ISNUMBER(AI410),AI410,             IF(ISTEXT(AI410),INDEX(Z410:AG410,MATCH(AI410,$Z$17:$AG$17,0)),           IF(AH410="INT",_xll.qInterp(O411,R410:Y410,Z410:AG410),       INDEX(Z410:AG410,MATCH(AH410,$Z$17:$AG$17,0))))))</f>
        <v>0</v>
      </c>
      <c r="AK410" s="732">
        <v>20</v>
      </c>
      <c r="AL410" s="721">
        <f t="shared" si="88"/>
        <v>0</v>
      </c>
      <c r="AM410" s="284">
        <f>IF($O411,_xll.qDateYears($O410,$O411,DCC_Leg1_Fixed),0)</f>
        <v>0</v>
      </c>
      <c r="AN410" s="284">
        <f>IF($O411,_xll.qDateYears($O410,$O411,DCC_Leg1_Float),0)</f>
        <v>0</v>
      </c>
      <c r="AP410" s="350">
        <f t="shared" si="94"/>
        <v>0</v>
      </c>
      <c r="AQ410" s="375">
        <f>IF(GenType_1a="Fixed",GenRate_1a%*$AL409*AM409,          IF(GenType_1a="Float",$AL409*(_xll.qGetFwdRate($D$18,$O409,$O410,"T",DCC_Leg1_Float)%+GenRate_1a%%)*$AN409,        IF(GenType_1a="bp (Fixed)",GenRate_1a%%*$AM409*$AL409,   IF(GenType_1a="bp (Float)",GenRate_1a%%*$AL409*$AN409,0))))</f>
        <v>0</v>
      </c>
      <c r="AR410" s="561"/>
      <c r="AT410" s="341">
        <f t="shared" si="84"/>
        <v>0</v>
      </c>
      <c r="AV410" s="356"/>
      <c r="AW410" s="122">
        <v>0</v>
      </c>
      <c r="AX410" s="128">
        <f t="shared" si="89"/>
        <v>0</v>
      </c>
      <c r="AY410" s="357">
        <v>0</v>
      </c>
      <c r="AZ410" s="699">
        <f>IF($AW411=0,0,        _xll.qDateNext($AW410,AZ$17,"M",TRUE,Currency2))</f>
        <v>0</v>
      </c>
      <c r="BA410" s="699">
        <f>IF($AW411=0,0,        _xll.qDateNext($AW410,BA$17,"M",TRUE,Currency2))</f>
        <v>0</v>
      </c>
      <c r="BB410" s="699">
        <f>IF($AW411=0,0,        _xll.qDateNext($AW410,BB$17,"M",TRUE,Currency2))</f>
        <v>0</v>
      </c>
      <c r="BC410" s="699">
        <f>IF($AW411=0,0,        _xll.qDateNext($AW410,BC$17,"M",TRUE,Currency2))</f>
        <v>0</v>
      </c>
      <c r="BD410" s="699">
        <f>IF($AW411=0,0,        _xll.qDateNext($AW410,BD$17,"M",TRUE,Currency2))</f>
        <v>0</v>
      </c>
      <c r="BE410" s="699">
        <f>IF($AW411=0,0,        _xll.qDateNext($AW410,BE$17,"M",TRUE,Currency2))</f>
        <v>0</v>
      </c>
      <c r="BF410" s="699">
        <f>IF($AW411=0,0,        _xll.qDateNext($AW410,BF$17,"M",TRUE,Currency2))</f>
        <v>0</v>
      </c>
      <c r="BG410" s="699">
        <f>IF($AW411=0,0,        _xll.qDateNext($AW410,BG$17,"M",TRUE,Currency2))</f>
        <v>0</v>
      </c>
      <c r="BH410" s="703">
        <v>0</v>
      </c>
      <c r="BI410" s="703">
        <v>0</v>
      </c>
      <c r="BJ410" s="703">
        <v>0</v>
      </c>
      <c r="BK410" s="703">
        <v>0</v>
      </c>
      <c r="BL410" s="703">
        <f t="shared" si="95"/>
        <v>0</v>
      </c>
      <c r="BM410" s="703">
        <f t="shared" si="96"/>
        <v>0</v>
      </c>
      <c r="BN410" s="703">
        <v>0</v>
      </c>
      <c r="BO410" s="703">
        <v>0</v>
      </c>
      <c r="BP410" s="685">
        <v>0</v>
      </c>
      <c r="BQ410" s="667"/>
      <c r="BR410" s="670">
        <f>IF(AW411=0,0,             IF(ISNUMBER(BQ410),BQ410,             IF(ISTEXT(BQ410),INDEX(BH410:BO410,MATCH(BQ410,$BH$17:$BO$17,0)),           IF(BP410="INT",_xll.qInterp(AW411,AZ410:BG410,BH410:BO410),       INDEX(BH410:BO410,MATCH(BP410,$BH$17:$BO$17,0))))))</f>
        <v>0</v>
      </c>
      <c r="BS410" s="731">
        <f t="shared" si="90"/>
        <v>0</v>
      </c>
      <c r="BT410" s="406">
        <f t="shared" si="91"/>
        <v>0</v>
      </c>
      <c r="BU410" s="284">
        <f>IF($AW411,_xll.qDateYears($AW410,$AW411,DCC_Leg2_Fixed),0)</f>
        <v>0</v>
      </c>
      <c r="BV410" s="284">
        <f>IF($AW411,_xll.qDateYears($AW410,$AW411,DCC_Leg2_Float),0)</f>
        <v>0</v>
      </c>
      <c r="BX410" s="350">
        <f t="shared" si="97"/>
        <v>0</v>
      </c>
      <c r="BY410" s="375">
        <f>IF(GenType_2a="Fixed",GenRate_2a%*$BT409*BU409,          IF(GenType_2a="Float",$BT409*(_xll.qGetFwdRate($J$18,$AW409,$AW410,"T",DCC_Leg2_Float)%+GenRate_2a%%)*$BV409,        IF(GenType_2a="bp (Fixed)",GenRate_2a%%*$BU409*$BT409,   IF(GenType_2a="bp (Float)",GenRate_2a%%*$BT409*$BV409,0))))</f>
        <v>0</v>
      </c>
      <c r="BZ410" s="561"/>
      <c r="CB410" s="341">
        <f t="shared" si="85"/>
        <v>0</v>
      </c>
      <c r="CC410" s="563"/>
      <c r="CD410" s="356"/>
      <c r="CE410" s="341">
        <v>0</v>
      </c>
      <c r="CF410" s="563"/>
      <c r="CG410" s="356"/>
    </row>
    <row r="411" spans="15:85">
      <c r="O411" s="122">
        <v>0</v>
      </c>
      <c r="P411" s="128">
        <f t="shared" si="86"/>
        <v>0</v>
      </c>
      <c r="Q411" s="126">
        <v>0</v>
      </c>
      <c r="R411" s="699">
        <f>IF($O412=0,0,        _xll.qDateNext($O411,R$17,"M",TRUE,Currency1))</f>
        <v>0</v>
      </c>
      <c r="S411" s="699">
        <f>IF($O412=0,0,        _xll.qDateNext($O411,S$17,"M",TRUE,Currency1))</f>
        <v>0</v>
      </c>
      <c r="T411" s="699">
        <f>IF($O412=0,0,        _xll.qDateNext($O411,T$17,"M",TRUE,Currency1))</f>
        <v>0</v>
      </c>
      <c r="U411" s="699">
        <f>IF($O412=0,0,        _xll.qDateNext($O411,U$17,"M",TRUE,Currency1))</f>
        <v>0</v>
      </c>
      <c r="V411" s="699">
        <f>IF($O412=0,0,        _xll.qDateNext($O411,V$17,"M",TRUE,Currency1))</f>
        <v>0</v>
      </c>
      <c r="W411" s="699">
        <f>IF($O412=0,0,        _xll.qDateNext($O411,W$17,"M",TRUE,Currency1))</f>
        <v>0</v>
      </c>
      <c r="X411" s="699">
        <f>IF($O412=0,0,        _xll.qDateNext($O411,X$17,"M",TRUE,Currency1))</f>
        <v>0</v>
      </c>
      <c r="Y411" s="699">
        <f>IF($O412=0,0,        _xll.qDateNext($O411,Y$17,"M",TRUE,Currency1))</f>
        <v>0</v>
      </c>
      <c r="Z411" s="703">
        <f>IF($O412=0,0,           IF(FRM,_xll.qGetFwdRate(Z$14,$O411,R411,"T",DCC_Leg1_Float),_xll.qGetFwdRate(Z$14,$O411,$O412,"T",DCC_Leg1_Float)))</f>
        <v>0</v>
      </c>
      <c r="AA411" s="703">
        <f>IF($O412=0,0,           IF(FRM,_xll.qGetFwdRate(AA$14,$O411,S411,"T",DCC_Leg1_Float),_xll.qGetFwdRate(AA$14,$O411,$O412,"T",DCC_Leg1_Float)))</f>
        <v>0</v>
      </c>
      <c r="AB411" s="703">
        <f t="shared" si="87"/>
        <v>0</v>
      </c>
      <c r="AC411" s="703">
        <f>IF($O412=0,0,           IF(FRM,_xll.qGetFwdRate(AC$14,$O411,U411,"T",DCC_Leg1_Float),_xll.qGetFwdRate(AC$14,$O411,$O412,"T",DCC_Leg1_Float)))</f>
        <v>0</v>
      </c>
      <c r="AD411" s="703">
        <f t="shared" si="92"/>
        <v>0</v>
      </c>
      <c r="AE411" s="703">
        <f t="shared" si="93"/>
        <v>0</v>
      </c>
      <c r="AF411" s="703">
        <f>IF($O412=0,0,           IF(FRM,_xll.qGetFwdRate(AF$14,$O411,X411,"T",DCC_Leg1_Float),_xll.qGetFwdRate(AF$14,$O411,$O412,"T",DCC_Leg1_Float)))</f>
        <v>0</v>
      </c>
      <c r="AG411" s="703">
        <f>IF($O412=0,0,           IF(FRM,_xll.qGetFwdRate(AG$14,$O411,Y411,"T",DCC_Leg1_Float),_xll.qGetFwdRate(AG$14,$O411,$O412,"T",DCC_Leg1_Float)))</f>
        <v>0</v>
      </c>
      <c r="AH411" s="685">
        <v>0</v>
      </c>
      <c r="AI411" s="667"/>
      <c r="AJ411" s="670">
        <f>IF(O412=0,0,             IF(ISNUMBER(AI411),AI411,             IF(ISTEXT(AI411),INDEX(Z411:AG411,MATCH(AI411,$Z$17:$AG$17,0)),           IF(AH411="INT",_xll.qInterp(O412,R411:Y411,Z411:AG411),       INDEX(Z411:AG411,MATCH(AH411,$Z$17:$AG$17,0))))))</f>
        <v>0</v>
      </c>
      <c r="AK411" s="732">
        <v>20</v>
      </c>
      <c r="AL411" s="721">
        <f t="shared" si="88"/>
        <v>0</v>
      </c>
      <c r="AM411" s="284">
        <f>IF($O412,_xll.qDateYears($O411,$O412,DCC_Leg1_Fixed),0)</f>
        <v>0</v>
      </c>
      <c r="AN411" s="284">
        <f>IF($O412,_xll.qDateYears($O411,$O412,DCC_Leg1_Float),0)</f>
        <v>0</v>
      </c>
      <c r="AP411" s="350">
        <f t="shared" si="94"/>
        <v>0</v>
      </c>
      <c r="AQ411" s="375">
        <f>IF(GenType_1a="Fixed",GenRate_1a%*$AL410*AM410,          IF(GenType_1a="Float",$AL410*(_xll.qGetFwdRate($D$18,$O410,$O411,"T",DCC_Leg1_Float)%+GenRate_1a%%)*$AN410,        IF(GenType_1a="bp (Fixed)",GenRate_1a%%*$AM410*$AL410,   IF(GenType_1a="bp (Float)",GenRate_1a%%*$AL410*$AN410,0))))</f>
        <v>0</v>
      </c>
      <c r="AR411" s="561"/>
      <c r="AT411" s="341">
        <f t="shared" si="84"/>
        <v>0</v>
      </c>
      <c r="AV411" s="356"/>
      <c r="AW411" s="122">
        <v>0</v>
      </c>
      <c r="AX411" s="128">
        <f t="shared" si="89"/>
        <v>0</v>
      </c>
      <c r="AY411" s="357">
        <v>0</v>
      </c>
      <c r="AZ411" s="699">
        <f>IF($AW412=0,0,        _xll.qDateNext($AW411,AZ$17,"M",TRUE,Currency2))</f>
        <v>0</v>
      </c>
      <c r="BA411" s="699">
        <f>IF($AW412=0,0,        _xll.qDateNext($AW411,BA$17,"M",TRUE,Currency2))</f>
        <v>0</v>
      </c>
      <c r="BB411" s="699">
        <f>IF($AW412=0,0,        _xll.qDateNext($AW411,BB$17,"M",TRUE,Currency2))</f>
        <v>0</v>
      </c>
      <c r="BC411" s="699">
        <f>IF($AW412=0,0,        _xll.qDateNext($AW411,BC$17,"M",TRUE,Currency2))</f>
        <v>0</v>
      </c>
      <c r="BD411" s="699">
        <f>IF($AW412=0,0,        _xll.qDateNext($AW411,BD$17,"M",TRUE,Currency2))</f>
        <v>0</v>
      </c>
      <c r="BE411" s="699">
        <f>IF($AW412=0,0,        _xll.qDateNext($AW411,BE$17,"M",TRUE,Currency2))</f>
        <v>0</v>
      </c>
      <c r="BF411" s="699">
        <f>IF($AW412=0,0,        _xll.qDateNext($AW411,BF$17,"M",TRUE,Currency2))</f>
        <v>0</v>
      </c>
      <c r="BG411" s="699">
        <f>IF($AW412=0,0,        _xll.qDateNext($AW411,BG$17,"M",TRUE,Currency2))</f>
        <v>0</v>
      </c>
      <c r="BH411" s="703">
        <v>0</v>
      </c>
      <c r="BI411" s="703">
        <v>0</v>
      </c>
      <c r="BJ411" s="703">
        <v>0</v>
      </c>
      <c r="BK411" s="703">
        <v>0</v>
      </c>
      <c r="BL411" s="703">
        <f t="shared" si="95"/>
        <v>0</v>
      </c>
      <c r="BM411" s="703">
        <f t="shared" si="96"/>
        <v>0</v>
      </c>
      <c r="BN411" s="703">
        <v>0</v>
      </c>
      <c r="BO411" s="703">
        <v>0</v>
      </c>
      <c r="BP411" s="685">
        <v>0</v>
      </c>
      <c r="BQ411" s="667"/>
      <c r="BR411" s="670">
        <f>IF(AW412=0,0,             IF(ISNUMBER(BQ411),BQ411,             IF(ISTEXT(BQ411),INDEX(BH411:BO411,MATCH(BQ411,$BH$17:$BO$17,0)),           IF(BP411="INT",_xll.qInterp(AW412,AZ411:BG411,BH411:BO411),       INDEX(BH411:BO411,MATCH(BP411,$BH$17:$BO$17,0))))))</f>
        <v>0</v>
      </c>
      <c r="BS411" s="731">
        <f t="shared" si="90"/>
        <v>0</v>
      </c>
      <c r="BT411" s="406">
        <f t="shared" si="91"/>
        <v>0</v>
      </c>
      <c r="BU411" s="284">
        <f>IF($AW412,_xll.qDateYears($AW411,$AW412,DCC_Leg2_Fixed),0)</f>
        <v>0</v>
      </c>
      <c r="BV411" s="284">
        <f>IF($AW412,_xll.qDateYears($AW411,$AW412,DCC_Leg2_Float),0)</f>
        <v>0</v>
      </c>
      <c r="BX411" s="350">
        <f t="shared" si="97"/>
        <v>0</v>
      </c>
      <c r="BY411" s="375">
        <f>IF(GenType_2a="Fixed",GenRate_2a%*$BT410*BU410,          IF(GenType_2a="Float",$BT410*(_xll.qGetFwdRate($J$18,$AW410,$AW411,"T",DCC_Leg2_Float)%+GenRate_2a%%)*$BV410,        IF(GenType_2a="bp (Fixed)",GenRate_2a%%*$BU410*$BT410,   IF(GenType_2a="bp (Float)",GenRate_2a%%*$BT410*$BV410,0))))</f>
        <v>0</v>
      </c>
      <c r="BZ411" s="561"/>
      <c r="CB411" s="341">
        <f t="shared" si="85"/>
        <v>0</v>
      </c>
      <c r="CC411" s="563"/>
      <c r="CD411" s="356"/>
      <c r="CE411" s="341">
        <v>0</v>
      </c>
      <c r="CF411" s="563"/>
      <c r="CG411" s="356"/>
    </row>
    <row r="412" spans="15:85">
      <c r="O412" s="122">
        <v>0</v>
      </c>
      <c r="P412" s="128">
        <f t="shared" si="86"/>
        <v>0</v>
      </c>
      <c r="Q412" s="126">
        <v>0</v>
      </c>
      <c r="R412" s="699">
        <f>IF($O413=0,0,        _xll.qDateNext($O412,R$17,"M",TRUE,Currency1))</f>
        <v>0</v>
      </c>
      <c r="S412" s="699">
        <f>IF($O413=0,0,        _xll.qDateNext($O412,S$17,"M",TRUE,Currency1))</f>
        <v>0</v>
      </c>
      <c r="T412" s="699">
        <f>IF($O413=0,0,        _xll.qDateNext($O412,T$17,"M",TRUE,Currency1))</f>
        <v>0</v>
      </c>
      <c r="U412" s="699">
        <f>IF($O413=0,0,        _xll.qDateNext($O412,U$17,"M",TRUE,Currency1))</f>
        <v>0</v>
      </c>
      <c r="V412" s="699">
        <f>IF($O413=0,0,        _xll.qDateNext($O412,V$17,"M",TRUE,Currency1))</f>
        <v>0</v>
      </c>
      <c r="W412" s="699">
        <f>IF($O413=0,0,        _xll.qDateNext($O412,W$17,"M",TRUE,Currency1))</f>
        <v>0</v>
      </c>
      <c r="X412" s="699">
        <f>IF($O413=0,0,        _xll.qDateNext($O412,X$17,"M",TRUE,Currency1))</f>
        <v>0</v>
      </c>
      <c r="Y412" s="699">
        <f>IF($O413=0,0,        _xll.qDateNext($O412,Y$17,"M",TRUE,Currency1))</f>
        <v>0</v>
      </c>
      <c r="Z412" s="703">
        <f>IF($O413=0,0,           IF(FRM,_xll.qGetFwdRate(Z$14,$O412,R412,"T",DCC_Leg1_Float),_xll.qGetFwdRate(Z$14,$O412,$O413,"T",DCC_Leg1_Float)))</f>
        <v>0</v>
      </c>
      <c r="AA412" s="703">
        <f>IF($O413=0,0,           IF(FRM,_xll.qGetFwdRate(AA$14,$O412,S412,"T",DCC_Leg1_Float),_xll.qGetFwdRate(AA$14,$O412,$O413,"T",DCC_Leg1_Float)))</f>
        <v>0</v>
      </c>
      <c r="AB412" s="703">
        <f t="shared" si="87"/>
        <v>0</v>
      </c>
      <c r="AC412" s="703">
        <f>IF($O413=0,0,           IF(FRM,_xll.qGetFwdRate(AC$14,$O412,U412,"T",DCC_Leg1_Float),_xll.qGetFwdRate(AC$14,$O412,$O413,"T",DCC_Leg1_Float)))</f>
        <v>0</v>
      </c>
      <c r="AD412" s="703">
        <f t="shared" si="92"/>
        <v>0</v>
      </c>
      <c r="AE412" s="703">
        <f t="shared" si="93"/>
        <v>0</v>
      </c>
      <c r="AF412" s="703">
        <f>IF($O413=0,0,           IF(FRM,_xll.qGetFwdRate(AF$14,$O412,X412,"T",DCC_Leg1_Float),_xll.qGetFwdRate(AF$14,$O412,$O413,"T",DCC_Leg1_Float)))</f>
        <v>0</v>
      </c>
      <c r="AG412" s="703">
        <f>IF($O413=0,0,           IF(FRM,_xll.qGetFwdRate(AG$14,$O412,Y412,"T",DCC_Leg1_Float),_xll.qGetFwdRate(AG$14,$O412,$O413,"T",DCC_Leg1_Float)))</f>
        <v>0</v>
      </c>
      <c r="AH412" s="685">
        <v>0</v>
      </c>
      <c r="AI412" s="667"/>
      <c r="AJ412" s="670">
        <f>IF(O413=0,0,             IF(ISNUMBER(AI412),AI412,             IF(ISTEXT(AI412),INDEX(Z412:AG412,MATCH(AI412,$Z$17:$AG$17,0)),           IF(AH412="INT",_xll.qInterp(O413,R412:Y412,Z412:AG412),       INDEX(Z412:AG412,MATCH(AH412,$Z$17:$AG$17,0))))))</f>
        <v>0</v>
      </c>
      <c r="AK412" s="732">
        <v>20</v>
      </c>
      <c r="AL412" s="721">
        <f t="shared" si="88"/>
        <v>0</v>
      </c>
      <c r="AM412" s="284">
        <f>IF($O413,_xll.qDateYears($O412,$O413,DCC_Leg1_Fixed),0)</f>
        <v>0</v>
      </c>
      <c r="AN412" s="284">
        <f>IF($O413,_xll.qDateYears($O412,$O413,DCC_Leg1_Float),0)</f>
        <v>0</v>
      </c>
      <c r="AP412" s="350">
        <f t="shared" si="94"/>
        <v>0</v>
      </c>
      <c r="AQ412" s="375">
        <f>IF(GenType_1a="Fixed",GenRate_1a%*$AL411*AM411,          IF(GenType_1a="Float",$AL411*(_xll.qGetFwdRate($D$18,$O411,$O412,"T",DCC_Leg1_Float)%+GenRate_1a%%)*$AN411,        IF(GenType_1a="bp (Fixed)",GenRate_1a%%*$AM411*$AL411,   IF(GenType_1a="bp (Float)",GenRate_1a%%*$AL411*$AN411,0))))</f>
        <v>0</v>
      </c>
      <c r="AR412" s="561"/>
      <c r="AT412" s="341">
        <f t="shared" si="84"/>
        <v>0</v>
      </c>
      <c r="AV412" s="356"/>
      <c r="AW412" s="122">
        <v>0</v>
      </c>
      <c r="AX412" s="128">
        <f t="shared" si="89"/>
        <v>0</v>
      </c>
      <c r="AY412" s="357">
        <v>0</v>
      </c>
      <c r="AZ412" s="699">
        <f>IF($AW413=0,0,        _xll.qDateNext($AW412,AZ$17,"M",TRUE,Currency2))</f>
        <v>0</v>
      </c>
      <c r="BA412" s="699">
        <f>IF($AW413=0,0,        _xll.qDateNext($AW412,BA$17,"M",TRUE,Currency2))</f>
        <v>0</v>
      </c>
      <c r="BB412" s="699">
        <f>IF($AW413=0,0,        _xll.qDateNext($AW412,BB$17,"M",TRUE,Currency2))</f>
        <v>0</v>
      </c>
      <c r="BC412" s="699">
        <f>IF($AW413=0,0,        _xll.qDateNext($AW412,BC$17,"M",TRUE,Currency2))</f>
        <v>0</v>
      </c>
      <c r="BD412" s="699">
        <f>IF($AW413=0,0,        _xll.qDateNext($AW412,BD$17,"M",TRUE,Currency2))</f>
        <v>0</v>
      </c>
      <c r="BE412" s="699">
        <f>IF($AW413=0,0,        _xll.qDateNext($AW412,BE$17,"M",TRUE,Currency2))</f>
        <v>0</v>
      </c>
      <c r="BF412" s="699">
        <f>IF($AW413=0,0,        _xll.qDateNext($AW412,BF$17,"M",TRUE,Currency2))</f>
        <v>0</v>
      </c>
      <c r="BG412" s="699">
        <f>IF($AW413=0,0,        _xll.qDateNext($AW412,BG$17,"M",TRUE,Currency2))</f>
        <v>0</v>
      </c>
      <c r="BH412" s="703">
        <v>0</v>
      </c>
      <c r="BI412" s="703">
        <v>0</v>
      </c>
      <c r="BJ412" s="703">
        <v>0</v>
      </c>
      <c r="BK412" s="703">
        <v>0</v>
      </c>
      <c r="BL412" s="703">
        <f t="shared" si="95"/>
        <v>0</v>
      </c>
      <c r="BM412" s="703">
        <f t="shared" si="96"/>
        <v>0</v>
      </c>
      <c r="BN412" s="703">
        <v>0</v>
      </c>
      <c r="BO412" s="703">
        <v>0</v>
      </c>
      <c r="BP412" s="685">
        <v>0</v>
      </c>
      <c r="BQ412" s="667"/>
      <c r="BR412" s="670">
        <f>IF(AW413=0,0,             IF(ISNUMBER(BQ412),BQ412,             IF(ISTEXT(BQ412),INDEX(BH412:BO412,MATCH(BQ412,$BH$17:$BO$17,0)),           IF(BP412="INT",_xll.qInterp(AW413,AZ412:BG412,BH412:BO412),       INDEX(BH412:BO412,MATCH(BP412,$BH$17:$BO$17,0))))))</f>
        <v>0</v>
      </c>
      <c r="BS412" s="731">
        <f t="shared" si="90"/>
        <v>0</v>
      </c>
      <c r="BT412" s="406">
        <f t="shared" si="91"/>
        <v>0</v>
      </c>
      <c r="BU412" s="284">
        <f>IF($AW413,_xll.qDateYears($AW412,$AW413,DCC_Leg2_Fixed),0)</f>
        <v>0</v>
      </c>
      <c r="BV412" s="284">
        <f>IF($AW413,_xll.qDateYears($AW412,$AW413,DCC_Leg2_Float),0)</f>
        <v>0</v>
      </c>
      <c r="BX412" s="350">
        <f t="shared" si="97"/>
        <v>0</v>
      </c>
      <c r="BY412" s="375">
        <f>IF(GenType_2a="Fixed",GenRate_2a%*$BT411*BU411,          IF(GenType_2a="Float",$BT411*(_xll.qGetFwdRate($J$18,$AW411,$AW412,"T",DCC_Leg2_Float)%+GenRate_2a%%)*$BV411,        IF(GenType_2a="bp (Fixed)",GenRate_2a%%*$BU411*$BT411,   IF(GenType_2a="bp (Float)",GenRate_2a%%*$BT411*$BV411,0))))</f>
        <v>0</v>
      </c>
      <c r="BZ412" s="561"/>
      <c r="CB412" s="341">
        <f t="shared" si="85"/>
        <v>0</v>
      </c>
      <c r="CC412" s="563"/>
      <c r="CD412" s="356"/>
      <c r="CE412" s="341">
        <v>0</v>
      </c>
      <c r="CF412" s="563"/>
      <c r="CG412" s="356"/>
    </row>
    <row r="413" spans="15:85">
      <c r="O413" s="122">
        <v>0</v>
      </c>
      <c r="P413" s="128">
        <f t="shared" si="86"/>
        <v>0</v>
      </c>
      <c r="Q413" s="126">
        <v>0</v>
      </c>
      <c r="R413" s="699">
        <f>IF($O414=0,0,        _xll.qDateNext($O413,R$17,"M",TRUE,Currency1))</f>
        <v>0</v>
      </c>
      <c r="S413" s="699">
        <f>IF($O414=0,0,        _xll.qDateNext($O413,S$17,"M",TRUE,Currency1))</f>
        <v>0</v>
      </c>
      <c r="T413" s="699">
        <f>IF($O414=0,0,        _xll.qDateNext($O413,T$17,"M",TRUE,Currency1))</f>
        <v>0</v>
      </c>
      <c r="U413" s="699">
        <f>IF($O414=0,0,        _xll.qDateNext($O413,U$17,"M",TRUE,Currency1))</f>
        <v>0</v>
      </c>
      <c r="V413" s="699">
        <f>IF($O414=0,0,        _xll.qDateNext($O413,V$17,"M",TRUE,Currency1))</f>
        <v>0</v>
      </c>
      <c r="W413" s="699">
        <f>IF($O414=0,0,        _xll.qDateNext($O413,W$17,"M",TRUE,Currency1))</f>
        <v>0</v>
      </c>
      <c r="X413" s="699">
        <f>IF($O414=0,0,        _xll.qDateNext($O413,X$17,"M",TRUE,Currency1))</f>
        <v>0</v>
      </c>
      <c r="Y413" s="699">
        <f>IF($O414=0,0,        _xll.qDateNext($O413,Y$17,"M",TRUE,Currency1))</f>
        <v>0</v>
      </c>
      <c r="Z413" s="703">
        <f>IF($O414=0,0,           IF(FRM,_xll.qGetFwdRate(Z$14,$O413,R413,"T",DCC_Leg1_Float),_xll.qGetFwdRate(Z$14,$O413,$O414,"T",DCC_Leg1_Float)))</f>
        <v>0</v>
      </c>
      <c r="AA413" s="703">
        <f>IF($O414=0,0,           IF(FRM,_xll.qGetFwdRate(AA$14,$O413,S413,"T",DCC_Leg1_Float),_xll.qGetFwdRate(AA$14,$O413,$O414,"T",DCC_Leg1_Float)))</f>
        <v>0</v>
      </c>
      <c r="AB413" s="703">
        <f t="shared" si="87"/>
        <v>0</v>
      </c>
      <c r="AC413" s="703">
        <f>IF($O414=0,0,           IF(FRM,_xll.qGetFwdRate(AC$14,$O413,U413,"T",DCC_Leg1_Float),_xll.qGetFwdRate(AC$14,$O413,$O414,"T",DCC_Leg1_Float)))</f>
        <v>0</v>
      </c>
      <c r="AD413" s="703">
        <f t="shared" si="92"/>
        <v>0</v>
      </c>
      <c r="AE413" s="703">
        <f t="shared" si="93"/>
        <v>0</v>
      </c>
      <c r="AF413" s="703">
        <f>IF($O414=0,0,           IF(FRM,_xll.qGetFwdRate(AF$14,$O413,X413,"T",DCC_Leg1_Float),_xll.qGetFwdRate(AF$14,$O413,$O414,"T",DCC_Leg1_Float)))</f>
        <v>0</v>
      </c>
      <c r="AG413" s="703">
        <f>IF($O414=0,0,           IF(FRM,_xll.qGetFwdRate(AG$14,$O413,Y413,"T",DCC_Leg1_Float),_xll.qGetFwdRate(AG$14,$O413,$O414,"T",DCC_Leg1_Float)))</f>
        <v>0</v>
      </c>
      <c r="AH413" s="685">
        <v>0</v>
      </c>
      <c r="AI413" s="667"/>
      <c r="AJ413" s="670">
        <f>IF(O414=0,0,             IF(ISNUMBER(AI413),AI413,             IF(ISTEXT(AI413),INDEX(Z413:AG413,MATCH(AI413,$Z$17:$AG$17,0)),           IF(AH413="INT",_xll.qInterp(O414,R413:Y413,Z413:AG413),       INDEX(Z413:AG413,MATCH(AH413,$Z$17:$AG$17,0))))))</f>
        <v>0</v>
      </c>
      <c r="AK413" s="732">
        <v>20</v>
      </c>
      <c r="AL413" s="721">
        <f t="shared" si="88"/>
        <v>0</v>
      </c>
      <c r="AM413" s="284">
        <f>IF($O414,_xll.qDateYears($O413,$O414,DCC_Leg1_Fixed),0)</f>
        <v>0</v>
      </c>
      <c r="AN413" s="284">
        <f>IF($O414,_xll.qDateYears($O413,$O414,DCC_Leg1_Float),0)</f>
        <v>0</v>
      </c>
      <c r="AP413" s="350">
        <f t="shared" si="94"/>
        <v>0</v>
      </c>
      <c r="AQ413" s="375">
        <f>IF(GenType_1a="Fixed",GenRate_1a%*$AL412*AM412,          IF(GenType_1a="Float",$AL412*(_xll.qGetFwdRate($D$18,$O412,$O413,"T",DCC_Leg1_Float)%+GenRate_1a%%)*$AN412,        IF(GenType_1a="bp (Fixed)",GenRate_1a%%*$AM412*$AL412,   IF(GenType_1a="bp (Float)",GenRate_1a%%*$AL412*$AN412,0))))</f>
        <v>0</v>
      </c>
      <c r="AR413" s="561"/>
      <c r="AT413" s="341">
        <f t="shared" si="84"/>
        <v>0</v>
      </c>
      <c r="AV413" s="356"/>
      <c r="AW413" s="122">
        <v>0</v>
      </c>
      <c r="AX413" s="128">
        <f t="shared" si="89"/>
        <v>0</v>
      </c>
      <c r="AY413" s="357">
        <v>0</v>
      </c>
      <c r="AZ413" s="699">
        <f>IF($AW414=0,0,        _xll.qDateNext($AW413,AZ$17,"M",TRUE,Currency2))</f>
        <v>0</v>
      </c>
      <c r="BA413" s="699">
        <f>IF($AW414=0,0,        _xll.qDateNext($AW413,BA$17,"M",TRUE,Currency2))</f>
        <v>0</v>
      </c>
      <c r="BB413" s="699">
        <f>IF($AW414=0,0,        _xll.qDateNext($AW413,BB$17,"M",TRUE,Currency2))</f>
        <v>0</v>
      </c>
      <c r="BC413" s="699">
        <f>IF($AW414=0,0,        _xll.qDateNext($AW413,BC$17,"M",TRUE,Currency2))</f>
        <v>0</v>
      </c>
      <c r="BD413" s="699">
        <f>IF($AW414=0,0,        _xll.qDateNext($AW413,BD$17,"M",TRUE,Currency2))</f>
        <v>0</v>
      </c>
      <c r="BE413" s="699">
        <f>IF($AW414=0,0,        _xll.qDateNext($AW413,BE$17,"M",TRUE,Currency2))</f>
        <v>0</v>
      </c>
      <c r="BF413" s="699">
        <f>IF($AW414=0,0,        _xll.qDateNext($AW413,BF$17,"M",TRUE,Currency2))</f>
        <v>0</v>
      </c>
      <c r="BG413" s="699">
        <f>IF($AW414=0,0,        _xll.qDateNext($AW413,BG$17,"M",TRUE,Currency2))</f>
        <v>0</v>
      </c>
      <c r="BH413" s="703">
        <v>0</v>
      </c>
      <c r="BI413" s="703">
        <v>0</v>
      </c>
      <c r="BJ413" s="703">
        <v>0</v>
      </c>
      <c r="BK413" s="703">
        <v>0</v>
      </c>
      <c r="BL413" s="703">
        <f t="shared" si="95"/>
        <v>0</v>
      </c>
      <c r="BM413" s="703">
        <f t="shared" si="96"/>
        <v>0</v>
      </c>
      <c r="BN413" s="703">
        <v>0</v>
      </c>
      <c r="BO413" s="703">
        <v>0</v>
      </c>
      <c r="BP413" s="685">
        <v>0</v>
      </c>
      <c r="BQ413" s="667"/>
      <c r="BR413" s="670">
        <f>IF(AW414=0,0,             IF(ISNUMBER(BQ413),BQ413,             IF(ISTEXT(BQ413),INDEX(BH413:BO413,MATCH(BQ413,$BH$17:$BO$17,0)),           IF(BP413="INT",_xll.qInterp(AW414,AZ413:BG413,BH413:BO413),       INDEX(BH413:BO413,MATCH(BP413,$BH$17:$BO$17,0))))))</f>
        <v>0</v>
      </c>
      <c r="BS413" s="731">
        <f t="shared" si="90"/>
        <v>0</v>
      </c>
      <c r="BT413" s="406">
        <f t="shared" si="91"/>
        <v>0</v>
      </c>
      <c r="BU413" s="284">
        <f>IF($AW414,_xll.qDateYears($AW413,$AW414,DCC_Leg2_Fixed),0)</f>
        <v>0</v>
      </c>
      <c r="BV413" s="284">
        <f>IF($AW414,_xll.qDateYears($AW413,$AW414,DCC_Leg2_Float),0)</f>
        <v>0</v>
      </c>
      <c r="BX413" s="350">
        <f t="shared" si="97"/>
        <v>0</v>
      </c>
      <c r="BY413" s="375">
        <f>IF(GenType_2a="Fixed",GenRate_2a%*$BT412*BU412,          IF(GenType_2a="Float",$BT412*(_xll.qGetFwdRate($J$18,$AW412,$AW413,"T",DCC_Leg2_Float)%+GenRate_2a%%)*$BV412,        IF(GenType_2a="bp (Fixed)",GenRate_2a%%*$BU412*$BT412,   IF(GenType_2a="bp (Float)",GenRate_2a%%*$BT412*$BV412,0))))</f>
        <v>0</v>
      </c>
      <c r="BZ413" s="561"/>
      <c r="CB413" s="341">
        <f t="shared" si="85"/>
        <v>0</v>
      </c>
      <c r="CC413" s="563"/>
      <c r="CD413" s="356"/>
      <c r="CE413" s="341">
        <v>0</v>
      </c>
      <c r="CF413" s="563"/>
      <c r="CG413" s="356"/>
    </row>
    <row r="414" spans="15:85">
      <c r="O414" s="122">
        <v>0</v>
      </c>
      <c r="P414" s="128">
        <f t="shared" si="86"/>
        <v>0</v>
      </c>
      <c r="Q414" s="126">
        <v>0</v>
      </c>
      <c r="R414" s="699">
        <f>IF($O415=0,0,        _xll.qDateNext($O414,R$17,"M",TRUE,Currency1))</f>
        <v>0</v>
      </c>
      <c r="S414" s="699">
        <f>IF($O415=0,0,        _xll.qDateNext($O414,S$17,"M",TRUE,Currency1))</f>
        <v>0</v>
      </c>
      <c r="T414" s="699">
        <f>IF($O415=0,0,        _xll.qDateNext($O414,T$17,"M",TRUE,Currency1))</f>
        <v>0</v>
      </c>
      <c r="U414" s="699">
        <f>IF($O415=0,0,        _xll.qDateNext($O414,U$17,"M",TRUE,Currency1))</f>
        <v>0</v>
      </c>
      <c r="V414" s="699">
        <f>IF($O415=0,0,        _xll.qDateNext($O414,V$17,"M",TRUE,Currency1))</f>
        <v>0</v>
      </c>
      <c r="W414" s="699">
        <f>IF($O415=0,0,        _xll.qDateNext($O414,W$17,"M",TRUE,Currency1))</f>
        <v>0</v>
      </c>
      <c r="X414" s="699">
        <f>IF($O415=0,0,        _xll.qDateNext($O414,X$17,"M",TRUE,Currency1))</f>
        <v>0</v>
      </c>
      <c r="Y414" s="699">
        <f>IF($O415=0,0,        _xll.qDateNext($O414,Y$17,"M",TRUE,Currency1))</f>
        <v>0</v>
      </c>
      <c r="Z414" s="703">
        <f>IF($O415=0,0,           IF(FRM,_xll.qGetFwdRate(Z$14,$O414,R414,"T",DCC_Leg1_Float),_xll.qGetFwdRate(Z$14,$O414,$O415,"T",DCC_Leg1_Float)))</f>
        <v>0</v>
      </c>
      <c r="AA414" s="703">
        <f>IF($O415=0,0,           IF(FRM,_xll.qGetFwdRate(AA$14,$O414,S414,"T",DCC_Leg1_Float),_xll.qGetFwdRate(AA$14,$O414,$O415,"T",DCC_Leg1_Float)))</f>
        <v>0</v>
      </c>
      <c r="AB414" s="703">
        <f t="shared" si="87"/>
        <v>0</v>
      </c>
      <c r="AC414" s="703">
        <f>IF($O415=0,0,           IF(FRM,_xll.qGetFwdRate(AC$14,$O414,U414,"T",DCC_Leg1_Float),_xll.qGetFwdRate(AC$14,$O414,$O415,"T",DCC_Leg1_Float)))</f>
        <v>0</v>
      </c>
      <c r="AD414" s="703">
        <f t="shared" si="92"/>
        <v>0</v>
      </c>
      <c r="AE414" s="703">
        <f t="shared" si="93"/>
        <v>0</v>
      </c>
      <c r="AF414" s="703">
        <f>IF($O415=0,0,           IF(FRM,_xll.qGetFwdRate(AF$14,$O414,X414,"T",DCC_Leg1_Float),_xll.qGetFwdRate(AF$14,$O414,$O415,"T",DCC_Leg1_Float)))</f>
        <v>0</v>
      </c>
      <c r="AG414" s="703">
        <f>IF($O415=0,0,           IF(FRM,_xll.qGetFwdRate(AG$14,$O414,Y414,"T",DCC_Leg1_Float),_xll.qGetFwdRate(AG$14,$O414,$O415,"T",DCC_Leg1_Float)))</f>
        <v>0</v>
      </c>
      <c r="AH414" s="685">
        <v>0</v>
      </c>
      <c r="AI414" s="667"/>
      <c r="AJ414" s="670">
        <f>IF(O415=0,0,             IF(ISNUMBER(AI414),AI414,             IF(ISTEXT(AI414),INDEX(Z414:AG414,MATCH(AI414,$Z$17:$AG$17,0)),           IF(AH414="INT",_xll.qInterp(O415,R414:Y414,Z414:AG414),       INDEX(Z414:AG414,MATCH(AH414,$Z$17:$AG$17,0))))))</f>
        <v>0</v>
      </c>
      <c r="AK414" s="732">
        <v>20</v>
      </c>
      <c r="AL414" s="721">
        <f t="shared" si="88"/>
        <v>0</v>
      </c>
      <c r="AM414" s="284">
        <f>IF($O415,_xll.qDateYears($O414,$O415,DCC_Leg1_Fixed),0)</f>
        <v>0</v>
      </c>
      <c r="AN414" s="284">
        <f>IF($O415,_xll.qDateYears($O414,$O415,DCC_Leg1_Float),0)</f>
        <v>0</v>
      </c>
      <c r="AP414" s="350">
        <f t="shared" si="94"/>
        <v>0</v>
      </c>
      <c r="AQ414" s="375">
        <f>IF(GenType_1a="Fixed",GenRate_1a%*$AL413*AM413,          IF(GenType_1a="Float",$AL413*(_xll.qGetFwdRate($D$18,$O413,$O414,"T",DCC_Leg1_Float)%+GenRate_1a%%)*$AN413,        IF(GenType_1a="bp (Fixed)",GenRate_1a%%*$AM413*$AL413,   IF(GenType_1a="bp (Float)",GenRate_1a%%*$AL413*$AN413,0))))</f>
        <v>0</v>
      </c>
      <c r="AR414" s="561"/>
      <c r="AT414" s="341">
        <f t="shared" si="84"/>
        <v>0</v>
      </c>
      <c r="AV414" s="356"/>
      <c r="AW414" s="122">
        <v>0</v>
      </c>
      <c r="AX414" s="128">
        <f t="shared" si="89"/>
        <v>0</v>
      </c>
      <c r="AY414" s="357">
        <v>0</v>
      </c>
      <c r="AZ414" s="699">
        <f>IF($AW415=0,0,        _xll.qDateNext($AW414,AZ$17,"M",TRUE,Currency2))</f>
        <v>0</v>
      </c>
      <c r="BA414" s="699">
        <f>IF($AW415=0,0,        _xll.qDateNext($AW414,BA$17,"M",TRUE,Currency2))</f>
        <v>0</v>
      </c>
      <c r="BB414" s="699">
        <f>IF($AW415=0,0,        _xll.qDateNext($AW414,BB$17,"M",TRUE,Currency2))</f>
        <v>0</v>
      </c>
      <c r="BC414" s="699">
        <f>IF($AW415=0,0,        _xll.qDateNext($AW414,BC$17,"M",TRUE,Currency2))</f>
        <v>0</v>
      </c>
      <c r="BD414" s="699">
        <f>IF($AW415=0,0,        _xll.qDateNext($AW414,BD$17,"M",TRUE,Currency2))</f>
        <v>0</v>
      </c>
      <c r="BE414" s="699">
        <f>IF($AW415=0,0,        _xll.qDateNext($AW414,BE$17,"M",TRUE,Currency2))</f>
        <v>0</v>
      </c>
      <c r="BF414" s="699">
        <f>IF($AW415=0,0,        _xll.qDateNext($AW414,BF$17,"M",TRUE,Currency2))</f>
        <v>0</v>
      </c>
      <c r="BG414" s="699">
        <f>IF($AW415=0,0,        _xll.qDateNext($AW414,BG$17,"M",TRUE,Currency2))</f>
        <v>0</v>
      </c>
      <c r="BH414" s="703">
        <v>0</v>
      </c>
      <c r="BI414" s="703">
        <v>0</v>
      </c>
      <c r="BJ414" s="703">
        <v>0</v>
      </c>
      <c r="BK414" s="703">
        <v>0</v>
      </c>
      <c r="BL414" s="703">
        <f t="shared" si="95"/>
        <v>0</v>
      </c>
      <c r="BM414" s="703">
        <f t="shared" si="96"/>
        <v>0</v>
      </c>
      <c r="BN414" s="703">
        <v>0</v>
      </c>
      <c r="BO414" s="703">
        <v>0</v>
      </c>
      <c r="BP414" s="685">
        <v>0</v>
      </c>
      <c r="BQ414" s="667"/>
      <c r="BR414" s="670">
        <f>IF(AW415=0,0,             IF(ISNUMBER(BQ414),BQ414,             IF(ISTEXT(BQ414),INDEX(BH414:BO414,MATCH(BQ414,$BH$17:$BO$17,0)),           IF(BP414="INT",_xll.qInterp(AW415,AZ414:BG414,BH414:BO414),       INDEX(BH414:BO414,MATCH(BP414,$BH$17:$BO$17,0))))))</f>
        <v>0</v>
      </c>
      <c r="BS414" s="731">
        <f t="shared" si="90"/>
        <v>0</v>
      </c>
      <c r="BT414" s="406">
        <f t="shared" si="91"/>
        <v>0</v>
      </c>
      <c r="BU414" s="284">
        <f>IF($AW415,_xll.qDateYears($AW414,$AW415,DCC_Leg2_Fixed),0)</f>
        <v>0</v>
      </c>
      <c r="BV414" s="284">
        <f>IF($AW415,_xll.qDateYears($AW414,$AW415,DCC_Leg2_Float),0)</f>
        <v>0</v>
      </c>
      <c r="BX414" s="350">
        <f t="shared" si="97"/>
        <v>0</v>
      </c>
      <c r="BY414" s="375">
        <f>IF(GenType_2a="Fixed",GenRate_2a%*$BT413*BU413,          IF(GenType_2a="Float",$BT413*(_xll.qGetFwdRate($J$18,$AW413,$AW414,"T",DCC_Leg2_Float)%+GenRate_2a%%)*$BV413,        IF(GenType_2a="bp (Fixed)",GenRate_2a%%*$BU413*$BT413,   IF(GenType_2a="bp (Float)",GenRate_2a%%*$BT413*$BV413,0))))</f>
        <v>0</v>
      </c>
      <c r="BZ414" s="561"/>
      <c r="CB414" s="341">
        <f t="shared" si="85"/>
        <v>0</v>
      </c>
      <c r="CC414" s="563"/>
      <c r="CD414" s="356"/>
      <c r="CE414" s="341">
        <v>0</v>
      </c>
      <c r="CF414" s="563"/>
      <c r="CG414" s="356"/>
    </row>
    <row r="415" spans="15:85">
      <c r="O415" s="122">
        <v>0</v>
      </c>
      <c r="P415" s="128">
        <f t="shared" si="86"/>
        <v>0</v>
      </c>
      <c r="Q415" s="126">
        <v>0</v>
      </c>
      <c r="R415" s="699">
        <f>IF($O416=0,0,        _xll.qDateNext($O415,R$17,"M",TRUE,Currency1))</f>
        <v>0</v>
      </c>
      <c r="S415" s="699">
        <f>IF($O416=0,0,        _xll.qDateNext($O415,S$17,"M",TRUE,Currency1))</f>
        <v>0</v>
      </c>
      <c r="T415" s="699">
        <f>IF($O416=0,0,        _xll.qDateNext($O415,T$17,"M",TRUE,Currency1))</f>
        <v>0</v>
      </c>
      <c r="U415" s="699">
        <f>IF($O416=0,0,        _xll.qDateNext($O415,U$17,"M",TRUE,Currency1))</f>
        <v>0</v>
      </c>
      <c r="V415" s="699">
        <f>IF($O416=0,0,        _xll.qDateNext($O415,V$17,"M",TRUE,Currency1))</f>
        <v>0</v>
      </c>
      <c r="W415" s="699">
        <f>IF($O416=0,0,        _xll.qDateNext($O415,W$17,"M",TRUE,Currency1))</f>
        <v>0</v>
      </c>
      <c r="X415" s="699">
        <f>IF($O416=0,0,        _xll.qDateNext($O415,X$17,"M",TRUE,Currency1))</f>
        <v>0</v>
      </c>
      <c r="Y415" s="699">
        <f>IF($O416=0,0,        _xll.qDateNext($O415,Y$17,"M",TRUE,Currency1))</f>
        <v>0</v>
      </c>
      <c r="Z415" s="703">
        <f>IF($O416=0,0,           IF(FRM,_xll.qGetFwdRate(Z$14,$O415,R415,"T",DCC_Leg1_Float),_xll.qGetFwdRate(Z$14,$O415,$O416,"T",DCC_Leg1_Float)))</f>
        <v>0</v>
      </c>
      <c r="AA415" s="703">
        <f>IF($O416=0,0,           IF(FRM,_xll.qGetFwdRate(AA$14,$O415,S415,"T",DCC_Leg1_Float),_xll.qGetFwdRate(AA$14,$O415,$O416,"T",DCC_Leg1_Float)))</f>
        <v>0</v>
      </c>
      <c r="AB415" s="703">
        <f t="shared" si="87"/>
        <v>0</v>
      </c>
      <c r="AC415" s="703">
        <f>IF($O416=0,0,           IF(FRM,_xll.qGetFwdRate(AC$14,$O415,U415,"T",DCC_Leg1_Float),_xll.qGetFwdRate(AC$14,$O415,$O416,"T",DCC_Leg1_Float)))</f>
        <v>0</v>
      </c>
      <c r="AD415" s="703">
        <f t="shared" si="92"/>
        <v>0</v>
      </c>
      <c r="AE415" s="703">
        <f t="shared" si="93"/>
        <v>0</v>
      </c>
      <c r="AF415" s="703">
        <f>IF($O416=0,0,           IF(FRM,_xll.qGetFwdRate(AF$14,$O415,X415,"T",DCC_Leg1_Float),_xll.qGetFwdRate(AF$14,$O415,$O416,"T",DCC_Leg1_Float)))</f>
        <v>0</v>
      </c>
      <c r="AG415" s="703">
        <f>IF($O416=0,0,           IF(FRM,_xll.qGetFwdRate(AG$14,$O415,Y415,"T",DCC_Leg1_Float),_xll.qGetFwdRate(AG$14,$O415,$O416,"T",DCC_Leg1_Float)))</f>
        <v>0</v>
      </c>
      <c r="AH415" s="685">
        <v>0</v>
      </c>
      <c r="AI415" s="667"/>
      <c r="AJ415" s="670">
        <f>IF(O416=0,0,             IF(ISNUMBER(AI415),AI415,             IF(ISTEXT(AI415),INDEX(Z415:AG415,MATCH(AI415,$Z$17:$AG$17,0)),           IF(AH415="INT",_xll.qInterp(O416,R415:Y415,Z415:AG415),       INDEX(Z415:AG415,MATCH(AH415,$Z$17:$AG$17,0))))))</f>
        <v>0</v>
      </c>
      <c r="AK415" s="732">
        <v>20</v>
      </c>
      <c r="AL415" s="721">
        <f t="shared" si="88"/>
        <v>0</v>
      </c>
      <c r="AM415" s="284">
        <f>IF($O416,_xll.qDateYears($O415,$O416,DCC_Leg1_Fixed),0)</f>
        <v>0</v>
      </c>
      <c r="AN415" s="284">
        <f>IF($O416,_xll.qDateYears($O415,$O416,DCC_Leg1_Float),0)</f>
        <v>0</v>
      </c>
      <c r="AP415" s="350">
        <f t="shared" si="94"/>
        <v>0</v>
      </c>
      <c r="AQ415" s="375">
        <f>IF(GenType_1a="Fixed",GenRate_1a%*$AL414*AM414,          IF(GenType_1a="Float",$AL414*(_xll.qGetFwdRate($D$18,$O414,$O415,"T",DCC_Leg1_Float)%+GenRate_1a%%)*$AN414,        IF(GenType_1a="bp (Fixed)",GenRate_1a%%*$AM414*$AL414,   IF(GenType_1a="bp (Float)",GenRate_1a%%*$AL414*$AN414,0))))</f>
        <v>0</v>
      </c>
      <c r="AR415" s="561"/>
      <c r="AT415" s="341">
        <f t="shared" si="84"/>
        <v>0</v>
      </c>
      <c r="AV415" s="356"/>
      <c r="AW415" s="122">
        <v>0</v>
      </c>
      <c r="AX415" s="128">
        <f t="shared" si="89"/>
        <v>0</v>
      </c>
      <c r="AY415" s="357">
        <v>0</v>
      </c>
      <c r="AZ415" s="699">
        <f>IF($AW416=0,0,        _xll.qDateNext($AW415,AZ$17,"M",TRUE,Currency2))</f>
        <v>0</v>
      </c>
      <c r="BA415" s="699">
        <f>IF($AW416=0,0,        _xll.qDateNext($AW415,BA$17,"M",TRUE,Currency2))</f>
        <v>0</v>
      </c>
      <c r="BB415" s="699">
        <f>IF($AW416=0,0,        _xll.qDateNext($AW415,BB$17,"M",TRUE,Currency2))</f>
        <v>0</v>
      </c>
      <c r="BC415" s="699">
        <f>IF($AW416=0,0,        _xll.qDateNext($AW415,BC$17,"M",TRUE,Currency2))</f>
        <v>0</v>
      </c>
      <c r="BD415" s="699">
        <f>IF($AW416=0,0,        _xll.qDateNext($AW415,BD$17,"M",TRUE,Currency2))</f>
        <v>0</v>
      </c>
      <c r="BE415" s="699">
        <f>IF($AW416=0,0,        _xll.qDateNext($AW415,BE$17,"M",TRUE,Currency2))</f>
        <v>0</v>
      </c>
      <c r="BF415" s="699">
        <f>IF($AW416=0,0,        _xll.qDateNext($AW415,BF$17,"M",TRUE,Currency2))</f>
        <v>0</v>
      </c>
      <c r="BG415" s="699">
        <f>IF($AW416=0,0,        _xll.qDateNext($AW415,BG$17,"M",TRUE,Currency2))</f>
        <v>0</v>
      </c>
      <c r="BH415" s="703">
        <v>0</v>
      </c>
      <c r="BI415" s="703">
        <v>0</v>
      </c>
      <c r="BJ415" s="703">
        <v>0</v>
      </c>
      <c r="BK415" s="703">
        <v>0</v>
      </c>
      <c r="BL415" s="703">
        <f t="shared" si="95"/>
        <v>0</v>
      </c>
      <c r="BM415" s="703">
        <f t="shared" si="96"/>
        <v>0</v>
      </c>
      <c r="BN415" s="703">
        <v>0</v>
      </c>
      <c r="BO415" s="703">
        <v>0</v>
      </c>
      <c r="BP415" s="685">
        <v>0</v>
      </c>
      <c r="BQ415" s="667"/>
      <c r="BR415" s="670">
        <f>IF(AW416=0,0,             IF(ISNUMBER(BQ415),BQ415,             IF(ISTEXT(BQ415),INDEX(BH415:BO415,MATCH(BQ415,$BH$17:$BO$17,0)),           IF(BP415="INT",_xll.qInterp(AW416,AZ415:BG415,BH415:BO415),       INDEX(BH415:BO415,MATCH(BP415,$BH$17:$BO$17,0))))))</f>
        <v>0</v>
      </c>
      <c r="BS415" s="731">
        <f t="shared" si="90"/>
        <v>0</v>
      </c>
      <c r="BT415" s="406">
        <f t="shared" si="91"/>
        <v>0</v>
      </c>
      <c r="BU415" s="284">
        <f>IF($AW416,_xll.qDateYears($AW415,$AW416,DCC_Leg2_Fixed),0)</f>
        <v>0</v>
      </c>
      <c r="BV415" s="284">
        <f>IF($AW416,_xll.qDateYears($AW415,$AW416,DCC_Leg2_Float),0)</f>
        <v>0</v>
      </c>
      <c r="BX415" s="350">
        <f t="shared" si="97"/>
        <v>0</v>
      </c>
      <c r="BY415" s="375">
        <f>IF(GenType_2a="Fixed",GenRate_2a%*$BT414*BU414,          IF(GenType_2a="Float",$BT414*(_xll.qGetFwdRate($J$18,$AW414,$AW415,"T",DCC_Leg2_Float)%+GenRate_2a%%)*$BV414,        IF(GenType_2a="bp (Fixed)",GenRate_2a%%*$BU414*$BT414,   IF(GenType_2a="bp (Float)",GenRate_2a%%*$BT414*$BV414,0))))</f>
        <v>0</v>
      </c>
      <c r="BZ415" s="561"/>
      <c r="CB415" s="341">
        <f t="shared" si="85"/>
        <v>0</v>
      </c>
      <c r="CC415" s="563"/>
      <c r="CD415" s="356"/>
      <c r="CE415" s="341">
        <v>0</v>
      </c>
      <c r="CF415" s="563"/>
      <c r="CG415" s="356"/>
    </row>
    <row r="416" spans="15:85">
      <c r="O416" s="122">
        <v>0</v>
      </c>
      <c r="P416" s="128">
        <f t="shared" si="86"/>
        <v>0</v>
      </c>
      <c r="Q416" s="126">
        <v>0</v>
      </c>
      <c r="R416" s="699">
        <f>IF($O417=0,0,        _xll.qDateNext($O416,R$17,"M",TRUE,Currency1))</f>
        <v>0</v>
      </c>
      <c r="S416" s="699">
        <f>IF($O417=0,0,        _xll.qDateNext($O416,S$17,"M",TRUE,Currency1))</f>
        <v>0</v>
      </c>
      <c r="T416" s="699">
        <f>IF($O417=0,0,        _xll.qDateNext($O416,T$17,"M",TRUE,Currency1))</f>
        <v>0</v>
      </c>
      <c r="U416" s="699">
        <f>IF($O417=0,0,        _xll.qDateNext($O416,U$17,"M",TRUE,Currency1))</f>
        <v>0</v>
      </c>
      <c r="V416" s="699">
        <f>IF($O417=0,0,        _xll.qDateNext($O416,V$17,"M",TRUE,Currency1))</f>
        <v>0</v>
      </c>
      <c r="W416" s="699">
        <f>IF($O417=0,0,        _xll.qDateNext($O416,W$17,"M",TRUE,Currency1))</f>
        <v>0</v>
      </c>
      <c r="X416" s="699">
        <f>IF($O417=0,0,        _xll.qDateNext($O416,X$17,"M",TRUE,Currency1))</f>
        <v>0</v>
      </c>
      <c r="Y416" s="699">
        <f>IF($O417=0,0,        _xll.qDateNext($O416,Y$17,"M",TRUE,Currency1))</f>
        <v>0</v>
      </c>
      <c r="Z416" s="703">
        <f>IF($O417=0,0,           IF(FRM,_xll.qGetFwdRate(Z$14,$O416,R416,"T",DCC_Leg1_Float),_xll.qGetFwdRate(Z$14,$O416,$O417,"T",DCC_Leg1_Float)))</f>
        <v>0</v>
      </c>
      <c r="AA416" s="703">
        <f>IF($O417=0,0,           IF(FRM,_xll.qGetFwdRate(AA$14,$O416,S416,"T",DCC_Leg1_Float),_xll.qGetFwdRate(AA$14,$O416,$O417,"T",DCC_Leg1_Float)))</f>
        <v>0</v>
      </c>
      <c r="AB416" s="703">
        <f t="shared" si="87"/>
        <v>0</v>
      </c>
      <c r="AC416" s="703">
        <f>IF($O417=0,0,           IF(FRM,_xll.qGetFwdRate(AC$14,$O416,U416,"T",DCC_Leg1_Float),_xll.qGetFwdRate(AC$14,$O416,$O417,"T",DCC_Leg1_Float)))</f>
        <v>0</v>
      </c>
      <c r="AD416" s="703">
        <f t="shared" si="92"/>
        <v>0</v>
      </c>
      <c r="AE416" s="703">
        <f t="shared" si="93"/>
        <v>0</v>
      </c>
      <c r="AF416" s="703">
        <f>IF($O417=0,0,           IF(FRM,_xll.qGetFwdRate(AF$14,$O416,X416,"T",DCC_Leg1_Float),_xll.qGetFwdRate(AF$14,$O416,$O417,"T",DCC_Leg1_Float)))</f>
        <v>0</v>
      </c>
      <c r="AG416" s="703">
        <f>IF($O417=0,0,           IF(FRM,_xll.qGetFwdRate(AG$14,$O416,Y416,"T",DCC_Leg1_Float),_xll.qGetFwdRate(AG$14,$O416,$O417,"T",DCC_Leg1_Float)))</f>
        <v>0</v>
      </c>
      <c r="AH416" s="685">
        <v>0</v>
      </c>
      <c r="AI416" s="667"/>
      <c r="AJ416" s="670">
        <f>IF(O417=0,0,             IF(ISNUMBER(AI416),AI416,             IF(ISTEXT(AI416),INDEX(Z416:AG416,MATCH(AI416,$Z$17:$AG$17,0)),           IF(AH416="INT",_xll.qInterp(O417,R416:Y416,Z416:AG416),       INDEX(Z416:AG416,MATCH(AH416,$Z$17:$AG$17,0))))))</f>
        <v>0</v>
      </c>
      <c r="AK416" s="732">
        <v>20</v>
      </c>
      <c r="AL416" s="721">
        <f t="shared" si="88"/>
        <v>0</v>
      </c>
      <c r="AM416" s="284">
        <f>IF($O417,_xll.qDateYears($O416,$O417,DCC_Leg1_Fixed),0)</f>
        <v>0</v>
      </c>
      <c r="AN416" s="284">
        <f>IF($O417,_xll.qDateYears($O416,$O417,DCC_Leg1_Float),0)</f>
        <v>0</v>
      </c>
      <c r="AP416" s="350">
        <f t="shared" si="94"/>
        <v>0</v>
      </c>
      <c r="AQ416" s="375">
        <f>IF(GenType_1a="Fixed",GenRate_1a%*$AL415*AM415,          IF(GenType_1a="Float",$AL415*(_xll.qGetFwdRate($D$18,$O415,$O416,"T",DCC_Leg1_Float)%+GenRate_1a%%)*$AN415,        IF(GenType_1a="bp (Fixed)",GenRate_1a%%*$AM415*$AL415,   IF(GenType_1a="bp (Float)",GenRate_1a%%*$AL415*$AN415,0))))</f>
        <v>0</v>
      </c>
      <c r="AR416" s="561"/>
      <c r="AT416" s="341">
        <f t="shared" si="84"/>
        <v>0</v>
      </c>
      <c r="AV416" s="356"/>
      <c r="AW416" s="122">
        <v>0</v>
      </c>
      <c r="AX416" s="128">
        <f t="shared" si="89"/>
        <v>0</v>
      </c>
      <c r="AY416" s="357">
        <v>0</v>
      </c>
      <c r="AZ416" s="699">
        <f>IF($AW417=0,0,        _xll.qDateNext($AW416,AZ$17,"M",TRUE,Currency2))</f>
        <v>0</v>
      </c>
      <c r="BA416" s="699">
        <f>IF($AW417=0,0,        _xll.qDateNext($AW416,BA$17,"M",TRUE,Currency2))</f>
        <v>0</v>
      </c>
      <c r="BB416" s="699">
        <f>IF($AW417=0,0,        _xll.qDateNext($AW416,BB$17,"M",TRUE,Currency2))</f>
        <v>0</v>
      </c>
      <c r="BC416" s="699">
        <f>IF($AW417=0,0,        _xll.qDateNext($AW416,BC$17,"M",TRUE,Currency2))</f>
        <v>0</v>
      </c>
      <c r="BD416" s="699">
        <f>IF($AW417=0,0,        _xll.qDateNext($AW416,BD$17,"M",TRUE,Currency2))</f>
        <v>0</v>
      </c>
      <c r="BE416" s="699">
        <f>IF($AW417=0,0,        _xll.qDateNext($AW416,BE$17,"M",TRUE,Currency2))</f>
        <v>0</v>
      </c>
      <c r="BF416" s="699">
        <f>IF($AW417=0,0,        _xll.qDateNext($AW416,BF$17,"M",TRUE,Currency2))</f>
        <v>0</v>
      </c>
      <c r="BG416" s="699">
        <f>IF($AW417=0,0,        _xll.qDateNext($AW416,BG$17,"M",TRUE,Currency2))</f>
        <v>0</v>
      </c>
      <c r="BH416" s="703">
        <v>0</v>
      </c>
      <c r="BI416" s="703">
        <v>0</v>
      </c>
      <c r="BJ416" s="703">
        <v>0</v>
      </c>
      <c r="BK416" s="703">
        <v>0</v>
      </c>
      <c r="BL416" s="703">
        <f t="shared" si="95"/>
        <v>0</v>
      </c>
      <c r="BM416" s="703">
        <f t="shared" si="96"/>
        <v>0</v>
      </c>
      <c r="BN416" s="703">
        <v>0</v>
      </c>
      <c r="BO416" s="703">
        <v>0</v>
      </c>
      <c r="BP416" s="685">
        <v>0</v>
      </c>
      <c r="BQ416" s="667"/>
      <c r="BR416" s="670">
        <f>IF(AW417=0,0,             IF(ISNUMBER(BQ416),BQ416,             IF(ISTEXT(BQ416),INDEX(BH416:BO416,MATCH(BQ416,$BH$17:$BO$17,0)),           IF(BP416="INT",_xll.qInterp(AW417,AZ416:BG416,BH416:BO416),       INDEX(BH416:BO416,MATCH(BP416,$BH$17:$BO$17,0))))))</f>
        <v>0</v>
      </c>
      <c r="BS416" s="731">
        <f t="shared" si="90"/>
        <v>0</v>
      </c>
      <c r="BT416" s="406">
        <f t="shared" si="91"/>
        <v>0</v>
      </c>
      <c r="BU416" s="284">
        <f>IF($AW417,_xll.qDateYears($AW416,$AW417,DCC_Leg2_Fixed),0)</f>
        <v>0</v>
      </c>
      <c r="BV416" s="284">
        <f>IF($AW417,_xll.qDateYears($AW416,$AW417,DCC_Leg2_Float),0)</f>
        <v>0</v>
      </c>
      <c r="BX416" s="350">
        <f t="shared" si="97"/>
        <v>0</v>
      </c>
      <c r="BY416" s="375">
        <f>IF(GenType_2a="Fixed",GenRate_2a%*$BT415*BU415,          IF(GenType_2a="Float",$BT415*(_xll.qGetFwdRate($J$18,$AW415,$AW416,"T",DCC_Leg2_Float)%+GenRate_2a%%)*$BV415,        IF(GenType_2a="bp (Fixed)",GenRate_2a%%*$BU415*$BT415,   IF(GenType_2a="bp (Float)",GenRate_2a%%*$BT415*$BV415,0))))</f>
        <v>0</v>
      </c>
      <c r="BZ416" s="561"/>
      <c r="CB416" s="341">
        <f t="shared" si="85"/>
        <v>0</v>
      </c>
      <c r="CC416" s="563"/>
      <c r="CD416" s="356"/>
      <c r="CE416" s="341">
        <v>0</v>
      </c>
      <c r="CF416" s="563"/>
      <c r="CG416" s="356"/>
    </row>
    <row r="417" spans="15:85">
      <c r="O417" s="122">
        <v>0</v>
      </c>
      <c r="P417" s="128">
        <f t="shared" si="86"/>
        <v>0</v>
      </c>
      <c r="Q417" s="126">
        <v>0</v>
      </c>
      <c r="R417" s="699">
        <f>IF($O418=0,0,        _xll.qDateNext($O417,R$17,"M",TRUE,Currency1))</f>
        <v>0</v>
      </c>
      <c r="S417" s="699">
        <f>IF($O418=0,0,        _xll.qDateNext($O417,S$17,"M",TRUE,Currency1))</f>
        <v>0</v>
      </c>
      <c r="T417" s="699">
        <f>IF($O418=0,0,        _xll.qDateNext($O417,T$17,"M",TRUE,Currency1))</f>
        <v>0</v>
      </c>
      <c r="U417" s="699">
        <f>IF($O418=0,0,        _xll.qDateNext($O417,U$17,"M",TRUE,Currency1))</f>
        <v>0</v>
      </c>
      <c r="V417" s="699">
        <f>IF($O418=0,0,        _xll.qDateNext($O417,V$17,"M",TRUE,Currency1))</f>
        <v>0</v>
      </c>
      <c r="W417" s="699">
        <f>IF($O418=0,0,        _xll.qDateNext($O417,W$17,"M",TRUE,Currency1))</f>
        <v>0</v>
      </c>
      <c r="X417" s="699">
        <f>IF($O418=0,0,        _xll.qDateNext($O417,X$17,"M",TRUE,Currency1))</f>
        <v>0</v>
      </c>
      <c r="Y417" s="699">
        <f>IF($O418=0,0,        _xll.qDateNext($O417,Y$17,"M",TRUE,Currency1))</f>
        <v>0</v>
      </c>
      <c r="Z417" s="703">
        <f>IF($O418=0,0,           IF(FRM,_xll.qGetFwdRate(Z$14,$O417,R417,"T",DCC_Leg1_Float),_xll.qGetFwdRate(Z$14,$O417,$O418,"T",DCC_Leg1_Float)))</f>
        <v>0</v>
      </c>
      <c r="AA417" s="703">
        <f>IF($O418=0,0,           IF(FRM,_xll.qGetFwdRate(AA$14,$O417,S417,"T",DCC_Leg1_Float),_xll.qGetFwdRate(AA$14,$O417,$O418,"T",DCC_Leg1_Float)))</f>
        <v>0</v>
      </c>
      <c r="AB417" s="703">
        <f t="shared" si="87"/>
        <v>0</v>
      </c>
      <c r="AC417" s="703">
        <f>IF($O418=0,0,           IF(FRM,_xll.qGetFwdRate(AC$14,$O417,U417,"T",DCC_Leg1_Float),_xll.qGetFwdRate(AC$14,$O417,$O418,"T",DCC_Leg1_Float)))</f>
        <v>0</v>
      </c>
      <c r="AD417" s="703">
        <f t="shared" si="92"/>
        <v>0</v>
      </c>
      <c r="AE417" s="703">
        <f t="shared" si="93"/>
        <v>0</v>
      </c>
      <c r="AF417" s="703">
        <f>IF($O418=0,0,           IF(FRM,_xll.qGetFwdRate(AF$14,$O417,X417,"T",DCC_Leg1_Float),_xll.qGetFwdRate(AF$14,$O417,$O418,"T",DCC_Leg1_Float)))</f>
        <v>0</v>
      </c>
      <c r="AG417" s="703">
        <f>IF($O418=0,0,           IF(FRM,_xll.qGetFwdRate(AG$14,$O417,Y417,"T",DCC_Leg1_Float),_xll.qGetFwdRate(AG$14,$O417,$O418,"T",DCC_Leg1_Float)))</f>
        <v>0</v>
      </c>
      <c r="AH417" s="685">
        <v>0</v>
      </c>
      <c r="AI417" s="667"/>
      <c r="AJ417" s="670">
        <f>IF(O418=0,0,             IF(ISNUMBER(AI417),AI417,             IF(ISTEXT(AI417),INDEX(Z417:AG417,MATCH(AI417,$Z$17:$AG$17,0)),           IF(AH417="INT",_xll.qInterp(O418,R417:Y417,Z417:AG417),       INDEX(Z417:AG417,MATCH(AH417,$Z$17:$AG$17,0))))))</f>
        <v>0</v>
      </c>
      <c r="AK417" s="732">
        <v>20</v>
      </c>
      <c r="AL417" s="721">
        <f t="shared" si="88"/>
        <v>0</v>
      </c>
      <c r="AM417" s="284">
        <f>IF($O418,_xll.qDateYears($O417,$O418,DCC_Leg1_Fixed),0)</f>
        <v>0</v>
      </c>
      <c r="AN417" s="284">
        <f>IF($O418,_xll.qDateYears($O417,$O418,DCC_Leg1_Float),0)</f>
        <v>0</v>
      </c>
      <c r="AP417" s="350">
        <f t="shared" si="94"/>
        <v>0</v>
      </c>
      <c r="AQ417" s="375">
        <f>IF(GenType_1a="Fixed",GenRate_1a%*$AL416*AM416,          IF(GenType_1a="Float",$AL416*(_xll.qGetFwdRate($D$18,$O416,$O417,"T",DCC_Leg1_Float)%+GenRate_1a%%)*$AN416,        IF(GenType_1a="bp (Fixed)",GenRate_1a%%*$AM416*$AL416,   IF(GenType_1a="bp (Float)",GenRate_1a%%*$AL416*$AN416,0))))</f>
        <v>0</v>
      </c>
      <c r="AR417" s="561"/>
      <c r="AT417" s="341">
        <f t="shared" si="84"/>
        <v>0</v>
      </c>
      <c r="AV417" s="356"/>
      <c r="AW417" s="122">
        <v>0</v>
      </c>
      <c r="AX417" s="128">
        <f t="shared" si="89"/>
        <v>0</v>
      </c>
      <c r="AY417" s="357">
        <v>0</v>
      </c>
      <c r="AZ417" s="699">
        <f>IF($AW418=0,0,        _xll.qDateNext($AW417,AZ$17,"M",TRUE,Currency2))</f>
        <v>0</v>
      </c>
      <c r="BA417" s="699">
        <f>IF($AW418=0,0,        _xll.qDateNext($AW417,BA$17,"M",TRUE,Currency2))</f>
        <v>0</v>
      </c>
      <c r="BB417" s="699">
        <f>IF($AW418=0,0,        _xll.qDateNext($AW417,BB$17,"M",TRUE,Currency2))</f>
        <v>0</v>
      </c>
      <c r="BC417" s="699">
        <f>IF($AW418=0,0,        _xll.qDateNext($AW417,BC$17,"M",TRUE,Currency2))</f>
        <v>0</v>
      </c>
      <c r="BD417" s="699">
        <f>IF($AW418=0,0,        _xll.qDateNext($AW417,BD$17,"M",TRUE,Currency2))</f>
        <v>0</v>
      </c>
      <c r="BE417" s="699">
        <f>IF($AW418=0,0,        _xll.qDateNext($AW417,BE$17,"M",TRUE,Currency2))</f>
        <v>0</v>
      </c>
      <c r="BF417" s="699">
        <f>IF($AW418=0,0,        _xll.qDateNext($AW417,BF$17,"M",TRUE,Currency2))</f>
        <v>0</v>
      </c>
      <c r="BG417" s="699">
        <f>IF($AW418=0,0,        _xll.qDateNext($AW417,BG$17,"M",TRUE,Currency2))</f>
        <v>0</v>
      </c>
      <c r="BH417" s="703">
        <v>0</v>
      </c>
      <c r="BI417" s="703">
        <v>0</v>
      </c>
      <c r="BJ417" s="703">
        <v>0</v>
      </c>
      <c r="BK417" s="703">
        <v>0</v>
      </c>
      <c r="BL417" s="703">
        <f t="shared" si="95"/>
        <v>0</v>
      </c>
      <c r="BM417" s="703">
        <f t="shared" si="96"/>
        <v>0</v>
      </c>
      <c r="BN417" s="703">
        <v>0</v>
      </c>
      <c r="BO417" s="703">
        <v>0</v>
      </c>
      <c r="BP417" s="685">
        <v>0</v>
      </c>
      <c r="BQ417" s="667"/>
      <c r="BR417" s="670">
        <f>IF(AW418=0,0,             IF(ISNUMBER(BQ417),BQ417,             IF(ISTEXT(BQ417),INDEX(BH417:BO417,MATCH(BQ417,$BH$17:$BO$17,0)),           IF(BP417="INT",_xll.qInterp(AW418,AZ417:BG417,BH417:BO417),       INDEX(BH417:BO417,MATCH(BP417,$BH$17:$BO$17,0))))))</f>
        <v>0</v>
      </c>
      <c r="BS417" s="731">
        <f t="shared" si="90"/>
        <v>0</v>
      </c>
      <c r="BT417" s="406">
        <f t="shared" si="91"/>
        <v>0</v>
      </c>
      <c r="BU417" s="284">
        <f>IF($AW418,_xll.qDateYears($AW417,$AW418,DCC_Leg2_Fixed),0)</f>
        <v>0</v>
      </c>
      <c r="BV417" s="284">
        <f>IF($AW418,_xll.qDateYears($AW417,$AW418,DCC_Leg2_Float),0)</f>
        <v>0</v>
      </c>
      <c r="BX417" s="350">
        <f t="shared" si="97"/>
        <v>0</v>
      </c>
      <c r="BY417" s="375">
        <f>IF(GenType_2a="Fixed",GenRate_2a%*$BT416*BU416,          IF(GenType_2a="Float",$BT416*(_xll.qGetFwdRate($J$18,$AW416,$AW417,"T",DCC_Leg2_Float)%+GenRate_2a%%)*$BV416,        IF(GenType_2a="bp (Fixed)",GenRate_2a%%*$BU416*$BT416,   IF(GenType_2a="bp (Float)",GenRate_2a%%*$BT416*$BV416,0))))</f>
        <v>0</v>
      </c>
      <c r="BZ417" s="561"/>
      <c r="CB417" s="341">
        <f t="shared" si="85"/>
        <v>0</v>
      </c>
      <c r="CC417" s="563"/>
      <c r="CD417" s="356"/>
      <c r="CE417" s="341">
        <v>0</v>
      </c>
      <c r="CF417" s="563"/>
      <c r="CG417" s="356"/>
    </row>
    <row r="418" spans="15:85">
      <c r="O418" s="122">
        <v>0</v>
      </c>
      <c r="P418" s="128">
        <f t="shared" si="86"/>
        <v>0</v>
      </c>
      <c r="Q418" s="126">
        <v>0</v>
      </c>
      <c r="R418" s="699">
        <f>IF($O419=0,0,        _xll.qDateNext($O418,R$17,"M",TRUE,Currency1))</f>
        <v>0</v>
      </c>
      <c r="S418" s="699">
        <f>IF($O419=0,0,        _xll.qDateNext($O418,S$17,"M",TRUE,Currency1))</f>
        <v>0</v>
      </c>
      <c r="T418" s="699">
        <f>IF($O419=0,0,        _xll.qDateNext($O418,T$17,"M",TRUE,Currency1))</f>
        <v>0</v>
      </c>
      <c r="U418" s="699">
        <f>IF($O419=0,0,        _xll.qDateNext($O418,U$17,"M",TRUE,Currency1))</f>
        <v>0</v>
      </c>
      <c r="V418" s="699">
        <f>IF($O419=0,0,        _xll.qDateNext($O418,V$17,"M",TRUE,Currency1))</f>
        <v>0</v>
      </c>
      <c r="W418" s="699">
        <f>IF($O419=0,0,        _xll.qDateNext($O418,W$17,"M",TRUE,Currency1))</f>
        <v>0</v>
      </c>
      <c r="X418" s="699">
        <f>IF($O419=0,0,        _xll.qDateNext($O418,X$17,"M",TRUE,Currency1))</f>
        <v>0</v>
      </c>
      <c r="Y418" s="699">
        <f>IF($O419=0,0,        _xll.qDateNext($O418,Y$17,"M",TRUE,Currency1))</f>
        <v>0</v>
      </c>
      <c r="Z418" s="703">
        <f>IF($O419=0,0,           IF(FRM,_xll.qGetFwdRate(Z$14,$O418,R418,"T",DCC_Leg1_Float),_xll.qGetFwdRate(Z$14,$O418,$O419,"T",DCC_Leg1_Float)))</f>
        <v>0</v>
      </c>
      <c r="AA418" s="703">
        <f>IF($O419=0,0,           IF(FRM,_xll.qGetFwdRate(AA$14,$O418,S418,"T",DCC_Leg1_Float),_xll.qGetFwdRate(AA$14,$O418,$O419,"T",DCC_Leg1_Float)))</f>
        <v>0</v>
      </c>
      <c r="AB418" s="703">
        <f t="shared" si="87"/>
        <v>0</v>
      </c>
      <c r="AC418" s="703">
        <f>IF($O419=0,0,           IF(FRM,_xll.qGetFwdRate(AC$14,$O418,U418,"T",DCC_Leg1_Float),_xll.qGetFwdRate(AC$14,$O418,$O419,"T",DCC_Leg1_Float)))</f>
        <v>0</v>
      </c>
      <c r="AD418" s="703">
        <f t="shared" si="92"/>
        <v>0</v>
      </c>
      <c r="AE418" s="703">
        <f t="shared" si="93"/>
        <v>0</v>
      </c>
      <c r="AF418" s="703">
        <f>IF($O419=0,0,           IF(FRM,_xll.qGetFwdRate(AF$14,$O418,X418,"T",DCC_Leg1_Float),_xll.qGetFwdRate(AF$14,$O418,$O419,"T",DCC_Leg1_Float)))</f>
        <v>0</v>
      </c>
      <c r="AG418" s="703">
        <f>IF($O419=0,0,           IF(FRM,_xll.qGetFwdRate(AG$14,$O418,Y418,"T",DCC_Leg1_Float),_xll.qGetFwdRate(AG$14,$O418,$O419,"T",DCC_Leg1_Float)))</f>
        <v>0</v>
      </c>
      <c r="AH418" s="685">
        <v>0</v>
      </c>
      <c r="AI418" s="667"/>
      <c r="AJ418" s="670">
        <f>IF(O419=0,0,             IF(ISNUMBER(AI418),AI418,             IF(ISTEXT(AI418),INDEX(Z418:AG418,MATCH(AI418,$Z$17:$AG$17,0)),           IF(AH418="INT",_xll.qInterp(O419,R418:Y418,Z418:AG418),       INDEX(Z418:AG418,MATCH(AH418,$Z$17:$AG$17,0))))))</f>
        <v>0</v>
      </c>
      <c r="AK418" s="732">
        <v>20</v>
      </c>
      <c r="AL418" s="721">
        <f t="shared" si="88"/>
        <v>0</v>
      </c>
      <c r="AM418" s="284">
        <f>IF($O419,_xll.qDateYears($O418,$O419,DCC_Leg1_Fixed),0)</f>
        <v>0</v>
      </c>
      <c r="AN418" s="284">
        <f>IF($O419,_xll.qDateYears($O418,$O419,DCC_Leg1_Float),0)</f>
        <v>0</v>
      </c>
      <c r="AP418" s="350">
        <f t="shared" si="94"/>
        <v>0</v>
      </c>
      <c r="AQ418" s="375">
        <f>IF(GenType_1a="Fixed",GenRate_1a%*$AL417*AM417,          IF(GenType_1a="Float",$AL417*(_xll.qGetFwdRate($D$18,$O417,$O418,"T",DCC_Leg1_Float)%+GenRate_1a%%)*$AN417,        IF(GenType_1a="bp (Fixed)",GenRate_1a%%*$AM417*$AL417,   IF(GenType_1a="bp (Float)",GenRate_1a%%*$AL417*$AN417,0))))</f>
        <v>0</v>
      </c>
      <c r="AR418" s="561"/>
      <c r="AT418" s="341">
        <f t="shared" si="84"/>
        <v>0</v>
      </c>
      <c r="AV418" s="356"/>
      <c r="AW418" s="122">
        <v>0</v>
      </c>
      <c r="AX418" s="128">
        <f t="shared" si="89"/>
        <v>0</v>
      </c>
      <c r="AY418" s="357">
        <v>0</v>
      </c>
      <c r="AZ418" s="699">
        <f>IF($AW419=0,0,        _xll.qDateNext($AW418,AZ$17,"M",TRUE,Currency2))</f>
        <v>0</v>
      </c>
      <c r="BA418" s="699">
        <f>IF($AW419=0,0,        _xll.qDateNext($AW418,BA$17,"M",TRUE,Currency2))</f>
        <v>0</v>
      </c>
      <c r="BB418" s="699">
        <f>IF($AW419=0,0,        _xll.qDateNext($AW418,BB$17,"M",TRUE,Currency2))</f>
        <v>0</v>
      </c>
      <c r="BC418" s="699">
        <f>IF($AW419=0,0,        _xll.qDateNext($AW418,BC$17,"M",TRUE,Currency2))</f>
        <v>0</v>
      </c>
      <c r="BD418" s="699">
        <f>IF($AW419=0,0,        _xll.qDateNext($AW418,BD$17,"M",TRUE,Currency2))</f>
        <v>0</v>
      </c>
      <c r="BE418" s="699">
        <f>IF($AW419=0,0,        _xll.qDateNext($AW418,BE$17,"M",TRUE,Currency2))</f>
        <v>0</v>
      </c>
      <c r="BF418" s="699">
        <f>IF($AW419=0,0,        _xll.qDateNext($AW418,BF$17,"M",TRUE,Currency2))</f>
        <v>0</v>
      </c>
      <c r="BG418" s="699">
        <f>IF($AW419=0,0,        _xll.qDateNext($AW418,BG$17,"M",TRUE,Currency2))</f>
        <v>0</v>
      </c>
      <c r="BH418" s="703">
        <v>0</v>
      </c>
      <c r="BI418" s="703">
        <v>0</v>
      </c>
      <c r="BJ418" s="703">
        <v>0</v>
      </c>
      <c r="BK418" s="703">
        <v>0</v>
      </c>
      <c r="BL418" s="703">
        <f t="shared" si="95"/>
        <v>0</v>
      </c>
      <c r="BM418" s="703">
        <f t="shared" si="96"/>
        <v>0</v>
      </c>
      <c r="BN418" s="703">
        <v>0</v>
      </c>
      <c r="BO418" s="703">
        <v>0</v>
      </c>
      <c r="BP418" s="685">
        <v>0</v>
      </c>
      <c r="BQ418" s="667"/>
      <c r="BR418" s="670">
        <f>IF(AW419=0,0,             IF(ISNUMBER(BQ418),BQ418,             IF(ISTEXT(BQ418),INDEX(BH418:BO418,MATCH(BQ418,$BH$17:$BO$17,0)),           IF(BP418="INT",_xll.qInterp(AW419,AZ418:BG418,BH418:BO418),       INDEX(BH418:BO418,MATCH(BP418,$BH$17:$BO$17,0))))))</f>
        <v>0</v>
      </c>
      <c r="BS418" s="731">
        <f t="shared" si="90"/>
        <v>0</v>
      </c>
      <c r="BT418" s="406">
        <f t="shared" si="91"/>
        <v>0</v>
      </c>
      <c r="BU418" s="284">
        <f>IF($AW419,_xll.qDateYears($AW418,$AW419,DCC_Leg2_Fixed),0)</f>
        <v>0</v>
      </c>
      <c r="BV418" s="284">
        <f>IF($AW419,_xll.qDateYears($AW418,$AW419,DCC_Leg2_Float),0)</f>
        <v>0</v>
      </c>
      <c r="BX418" s="350">
        <f t="shared" si="97"/>
        <v>0</v>
      </c>
      <c r="BY418" s="375">
        <f>IF(GenType_2a="Fixed",GenRate_2a%*$BT417*BU417,          IF(GenType_2a="Float",$BT417*(_xll.qGetFwdRate($J$18,$AW417,$AW418,"T",DCC_Leg2_Float)%+GenRate_2a%%)*$BV417,        IF(GenType_2a="bp (Fixed)",GenRate_2a%%*$BU417*$BT417,   IF(GenType_2a="bp (Float)",GenRate_2a%%*$BT417*$BV417,0))))</f>
        <v>0</v>
      </c>
      <c r="BZ418" s="561"/>
      <c r="CB418" s="341">
        <f t="shared" si="85"/>
        <v>0</v>
      </c>
      <c r="CC418" s="563"/>
      <c r="CD418" s="356"/>
      <c r="CE418" s="341">
        <v>0</v>
      </c>
      <c r="CF418" s="563"/>
      <c r="CG418" s="356"/>
    </row>
    <row r="419" spans="15:85">
      <c r="O419" s="122">
        <v>0</v>
      </c>
      <c r="P419" s="128">
        <f t="shared" si="86"/>
        <v>0</v>
      </c>
      <c r="Q419" s="126">
        <v>0</v>
      </c>
      <c r="R419" s="699">
        <f>IF($O420=0,0,        _xll.qDateNext($O419,R$17,"M",TRUE,Currency1))</f>
        <v>0</v>
      </c>
      <c r="S419" s="699">
        <f>IF($O420=0,0,        _xll.qDateNext($O419,S$17,"M",TRUE,Currency1))</f>
        <v>0</v>
      </c>
      <c r="T419" s="699">
        <f>IF($O420=0,0,        _xll.qDateNext($O419,T$17,"M",TRUE,Currency1))</f>
        <v>0</v>
      </c>
      <c r="U419" s="699">
        <f>IF($O420=0,0,        _xll.qDateNext($O419,U$17,"M",TRUE,Currency1))</f>
        <v>0</v>
      </c>
      <c r="V419" s="699">
        <f>IF($O420=0,0,        _xll.qDateNext($O419,V$17,"M",TRUE,Currency1))</f>
        <v>0</v>
      </c>
      <c r="W419" s="699">
        <f>IF($O420=0,0,        _xll.qDateNext($O419,W$17,"M",TRUE,Currency1))</f>
        <v>0</v>
      </c>
      <c r="X419" s="699">
        <f>IF($O420=0,0,        _xll.qDateNext($O419,X$17,"M",TRUE,Currency1))</f>
        <v>0</v>
      </c>
      <c r="Y419" s="699">
        <f>IF($O420=0,0,        _xll.qDateNext($O419,Y$17,"M",TRUE,Currency1))</f>
        <v>0</v>
      </c>
      <c r="Z419" s="703">
        <f>IF($O420=0,0,           IF(FRM,_xll.qGetFwdRate(Z$14,$O419,R419,"T",DCC_Leg1_Float),_xll.qGetFwdRate(Z$14,$O419,$O420,"T",DCC_Leg1_Float)))</f>
        <v>0</v>
      </c>
      <c r="AA419" s="703">
        <f>IF($O420=0,0,           IF(FRM,_xll.qGetFwdRate(AA$14,$O419,S419,"T",DCC_Leg1_Float),_xll.qGetFwdRate(AA$14,$O419,$O420,"T",DCC_Leg1_Float)))</f>
        <v>0</v>
      </c>
      <c r="AB419" s="703">
        <f t="shared" si="87"/>
        <v>0</v>
      </c>
      <c r="AC419" s="703">
        <f>IF($O420=0,0,           IF(FRM,_xll.qGetFwdRate(AC$14,$O419,U419,"T",DCC_Leg1_Float),_xll.qGetFwdRate(AC$14,$O419,$O420,"T",DCC_Leg1_Float)))</f>
        <v>0</v>
      </c>
      <c r="AD419" s="703">
        <f t="shared" si="92"/>
        <v>0</v>
      </c>
      <c r="AE419" s="703">
        <f t="shared" si="93"/>
        <v>0</v>
      </c>
      <c r="AF419" s="703">
        <f>IF($O420=0,0,           IF(FRM,_xll.qGetFwdRate(AF$14,$O419,X419,"T",DCC_Leg1_Float),_xll.qGetFwdRate(AF$14,$O419,$O420,"T",DCC_Leg1_Float)))</f>
        <v>0</v>
      </c>
      <c r="AG419" s="703">
        <f>IF($O420=0,0,           IF(FRM,_xll.qGetFwdRate(AG$14,$O419,Y419,"T",DCC_Leg1_Float),_xll.qGetFwdRate(AG$14,$O419,$O420,"T",DCC_Leg1_Float)))</f>
        <v>0</v>
      </c>
      <c r="AH419" s="685">
        <v>0</v>
      </c>
      <c r="AI419" s="667"/>
      <c r="AJ419" s="670">
        <f>IF(O420=0,0,             IF(ISNUMBER(AI419),AI419,             IF(ISTEXT(AI419),INDEX(Z419:AG419,MATCH(AI419,$Z$17:$AG$17,0)),           IF(AH419="INT",_xll.qInterp(O420,R419:Y419,Z419:AG419),       INDEX(Z419:AG419,MATCH(AH419,$Z$17:$AG$17,0))))))</f>
        <v>0</v>
      </c>
      <c r="AK419" s="732">
        <v>20</v>
      </c>
      <c r="AL419" s="721">
        <f t="shared" si="88"/>
        <v>0</v>
      </c>
      <c r="AM419" s="284">
        <f>IF($O420,_xll.qDateYears($O419,$O420,DCC_Leg1_Fixed),0)</f>
        <v>0</v>
      </c>
      <c r="AN419" s="284">
        <f>IF($O420,_xll.qDateYears($O419,$O420,DCC_Leg1_Float),0)</f>
        <v>0</v>
      </c>
      <c r="AP419" s="350">
        <f t="shared" si="94"/>
        <v>0</v>
      </c>
      <c r="AQ419" s="375">
        <f>IF(GenType_1a="Fixed",GenRate_1a%*$AL418*AM418,          IF(GenType_1a="Float",$AL418*(_xll.qGetFwdRate($D$18,$O418,$O419,"T",DCC_Leg1_Float)%+GenRate_1a%%)*$AN418,        IF(GenType_1a="bp (Fixed)",GenRate_1a%%*$AM418*$AL418,   IF(GenType_1a="bp (Float)",GenRate_1a%%*$AL418*$AN418,0))))</f>
        <v>0</v>
      </c>
      <c r="AR419" s="561"/>
      <c r="AT419" s="341">
        <f t="shared" si="84"/>
        <v>0</v>
      </c>
      <c r="AV419" s="356"/>
      <c r="AW419" s="122">
        <v>0</v>
      </c>
      <c r="AX419" s="128">
        <f t="shared" si="89"/>
        <v>0</v>
      </c>
      <c r="AY419" s="357">
        <v>0</v>
      </c>
      <c r="AZ419" s="699">
        <f>IF($AW420=0,0,        _xll.qDateNext($AW419,AZ$17,"M",TRUE,Currency2))</f>
        <v>0</v>
      </c>
      <c r="BA419" s="699">
        <f>IF($AW420=0,0,        _xll.qDateNext($AW419,BA$17,"M",TRUE,Currency2))</f>
        <v>0</v>
      </c>
      <c r="BB419" s="699">
        <f>IF($AW420=0,0,        _xll.qDateNext($AW419,BB$17,"M",TRUE,Currency2))</f>
        <v>0</v>
      </c>
      <c r="BC419" s="699">
        <f>IF($AW420=0,0,        _xll.qDateNext($AW419,BC$17,"M",TRUE,Currency2))</f>
        <v>0</v>
      </c>
      <c r="BD419" s="699">
        <f>IF($AW420=0,0,        _xll.qDateNext($AW419,BD$17,"M",TRUE,Currency2))</f>
        <v>0</v>
      </c>
      <c r="BE419" s="699">
        <f>IF($AW420=0,0,        _xll.qDateNext($AW419,BE$17,"M",TRUE,Currency2))</f>
        <v>0</v>
      </c>
      <c r="BF419" s="699">
        <f>IF($AW420=0,0,        _xll.qDateNext($AW419,BF$17,"M",TRUE,Currency2))</f>
        <v>0</v>
      </c>
      <c r="BG419" s="699">
        <f>IF($AW420=0,0,        _xll.qDateNext($AW419,BG$17,"M",TRUE,Currency2))</f>
        <v>0</v>
      </c>
      <c r="BH419" s="703">
        <v>0</v>
      </c>
      <c r="BI419" s="703">
        <v>0</v>
      </c>
      <c r="BJ419" s="703">
        <v>0</v>
      </c>
      <c r="BK419" s="703">
        <v>0</v>
      </c>
      <c r="BL419" s="703">
        <f t="shared" si="95"/>
        <v>0</v>
      </c>
      <c r="BM419" s="703">
        <f t="shared" si="96"/>
        <v>0</v>
      </c>
      <c r="BN419" s="703">
        <v>0</v>
      </c>
      <c r="BO419" s="703">
        <v>0</v>
      </c>
      <c r="BP419" s="685">
        <v>0</v>
      </c>
      <c r="BQ419" s="667"/>
      <c r="BR419" s="670">
        <f>IF(AW420=0,0,             IF(ISNUMBER(BQ419),BQ419,             IF(ISTEXT(BQ419),INDEX(BH419:BO419,MATCH(BQ419,$BH$17:$BO$17,0)),           IF(BP419="INT",_xll.qInterp(AW420,AZ419:BG419,BH419:BO419),       INDEX(BH419:BO419,MATCH(BP419,$BH$17:$BO$17,0))))))</f>
        <v>0</v>
      </c>
      <c r="BS419" s="731">
        <f t="shared" si="90"/>
        <v>0</v>
      </c>
      <c r="BT419" s="406">
        <f t="shared" si="91"/>
        <v>0</v>
      </c>
      <c r="BU419" s="284">
        <f>IF($AW420,_xll.qDateYears($AW419,$AW420,DCC_Leg2_Fixed),0)</f>
        <v>0</v>
      </c>
      <c r="BV419" s="284">
        <f>IF($AW420,_xll.qDateYears($AW419,$AW420,DCC_Leg2_Float),0)</f>
        <v>0</v>
      </c>
      <c r="BX419" s="350">
        <f t="shared" si="97"/>
        <v>0</v>
      </c>
      <c r="BY419" s="375">
        <f>IF(GenType_2a="Fixed",GenRate_2a%*$BT418*BU418,          IF(GenType_2a="Float",$BT418*(_xll.qGetFwdRate($J$18,$AW418,$AW419,"T",DCC_Leg2_Float)%+GenRate_2a%%)*$BV418,        IF(GenType_2a="bp (Fixed)",GenRate_2a%%*$BU418*$BT418,   IF(GenType_2a="bp (Float)",GenRate_2a%%*$BT418*$BV418,0))))</f>
        <v>0</v>
      </c>
      <c r="BZ419" s="561"/>
      <c r="CB419" s="341">
        <f t="shared" si="85"/>
        <v>0</v>
      </c>
      <c r="CC419" s="563"/>
      <c r="CD419" s="356"/>
      <c r="CE419" s="341">
        <v>0</v>
      </c>
      <c r="CF419" s="563"/>
      <c r="CG419" s="356"/>
    </row>
    <row r="420" spans="15:85">
      <c r="O420" s="122">
        <v>0</v>
      </c>
      <c r="P420" s="128">
        <f t="shared" si="86"/>
        <v>0</v>
      </c>
      <c r="Q420" s="126">
        <v>0</v>
      </c>
      <c r="R420" s="699">
        <f>IF($O421=0,0,        _xll.qDateNext($O420,R$17,"M",TRUE,Currency1))</f>
        <v>0</v>
      </c>
      <c r="S420" s="699">
        <f>IF($O421=0,0,        _xll.qDateNext($O420,S$17,"M",TRUE,Currency1))</f>
        <v>0</v>
      </c>
      <c r="T420" s="699">
        <f>IF($O421=0,0,        _xll.qDateNext($O420,T$17,"M",TRUE,Currency1))</f>
        <v>0</v>
      </c>
      <c r="U420" s="699">
        <f>IF($O421=0,0,        _xll.qDateNext($O420,U$17,"M",TRUE,Currency1))</f>
        <v>0</v>
      </c>
      <c r="V420" s="699">
        <f>IF($O421=0,0,        _xll.qDateNext($O420,V$17,"M",TRUE,Currency1))</f>
        <v>0</v>
      </c>
      <c r="W420" s="699">
        <f>IF($O421=0,0,        _xll.qDateNext($O420,W$17,"M",TRUE,Currency1))</f>
        <v>0</v>
      </c>
      <c r="X420" s="699">
        <f>IF($O421=0,0,        _xll.qDateNext($O420,X$17,"M",TRUE,Currency1))</f>
        <v>0</v>
      </c>
      <c r="Y420" s="699">
        <f>IF($O421=0,0,        _xll.qDateNext($O420,Y$17,"M",TRUE,Currency1))</f>
        <v>0</v>
      </c>
      <c r="Z420" s="703">
        <f>IF($O421=0,0,           IF(FRM,_xll.qGetFwdRate(Z$14,$O420,R420,"T",DCC_Leg1_Float),_xll.qGetFwdRate(Z$14,$O420,$O421,"T",DCC_Leg1_Float)))</f>
        <v>0</v>
      </c>
      <c r="AA420" s="703">
        <f>IF($O421=0,0,           IF(FRM,_xll.qGetFwdRate(AA$14,$O420,S420,"T",DCC_Leg1_Float),_xll.qGetFwdRate(AA$14,$O420,$O421,"T",DCC_Leg1_Float)))</f>
        <v>0</v>
      </c>
      <c r="AB420" s="703">
        <f t="shared" si="87"/>
        <v>0</v>
      </c>
      <c r="AC420" s="703">
        <f>IF($O421=0,0,           IF(FRM,_xll.qGetFwdRate(AC$14,$O420,U420,"T",DCC_Leg1_Float),_xll.qGetFwdRate(AC$14,$O420,$O421,"T",DCC_Leg1_Float)))</f>
        <v>0</v>
      </c>
      <c r="AD420" s="703">
        <f t="shared" si="92"/>
        <v>0</v>
      </c>
      <c r="AE420" s="703">
        <f t="shared" si="93"/>
        <v>0</v>
      </c>
      <c r="AF420" s="703">
        <f>IF($O421=0,0,           IF(FRM,_xll.qGetFwdRate(AF$14,$O420,X420,"T",DCC_Leg1_Float),_xll.qGetFwdRate(AF$14,$O420,$O421,"T",DCC_Leg1_Float)))</f>
        <v>0</v>
      </c>
      <c r="AG420" s="703">
        <f>IF($O421=0,0,           IF(FRM,_xll.qGetFwdRate(AG$14,$O420,Y420,"T",DCC_Leg1_Float),_xll.qGetFwdRate(AG$14,$O420,$O421,"T",DCC_Leg1_Float)))</f>
        <v>0</v>
      </c>
      <c r="AH420" s="685">
        <v>0</v>
      </c>
      <c r="AI420" s="667"/>
      <c r="AJ420" s="670">
        <f>IF(O421=0,0,             IF(ISNUMBER(AI420),AI420,             IF(ISTEXT(AI420),INDEX(Z420:AG420,MATCH(AI420,$Z$17:$AG$17,0)),           IF(AH420="INT",_xll.qInterp(O421,R420:Y420,Z420:AG420),       INDEX(Z420:AG420,MATCH(AH420,$Z$17:$AG$17,0))))))</f>
        <v>0</v>
      </c>
      <c r="AK420" s="732">
        <v>20</v>
      </c>
      <c r="AL420" s="721">
        <f t="shared" si="88"/>
        <v>0</v>
      </c>
      <c r="AM420" s="284">
        <f>IF($O421,_xll.qDateYears($O420,$O421,DCC_Leg1_Fixed),0)</f>
        <v>0</v>
      </c>
      <c r="AN420" s="284">
        <f>IF($O421,_xll.qDateYears($O420,$O421,DCC_Leg1_Float),0)</f>
        <v>0</v>
      </c>
      <c r="AP420" s="350">
        <f t="shared" si="94"/>
        <v>0</v>
      </c>
      <c r="AQ420" s="375">
        <f>IF(GenType_1a="Fixed",GenRate_1a%*$AL419*AM419,          IF(GenType_1a="Float",$AL419*(_xll.qGetFwdRate($D$18,$O419,$O420,"T",DCC_Leg1_Float)%+GenRate_1a%%)*$AN419,        IF(GenType_1a="bp (Fixed)",GenRate_1a%%*$AM419*$AL419,   IF(GenType_1a="bp (Float)",GenRate_1a%%*$AL419*$AN419,0))))</f>
        <v>0</v>
      </c>
      <c r="AR420" s="561"/>
      <c r="AT420" s="341">
        <f t="shared" si="84"/>
        <v>0</v>
      </c>
      <c r="AV420" s="356"/>
      <c r="AW420" s="122">
        <v>0</v>
      </c>
      <c r="AX420" s="128">
        <f t="shared" si="89"/>
        <v>0</v>
      </c>
      <c r="AY420" s="357">
        <v>0</v>
      </c>
      <c r="AZ420" s="699">
        <f>IF($AW421=0,0,        _xll.qDateNext($AW420,AZ$17,"M",TRUE,Currency2))</f>
        <v>0</v>
      </c>
      <c r="BA420" s="699">
        <f>IF($AW421=0,0,        _xll.qDateNext($AW420,BA$17,"M",TRUE,Currency2))</f>
        <v>0</v>
      </c>
      <c r="BB420" s="699">
        <f>IF($AW421=0,0,        _xll.qDateNext($AW420,BB$17,"M",TRUE,Currency2))</f>
        <v>0</v>
      </c>
      <c r="BC420" s="699">
        <f>IF($AW421=0,0,        _xll.qDateNext($AW420,BC$17,"M",TRUE,Currency2))</f>
        <v>0</v>
      </c>
      <c r="BD420" s="699">
        <f>IF($AW421=0,0,        _xll.qDateNext($AW420,BD$17,"M",TRUE,Currency2))</f>
        <v>0</v>
      </c>
      <c r="BE420" s="699">
        <f>IF($AW421=0,0,        _xll.qDateNext($AW420,BE$17,"M",TRUE,Currency2))</f>
        <v>0</v>
      </c>
      <c r="BF420" s="699">
        <f>IF($AW421=0,0,        _xll.qDateNext($AW420,BF$17,"M",TRUE,Currency2))</f>
        <v>0</v>
      </c>
      <c r="BG420" s="699">
        <f>IF($AW421=0,0,        _xll.qDateNext($AW420,BG$17,"M",TRUE,Currency2))</f>
        <v>0</v>
      </c>
      <c r="BH420" s="703">
        <v>0</v>
      </c>
      <c r="BI420" s="703">
        <v>0</v>
      </c>
      <c r="BJ420" s="703">
        <v>0</v>
      </c>
      <c r="BK420" s="703">
        <v>0</v>
      </c>
      <c r="BL420" s="703">
        <f t="shared" si="95"/>
        <v>0</v>
      </c>
      <c r="BM420" s="703">
        <f t="shared" si="96"/>
        <v>0</v>
      </c>
      <c r="BN420" s="703">
        <v>0</v>
      </c>
      <c r="BO420" s="703">
        <v>0</v>
      </c>
      <c r="BP420" s="685">
        <v>0</v>
      </c>
      <c r="BQ420" s="667"/>
      <c r="BR420" s="670">
        <f>IF(AW421=0,0,             IF(ISNUMBER(BQ420),BQ420,             IF(ISTEXT(BQ420),INDEX(BH420:BO420,MATCH(BQ420,$BH$17:$BO$17,0)),           IF(BP420="INT",_xll.qInterp(AW421,AZ420:BG420,BH420:BO420),       INDEX(BH420:BO420,MATCH(BP420,$BH$17:$BO$17,0))))))</f>
        <v>0</v>
      </c>
      <c r="BS420" s="731">
        <f t="shared" si="90"/>
        <v>0</v>
      </c>
      <c r="BT420" s="406">
        <f t="shared" si="91"/>
        <v>0</v>
      </c>
      <c r="BU420" s="284">
        <f>IF($AW421,_xll.qDateYears($AW420,$AW421,DCC_Leg2_Fixed),0)</f>
        <v>0</v>
      </c>
      <c r="BV420" s="284">
        <f>IF($AW421,_xll.qDateYears($AW420,$AW421,DCC_Leg2_Float),0)</f>
        <v>0</v>
      </c>
      <c r="BX420" s="350">
        <f t="shared" si="97"/>
        <v>0</v>
      </c>
      <c r="BY420" s="375">
        <f>IF(GenType_2a="Fixed",GenRate_2a%*$BT419*BU419,          IF(GenType_2a="Float",$BT419*(_xll.qGetFwdRate($J$18,$AW419,$AW420,"T",DCC_Leg2_Float)%+GenRate_2a%%)*$BV419,        IF(GenType_2a="bp (Fixed)",GenRate_2a%%*$BU419*$BT419,   IF(GenType_2a="bp (Float)",GenRate_2a%%*$BT419*$BV419,0))))</f>
        <v>0</v>
      </c>
      <c r="BZ420" s="561"/>
      <c r="CB420" s="341">
        <f t="shared" si="85"/>
        <v>0</v>
      </c>
      <c r="CC420" s="563"/>
      <c r="CD420" s="356"/>
      <c r="CE420" s="341">
        <v>0</v>
      </c>
      <c r="CF420" s="563"/>
      <c r="CG420" s="356"/>
    </row>
    <row r="421" spans="15:85">
      <c r="O421" s="122">
        <v>0</v>
      </c>
      <c r="P421" s="128">
        <f t="shared" si="86"/>
        <v>0</v>
      </c>
      <c r="Q421" s="126">
        <v>0</v>
      </c>
      <c r="R421" s="699">
        <f>IF($O422=0,0,        _xll.qDateNext($O421,R$17,"M",TRUE,Currency1))</f>
        <v>0</v>
      </c>
      <c r="S421" s="699">
        <f>IF($O422=0,0,        _xll.qDateNext($O421,S$17,"M",TRUE,Currency1))</f>
        <v>0</v>
      </c>
      <c r="T421" s="699">
        <f>IF($O422=0,0,        _xll.qDateNext($O421,T$17,"M",TRUE,Currency1))</f>
        <v>0</v>
      </c>
      <c r="U421" s="699">
        <f>IF($O422=0,0,        _xll.qDateNext($O421,U$17,"M",TRUE,Currency1))</f>
        <v>0</v>
      </c>
      <c r="V421" s="699">
        <f>IF($O422=0,0,        _xll.qDateNext($O421,V$17,"M",TRUE,Currency1))</f>
        <v>0</v>
      </c>
      <c r="W421" s="699">
        <f>IF($O422=0,0,        _xll.qDateNext($O421,W$17,"M",TRUE,Currency1))</f>
        <v>0</v>
      </c>
      <c r="X421" s="699">
        <f>IF($O422=0,0,        _xll.qDateNext($O421,X$17,"M",TRUE,Currency1))</f>
        <v>0</v>
      </c>
      <c r="Y421" s="699">
        <f>IF($O422=0,0,        _xll.qDateNext($O421,Y$17,"M",TRUE,Currency1))</f>
        <v>0</v>
      </c>
      <c r="Z421" s="703">
        <f>IF($O422=0,0,           IF(FRM,_xll.qGetFwdRate(Z$14,$O421,R421,"T",DCC_Leg1_Float),_xll.qGetFwdRate(Z$14,$O421,$O422,"T",DCC_Leg1_Float)))</f>
        <v>0</v>
      </c>
      <c r="AA421" s="703">
        <f>IF($O422=0,0,           IF(FRM,_xll.qGetFwdRate(AA$14,$O421,S421,"T",DCC_Leg1_Float),_xll.qGetFwdRate(AA$14,$O421,$O422,"T",DCC_Leg1_Float)))</f>
        <v>0</v>
      </c>
      <c r="AB421" s="703">
        <f t="shared" si="87"/>
        <v>0</v>
      </c>
      <c r="AC421" s="703">
        <f>IF($O422=0,0,           IF(FRM,_xll.qGetFwdRate(AC$14,$O421,U421,"T",DCC_Leg1_Float),_xll.qGetFwdRate(AC$14,$O421,$O422,"T",DCC_Leg1_Float)))</f>
        <v>0</v>
      </c>
      <c r="AD421" s="703">
        <f t="shared" si="92"/>
        <v>0</v>
      </c>
      <c r="AE421" s="703">
        <f t="shared" si="93"/>
        <v>0</v>
      </c>
      <c r="AF421" s="703">
        <f>IF($O422=0,0,           IF(FRM,_xll.qGetFwdRate(AF$14,$O421,X421,"T",DCC_Leg1_Float),_xll.qGetFwdRate(AF$14,$O421,$O422,"T",DCC_Leg1_Float)))</f>
        <v>0</v>
      </c>
      <c r="AG421" s="703">
        <f>IF($O422=0,0,           IF(FRM,_xll.qGetFwdRate(AG$14,$O421,Y421,"T",DCC_Leg1_Float),_xll.qGetFwdRate(AG$14,$O421,$O422,"T",DCC_Leg1_Float)))</f>
        <v>0</v>
      </c>
      <c r="AH421" s="685">
        <v>0</v>
      </c>
      <c r="AI421" s="667"/>
      <c r="AJ421" s="670">
        <f>IF(O422=0,0,             IF(ISNUMBER(AI421),AI421,             IF(ISTEXT(AI421),INDEX(Z421:AG421,MATCH(AI421,$Z$17:$AG$17,0)),           IF(AH421="INT",_xll.qInterp(O422,R421:Y421,Z421:AG421),       INDEX(Z421:AG421,MATCH(AH421,$Z$17:$AG$17,0))))))</f>
        <v>0</v>
      </c>
      <c r="AK421" s="732">
        <v>20</v>
      </c>
      <c r="AL421" s="721">
        <f t="shared" si="88"/>
        <v>0</v>
      </c>
      <c r="AM421" s="284">
        <f>IF($O422,_xll.qDateYears($O421,$O422,DCC_Leg1_Fixed),0)</f>
        <v>0</v>
      </c>
      <c r="AN421" s="284">
        <f>IF($O422,_xll.qDateYears($O421,$O422,DCC_Leg1_Float),0)</f>
        <v>0</v>
      </c>
      <c r="AP421" s="350">
        <f t="shared" si="94"/>
        <v>0</v>
      </c>
      <c r="AQ421" s="375">
        <f>IF(GenType_1a="Fixed",GenRate_1a%*$AL420*AM420,          IF(GenType_1a="Float",$AL420*(_xll.qGetFwdRate($D$18,$O420,$O421,"T",DCC_Leg1_Float)%+GenRate_1a%%)*$AN420,        IF(GenType_1a="bp (Fixed)",GenRate_1a%%*$AM420*$AL420,   IF(GenType_1a="bp (Float)",GenRate_1a%%*$AL420*$AN420,0))))</f>
        <v>0</v>
      </c>
      <c r="AR421" s="561"/>
      <c r="AT421" s="341">
        <f t="shared" si="84"/>
        <v>0</v>
      </c>
      <c r="AV421" s="356"/>
      <c r="AW421" s="122">
        <v>0</v>
      </c>
      <c r="AX421" s="128">
        <f t="shared" si="89"/>
        <v>0</v>
      </c>
      <c r="AY421" s="357">
        <v>0</v>
      </c>
      <c r="AZ421" s="699">
        <f>IF($AW422=0,0,        _xll.qDateNext($AW421,AZ$17,"M",TRUE,Currency2))</f>
        <v>0</v>
      </c>
      <c r="BA421" s="699">
        <f>IF($AW422=0,0,        _xll.qDateNext($AW421,BA$17,"M",TRUE,Currency2))</f>
        <v>0</v>
      </c>
      <c r="BB421" s="699">
        <f>IF($AW422=0,0,        _xll.qDateNext($AW421,BB$17,"M",TRUE,Currency2))</f>
        <v>0</v>
      </c>
      <c r="BC421" s="699">
        <f>IF($AW422=0,0,        _xll.qDateNext($AW421,BC$17,"M",TRUE,Currency2))</f>
        <v>0</v>
      </c>
      <c r="BD421" s="699">
        <f>IF($AW422=0,0,        _xll.qDateNext($AW421,BD$17,"M",TRUE,Currency2))</f>
        <v>0</v>
      </c>
      <c r="BE421" s="699">
        <f>IF($AW422=0,0,        _xll.qDateNext($AW421,BE$17,"M",TRUE,Currency2))</f>
        <v>0</v>
      </c>
      <c r="BF421" s="699">
        <f>IF($AW422=0,0,        _xll.qDateNext($AW421,BF$17,"M",TRUE,Currency2))</f>
        <v>0</v>
      </c>
      <c r="BG421" s="699">
        <f>IF($AW422=0,0,        _xll.qDateNext($AW421,BG$17,"M",TRUE,Currency2))</f>
        <v>0</v>
      </c>
      <c r="BH421" s="703">
        <v>0</v>
      </c>
      <c r="BI421" s="703">
        <v>0</v>
      </c>
      <c r="BJ421" s="703">
        <v>0</v>
      </c>
      <c r="BK421" s="703">
        <v>0</v>
      </c>
      <c r="BL421" s="703">
        <f t="shared" si="95"/>
        <v>0</v>
      </c>
      <c r="BM421" s="703">
        <f t="shared" si="96"/>
        <v>0</v>
      </c>
      <c r="BN421" s="703">
        <v>0</v>
      </c>
      <c r="BO421" s="703">
        <v>0</v>
      </c>
      <c r="BP421" s="685">
        <v>0</v>
      </c>
      <c r="BQ421" s="667"/>
      <c r="BR421" s="670">
        <f>IF(AW422=0,0,             IF(ISNUMBER(BQ421),BQ421,             IF(ISTEXT(BQ421),INDEX(BH421:BO421,MATCH(BQ421,$BH$17:$BO$17,0)),           IF(BP421="INT",_xll.qInterp(AW422,AZ421:BG421,BH421:BO421),       INDEX(BH421:BO421,MATCH(BP421,$BH$17:$BO$17,0))))))</f>
        <v>0</v>
      </c>
      <c r="BS421" s="731">
        <f t="shared" si="90"/>
        <v>0</v>
      </c>
      <c r="BT421" s="406">
        <f t="shared" si="91"/>
        <v>0</v>
      </c>
      <c r="BU421" s="284">
        <f>IF($AW422,_xll.qDateYears($AW421,$AW422,DCC_Leg2_Fixed),0)</f>
        <v>0</v>
      </c>
      <c r="BV421" s="284">
        <f>IF($AW422,_xll.qDateYears($AW421,$AW422,DCC_Leg2_Float),0)</f>
        <v>0</v>
      </c>
      <c r="BX421" s="350">
        <f t="shared" si="97"/>
        <v>0</v>
      </c>
      <c r="BY421" s="375">
        <f>IF(GenType_2a="Fixed",GenRate_2a%*$BT420*BU420,          IF(GenType_2a="Float",$BT420*(_xll.qGetFwdRate($J$18,$AW420,$AW421,"T",DCC_Leg2_Float)%+GenRate_2a%%)*$BV420,        IF(GenType_2a="bp (Fixed)",GenRate_2a%%*$BU420*$BT420,   IF(GenType_2a="bp (Float)",GenRate_2a%%*$BT420*$BV420,0))))</f>
        <v>0</v>
      </c>
      <c r="BZ421" s="561"/>
      <c r="CB421" s="341">
        <f t="shared" si="85"/>
        <v>0</v>
      </c>
      <c r="CC421" s="563"/>
      <c r="CD421" s="356"/>
      <c r="CE421" s="341">
        <v>0</v>
      </c>
      <c r="CF421" s="563"/>
      <c r="CG421" s="356"/>
    </row>
    <row r="422" spans="15:85">
      <c r="O422" s="122">
        <v>0</v>
      </c>
      <c r="P422" s="128">
        <f t="shared" si="86"/>
        <v>0</v>
      </c>
      <c r="Q422" s="126">
        <v>0</v>
      </c>
      <c r="R422" s="699">
        <f>IF($O423=0,0,        _xll.qDateNext($O422,R$17,"M",TRUE,Currency1))</f>
        <v>0</v>
      </c>
      <c r="S422" s="699">
        <f>IF($O423=0,0,        _xll.qDateNext($O422,S$17,"M",TRUE,Currency1))</f>
        <v>0</v>
      </c>
      <c r="T422" s="699">
        <f>IF($O423=0,0,        _xll.qDateNext($O422,T$17,"M",TRUE,Currency1))</f>
        <v>0</v>
      </c>
      <c r="U422" s="699">
        <f>IF($O423=0,0,        _xll.qDateNext($O422,U$17,"M",TRUE,Currency1))</f>
        <v>0</v>
      </c>
      <c r="V422" s="699">
        <f>IF($O423=0,0,        _xll.qDateNext($O422,V$17,"M",TRUE,Currency1))</f>
        <v>0</v>
      </c>
      <c r="W422" s="699">
        <f>IF($O423=0,0,        _xll.qDateNext($O422,W$17,"M",TRUE,Currency1))</f>
        <v>0</v>
      </c>
      <c r="X422" s="699">
        <f>IF($O423=0,0,        _xll.qDateNext($O422,X$17,"M",TRUE,Currency1))</f>
        <v>0</v>
      </c>
      <c r="Y422" s="699">
        <f>IF($O423=0,0,        _xll.qDateNext($O422,Y$17,"M",TRUE,Currency1))</f>
        <v>0</v>
      </c>
      <c r="Z422" s="703">
        <f>IF($O423=0,0,           IF(FRM,_xll.qGetFwdRate(Z$14,$O422,R422,"T",DCC_Leg1_Float),_xll.qGetFwdRate(Z$14,$O422,$O423,"T",DCC_Leg1_Float)))</f>
        <v>0</v>
      </c>
      <c r="AA422" s="703">
        <f>IF($O423=0,0,           IF(FRM,_xll.qGetFwdRate(AA$14,$O422,S422,"T",DCC_Leg1_Float),_xll.qGetFwdRate(AA$14,$O422,$O423,"T",DCC_Leg1_Float)))</f>
        <v>0</v>
      </c>
      <c r="AB422" s="703">
        <f t="shared" si="87"/>
        <v>0</v>
      </c>
      <c r="AC422" s="703">
        <f>IF($O423=0,0,           IF(FRM,_xll.qGetFwdRate(AC$14,$O422,U422,"T",DCC_Leg1_Float),_xll.qGetFwdRate(AC$14,$O422,$O423,"T",DCC_Leg1_Float)))</f>
        <v>0</v>
      </c>
      <c r="AD422" s="703">
        <f t="shared" si="92"/>
        <v>0</v>
      </c>
      <c r="AE422" s="703">
        <f t="shared" si="93"/>
        <v>0</v>
      </c>
      <c r="AF422" s="703">
        <f>IF($O423=0,0,           IF(FRM,_xll.qGetFwdRate(AF$14,$O422,X422,"T",DCC_Leg1_Float),_xll.qGetFwdRate(AF$14,$O422,$O423,"T",DCC_Leg1_Float)))</f>
        <v>0</v>
      </c>
      <c r="AG422" s="703">
        <f>IF($O423=0,0,           IF(FRM,_xll.qGetFwdRate(AG$14,$O422,Y422,"T",DCC_Leg1_Float),_xll.qGetFwdRate(AG$14,$O422,$O423,"T",DCC_Leg1_Float)))</f>
        <v>0</v>
      </c>
      <c r="AH422" s="685">
        <v>0</v>
      </c>
      <c r="AI422" s="667"/>
      <c r="AJ422" s="670">
        <f>IF(O423=0,0,             IF(ISNUMBER(AI422),AI422,             IF(ISTEXT(AI422),INDEX(Z422:AG422,MATCH(AI422,$Z$17:$AG$17,0)),           IF(AH422="INT",_xll.qInterp(O423,R422:Y422,Z422:AG422),       INDEX(Z422:AG422,MATCH(AH422,$Z$17:$AG$17,0))))))</f>
        <v>0</v>
      </c>
      <c r="AK422" s="732">
        <v>20</v>
      </c>
      <c r="AL422" s="721">
        <f t="shared" si="88"/>
        <v>0</v>
      </c>
      <c r="AM422" s="284">
        <f>IF($O423,_xll.qDateYears($O422,$O423,DCC_Leg1_Fixed),0)</f>
        <v>0</v>
      </c>
      <c r="AN422" s="284">
        <f>IF($O423,_xll.qDateYears($O422,$O423,DCC_Leg1_Float),0)</f>
        <v>0</v>
      </c>
      <c r="AP422" s="350">
        <f t="shared" si="94"/>
        <v>0</v>
      </c>
      <c r="AQ422" s="375">
        <f>IF(GenType_1a="Fixed",GenRate_1a%*$AL421*AM421,          IF(GenType_1a="Float",$AL421*(_xll.qGetFwdRate($D$18,$O421,$O422,"T",DCC_Leg1_Float)%+GenRate_1a%%)*$AN421,        IF(GenType_1a="bp (Fixed)",GenRate_1a%%*$AM421*$AL421,   IF(GenType_1a="bp (Float)",GenRate_1a%%*$AL421*$AN421,0))))</f>
        <v>0</v>
      </c>
      <c r="AR422" s="561"/>
      <c r="AT422" s="341">
        <f t="shared" si="84"/>
        <v>0</v>
      </c>
      <c r="AV422" s="356"/>
      <c r="AW422" s="122">
        <v>0</v>
      </c>
      <c r="AX422" s="128">
        <f t="shared" si="89"/>
        <v>0</v>
      </c>
      <c r="AY422" s="357">
        <v>0</v>
      </c>
      <c r="AZ422" s="699">
        <f>IF($AW423=0,0,        _xll.qDateNext($AW422,AZ$17,"M",TRUE,Currency2))</f>
        <v>0</v>
      </c>
      <c r="BA422" s="699">
        <f>IF($AW423=0,0,        _xll.qDateNext($AW422,BA$17,"M",TRUE,Currency2))</f>
        <v>0</v>
      </c>
      <c r="BB422" s="699">
        <f>IF($AW423=0,0,        _xll.qDateNext($AW422,BB$17,"M",TRUE,Currency2))</f>
        <v>0</v>
      </c>
      <c r="BC422" s="699">
        <f>IF($AW423=0,0,        _xll.qDateNext($AW422,BC$17,"M",TRUE,Currency2))</f>
        <v>0</v>
      </c>
      <c r="BD422" s="699">
        <f>IF($AW423=0,0,        _xll.qDateNext($AW422,BD$17,"M",TRUE,Currency2))</f>
        <v>0</v>
      </c>
      <c r="BE422" s="699">
        <f>IF($AW423=0,0,        _xll.qDateNext($AW422,BE$17,"M",TRUE,Currency2))</f>
        <v>0</v>
      </c>
      <c r="BF422" s="699">
        <f>IF($AW423=0,0,        _xll.qDateNext($AW422,BF$17,"M",TRUE,Currency2))</f>
        <v>0</v>
      </c>
      <c r="BG422" s="699">
        <f>IF($AW423=0,0,        _xll.qDateNext($AW422,BG$17,"M",TRUE,Currency2))</f>
        <v>0</v>
      </c>
      <c r="BH422" s="703">
        <v>0</v>
      </c>
      <c r="BI422" s="703">
        <v>0</v>
      </c>
      <c r="BJ422" s="703">
        <v>0</v>
      </c>
      <c r="BK422" s="703">
        <v>0</v>
      </c>
      <c r="BL422" s="703">
        <f t="shared" si="95"/>
        <v>0</v>
      </c>
      <c r="BM422" s="703">
        <f t="shared" si="96"/>
        <v>0</v>
      </c>
      <c r="BN422" s="703">
        <v>0</v>
      </c>
      <c r="BO422" s="703">
        <v>0</v>
      </c>
      <c r="BP422" s="685">
        <v>0</v>
      </c>
      <c r="BQ422" s="667"/>
      <c r="BR422" s="670">
        <f>IF(AW423=0,0,             IF(ISNUMBER(BQ422),BQ422,             IF(ISTEXT(BQ422),INDEX(BH422:BO422,MATCH(BQ422,$BH$17:$BO$17,0)),           IF(BP422="INT",_xll.qInterp(AW423,AZ422:BG422,BH422:BO422),       INDEX(BH422:BO422,MATCH(BP422,$BH$17:$BO$17,0))))))</f>
        <v>0</v>
      </c>
      <c r="BS422" s="731">
        <f t="shared" si="90"/>
        <v>0</v>
      </c>
      <c r="BT422" s="406">
        <f t="shared" si="91"/>
        <v>0</v>
      </c>
      <c r="BU422" s="284">
        <f>IF($AW423,_xll.qDateYears($AW422,$AW423,DCC_Leg2_Fixed),0)</f>
        <v>0</v>
      </c>
      <c r="BV422" s="284">
        <f>IF($AW423,_xll.qDateYears($AW422,$AW423,DCC_Leg2_Float),0)</f>
        <v>0</v>
      </c>
      <c r="BX422" s="350">
        <f t="shared" si="97"/>
        <v>0</v>
      </c>
      <c r="BY422" s="375">
        <f>IF(GenType_2a="Fixed",GenRate_2a%*$BT421*BU421,          IF(GenType_2a="Float",$BT421*(_xll.qGetFwdRate($J$18,$AW421,$AW422,"T",DCC_Leg2_Float)%+GenRate_2a%%)*$BV421,        IF(GenType_2a="bp (Fixed)",GenRate_2a%%*$BU421*$BT421,   IF(GenType_2a="bp (Float)",GenRate_2a%%*$BT421*$BV421,0))))</f>
        <v>0</v>
      </c>
      <c r="BZ422" s="561"/>
      <c r="CB422" s="341">
        <f t="shared" si="85"/>
        <v>0</v>
      </c>
      <c r="CC422" s="563"/>
      <c r="CD422" s="356"/>
      <c r="CE422" s="341">
        <v>0</v>
      </c>
      <c r="CF422" s="563"/>
      <c r="CG422" s="356"/>
    </row>
    <row r="423" spans="15:85">
      <c r="O423" s="122">
        <v>0</v>
      </c>
      <c r="P423" s="128">
        <f t="shared" si="86"/>
        <v>0</v>
      </c>
      <c r="Q423" s="126">
        <v>0</v>
      </c>
      <c r="R423" s="699">
        <f>IF($O424=0,0,        _xll.qDateNext($O423,R$17,"M",TRUE,Currency1))</f>
        <v>0</v>
      </c>
      <c r="S423" s="699">
        <f>IF($O424=0,0,        _xll.qDateNext($O423,S$17,"M",TRUE,Currency1))</f>
        <v>0</v>
      </c>
      <c r="T423" s="699">
        <f>IF($O424=0,0,        _xll.qDateNext($O423,T$17,"M",TRUE,Currency1))</f>
        <v>0</v>
      </c>
      <c r="U423" s="699">
        <f>IF($O424=0,0,        _xll.qDateNext($O423,U$17,"M",TRUE,Currency1))</f>
        <v>0</v>
      </c>
      <c r="V423" s="699">
        <f>IF($O424=0,0,        _xll.qDateNext($O423,V$17,"M",TRUE,Currency1))</f>
        <v>0</v>
      </c>
      <c r="W423" s="699">
        <f>IF($O424=0,0,        _xll.qDateNext($O423,W$17,"M",TRUE,Currency1))</f>
        <v>0</v>
      </c>
      <c r="X423" s="699">
        <f>IF($O424=0,0,        _xll.qDateNext($O423,X$17,"M",TRUE,Currency1))</f>
        <v>0</v>
      </c>
      <c r="Y423" s="699">
        <f>IF($O424=0,0,        _xll.qDateNext($O423,Y$17,"M",TRUE,Currency1))</f>
        <v>0</v>
      </c>
      <c r="Z423" s="703">
        <f>IF($O424=0,0,           IF(FRM,_xll.qGetFwdRate(Z$14,$O423,R423,"T",DCC_Leg1_Float),_xll.qGetFwdRate(Z$14,$O423,$O424,"T",DCC_Leg1_Float)))</f>
        <v>0</v>
      </c>
      <c r="AA423" s="703">
        <f>IF($O424=0,0,           IF(FRM,_xll.qGetFwdRate(AA$14,$O423,S423,"T",DCC_Leg1_Float),_xll.qGetFwdRate(AA$14,$O423,$O424,"T",DCC_Leg1_Float)))</f>
        <v>0</v>
      </c>
      <c r="AB423" s="703">
        <f t="shared" si="87"/>
        <v>0</v>
      </c>
      <c r="AC423" s="703">
        <f>IF($O424=0,0,           IF(FRM,_xll.qGetFwdRate(AC$14,$O423,U423,"T",DCC_Leg1_Float),_xll.qGetFwdRate(AC$14,$O423,$O424,"T",DCC_Leg1_Float)))</f>
        <v>0</v>
      </c>
      <c r="AD423" s="703">
        <f t="shared" si="92"/>
        <v>0</v>
      </c>
      <c r="AE423" s="703">
        <f t="shared" si="93"/>
        <v>0</v>
      </c>
      <c r="AF423" s="703">
        <f>IF($O424=0,0,           IF(FRM,_xll.qGetFwdRate(AF$14,$O423,X423,"T",DCC_Leg1_Float),_xll.qGetFwdRate(AF$14,$O423,$O424,"T",DCC_Leg1_Float)))</f>
        <v>0</v>
      </c>
      <c r="AG423" s="703">
        <f>IF($O424=0,0,           IF(FRM,_xll.qGetFwdRate(AG$14,$O423,Y423,"T",DCC_Leg1_Float),_xll.qGetFwdRate(AG$14,$O423,$O424,"T",DCC_Leg1_Float)))</f>
        <v>0</v>
      </c>
      <c r="AH423" s="685">
        <v>0</v>
      </c>
      <c r="AI423" s="667"/>
      <c r="AJ423" s="670">
        <f>IF(O424=0,0,             IF(ISNUMBER(AI423),AI423,             IF(ISTEXT(AI423),INDEX(Z423:AG423,MATCH(AI423,$Z$17:$AG$17,0)),           IF(AH423="INT",_xll.qInterp(O424,R423:Y423,Z423:AG423),       INDEX(Z423:AG423,MATCH(AH423,$Z$17:$AG$17,0))))))</f>
        <v>0</v>
      </c>
      <c r="AK423" s="732">
        <v>20</v>
      </c>
      <c r="AL423" s="721">
        <f t="shared" si="88"/>
        <v>0</v>
      </c>
      <c r="AM423" s="284">
        <f>IF($O424,_xll.qDateYears($O423,$O424,DCC_Leg1_Fixed),0)</f>
        <v>0</v>
      </c>
      <c r="AN423" s="284">
        <f>IF($O424,_xll.qDateYears($O423,$O424,DCC_Leg1_Float),0)</f>
        <v>0</v>
      </c>
      <c r="AP423" s="350">
        <f t="shared" si="94"/>
        <v>0</v>
      </c>
      <c r="AQ423" s="375">
        <f>IF(GenType_1a="Fixed",GenRate_1a%*$AL422*AM422,          IF(GenType_1a="Float",$AL422*(_xll.qGetFwdRate($D$18,$O422,$O423,"T",DCC_Leg1_Float)%+GenRate_1a%%)*$AN422,        IF(GenType_1a="bp (Fixed)",GenRate_1a%%*$AM422*$AL422,   IF(GenType_1a="bp (Float)",GenRate_1a%%*$AL422*$AN422,0))))</f>
        <v>0</v>
      </c>
      <c r="AR423" s="561"/>
      <c r="AT423" s="341">
        <f t="shared" si="84"/>
        <v>0</v>
      </c>
      <c r="AV423" s="356"/>
      <c r="AW423" s="122">
        <v>0</v>
      </c>
      <c r="AX423" s="128">
        <f t="shared" si="89"/>
        <v>0</v>
      </c>
      <c r="AY423" s="357">
        <v>0</v>
      </c>
      <c r="AZ423" s="699">
        <f>IF($AW424=0,0,        _xll.qDateNext($AW423,AZ$17,"M",TRUE,Currency2))</f>
        <v>0</v>
      </c>
      <c r="BA423" s="699">
        <f>IF($AW424=0,0,        _xll.qDateNext($AW423,BA$17,"M",TRUE,Currency2))</f>
        <v>0</v>
      </c>
      <c r="BB423" s="699">
        <f>IF($AW424=0,0,        _xll.qDateNext($AW423,BB$17,"M",TRUE,Currency2))</f>
        <v>0</v>
      </c>
      <c r="BC423" s="699">
        <f>IF($AW424=0,0,        _xll.qDateNext($AW423,BC$17,"M",TRUE,Currency2))</f>
        <v>0</v>
      </c>
      <c r="BD423" s="699">
        <f>IF($AW424=0,0,        _xll.qDateNext($AW423,BD$17,"M",TRUE,Currency2))</f>
        <v>0</v>
      </c>
      <c r="BE423" s="699">
        <f>IF($AW424=0,0,        _xll.qDateNext($AW423,BE$17,"M",TRUE,Currency2))</f>
        <v>0</v>
      </c>
      <c r="BF423" s="699">
        <f>IF($AW424=0,0,        _xll.qDateNext($AW423,BF$17,"M",TRUE,Currency2))</f>
        <v>0</v>
      </c>
      <c r="BG423" s="699">
        <f>IF($AW424=0,0,        _xll.qDateNext($AW423,BG$17,"M",TRUE,Currency2))</f>
        <v>0</v>
      </c>
      <c r="BH423" s="703">
        <v>0</v>
      </c>
      <c r="BI423" s="703">
        <v>0</v>
      </c>
      <c r="BJ423" s="703">
        <v>0</v>
      </c>
      <c r="BK423" s="703">
        <v>0</v>
      </c>
      <c r="BL423" s="703">
        <f t="shared" si="95"/>
        <v>0</v>
      </c>
      <c r="BM423" s="703">
        <f t="shared" si="96"/>
        <v>0</v>
      </c>
      <c r="BN423" s="703">
        <v>0</v>
      </c>
      <c r="BO423" s="703">
        <v>0</v>
      </c>
      <c r="BP423" s="685">
        <v>0</v>
      </c>
      <c r="BQ423" s="667"/>
      <c r="BR423" s="670">
        <f>IF(AW424=0,0,             IF(ISNUMBER(BQ423),BQ423,             IF(ISTEXT(BQ423),INDEX(BH423:BO423,MATCH(BQ423,$BH$17:$BO$17,0)),           IF(BP423="INT",_xll.qInterp(AW424,AZ423:BG423,BH423:BO423),       INDEX(BH423:BO423,MATCH(BP423,$BH$17:$BO$17,0))))))</f>
        <v>0</v>
      </c>
      <c r="BS423" s="731">
        <f t="shared" si="90"/>
        <v>0</v>
      </c>
      <c r="BT423" s="406">
        <f t="shared" si="91"/>
        <v>0</v>
      </c>
      <c r="BU423" s="284">
        <f>IF($AW424,_xll.qDateYears($AW423,$AW424,DCC_Leg2_Fixed),0)</f>
        <v>0</v>
      </c>
      <c r="BV423" s="284">
        <f>IF($AW424,_xll.qDateYears($AW423,$AW424,DCC_Leg2_Float),0)</f>
        <v>0</v>
      </c>
      <c r="BX423" s="350">
        <f t="shared" si="97"/>
        <v>0</v>
      </c>
      <c r="BY423" s="375">
        <f>IF(GenType_2a="Fixed",GenRate_2a%*$BT422*BU422,          IF(GenType_2a="Float",$BT422*(_xll.qGetFwdRate($J$18,$AW422,$AW423,"T",DCC_Leg2_Float)%+GenRate_2a%%)*$BV422,        IF(GenType_2a="bp (Fixed)",GenRate_2a%%*$BU422*$BT422,   IF(GenType_2a="bp (Float)",GenRate_2a%%*$BT422*$BV422,0))))</f>
        <v>0</v>
      </c>
      <c r="BZ423" s="561"/>
      <c r="CB423" s="341">
        <f t="shared" si="85"/>
        <v>0</v>
      </c>
      <c r="CC423" s="563"/>
      <c r="CD423" s="356"/>
      <c r="CE423" s="341">
        <v>0</v>
      </c>
      <c r="CF423" s="563"/>
      <c r="CG423" s="356"/>
    </row>
    <row r="424" spans="15:85">
      <c r="O424" s="122">
        <v>0</v>
      </c>
      <c r="P424" s="128">
        <f t="shared" si="86"/>
        <v>0</v>
      </c>
      <c r="Q424" s="126">
        <v>0</v>
      </c>
      <c r="R424" s="699">
        <f>IF($O425=0,0,        _xll.qDateNext($O424,R$17,"M",TRUE,Currency1))</f>
        <v>0</v>
      </c>
      <c r="S424" s="699">
        <f>IF($O425=0,0,        _xll.qDateNext($O424,S$17,"M",TRUE,Currency1))</f>
        <v>0</v>
      </c>
      <c r="T424" s="699">
        <f>IF($O425=0,0,        _xll.qDateNext($O424,T$17,"M",TRUE,Currency1))</f>
        <v>0</v>
      </c>
      <c r="U424" s="699">
        <f>IF($O425=0,0,        _xll.qDateNext($O424,U$17,"M",TRUE,Currency1))</f>
        <v>0</v>
      </c>
      <c r="V424" s="699">
        <f>IF($O425=0,0,        _xll.qDateNext($O424,V$17,"M",TRUE,Currency1))</f>
        <v>0</v>
      </c>
      <c r="W424" s="699">
        <f>IF($O425=0,0,        _xll.qDateNext($O424,W$17,"M",TRUE,Currency1))</f>
        <v>0</v>
      </c>
      <c r="X424" s="699">
        <f>IF($O425=0,0,        _xll.qDateNext($O424,X$17,"M",TRUE,Currency1))</f>
        <v>0</v>
      </c>
      <c r="Y424" s="699">
        <f>IF($O425=0,0,        _xll.qDateNext($O424,Y$17,"M",TRUE,Currency1))</f>
        <v>0</v>
      </c>
      <c r="Z424" s="703">
        <f>IF($O425=0,0,           IF(FRM,_xll.qGetFwdRate(Z$14,$O424,R424,"T",DCC_Leg1_Float),_xll.qGetFwdRate(Z$14,$O424,$O425,"T",DCC_Leg1_Float)))</f>
        <v>0</v>
      </c>
      <c r="AA424" s="703">
        <f>IF($O425=0,0,           IF(FRM,_xll.qGetFwdRate(AA$14,$O424,S424,"T",DCC_Leg1_Float),_xll.qGetFwdRate(AA$14,$O424,$O425,"T",DCC_Leg1_Float)))</f>
        <v>0</v>
      </c>
      <c r="AB424" s="703">
        <f t="shared" si="87"/>
        <v>0</v>
      </c>
      <c r="AC424" s="703">
        <f>IF($O425=0,0,           IF(FRM,_xll.qGetFwdRate(AC$14,$O424,U424,"T",DCC_Leg1_Float),_xll.qGetFwdRate(AC$14,$O424,$O425,"T",DCC_Leg1_Float)))</f>
        <v>0</v>
      </c>
      <c r="AD424" s="703">
        <f t="shared" si="92"/>
        <v>0</v>
      </c>
      <c r="AE424" s="703">
        <f t="shared" si="93"/>
        <v>0</v>
      </c>
      <c r="AF424" s="703">
        <f>IF($O425=0,0,           IF(FRM,_xll.qGetFwdRate(AF$14,$O424,X424,"T",DCC_Leg1_Float),_xll.qGetFwdRate(AF$14,$O424,$O425,"T",DCC_Leg1_Float)))</f>
        <v>0</v>
      </c>
      <c r="AG424" s="703">
        <f>IF($O425=0,0,           IF(FRM,_xll.qGetFwdRate(AG$14,$O424,Y424,"T",DCC_Leg1_Float),_xll.qGetFwdRate(AG$14,$O424,$O425,"T",DCC_Leg1_Float)))</f>
        <v>0</v>
      </c>
      <c r="AH424" s="685">
        <v>0</v>
      </c>
      <c r="AI424" s="667"/>
      <c r="AJ424" s="670">
        <f>IF(O425=0,0,             IF(ISNUMBER(AI424),AI424,             IF(ISTEXT(AI424),INDEX(Z424:AG424,MATCH(AI424,$Z$17:$AG$17,0)),           IF(AH424="INT",_xll.qInterp(O425,R424:Y424,Z424:AG424),       INDEX(Z424:AG424,MATCH(AH424,$Z$17:$AG$17,0))))))</f>
        <v>0</v>
      </c>
      <c r="AK424" s="732">
        <v>20</v>
      </c>
      <c r="AL424" s="721">
        <f t="shared" si="88"/>
        <v>0</v>
      </c>
      <c r="AM424" s="284">
        <f>IF($O425,_xll.qDateYears($O424,$O425,DCC_Leg1_Fixed),0)</f>
        <v>0</v>
      </c>
      <c r="AN424" s="284">
        <f>IF($O425,_xll.qDateYears($O424,$O425,DCC_Leg1_Float),0)</f>
        <v>0</v>
      </c>
      <c r="AP424" s="350">
        <f t="shared" si="94"/>
        <v>0</v>
      </c>
      <c r="AQ424" s="375">
        <f>IF(GenType_1a="Fixed",GenRate_1a%*$AL423*AM423,          IF(GenType_1a="Float",$AL423*(_xll.qGetFwdRate($D$18,$O423,$O424,"T",DCC_Leg1_Float)%+GenRate_1a%%)*$AN423,        IF(GenType_1a="bp (Fixed)",GenRate_1a%%*$AM423*$AL423,   IF(GenType_1a="bp (Float)",GenRate_1a%%*$AL423*$AN423,0))))</f>
        <v>0</v>
      </c>
      <c r="AR424" s="561"/>
      <c r="AT424" s="341">
        <f t="shared" ref="AT424:AT487" si="98">SUM(AP424:AR424)</f>
        <v>0</v>
      </c>
      <c r="AV424" s="356"/>
      <c r="AW424" s="122">
        <v>0</v>
      </c>
      <c r="AX424" s="128">
        <f t="shared" si="89"/>
        <v>0</v>
      </c>
      <c r="AY424" s="357">
        <v>0</v>
      </c>
      <c r="AZ424" s="699">
        <f>IF($AW425=0,0,        _xll.qDateNext($AW424,AZ$17,"M",TRUE,Currency2))</f>
        <v>0</v>
      </c>
      <c r="BA424" s="699">
        <f>IF($AW425=0,0,        _xll.qDateNext($AW424,BA$17,"M",TRUE,Currency2))</f>
        <v>0</v>
      </c>
      <c r="BB424" s="699">
        <f>IF($AW425=0,0,        _xll.qDateNext($AW424,BB$17,"M",TRUE,Currency2))</f>
        <v>0</v>
      </c>
      <c r="BC424" s="699">
        <f>IF($AW425=0,0,        _xll.qDateNext($AW424,BC$17,"M",TRUE,Currency2))</f>
        <v>0</v>
      </c>
      <c r="BD424" s="699">
        <f>IF($AW425=0,0,        _xll.qDateNext($AW424,BD$17,"M",TRUE,Currency2))</f>
        <v>0</v>
      </c>
      <c r="BE424" s="699">
        <f>IF($AW425=0,0,        _xll.qDateNext($AW424,BE$17,"M",TRUE,Currency2))</f>
        <v>0</v>
      </c>
      <c r="BF424" s="699">
        <f>IF($AW425=0,0,        _xll.qDateNext($AW424,BF$17,"M",TRUE,Currency2))</f>
        <v>0</v>
      </c>
      <c r="BG424" s="699">
        <f>IF($AW425=0,0,        _xll.qDateNext($AW424,BG$17,"M",TRUE,Currency2))</f>
        <v>0</v>
      </c>
      <c r="BH424" s="703">
        <v>0</v>
      </c>
      <c r="BI424" s="703">
        <v>0</v>
      </c>
      <c r="BJ424" s="703">
        <v>0</v>
      </c>
      <c r="BK424" s="703">
        <v>0</v>
      </c>
      <c r="BL424" s="703">
        <f t="shared" si="95"/>
        <v>0</v>
      </c>
      <c r="BM424" s="703">
        <f t="shared" si="96"/>
        <v>0</v>
      </c>
      <c r="BN424" s="703">
        <v>0</v>
      </c>
      <c r="BO424" s="703">
        <v>0</v>
      </c>
      <c r="BP424" s="685">
        <v>0</v>
      </c>
      <c r="BQ424" s="667"/>
      <c r="BR424" s="670">
        <f>IF(AW425=0,0,             IF(ISNUMBER(BQ424),BQ424,             IF(ISTEXT(BQ424),INDEX(BH424:BO424,MATCH(BQ424,$BH$17:$BO$17,0)),           IF(BP424="INT",_xll.qInterp(AW425,AZ424:BG424,BH424:BO424),       INDEX(BH424:BO424,MATCH(BP424,$BH$17:$BO$17,0))))))</f>
        <v>0</v>
      </c>
      <c r="BS424" s="731">
        <f t="shared" si="90"/>
        <v>0</v>
      </c>
      <c r="BT424" s="406">
        <f t="shared" si="91"/>
        <v>0</v>
      </c>
      <c r="BU424" s="284">
        <f>IF($AW425,_xll.qDateYears($AW424,$AW425,DCC_Leg2_Fixed),0)</f>
        <v>0</v>
      </c>
      <c r="BV424" s="284">
        <f>IF($AW425,_xll.qDateYears($AW424,$AW425,DCC_Leg2_Float),0)</f>
        <v>0</v>
      </c>
      <c r="BX424" s="350">
        <f t="shared" si="97"/>
        <v>0</v>
      </c>
      <c r="BY424" s="375">
        <f>IF(GenType_2a="Fixed",GenRate_2a%*$BT423*BU423,          IF(GenType_2a="Float",$BT423*(_xll.qGetFwdRate($J$18,$AW423,$AW424,"T",DCC_Leg2_Float)%+GenRate_2a%%)*$BV423,        IF(GenType_2a="bp (Fixed)",GenRate_2a%%*$BU423*$BT423,   IF(GenType_2a="bp (Float)",GenRate_2a%%*$BT423*$BV423,0))))</f>
        <v>0</v>
      </c>
      <c r="BZ424" s="561"/>
      <c r="CB424" s="341">
        <f t="shared" si="85"/>
        <v>0</v>
      </c>
      <c r="CC424" s="563"/>
      <c r="CD424" s="356"/>
      <c r="CE424" s="341">
        <v>0</v>
      </c>
      <c r="CF424" s="563"/>
      <c r="CG424" s="356"/>
    </row>
    <row r="425" spans="15:85">
      <c r="O425" s="122">
        <v>0</v>
      </c>
      <c r="P425" s="128">
        <f t="shared" si="86"/>
        <v>0</v>
      </c>
      <c r="Q425" s="126">
        <v>0</v>
      </c>
      <c r="R425" s="699">
        <f>IF($O426=0,0,        _xll.qDateNext($O425,R$17,"M",TRUE,Currency1))</f>
        <v>0</v>
      </c>
      <c r="S425" s="699">
        <f>IF($O426=0,0,        _xll.qDateNext($O425,S$17,"M",TRUE,Currency1))</f>
        <v>0</v>
      </c>
      <c r="T425" s="699">
        <f>IF($O426=0,0,        _xll.qDateNext($O425,T$17,"M",TRUE,Currency1))</f>
        <v>0</v>
      </c>
      <c r="U425" s="699">
        <f>IF($O426=0,0,        _xll.qDateNext($O425,U$17,"M",TRUE,Currency1))</f>
        <v>0</v>
      </c>
      <c r="V425" s="699">
        <f>IF($O426=0,0,        _xll.qDateNext($O425,V$17,"M",TRUE,Currency1))</f>
        <v>0</v>
      </c>
      <c r="W425" s="699">
        <f>IF($O426=0,0,        _xll.qDateNext($O425,W$17,"M",TRUE,Currency1))</f>
        <v>0</v>
      </c>
      <c r="X425" s="699">
        <f>IF($O426=0,0,        _xll.qDateNext($O425,X$17,"M",TRUE,Currency1))</f>
        <v>0</v>
      </c>
      <c r="Y425" s="699">
        <f>IF($O426=0,0,        _xll.qDateNext($O425,Y$17,"M",TRUE,Currency1))</f>
        <v>0</v>
      </c>
      <c r="Z425" s="703">
        <f>IF($O426=0,0,           IF(FRM,_xll.qGetFwdRate(Z$14,$O425,R425,"T",DCC_Leg1_Float),_xll.qGetFwdRate(Z$14,$O425,$O426,"T",DCC_Leg1_Float)))</f>
        <v>0</v>
      </c>
      <c r="AA425" s="703">
        <f>IF($O426=0,0,           IF(FRM,_xll.qGetFwdRate(AA$14,$O425,S425,"T",DCC_Leg1_Float),_xll.qGetFwdRate(AA$14,$O425,$O426,"T",DCC_Leg1_Float)))</f>
        <v>0</v>
      </c>
      <c r="AB425" s="703">
        <f t="shared" si="87"/>
        <v>0</v>
      </c>
      <c r="AC425" s="703">
        <f>IF($O426=0,0,           IF(FRM,_xll.qGetFwdRate(AC$14,$O425,U425,"T",DCC_Leg1_Float),_xll.qGetFwdRate(AC$14,$O425,$O426,"T",DCC_Leg1_Float)))</f>
        <v>0</v>
      </c>
      <c r="AD425" s="703">
        <f t="shared" si="92"/>
        <v>0</v>
      </c>
      <c r="AE425" s="703">
        <f t="shared" si="93"/>
        <v>0</v>
      </c>
      <c r="AF425" s="703">
        <f>IF($O426=0,0,           IF(FRM,_xll.qGetFwdRate(AF$14,$O425,X425,"T",DCC_Leg1_Float),_xll.qGetFwdRate(AF$14,$O425,$O426,"T",DCC_Leg1_Float)))</f>
        <v>0</v>
      </c>
      <c r="AG425" s="703">
        <f>IF($O426=0,0,           IF(FRM,_xll.qGetFwdRate(AG$14,$O425,Y425,"T",DCC_Leg1_Float),_xll.qGetFwdRate(AG$14,$O425,$O426,"T",DCC_Leg1_Float)))</f>
        <v>0</v>
      </c>
      <c r="AH425" s="685">
        <v>0</v>
      </c>
      <c r="AI425" s="667"/>
      <c r="AJ425" s="670">
        <f>IF(O426=0,0,             IF(ISNUMBER(AI425),AI425,             IF(ISTEXT(AI425),INDEX(Z425:AG425,MATCH(AI425,$Z$17:$AG$17,0)),           IF(AH425="INT",_xll.qInterp(O426,R425:Y425,Z425:AG425),       INDEX(Z425:AG425,MATCH(AH425,$Z$17:$AG$17,0))))))</f>
        <v>0</v>
      </c>
      <c r="AK425" s="732">
        <v>20</v>
      </c>
      <c r="AL425" s="721">
        <f t="shared" si="88"/>
        <v>0</v>
      </c>
      <c r="AM425" s="284">
        <f>IF($O426,_xll.qDateYears($O425,$O426,DCC_Leg1_Fixed),0)</f>
        <v>0</v>
      </c>
      <c r="AN425" s="284">
        <f>IF($O426,_xll.qDateYears($O425,$O426,DCC_Leg1_Float),0)</f>
        <v>0</v>
      </c>
      <c r="AP425" s="350">
        <f t="shared" si="94"/>
        <v>0</v>
      </c>
      <c r="AQ425" s="375">
        <f>IF(GenType_1a="Fixed",GenRate_1a%*$AL424*AM424,          IF(GenType_1a="Float",$AL424*(_xll.qGetFwdRate($D$18,$O424,$O425,"T",DCC_Leg1_Float)%+GenRate_1a%%)*$AN424,        IF(GenType_1a="bp (Fixed)",GenRate_1a%%*$AM424*$AL424,   IF(GenType_1a="bp (Float)",GenRate_1a%%*$AL424*$AN424,0))))</f>
        <v>0</v>
      </c>
      <c r="AR425" s="561"/>
      <c r="AT425" s="341">
        <f t="shared" si="98"/>
        <v>0</v>
      </c>
      <c r="AV425" s="356"/>
      <c r="AW425" s="122">
        <v>0</v>
      </c>
      <c r="AX425" s="128">
        <f t="shared" si="89"/>
        <v>0</v>
      </c>
      <c r="AY425" s="357">
        <v>0</v>
      </c>
      <c r="AZ425" s="699">
        <f>IF($AW426=0,0,        _xll.qDateNext($AW425,AZ$17,"M",TRUE,Currency2))</f>
        <v>0</v>
      </c>
      <c r="BA425" s="699">
        <f>IF($AW426=0,0,        _xll.qDateNext($AW425,BA$17,"M",TRUE,Currency2))</f>
        <v>0</v>
      </c>
      <c r="BB425" s="699">
        <f>IF($AW426=0,0,        _xll.qDateNext($AW425,BB$17,"M",TRUE,Currency2))</f>
        <v>0</v>
      </c>
      <c r="BC425" s="699">
        <f>IF($AW426=0,0,        _xll.qDateNext($AW425,BC$17,"M",TRUE,Currency2))</f>
        <v>0</v>
      </c>
      <c r="BD425" s="699">
        <f>IF($AW426=0,0,        _xll.qDateNext($AW425,BD$17,"M",TRUE,Currency2))</f>
        <v>0</v>
      </c>
      <c r="BE425" s="699">
        <f>IF($AW426=0,0,        _xll.qDateNext($AW425,BE$17,"M",TRUE,Currency2))</f>
        <v>0</v>
      </c>
      <c r="BF425" s="699">
        <f>IF($AW426=0,0,        _xll.qDateNext($AW425,BF$17,"M",TRUE,Currency2))</f>
        <v>0</v>
      </c>
      <c r="BG425" s="699">
        <f>IF($AW426=0,0,        _xll.qDateNext($AW425,BG$17,"M",TRUE,Currency2))</f>
        <v>0</v>
      </c>
      <c r="BH425" s="703">
        <v>0</v>
      </c>
      <c r="BI425" s="703">
        <v>0</v>
      </c>
      <c r="BJ425" s="703">
        <v>0</v>
      </c>
      <c r="BK425" s="703">
        <v>0</v>
      </c>
      <c r="BL425" s="703">
        <f t="shared" si="95"/>
        <v>0</v>
      </c>
      <c r="BM425" s="703">
        <f t="shared" si="96"/>
        <v>0</v>
      </c>
      <c r="BN425" s="703">
        <v>0</v>
      </c>
      <c r="BO425" s="703">
        <v>0</v>
      </c>
      <c r="BP425" s="685">
        <v>0</v>
      </c>
      <c r="BQ425" s="667"/>
      <c r="BR425" s="670">
        <f>IF(AW426=0,0,             IF(ISNUMBER(BQ425),BQ425,             IF(ISTEXT(BQ425),INDEX(BH425:BO425,MATCH(BQ425,$BH$17:$BO$17,0)),           IF(BP425="INT",_xll.qInterp(AW426,AZ425:BG425,BH425:BO425),       INDEX(BH425:BO425,MATCH(BP425,$BH$17:$BO$17,0))))))</f>
        <v>0</v>
      </c>
      <c r="BS425" s="731">
        <f t="shared" si="90"/>
        <v>0</v>
      </c>
      <c r="BT425" s="406">
        <f t="shared" si="91"/>
        <v>0</v>
      </c>
      <c r="BU425" s="284">
        <f>IF($AW426,_xll.qDateYears($AW425,$AW426,DCC_Leg2_Fixed),0)</f>
        <v>0</v>
      </c>
      <c r="BV425" s="284">
        <f>IF($AW426,_xll.qDateYears($AW425,$AW426,DCC_Leg2_Float),0)</f>
        <v>0</v>
      </c>
      <c r="BX425" s="350">
        <f t="shared" si="97"/>
        <v>0</v>
      </c>
      <c r="BY425" s="375">
        <f>IF(GenType_2a="Fixed",GenRate_2a%*$BT424*BU424,          IF(GenType_2a="Float",$BT424*(_xll.qGetFwdRate($J$18,$AW424,$AW425,"T",DCC_Leg2_Float)%+GenRate_2a%%)*$BV424,        IF(GenType_2a="bp (Fixed)",GenRate_2a%%*$BU424*$BT424,   IF(GenType_2a="bp (Float)",GenRate_2a%%*$BT424*$BV424,0))))</f>
        <v>0</v>
      </c>
      <c r="BZ425" s="561"/>
      <c r="CB425" s="341">
        <f t="shared" ref="CB425:CB488" si="99">SUM(BX425:BZ425)</f>
        <v>0</v>
      </c>
      <c r="CC425" s="563"/>
      <c r="CD425" s="356"/>
      <c r="CE425" s="341">
        <v>0</v>
      </c>
      <c r="CF425" s="563"/>
      <c r="CG425" s="356"/>
    </row>
    <row r="426" spans="15:85">
      <c r="O426" s="122">
        <v>0</v>
      </c>
      <c r="P426" s="128">
        <f t="shared" si="86"/>
        <v>0</v>
      </c>
      <c r="Q426" s="126">
        <v>0</v>
      </c>
      <c r="R426" s="699">
        <f>IF($O427=0,0,        _xll.qDateNext($O426,R$17,"M",TRUE,Currency1))</f>
        <v>0</v>
      </c>
      <c r="S426" s="699">
        <f>IF($O427=0,0,        _xll.qDateNext($O426,S$17,"M",TRUE,Currency1))</f>
        <v>0</v>
      </c>
      <c r="T426" s="699">
        <f>IF($O427=0,0,        _xll.qDateNext($O426,T$17,"M",TRUE,Currency1))</f>
        <v>0</v>
      </c>
      <c r="U426" s="699">
        <f>IF($O427=0,0,        _xll.qDateNext($O426,U$17,"M",TRUE,Currency1))</f>
        <v>0</v>
      </c>
      <c r="V426" s="699">
        <f>IF($O427=0,0,        _xll.qDateNext($O426,V$17,"M",TRUE,Currency1))</f>
        <v>0</v>
      </c>
      <c r="W426" s="699">
        <f>IF($O427=0,0,        _xll.qDateNext($O426,W$17,"M",TRUE,Currency1))</f>
        <v>0</v>
      </c>
      <c r="X426" s="699">
        <f>IF($O427=0,0,        _xll.qDateNext($O426,X$17,"M",TRUE,Currency1))</f>
        <v>0</v>
      </c>
      <c r="Y426" s="699">
        <f>IF($O427=0,0,        _xll.qDateNext($O426,Y$17,"M",TRUE,Currency1))</f>
        <v>0</v>
      </c>
      <c r="Z426" s="703">
        <f>IF($O427=0,0,           IF(FRM,_xll.qGetFwdRate(Z$14,$O426,R426,"T",DCC_Leg1_Float),_xll.qGetFwdRate(Z$14,$O426,$O427,"T",DCC_Leg1_Float)))</f>
        <v>0</v>
      </c>
      <c r="AA426" s="703">
        <f>IF($O427=0,0,           IF(FRM,_xll.qGetFwdRate(AA$14,$O426,S426,"T",DCC_Leg1_Float),_xll.qGetFwdRate(AA$14,$O426,$O427,"T",DCC_Leg1_Float)))</f>
        <v>0</v>
      </c>
      <c r="AB426" s="703">
        <f t="shared" si="87"/>
        <v>0</v>
      </c>
      <c r="AC426" s="703">
        <f>IF($O427=0,0,           IF(FRM,_xll.qGetFwdRate(AC$14,$O426,U426,"T",DCC_Leg1_Float),_xll.qGetFwdRate(AC$14,$O426,$O427,"T",DCC_Leg1_Float)))</f>
        <v>0</v>
      </c>
      <c r="AD426" s="703">
        <f t="shared" si="92"/>
        <v>0</v>
      </c>
      <c r="AE426" s="703">
        <f t="shared" si="93"/>
        <v>0</v>
      </c>
      <c r="AF426" s="703">
        <f>IF($O427=0,0,           IF(FRM,_xll.qGetFwdRate(AF$14,$O426,X426,"T",DCC_Leg1_Float),_xll.qGetFwdRate(AF$14,$O426,$O427,"T",DCC_Leg1_Float)))</f>
        <v>0</v>
      </c>
      <c r="AG426" s="703">
        <f>IF($O427=0,0,           IF(FRM,_xll.qGetFwdRate(AG$14,$O426,Y426,"T",DCC_Leg1_Float),_xll.qGetFwdRate(AG$14,$O426,$O427,"T",DCC_Leg1_Float)))</f>
        <v>0</v>
      </c>
      <c r="AH426" s="685">
        <v>0</v>
      </c>
      <c r="AI426" s="667"/>
      <c r="AJ426" s="670">
        <f>IF(O427=0,0,             IF(ISNUMBER(AI426),AI426,             IF(ISTEXT(AI426),INDEX(Z426:AG426,MATCH(AI426,$Z$17:$AG$17,0)),           IF(AH426="INT",_xll.qInterp(O427,R426:Y426,Z426:AG426),       INDEX(Z426:AG426,MATCH(AH426,$Z$17:$AG$17,0))))))</f>
        <v>0</v>
      </c>
      <c r="AK426" s="732">
        <v>20</v>
      </c>
      <c r="AL426" s="721">
        <f t="shared" si="88"/>
        <v>0</v>
      </c>
      <c r="AM426" s="284">
        <f>IF($O427,_xll.qDateYears($O426,$O427,DCC_Leg1_Fixed),0)</f>
        <v>0</v>
      </c>
      <c r="AN426" s="284">
        <f>IF($O427,_xll.qDateYears($O426,$O427,DCC_Leg1_Float),0)</f>
        <v>0</v>
      </c>
      <c r="AP426" s="350">
        <f t="shared" si="94"/>
        <v>0</v>
      </c>
      <c r="AQ426" s="375">
        <f>IF(GenType_1a="Fixed",GenRate_1a%*$AL425*AM425,          IF(GenType_1a="Float",$AL425*(_xll.qGetFwdRate($D$18,$O425,$O426,"T",DCC_Leg1_Float)%+GenRate_1a%%)*$AN425,        IF(GenType_1a="bp (Fixed)",GenRate_1a%%*$AM425*$AL425,   IF(GenType_1a="bp (Float)",GenRate_1a%%*$AL425*$AN425,0))))</f>
        <v>0</v>
      </c>
      <c r="AR426" s="561"/>
      <c r="AT426" s="341">
        <f t="shared" si="98"/>
        <v>0</v>
      </c>
      <c r="AV426" s="356"/>
      <c r="AW426" s="122">
        <v>0</v>
      </c>
      <c r="AX426" s="128">
        <f t="shared" si="89"/>
        <v>0</v>
      </c>
      <c r="AY426" s="357">
        <v>0</v>
      </c>
      <c r="AZ426" s="699">
        <f>IF($AW427=0,0,        _xll.qDateNext($AW426,AZ$17,"M",TRUE,Currency2))</f>
        <v>0</v>
      </c>
      <c r="BA426" s="699">
        <f>IF($AW427=0,0,        _xll.qDateNext($AW426,BA$17,"M",TRUE,Currency2))</f>
        <v>0</v>
      </c>
      <c r="BB426" s="699">
        <f>IF($AW427=0,0,        _xll.qDateNext($AW426,BB$17,"M",TRUE,Currency2))</f>
        <v>0</v>
      </c>
      <c r="BC426" s="699">
        <f>IF($AW427=0,0,        _xll.qDateNext($AW426,BC$17,"M",TRUE,Currency2))</f>
        <v>0</v>
      </c>
      <c r="BD426" s="699">
        <f>IF($AW427=0,0,        _xll.qDateNext($AW426,BD$17,"M",TRUE,Currency2))</f>
        <v>0</v>
      </c>
      <c r="BE426" s="699">
        <f>IF($AW427=0,0,        _xll.qDateNext($AW426,BE$17,"M",TRUE,Currency2))</f>
        <v>0</v>
      </c>
      <c r="BF426" s="699">
        <f>IF($AW427=0,0,        _xll.qDateNext($AW426,BF$17,"M",TRUE,Currency2))</f>
        <v>0</v>
      </c>
      <c r="BG426" s="699">
        <f>IF($AW427=0,0,        _xll.qDateNext($AW426,BG$17,"M",TRUE,Currency2))</f>
        <v>0</v>
      </c>
      <c r="BH426" s="703">
        <v>0</v>
      </c>
      <c r="BI426" s="703">
        <v>0</v>
      </c>
      <c r="BJ426" s="703">
        <v>0</v>
      </c>
      <c r="BK426" s="703">
        <v>0</v>
      </c>
      <c r="BL426" s="703">
        <f t="shared" si="95"/>
        <v>0</v>
      </c>
      <c r="BM426" s="703">
        <f t="shared" si="96"/>
        <v>0</v>
      </c>
      <c r="BN426" s="703">
        <v>0</v>
      </c>
      <c r="BO426" s="703">
        <v>0</v>
      </c>
      <c r="BP426" s="685">
        <v>0</v>
      </c>
      <c r="BQ426" s="667"/>
      <c r="BR426" s="670">
        <f>IF(AW427=0,0,             IF(ISNUMBER(BQ426),BQ426,             IF(ISTEXT(BQ426),INDEX(BH426:BO426,MATCH(BQ426,$BH$17:$BO$17,0)),           IF(BP426="INT",_xll.qInterp(AW427,AZ426:BG426,BH426:BO426),       INDEX(BH426:BO426,MATCH(BP426,$BH$17:$BO$17,0))))))</f>
        <v>0</v>
      </c>
      <c r="BS426" s="731">
        <f t="shared" si="90"/>
        <v>0</v>
      </c>
      <c r="BT426" s="406">
        <f t="shared" si="91"/>
        <v>0</v>
      </c>
      <c r="BU426" s="284">
        <f>IF($AW427,_xll.qDateYears($AW426,$AW427,DCC_Leg2_Fixed),0)</f>
        <v>0</v>
      </c>
      <c r="BV426" s="284">
        <f>IF($AW427,_xll.qDateYears($AW426,$AW427,DCC_Leg2_Float),0)</f>
        <v>0</v>
      </c>
      <c r="BX426" s="350">
        <f t="shared" si="97"/>
        <v>0</v>
      </c>
      <c r="BY426" s="375">
        <f>IF(GenType_2a="Fixed",GenRate_2a%*$BT425*BU425,          IF(GenType_2a="Float",$BT425*(_xll.qGetFwdRate($J$18,$AW425,$AW426,"T",DCC_Leg2_Float)%+GenRate_2a%%)*$BV425,        IF(GenType_2a="bp (Fixed)",GenRate_2a%%*$BU425*$BT425,   IF(GenType_2a="bp (Float)",GenRate_2a%%*$BT425*$BV425,0))))</f>
        <v>0</v>
      </c>
      <c r="BZ426" s="561"/>
      <c r="CB426" s="341">
        <f t="shared" si="99"/>
        <v>0</v>
      </c>
      <c r="CC426" s="563"/>
      <c r="CD426" s="356"/>
      <c r="CE426" s="341">
        <v>0</v>
      </c>
      <c r="CF426" s="563"/>
      <c r="CG426" s="356"/>
    </row>
    <row r="427" spans="15:85">
      <c r="O427" s="122">
        <v>0</v>
      </c>
      <c r="P427" s="128">
        <f t="shared" si="86"/>
        <v>0</v>
      </c>
      <c r="Q427" s="126">
        <v>0</v>
      </c>
      <c r="R427" s="699">
        <f>IF($O428=0,0,        _xll.qDateNext($O427,R$17,"M",TRUE,Currency1))</f>
        <v>0</v>
      </c>
      <c r="S427" s="699">
        <f>IF($O428=0,0,        _xll.qDateNext($O427,S$17,"M",TRUE,Currency1))</f>
        <v>0</v>
      </c>
      <c r="T427" s="699">
        <f>IF($O428=0,0,        _xll.qDateNext($O427,T$17,"M",TRUE,Currency1))</f>
        <v>0</v>
      </c>
      <c r="U427" s="699">
        <f>IF($O428=0,0,        _xll.qDateNext($O427,U$17,"M",TRUE,Currency1))</f>
        <v>0</v>
      </c>
      <c r="V427" s="699">
        <f>IF($O428=0,0,        _xll.qDateNext($O427,V$17,"M",TRUE,Currency1))</f>
        <v>0</v>
      </c>
      <c r="W427" s="699">
        <f>IF($O428=0,0,        _xll.qDateNext($O427,W$17,"M",TRUE,Currency1))</f>
        <v>0</v>
      </c>
      <c r="X427" s="699">
        <f>IF($O428=0,0,        _xll.qDateNext($O427,X$17,"M",TRUE,Currency1))</f>
        <v>0</v>
      </c>
      <c r="Y427" s="699">
        <f>IF($O428=0,0,        _xll.qDateNext($O427,Y$17,"M",TRUE,Currency1))</f>
        <v>0</v>
      </c>
      <c r="Z427" s="703">
        <f>IF($O428=0,0,           IF(FRM,_xll.qGetFwdRate(Z$14,$O427,R427,"T",DCC_Leg1_Float),_xll.qGetFwdRate(Z$14,$O427,$O428,"T",DCC_Leg1_Float)))</f>
        <v>0</v>
      </c>
      <c r="AA427" s="703">
        <f>IF($O428=0,0,           IF(FRM,_xll.qGetFwdRate(AA$14,$O427,S427,"T",DCC_Leg1_Float),_xll.qGetFwdRate(AA$14,$O427,$O428,"T",DCC_Leg1_Float)))</f>
        <v>0</v>
      </c>
      <c r="AB427" s="703">
        <f t="shared" si="87"/>
        <v>0</v>
      </c>
      <c r="AC427" s="703">
        <f>IF($O428=0,0,           IF(FRM,_xll.qGetFwdRate(AC$14,$O427,U427,"T",DCC_Leg1_Float),_xll.qGetFwdRate(AC$14,$O427,$O428,"T",DCC_Leg1_Float)))</f>
        <v>0</v>
      </c>
      <c r="AD427" s="703">
        <f t="shared" si="92"/>
        <v>0</v>
      </c>
      <c r="AE427" s="703">
        <f t="shared" si="93"/>
        <v>0</v>
      </c>
      <c r="AF427" s="703">
        <f>IF($O428=0,0,           IF(FRM,_xll.qGetFwdRate(AF$14,$O427,X427,"T",DCC_Leg1_Float),_xll.qGetFwdRate(AF$14,$O427,$O428,"T",DCC_Leg1_Float)))</f>
        <v>0</v>
      </c>
      <c r="AG427" s="703">
        <f>IF($O428=0,0,           IF(FRM,_xll.qGetFwdRate(AG$14,$O427,Y427,"T",DCC_Leg1_Float),_xll.qGetFwdRate(AG$14,$O427,$O428,"T",DCC_Leg1_Float)))</f>
        <v>0</v>
      </c>
      <c r="AH427" s="685">
        <v>0</v>
      </c>
      <c r="AI427" s="667"/>
      <c r="AJ427" s="670">
        <f>IF(O428=0,0,             IF(ISNUMBER(AI427),AI427,             IF(ISTEXT(AI427),INDEX(Z427:AG427,MATCH(AI427,$Z$17:$AG$17,0)),           IF(AH427="INT",_xll.qInterp(O428,R427:Y427,Z427:AG427),       INDEX(Z427:AG427,MATCH(AH427,$Z$17:$AG$17,0))))))</f>
        <v>0</v>
      </c>
      <c r="AK427" s="732">
        <v>20</v>
      </c>
      <c r="AL427" s="721">
        <f t="shared" si="88"/>
        <v>0</v>
      </c>
      <c r="AM427" s="284">
        <f>IF($O428,_xll.qDateYears($O427,$O428,DCC_Leg1_Fixed),0)</f>
        <v>0</v>
      </c>
      <c r="AN427" s="284">
        <f>IF($O428,_xll.qDateYears($O427,$O428,DCC_Leg1_Float),0)</f>
        <v>0</v>
      </c>
      <c r="AP427" s="350">
        <f t="shared" si="94"/>
        <v>0</v>
      </c>
      <c r="AQ427" s="375">
        <f>IF(GenType_1a="Fixed",GenRate_1a%*$AL426*AM426,          IF(GenType_1a="Float",$AL426*(_xll.qGetFwdRate($D$18,$O426,$O427,"T",DCC_Leg1_Float)%+GenRate_1a%%)*$AN426,        IF(GenType_1a="bp (Fixed)",GenRate_1a%%*$AM426*$AL426,   IF(GenType_1a="bp (Float)",GenRate_1a%%*$AL426*$AN426,0))))</f>
        <v>0</v>
      </c>
      <c r="AR427" s="561"/>
      <c r="AT427" s="341">
        <f t="shared" si="98"/>
        <v>0</v>
      </c>
      <c r="AV427" s="356"/>
      <c r="AW427" s="122">
        <v>0</v>
      </c>
      <c r="AX427" s="128">
        <f t="shared" si="89"/>
        <v>0</v>
      </c>
      <c r="AY427" s="357">
        <v>0</v>
      </c>
      <c r="AZ427" s="699">
        <f>IF($AW428=0,0,        _xll.qDateNext($AW427,AZ$17,"M",TRUE,Currency2))</f>
        <v>0</v>
      </c>
      <c r="BA427" s="699">
        <f>IF($AW428=0,0,        _xll.qDateNext($AW427,BA$17,"M",TRUE,Currency2))</f>
        <v>0</v>
      </c>
      <c r="BB427" s="699">
        <f>IF($AW428=0,0,        _xll.qDateNext($AW427,BB$17,"M",TRUE,Currency2))</f>
        <v>0</v>
      </c>
      <c r="BC427" s="699">
        <f>IF($AW428=0,0,        _xll.qDateNext($AW427,BC$17,"M",TRUE,Currency2))</f>
        <v>0</v>
      </c>
      <c r="BD427" s="699">
        <f>IF($AW428=0,0,        _xll.qDateNext($AW427,BD$17,"M",TRUE,Currency2))</f>
        <v>0</v>
      </c>
      <c r="BE427" s="699">
        <f>IF($AW428=0,0,        _xll.qDateNext($AW427,BE$17,"M",TRUE,Currency2))</f>
        <v>0</v>
      </c>
      <c r="BF427" s="699">
        <f>IF($AW428=0,0,        _xll.qDateNext($AW427,BF$17,"M",TRUE,Currency2))</f>
        <v>0</v>
      </c>
      <c r="BG427" s="699">
        <f>IF($AW428=0,0,        _xll.qDateNext($AW427,BG$17,"M",TRUE,Currency2))</f>
        <v>0</v>
      </c>
      <c r="BH427" s="703">
        <v>0</v>
      </c>
      <c r="BI427" s="703">
        <v>0</v>
      </c>
      <c r="BJ427" s="703">
        <v>0</v>
      </c>
      <c r="BK427" s="703">
        <v>0</v>
      </c>
      <c r="BL427" s="703">
        <f t="shared" si="95"/>
        <v>0</v>
      </c>
      <c r="BM427" s="703">
        <f t="shared" si="96"/>
        <v>0</v>
      </c>
      <c r="BN427" s="703">
        <v>0</v>
      </c>
      <c r="BO427" s="703">
        <v>0</v>
      </c>
      <c r="BP427" s="685">
        <v>0</v>
      </c>
      <c r="BQ427" s="667"/>
      <c r="BR427" s="670">
        <f>IF(AW428=0,0,             IF(ISNUMBER(BQ427),BQ427,             IF(ISTEXT(BQ427),INDEX(BH427:BO427,MATCH(BQ427,$BH$17:$BO$17,0)),           IF(BP427="INT",_xll.qInterp(AW428,AZ427:BG427,BH427:BO427),       INDEX(BH427:BO427,MATCH(BP427,$BH$17:$BO$17,0))))))</f>
        <v>0</v>
      </c>
      <c r="BS427" s="731">
        <f t="shared" si="90"/>
        <v>0</v>
      </c>
      <c r="BT427" s="406">
        <f t="shared" si="91"/>
        <v>0</v>
      </c>
      <c r="BU427" s="284">
        <f>IF($AW428,_xll.qDateYears($AW427,$AW428,DCC_Leg2_Fixed),0)</f>
        <v>0</v>
      </c>
      <c r="BV427" s="284">
        <f>IF($AW428,_xll.qDateYears($AW427,$AW428,DCC_Leg2_Float),0)</f>
        <v>0</v>
      </c>
      <c r="BX427" s="350">
        <f t="shared" si="97"/>
        <v>0</v>
      </c>
      <c r="BY427" s="375">
        <f>IF(GenType_2a="Fixed",GenRate_2a%*$BT426*BU426,          IF(GenType_2a="Float",$BT426*(_xll.qGetFwdRate($J$18,$AW426,$AW427,"T",DCC_Leg2_Float)%+GenRate_2a%%)*$BV426,        IF(GenType_2a="bp (Fixed)",GenRate_2a%%*$BU426*$BT426,   IF(GenType_2a="bp (Float)",GenRate_2a%%*$BT426*$BV426,0))))</f>
        <v>0</v>
      </c>
      <c r="BZ427" s="561"/>
      <c r="CB427" s="341">
        <f t="shared" si="99"/>
        <v>0</v>
      </c>
      <c r="CC427" s="563"/>
      <c r="CD427" s="356"/>
      <c r="CE427" s="341">
        <v>0</v>
      </c>
      <c r="CF427" s="563"/>
      <c r="CG427" s="356"/>
    </row>
    <row r="428" spans="15:85">
      <c r="O428" s="122">
        <v>0</v>
      </c>
      <c r="P428" s="128">
        <f t="shared" si="86"/>
        <v>0</v>
      </c>
      <c r="Q428" s="126">
        <v>0</v>
      </c>
      <c r="R428" s="699">
        <f>IF($O429=0,0,        _xll.qDateNext($O428,R$17,"M",TRUE,Currency1))</f>
        <v>0</v>
      </c>
      <c r="S428" s="699">
        <f>IF($O429=0,0,        _xll.qDateNext($O428,S$17,"M",TRUE,Currency1))</f>
        <v>0</v>
      </c>
      <c r="T428" s="699">
        <f>IF($O429=0,0,        _xll.qDateNext($O428,T$17,"M",TRUE,Currency1))</f>
        <v>0</v>
      </c>
      <c r="U428" s="699">
        <f>IF($O429=0,0,        _xll.qDateNext($O428,U$17,"M",TRUE,Currency1))</f>
        <v>0</v>
      </c>
      <c r="V428" s="699">
        <f>IF($O429=0,0,        _xll.qDateNext($O428,V$17,"M",TRUE,Currency1))</f>
        <v>0</v>
      </c>
      <c r="W428" s="699">
        <f>IF($O429=0,0,        _xll.qDateNext($O428,W$17,"M",TRUE,Currency1))</f>
        <v>0</v>
      </c>
      <c r="X428" s="699">
        <f>IF($O429=0,0,        _xll.qDateNext($O428,X$17,"M",TRUE,Currency1))</f>
        <v>0</v>
      </c>
      <c r="Y428" s="699">
        <f>IF($O429=0,0,        _xll.qDateNext($O428,Y$17,"M",TRUE,Currency1))</f>
        <v>0</v>
      </c>
      <c r="Z428" s="703">
        <f>IF($O429=0,0,           IF(FRM,_xll.qGetFwdRate(Z$14,$O428,R428,"T",DCC_Leg1_Float),_xll.qGetFwdRate(Z$14,$O428,$O429,"T",DCC_Leg1_Float)))</f>
        <v>0</v>
      </c>
      <c r="AA428" s="703">
        <f>IF($O429=0,0,           IF(FRM,_xll.qGetFwdRate(AA$14,$O428,S428,"T",DCC_Leg1_Float),_xll.qGetFwdRate(AA$14,$O428,$O429,"T",DCC_Leg1_Float)))</f>
        <v>0</v>
      </c>
      <c r="AB428" s="703">
        <f t="shared" si="87"/>
        <v>0</v>
      </c>
      <c r="AC428" s="703">
        <f>IF($O429=0,0,           IF(FRM,_xll.qGetFwdRate(AC$14,$O428,U428,"T",DCC_Leg1_Float),_xll.qGetFwdRate(AC$14,$O428,$O429,"T",DCC_Leg1_Float)))</f>
        <v>0</v>
      </c>
      <c r="AD428" s="703">
        <f t="shared" si="92"/>
        <v>0</v>
      </c>
      <c r="AE428" s="703">
        <f t="shared" si="93"/>
        <v>0</v>
      </c>
      <c r="AF428" s="703">
        <f>IF($O429=0,0,           IF(FRM,_xll.qGetFwdRate(AF$14,$O428,X428,"T",DCC_Leg1_Float),_xll.qGetFwdRate(AF$14,$O428,$O429,"T",DCC_Leg1_Float)))</f>
        <v>0</v>
      </c>
      <c r="AG428" s="703">
        <f>IF($O429=0,0,           IF(FRM,_xll.qGetFwdRate(AG$14,$O428,Y428,"T",DCC_Leg1_Float),_xll.qGetFwdRate(AG$14,$O428,$O429,"T",DCC_Leg1_Float)))</f>
        <v>0</v>
      </c>
      <c r="AH428" s="685">
        <v>0</v>
      </c>
      <c r="AI428" s="667"/>
      <c r="AJ428" s="670">
        <f>IF(O429=0,0,             IF(ISNUMBER(AI428),AI428,             IF(ISTEXT(AI428),INDEX(Z428:AG428,MATCH(AI428,$Z$17:$AG$17,0)),           IF(AH428="INT",_xll.qInterp(O429,R428:Y428,Z428:AG428),       INDEX(Z428:AG428,MATCH(AH428,$Z$17:$AG$17,0))))))</f>
        <v>0</v>
      </c>
      <c r="AK428" s="732">
        <v>20</v>
      </c>
      <c r="AL428" s="721">
        <f t="shared" si="88"/>
        <v>0</v>
      </c>
      <c r="AM428" s="284">
        <f>IF($O429,_xll.qDateYears($O428,$O429,DCC_Leg1_Fixed),0)</f>
        <v>0</v>
      </c>
      <c r="AN428" s="284">
        <f>IF($O429,_xll.qDateYears($O428,$O429,DCC_Leg1_Float),0)</f>
        <v>0</v>
      </c>
      <c r="AP428" s="350">
        <f t="shared" si="94"/>
        <v>0</v>
      </c>
      <c r="AQ428" s="375">
        <f>IF(GenType_1a="Fixed",GenRate_1a%*$AL427*AM427,          IF(GenType_1a="Float",$AL427*(_xll.qGetFwdRate($D$18,$O427,$O428,"T",DCC_Leg1_Float)%+GenRate_1a%%)*$AN427,        IF(GenType_1a="bp (Fixed)",GenRate_1a%%*$AM427*$AL427,   IF(GenType_1a="bp (Float)",GenRate_1a%%*$AL427*$AN427,0))))</f>
        <v>0</v>
      </c>
      <c r="AR428" s="561"/>
      <c r="AT428" s="341">
        <f t="shared" si="98"/>
        <v>0</v>
      </c>
      <c r="AV428" s="356"/>
      <c r="AW428" s="122">
        <v>0</v>
      </c>
      <c r="AX428" s="128">
        <f t="shared" si="89"/>
        <v>0</v>
      </c>
      <c r="AY428" s="357">
        <v>0</v>
      </c>
      <c r="AZ428" s="699">
        <f>IF($AW429=0,0,        _xll.qDateNext($AW428,AZ$17,"M",TRUE,Currency2))</f>
        <v>0</v>
      </c>
      <c r="BA428" s="699">
        <f>IF($AW429=0,0,        _xll.qDateNext($AW428,BA$17,"M",TRUE,Currency2))</f>
        <v>0</v>
      </c>
      <c r="BB428" s="699">
        <f>IF($AW429=0,0,        _xll.qDateNext($AW428,BB$17,"M",TRUE,Currency2))</f>
        <v>0</v>
      </c>
      <c r="BC428" s="699">
        <f>IF($AW429=0,0,        _xll.qDateNext($AW428,BC$17,"M",TRUE,Currency2))</f>
        <v>0</v>
      </c>
      <c r="BD428" s="699">
        <f>IF($AW429=0,0,        _xll.qDateNext($AW428,BD$17,"M",TRUE,Currency2))</f>
        <v>0</v>
      </c>
      <c r="BE428" s="699">
        <f>IF($AW429=0,0,        _xll.qDateNext($AW428,BE$17,"M",TRUE,Currency2))</f>
        <v>0</v>
      </c>
      <c r="BF428" s="699">
        <f>IF($AW429=0,0,        _xll.qDateNext($AW428,BF$17,"M",TRUE,Currency2))</f>
        <v>0</v>
      </c>
      <c r="BG428" s="699">
        <f>IF($AW429=0,0,        _xll.qDateNext($AW428,BG$17,"M",TRUE,Currency2))</f>
        <v>0</v>
      </c>
      <c r="BH428" s="703">
        <v>0</v>
      </c>
      <c r="BI428" s="703">
        <v>0</v>
      </c>
      <c r="BJ428" s="703">
        <v>0</v>
      </c>
      <c r="BK428" s="703">
        <v>0</v>
      </c>
      <c r="BL428" s="703">
        <f t="shared" si="95"/>
        <v>0</v>
      </c>
      <c r="BM428" s="703">
        <f t="shared" si="96"/>
        <v>0</v>
      </c>
      <c r="BN428" s="703">
        <v>0</v>
      </c>
      <c r="BO428" s="703">
        <v>0</v>
      </c>
      <c r="BP428" s="685">
        <v>0</v>
      </c>
      <c r="BQ428" s="667"/>
      <c r="BR428" s="670">
        <f>IF(AW429=0,0,             IF(ISNUMBER(BQ428),BQ428,             IF(ISTEXT(BQ428),INDEX(BH428:BO428,MATCH(BQ428,$BH$17:$BO$17,0)),           IF(BP428="INT",_xll.qInterp(AW429,AZ428:BG428,BH428:BO428),       INDEX(BH428:BO428,MATCH(BP428,$BH$17:$BO$17,0))))))</f>
        <v>0</v>
      </c>
      <c r="BS428" s="731">
        <f t="shared" si="90"/>
        <v>0</v>
      </c>
      <c r="BT428" s="406">
        <f t="shared" si="91"/>
        <v>0</v>
      </c>
      <c r="BU428" s="284">
        <f>IF($AW429,_xll.qDateYears($AW428,$AW429,DCC_Leg2_Fixed),0)</f>
        <v>0</v>
      </c>
      <c r="BV428" s="284">
        <f>IF($AW429,_xll.qDateYears($AW428,$AW429,DCC_Leg2_Float),0)</f>
        <v>0</v>
      </c>
      <c r="BX428" s="350">
        <f t="shared" si="97"/>
        <v>0</v>
      </c>
      <c r="BY428" s="375">
        <f>IF(GenType_2a="Fixed",GenRate_2a%*$BT427*BU427,          IF(GenType_2a="Float",$BT427*(_xll.qGetFwdRate($J$18,$AW427,$AW428,"T",DCC_Leg2_Float)%+GenRate_2a%%)*$BV427,        IF(GenType_2a="bp (Fixed)",GenRate_2a%%*$BU427*$BT427,   IF(GenType_2a="bp (Float)",GenRate_2a%%*$BT427*$BV427,0))))</f>
        <v>0</v>
      </c>
      <c r="BZ428" s="561"/>
      <c r="CB428" s="341">
        <f t="shared" si="99"/>
        <v>0</v>
      </c>
      <c r="CC428" s="563"/>
      <c r="CD428" s="356"/>
      <c r="CE428" s="341">
        <v>0</v>
      </c>
      <c r="CF428" s="563"/>
      <c r="CG428" s="356"/>
    </row>
    <row r="429" spans="15:85">
      <c r="O429" s="122">
        <v>0</v>
      </c>
      <c r="P429" s="128">
        <f t="shared" si="86"/>
        <v>0</v>
      </c>
      <c r="Q429" s="126">
        <v>0</v>
      </c>
      <c r="R429" s="699">
        <f>IF($O430=0,0,        _xll.qDateNext($O429,R$17,"M",TRUE,Currency1))</f>
        <v>0</v>
      </c>
      <c r="S429" s="699">
        <f>IF($O430=0,0,        _xll.qDateNext($O429,S$17,"M",TRUE,Currency1))</f>
        <v>0</v>
      </c>
      <c r="T429" s="699">
        <f>IF($O430=0,0,        _xll.qDateNext($O429,T$17,"M",TRUE,Currency1))</f>
        <v>0</v>
      </c>
      <c r="U429" s="699">
        <f>IF($O430=0,0,        _xll.qDateNext($O429,U$17,"M",TRUE,Currency1))</f>
        <v>0</v>
      </c>
      <c r="V429" s="699">
        <f>IF($O430=0,0,        _xll.qDateNext($O429,V$17,"M",TRUE,Currency1))</f>
        <v>0</v>
      </c>
      <c r="W429" s="699">
        <f>IF($O430=0,0,        _xll.qDateNext($O429,W$17,"M",TRUE,Currency1))</f>
        <v>0</v>
      </c>
      <c r="X429" s="699">
        <f>IF($O430=0,0,        _xll.qDateNext($O429,X$17,"M",TRUE,Currency1))</f>
        <v>0</v>
      </c>
      <c r="Y429" s="699">
        <f>IF($O430=0,0,        _xll.qDateNext($O429,Y$17,"M",TRUE,Currency1))</f>
        <v>0</v>
      </c>
      <c r="Z429" s="703">
        <f>IF($O430=0,0,           IF(FRM,_xll.qGetFwdRate(Z$14,$O429,R429,"T",DCC_Leg1_Float),_xll.qGetFwdRate(Z$14,$O429,$O430,"T",DCC_Leg1_Float)))</f>
        <v>0</v>
      </c>
      <c r="AA429" s="703">
        <f>IF($O430=0,0,           IF(FRM,_xll.qGetFwdRate(AA$14,$O429,S429,"T",DCC_Leg1_Float),_xll.qGetFwdRate(AA$14,$O429,$O430,"T",DCC_Leg1_Float)))</f>
        <v>0</v>
      </c>
      <c r="AB429" s="703">
        <f t="shared" si="87"/>
        <v>0</v>
      </c>
      <c r="AC429" s="703">
        <f>IF($O430=0,0,           IF(FRM,_xll.qGetFwdRate(AC$14,$O429,U429,"T",DCC_Leg1_Float),_xll.qGetFwdRate(AC$14,$O429,$O430,"T",DCC_Leg1_Float)))</f>
        <v>0</v>
      </c>
      <c r="AD429" s="703">
        <f t="shared" si="92"/>
        <v>0</v>
      </c>
      <c r="AE429" s="703">
        <f t="shared" si="93"/>
        <v>0</v>
      </c>
      <c r="AF429" s="703">
        <f>IF($O430=0,0,           IF(FRM,_xll.qGetFwdRate(AF$14,$O429,X429,"T",DCC_Leg1_Float),_xll.qGetFwdRate(AF$14,$O429,$O430,"T",DCC_Leg1_Float)))</f>
        <v>0</v>
      </c>
      <c r="AG429" s="703">
        <f>IF($O430=0,0,           IF(FRM,_xll.qGetFwdRate(AG$14,$O429,Y429,"T",DCC_Leg1_Float),_xll.qGetFwdRate(AG$14,$O429,$O430,"T",DCC_Leg1_Float)))</f>
        <v>0</v>
      </c>
      <c r="AH429" s="685">
        <v>0</v>
      </c>
      <c r="AI429" s="667"/>
      <c r="AJ429" s="670">
        <f>IF(O430=0,0,             IF(ISNUMBER(AI429),AI429,             IF(ISTEXT(AI429),INDEX(Z429:AG429,MATCH(AI429,$Z$17:$AG$17,0)),           IF(AH429="INT",_xll.qInterp(O430,R429:Y429,Z429:AG429),       INDEX(Z429:AG429,MATCH(AH429,$Z$17:$AG$17,0))))))</f>
        <v>0</v>
      </c>
      <c r="AK429" s="732">
        <v>20</v>
      </c>
      <c r="AL429" s="721">
        <f t="shared" si="88"/>
        <v>0</v>
      </c>
      <c r="AM429" s="284">
        <f>IF($O430,_xll.qDateYears($O429,$O430,DCC_Leg1_Fixed),0)</f>
        <v>0</v>
      </c>
      <c r="AN429" s="284">
        <f>IF($O430,_xll.qDateYears($O429,$O430,DCC_Leg1_Float),0)</f>
        <v>0</v>
      </c>
      <c r="AP429" s="350">
        <f t="shared" si="94"/>
        <v>0</v>
      </c>
      <c r="AQ429" s="375">
        <f>IF(GenType_1a="Fixed",GenRate_1a%*$AL428*AM428,          IF(GenType_1a="Float",$AL428*(_xll.qGetFwdRate($D$18,$O428,$O429,"T",DCC_Leg1_Float)%+GenRate_1a%%)*$AN428,        IF(GenType_1a="bp (Fixed)",GenRate_1a%%*$AM428*$AL428,   IF(GenType_1a="bp (Float)",GenRate_1a%%*$AL428*$AN428,0))))</f>
        <v>0</v>
      </c>
      <c r="AR429" s="561"/>
      <c r="AT429" s="341">
        <f t="shared" si="98"/>
        <v>0</v>
      </c>
      <c r="AV429" s="356"/>
      <c r="AW429" s="122">
        <v>0</v>
      </c>
      <c r="AX429" s="128">
        <f t="shared" si="89"/>
        <v>0</v>
      </c>
      <c r="AY429" s="357">
        <v>0</v>
      </c>
      <c r="AZ429" s="699">
        <f>IF($AW430=0,0,        _xll.qDateNext($AW429,AZ$17,"M",TRUE,Currency2))</f>
        <v>0</v>
      </c>
      <c r="BA429" s="699">
        <f>IF($AW430=0,0,        _xll.qDateNext($AW429,BA$17,"M",TRUE,Currency2))</f>
        <v>0</v>
      </c>
      <c r="BB429" s="699">
        <f>IF($AW430=0,0,        _xll.qDateNext($AW429,BB$17,"M",TRUE,Currency2))</f>
        <v>0</v>
      </c>
      <c r="BC429" s="699">
        <f>IF($AW430=0,0,        _xll.qDateNext($AW429,BC$17,"M",TRUE,Currency2))</f>
        <v>0</v>
      </c>
      <c r="BD429" s="699">
        <f>IF($AW430=0,0,        _xll.qDateNext($AW429,BD$17,"M",TRUE,Currency2))</f>
        <v>0</v>
      </c>
      <c r="BE429" s="699">
        <f>IF($AW430=0,0,        _xll.qDateNext($AW429,BE$17,"M",TRUE,Currency2))</f>
        <v>0</v>
      </c>
      <c r="BF429" s="699">
        <f>IF($AW430=0,0,        _xll.qDateNext($AW429,BF$17,"M",TRUE,Currency2))</f>
        <v>0</v>
      </c>
      <c r="BG429" s="699">
        <f>IF($AW430=0,0,        _xll.qDateNext($AW429,BG$17,"M",TRUE,Currency2))</f>
        <v>0</v>
      </c>
      <c r="BH429" s="703">
        <v>0</v>
      </c>
      <c r="BI429" s="703">
        <v>0</v>
      </c>
      <c r="BJ429" s="703">
        <v>0</v>
      </c>
      <c r="BK429" s="703">
        <v>0</v>
      </c>
      <c r="BL429" s="703">
        <f t="shared" si="95"/>
        <v>0</v>
      </c>
      <c r="BM429" s="703">
        <f t="shared" si="96"/>
        <v>0</v>
      </c>
      <c r="BN429" s="703">
        <v>0</v>
      </c>
      <c r="BO429" s="703">
        <v>0</v>
      </c>
      <c r="BP429" s="685">
        <v>0</v>
      </c>
      <c r="BQ429" s="667"/>
      <c r="BR429" s="670">
        <f>IF(AW430=0,0,             IF(ISNUMBER(BQ429),BQ429,             IF(ISTEXT(BQ429),INDEX(BH429:BO429,MATCH(BQ429,$BH$17:$BO$17,0)),           IF(BP429="INT",_xll.qInterp(AW430,AZ429:BG429,BH429:BO429),       INDEX(BH429:BO429,MATCH(BP429,$BH$17:$BO$17,0))))))</f>
        <v>0</v>
      </c>
      <c r="BS429" s="731">
        <f t="shared" si="90"/>
        <v>0</v>
      </c>
      <c r="BT429" s="406">
        <f t="shared" si="91"/>
        <v>0</v>
      </c>
      <c r="BU429" s="284">
        <f>IF($AW430,_xll.qDateYears($AW429,$AW430,DCC_Leg2_Fixed),0)</f>
        <v>0</v>
      </c>
      <c r="BV429" s="284">
        <f>IF($AW430,_xll.qDateYears($AW429,$AW430,DCC_Leg2_Float),0)</f>
        <v>0</v>
      </c>
      <c r="BX429" s="350">
        <f t="shared" si="97"/>
        <v>0</v>
      </c>
      <c r="BY429" s="375">
        <f>IF(GenType_2a="Fixed",GenRate_2a%*$BT428*BU428,          IF(GenType_2a="Float",$BT428*(_xll.qGetFwdRate($J$18,$AW428,$AW429,"T",DCC_Leg2_Float)%+GenRate_2a%%)*$BV428,        IF(GenType_2a="bp (Fixed)",GenRate_2a%%*$BU428*$BT428,   IF(GenType_2a="bp (Float)",GenRate_2a%%*$BT428*$BV428,0))))</f>
        <v>0</v>
      </c>
      <c r="BZ429" s="561"/>
      <c r="CB429" s="341">
        <f t="shared" si="99"/>
        <v>0</v>
      </c>
      <c r="CC429" s="563"/>
      <c r="CD429" s="356"/>
      <c r="CE429" s="341">
        <v>0</v>
      </c>
      <c r="CF429" s="563"/>
      <c r="CG429" s="356"/>
    </row>
    <row r="430" spans="15:85">
      <c r="O430" s="122">
        <v>0</v>
      </c>
      <c r="P430" s="128">
        <f t="shared" si="86"/>
        <v>0</v>
      </c>
      <c r="Q430" s="126">
        <v>0</v>
      </c>
      <c r="R430" s="699">
        <f>IF($O431=0,0,        _xll.qDateNext($O430,R$17,"M",TRUE,Currency1))</f>
        <v>0</v>
      </c>
      <c r="S430" s="699">
        <f>IF($O431=0,0,        _xll.qDateNext($O430,S$17,"M",TRUE,Currency1))</f>
        <v>0</v>
      </c>
      <c r="T430" s="699">
        <f>IF($O431=0,0,        _xll.qDateNext($O430,T$17,"M",TRUE,Currency1))</f>
        <v>0</v>
      </c>
      <c r="U430" s="699">
        <f>IF($O431=0,0,        _xll.qDateNext($O430,U$17,"M",TRUE,Currency1))</f>
        <v>0</v>
      </c>
      <c r="V430" s="699">
        <f>IF($O431=0,0,        _xll.qDateNext($O430,V$17,"M",TRUE,Currency1))</f>
        <v>0</v>
      </c>
      <c r="W430" s="699">
        <f>IF($O431=0,0,        _xll.qDateNext($O430,W$17,"M",TRUE,Currency1))</f>
        <v>0</v>
      </c>
      <c r="X430" s="699">
        <f>IF($O431=0,0,        _xll.qDateNext($O430,X$17,"M",TRUE,Currency1))</f>
        <v>0</v>
      </c>
      <c r="Y430" s="699">
        <f>IF($O431=0,0,        _xll.qDateNext($O430,Y$17,"M",TRUE,Currency1))</f>
        <v>0</v>
      </c>
      <c r="Z430" s="703">
        <f>IF($O431=0,0,           IF(FRM,_xll.qGetFwdRate(Z$14,$O430,R430,"T",DCC_Leg1_Float),_xll.qGetFwdRate(Z$14,$O430,$O431,"T",DCC_Leg1_Float)))</f>
        <v>0</v>
      </c>
      <c r="AA430" s="703">
        <f>IF($O431=0,0,           IF(FRM,_xll.qGetFwdRate(AA$14,$O430,S430,"T",DCC_Leg1_Float),_xll.qGetFwdRate(AA$14,$O430,$O431,"T",DCC_Leg1_Float)))</f>
        <v>0</v>
      </c>
      <c r="AB430" s="703">
        <f t="shared" si="87"/>
        <v>0</v>
      </c>
      <c r="AC430" s="703">
        <f>IF($O431=0,0,           IF(FRM,_xll.qGetFwdRate(AC$14,$O430,U430,"T",DCC_Leg1_Float),_xll.qGetFwdRate(AC$14,$O430,$O431,"T",DCC_Leg1_Float)))</f>
        <v>0</v>
      </c>
      <c r="AD430" s="703">
        <f t="shared" si="92"/>
        <v>0</v>
      </c>
      <c r="AE430" s="703">
        <f t="shared" si="93"/>
        <v>0</v>
      </c>
      <c r="AF430" s="703">
        <f>IF($O431=0,0,           IF(FRM,_xll.qGetFwdRate(AF$14,$O430,X430,"T",DCC_Leg1_Float),_xll.qGetFwdRate(AF$14,$O430,$O431,"T",DCC_Leg1_Float)))</f>
        <v>0</v>
      </c>
      <c r="AG430" s="703">
        <f>IF($O431=0,0,           IF(FRM,_xll.qGetFwdRate(AG$14,$O430,Y430,"T",DCC_Leg1_Float),_xll.qGetFwdRate(AG$14,$O430,$O431,"T",DCC_Leg1_Float)))</f>
        <v>0</v>
      </c>
      <c r="AH430" s="685">
        <v>0</v>
      </c>
      <c r="AI430" s="667"/>
      <c r="AJ430" s="670">
        <f>IF(O431=0,0,             IF(ISNUMBER(AI430),AI430,             IF(ISTEXT(AI430),INDEX(Z430:AG430,MATCH(AI430,$Z$17:$AG$17,0)),           IF(AH430="INT",_xll.qInterp(O431,R430:Y430,Z430:AG430),       INDEX(Z430:AG430,MATCH(AH430,$Z$17:$AG$17,0))))))</f>
        <v>0</v>
      </c>
      <c r="AK430" s="732">
        <v>20</v>
      </c>
      <c r="AL430" s="721">
        <f t="shared" si="88"/>
        <v>0</v>
      </c>
      <c r="AM430" s="284">
        <f>IF($O431,_xll.qDateYears($O430,$O431,DCC_Leg1_Fixed),0)</f>
        <v>0</v>
      </c>
      <c r="AN430" s="284">
        <f>IF($O431,_xll.qDateYears($O430,$O431,DCC_Leg1_Float),0)</f>
        <v>0</v>
      </c>
      <c r="AP430" s="350">
        <f t="shared" si="94"/>
        <v>0</v>
      </c>
      <c r="AQ430" s="375">
        <f>IF(GenType_1a="Fixed",GenRate_1a%*$AL429*AM429,          IF(GenType_1a="Float",$AL429*(_xll.qGetFwdRate($D$18,$O429,$O430,"T",DCC_Leg1_Float)%+GenRate_1a%%)*$AN429,        IF(GenType_1a="bp (Fixed)",GenRate_1a%%*$AM429*$AL429,   IF(GenType_1a="bp (Float)",GenRate_1a%%*$AL429*$AN429,0))))</f>
        <v>0</v>
      </c>
      <c r="AR430" s="561"/>
      <c r="AT430" s="341">
        <f t="shared" si="98"/>
        <v>0</v>
      </c>
      <c r="AV430" s="356"/>
      <c r="AW430" s="122">
        <v>0</v>
      </c>
      <c r="AX430" s="128">
        <f t="shared" si="89"/>
        <v>0</v>
      </c>
      <c r="AY430" s="357">
        <v>0</v>
      </c>
      <c r="AZ430" s="699">
        <f>IF($AW431=0,0,        _xll.qDateNext($AW430,AZ$17,"M",TRUE,Currency2))</f>
        <v>0</v>
      </c>
      <c r="BA430" s="699">
        <f>IF($AW431=0,0,        _xll.qDateNext($AW430,BA$17,"M",TRUE,Currency2))</f>
        <v>0</v>
      </c>
      <c r="BB430" s="699">
        <f>IF($AW431=0,0,        _xll.qDateNext($AW430,BB$17,"M",TRUE,Currency2))</f>
        <v>0</v>
      </c>
      <c r="BC430" s="699">
        <f>IF($AW431=0,0,        _xll.qDateNext($AW430,BC$17,"M",TRUE,Currency2))</f>
        <v>0</v>
      </c>
      <c r="BD430" s="699">
        <f>IF($AW431=0,0,        _xll.qDateNext($AW430,BD$17,"M",TRUE,Currency2))</f>
        <v>0</v>
      </c>
      <c r="BE430" s="699">
        <f>IF($AW431=0,0,        _xll.qDateNext($AW430,BE$17,"M",TRUE,Currency2))</f>
        <v>0</v>
      </c>
      <c r="BF430" s="699">
        <f>IF($AW431=0,0,        _xll.qDateNext($AW430,BF$17,"M",TRUE,Currency2))</f>
        <v>0</v>
      </c>
      <c r="BG430" s="699">
        <f>IF($AW431=0,0,        _xll.qDateNext($AW430,BG$17,"M",TRUE,Currency2))</f>
        <v>0</v>
      </c>
      <c r="BH430" s="703">
        <v>0</v>
      </c>
      <c r="BI430" s="703">
        <v>0</v>
      </c>
      <c r="BJ430" s="703">
        <v>0</v>
      </c>
      <c r="BK430" s="703">
        <v>0</v>
      </c>
      <c r="BL430" s="703">
        <f t="shared" si="95"/>
        <v>0</v>
      </c>
      <c r="BM430" s="703">
        <f t="shared" si="96"/>
        <v>0</v>
      </c>
      <c r="BN430" s="703">
        <v>0</v>
      </c>
      <c r="BO430" s="703">
        <v>0</v>
      </c>
      <c r="BP430" s="685">
        <v>0</v>
      </c>
      <c r="BQ430" s="667"/>
      <c r="BR430" s="670">
        <f>IF(AW431=0,0,             IF(ISNUMBER(BQ430),BQ430,             IF(ISTEXT(BQ430),INDEX(BH430:BO430,MATCH(BQ430,$BH$17:$BO$17,0)),           IF(BP430="INT",_xll.qInterp(AW431,AZ430:BG430,BH430:BO430),       INDEX(BH430:BO430,MATCH(BP430,$BH$17:$BO$17,0))))))</f>
        <v>0</v>
      </c>
      <c r="BS430" s="731">
        <f t="shared" si="90"/>
        <v>0</v>
      </c>
      <c r="BT430" s="406">
        <f t="shared" si="91"/>
        <v>0</v>
      </c>
      <c r="BU430" s="284">
        <f>IF($AW431,_xll.qDateYears($AW430,$AW431,DCC_Leg2_Fixed),0)</f>
        <v>0</v>
      </c>
      <c r="BV430" s="284">
        <f>IF($AW431,_xll.qDateYears($AW430,$AW431,DCC_Leg2_Float),0)</f>
        <v>0</v>
      </c>
      <c r="BX430" s="350">
        <f t="shared" si="97"/>
        <v>0</v>
      </c>
      <c r="BY430" s="375">
        <f>IF(GenType_2a="Fixed",GenRate_2a%*$BT429*BU429,          IF(GenType_2a="Float",$BT429*(_xll.qGetFwdRate($J$18,$AW429,$AW430,"T",DCC_Leg2_Float)%+GenRate_2a%%)*$BV429,        IF(GenType_2a="bp (Fixed)",GenRate_2a%%*$BU429*$BT429,   IF(GenType_2a="bp (Float)",GenRate_2a%%*$BT429*$BV429,0))))</f>
        <v>0</v>
      </c>
      <c r="BZ430" s="561"/>
      <c r="CB430" s="341">
        <f t="shared" si="99"/>
        <v>0</v>
      </c>
      <c r="CC430" s="563"/>
      <c r="CD430" s="356"/>
      <c r="CE430" s="341">
        <v>0</v>
      </c>
      <c r="CF430" s="563"/>
      <c r="CG430" s="356"/>
    </row>
    <row r="431" spans="15:85">
      <c r="O431" s="122">
        <v>0</v>
      </c>
      <c r="P431" s="128">
        <f t="shared" si="86"/>
        <v>0</v>
      </c>
      <c r="Q431" s="126">
        <v>0</v>
      </c>
      <c r="R431" s="699">
        <f>IF($O432=0,0,        _xll.qDateNext($O431,R$17,"M",TRUE,Currency1))</f>
        <v>0</v>
      </c>
      <c r="S431" s="699">
        <f>IF($O432=0,0,        _xll.qDateNext($O431,S$17,"M",TRUE,Currency1))</f>
        <v>0</v>
      </c>
      <c r="T431" s="699">
        <f>IF($O432=0,0,        _xll.qDateNext($O431,T$17,"M",TRUE,Currency1))</f>
        <v>0</v>
      </c>
      <c r="U431" s="699">
        <f>IF($O432=0,0,        _xll.qDateNext($O431,U$17,"M",TRUE,Currency1))</f>
        <v>0</v>
      </c>
      <c r="V431" s="699">
        <f>IF($O432=0,0,        _xll.qDateNext($O431,V$17,"M",TRUE,Currency1))</f>
        <v>0</v>
      </c>
      <c r="W431" s="699">
        <f>IF($O432=0,0,        _xll.qDateNext($O431,W$17,"M",TRUE,Currency1))</f>
        <v>0</v>
      </c>
      <c r="X431" s="699">
        <f>IF($O432=0,0,        _xll.qDateNext($O431,X$17,"M",TRUE,Currency1))</f>
        <v>0</v>
      </c>
      <c r="Y431" s="699">
        <f>IF($O432=0,0,        _xll.qDateNext($O431,Y$17,"M",TRUE,Currency1))</f>
        <v>0</v>
      </c>
      <c r="Z431" s="703">
        <f>IF($O432=0,0,           IF(FRM,_xll.qGetFwdRate(Z$14,$O431,R431,"T",DCC_Leg1_Float),_xll.qGetFwdRate(Z$14,$O431,$O432,"T",DCC_Leg1_Float)))</f>
        <v>0</v>
      </c>
      <c r="AA431" s="703">
        <f>IF($O432=0,0,           IF(FRM,_xll.qGetFwdRate(AA$14,$O431,S431,"T",DCC_Leg1_Float),_xll.qGetFwdRate(AA$14,$O431,$O432,"T",DCC_Leg1_Float)))</f>
        <v>0</v>
      </c>
      <c r="AB431" s="703">
        <f t="shared" si="87"/>
        <v>0</v>
      </c>
      <c r="AC431" s="703">
        <f>IF($O432=0,0,           IF(FRM,_xll.qGetFwdRate(AC$14,$O431,U431,"T",DCC_Leg1_Float),_xll.qGetFwdRate(AC$14,$O431,$O432,"T",DCC_Leg1_Float)))</f>
        <v>0</v>
      </c>
      <c r="AD431" s="703">
        <f t="shared" si="92"/>
        <v>0</v>
      </c>
      <c r="AE431" s="703">
        <f t="shared" si="93"/>
        <v>0</v>
      </c>
      <c r="AF431" s="703">
        <f>IF($O432=0,0,           IF(FRM,_xll.qGetFwdRate(AF$14,$O431,X431,"T",DCC_Leg1_Float),_xll.qGetFwdRate(AF$14,$O431,$O432,"T",DCC_Leg1_Float)))</f>
        <v>0</v>
      </c>
      <c r="AG431" s="703">
        <f>IF($O432=0,0,           IF(FRM,_xll.qGetFwdRate(AG$14,$O431,Y431,"T",DCC_Leg1_Float),_xll.qGetFwdRate(AG$14,$O431,$O432,"T",DCC_Leg1_Float)))</f>
        <v>0</v>
      </c>
      <c r="AH431" s="685">
        <v>0</v>
      </c>
      <c r="AI431" s="667"/>
      <c r="AJ431" s="670">
        <f>IF(O432=0,0,             IF(ISNUMBER(AI431),AI431,             IF(ISTEXT(AI431),INDEX(Z431:AG431,MATCH(AI431,$Z$17:$AG$17,0)),           IF(AH431="INT",_xll.qInterp(O432,R431:Y431,Z431:AG431),       INDEX(Z431:AG431,MATCH(AH431,$Z$17:$AG$17,0))))))</f>
        <v>0</v>
      </c>
      <c r="AK431" s="732">
        <v>20</v>
      </c>
      <c r="AL431" s="721">
        <f t="shared" si="88"/>
        <v>0</v>
      </c>
      <c r="AM431" s="284">
        <f>IF($O432,_xll.qDateYears($O431,$O432,DCC_Leg1_Fixed),0)</f>
        <v>0</v>
      </c>
      <c r="AN431" s="284">
        <f>IF($O432,_xll.qDateYears($O431,$O432,DCC_Leg1_Float),0)</f>
        <v>0</v>
      </c>
      <c r="AP431" s="350">
        <f t="shared" si="94"/>
        <v>0</v>
      </c>
      <c r="AQ431" s="375">
        <f>IF(GenType_1a="Fixed",GenRate_1a%*$AL430*AM430,          IF(GenType_1a="Float",$AL430*(_xll.qGetFwdRate($D$18,$O430,$O431,"T",DCC_Leg1_Float)%+GenRate_1a%%)*$AN430,        IF(GenType_1a="bp (Fixed)",GenRate_1a%%*$AM430*$AL430,   IF(GenType_1a="bp (Float)",GenRate_1a%%*$AL430*$AN430,0))))</f>
        <v>0</v>
      </c>
      <c r="AR431" s="561"/>
      <c r="AT431" s="341">
        <f t="shared" si="98"/>
        <v>0</v>
      </c>
      <c r="AV431" s="356"/>
      <c r="AW431" s="122">
        <v>0</v>
      </c>
      <c r="AX431" s="128">
        <f t="shared" si="89"/>
        <v>0</v>
      </c>
      <c r="AY431" s="357">
        <v>0</v>
      </c>
      <c r="AZ431" s="699">
        <f>IF($AW432=0,0,        _xll.qDateNext($AW431,AZ$17,"M",TRUE,Currency2))</f>
        <v>0</v>
      </c>
      <c r="BA431" s="699">
        <f>IF($AW432=0,0,        _xll.qDateNext($AW431,BA$17,"M",TRUE,Currency2))</f>
        <v>0</v>
      </c>
      <c r="BB431" s="699">
        <f>IF($AW432=0,0,        _xll.qDateNext($AW431,BB$17,"M",TRUE,Currency2))</f>
        <v>0</v>
      </c>
      <c r="BC431" s="699">
        <f>IF($AW432=0,0,        _xll.qDateNext($AW431,BC$17,"M",TRUE,Currency2))</f>
        <v>0</v>
      </c>
      <c r="BD431" s="699">
        <f>IF($AW432=0,0,        _xll.qDateNext($AW431,BD$17,"M",TRUE,Currency2))</f>
        <v>0</v>
      </c>
      <c r="BE431" s="699">
        <f>IF($AW432=0,0,        _xll.qDateNext($AW431,BE$17,"M",TRUE,Currency2))</f>
        <v>0</v>
      </c>
      <c r="BF431" s="699">
        <f>IF($AW432=0,0,        _xll.qDateNext($AW431,BF$17,"M",TRUE,Currency2))</f>
        <v>0</v>
      </c>
      <c r="BG431" s="699">
        <f>IF($AW432=0,0,        _xll.qDateNext($AW431,BG$17,"M",TRUE,Currency2))</f>
        <v>0</v>
      </c>
      <c r="BH431" s="703">
        <v>0</v>
      </c>
      <c r="BI431" s="703">
        <v>0</v>
      </c>
      <c r="BJ431" s="703">
        <v>0</v>
      </c>
      <c r="BK431" s="703">
        <v>0</v>
      </c>
      <c r="BL431" s="703">
        <f t="shared" si="95"/>
        <v>0</v>
      </c>
      <c r="BM431" s="703">
        <f t="shared" si="96"/>
        <v>0</v>
      </c>
      <c r="BN431" s="703">
        <v>0</v>
      </c>
      <c r="BO431" s="703">
        <v>0</v>
      </c>
      <c r="BP431" s="685">
        <v>0</v>
      </c>
      <c r="BQ431" s="667"/>
      <c r="BR431" s="670">
        <f>IF(AW432=0,0,             IF(ISNUMBER(BQ431),BQ431,             IF(ISTEXT(BQ431),INDEX(BH431:BO431,MATCH(BQ431,$BH$17:$BO$17,0)),           IF(BP431="INT",_xll.qInterp(AW432,AZ431:BG431,BH431:BO431),       INDEX(BH431:BO431,MATCH(BP431,$BH$17:$BO$17,0))))))</f>
        <v>0</v>
      </c>
      <c r="BS431" s="731">
        <f t="shared" si="90"/>
        <v>0</v>
      </c>
      <c r="BT431" s="406">
        <f t="shared" si="91"/>
        <v>0</v>
      </c>
      <c r="BU431" s="284">
        <f>IF($AW432,_xll.qDateYears($AW431,$AW432,DCC_Leg2_Fixed),0)</f>
        <v>0</v>
      </c>
      <c r="BV431" s="284">
        <f>IF($AW432,_xll.qDateYears($AW431,$AW432,DCC_Leg2_Float),0)</f>
        <v>0</v>
      </c>
      <c r="BX431" s="350">
        <f t="shared" si="97"/>
        <v>0</v>
      </c>
      <c r="BY431" s="375">
        <f>IF(GenType_2a="Fixed",GenRate_2a%*$BT430*BU430,          IF(GenType_2a="Float",$BT430*(_xll.qGetFwdRate($J$18,$AW430,$AW431,"T",DCC_Leg2_Float)%+GenRate_2a%%)*$BV430,        IF(GenType_2a="bp (Fixed)",GenRate_2a%%*$BU430*$BT430,   IF(GenType_2a="bp (Float)",GenRate_2a%%*$BT430*$BV430,0))))</f>
        <v>0</v>
      </c>
      <c r="BZ431" s="561"/>
      <c r="CB431" s="341">
        <f t="shared" si="99"/>
        <v>0</v>
      </c>
      <c r="CC431" s="563"/>
      <c r="CD431" s="356"/>
      <c r="CE431" s="341">
        <v>0</v>
      </c>
      <c r="CF431" s="563"/>
      <c r="CG431" s="356"/>
    </row>
    <row r="432" spans="15:85">
      <c r="O432" s="122">
        <v>0</v>
      </c>
      <c r="P432" s="128">
        <f t="shared" si="86"/>
        <v>0</v>
      </c>
      <c r="Q432" s="126">
        <v>0</v>
      </c>
      <c r="R432" s="699">
        <f>IF($O433=0,0,        _xll.qDateNext($O432,R$17,"M",TRUE,Currency1))</f>
        <v>0</v>
      </c>
      <c r="S432" s="699">
        <f>IF($O433=0,0,        _xll.qDateNext($O432,S$17,"M",TRUE,Currency1))</f>
        <v>0</v>
      </c>
      <c r="T432" s="699">
        <f>IF($O433=0,0,        _xll.qDateNext($O432,T$17,"M",TRUE,Currency1))</f>
        <v>0</v>
      </c>
      <c r="U432" s="699">
        <f>IF($O433=0,0,        _xll.qDateNext($O432,U$17,"M",TRUE,Currency1))</f>
        <v>0</v>
      </c>
      <c r="V432" s="699">
        <f>IF($O433=0,0,        _xll.qDateNext($O432,V$17,"M",TRUE,Currency1))</f>
        <v>0</v>
      </c>
      <c r="W432" s="699">
        <f>IF($O433=0,0,        _xll.qDateNext($O432,W$17,"M",TRUE,Currency1))</f>
        <v>0</v>
      </c>
      <c r="X432" s="699">
        <f>IF($O433=0,0,        _xll.qDateNext($O432,X$17,"M",TRUE,Currency1))</f>
        <v>0</v>
      </c>
      <c r="Y432" s="699">
        <f>IF($O433=0,0,        _xll.qDateNext($O432,Y$17,"M",TRUE,Currency1))</f>
        <v>0</v>
      </c>
      <c r="Z432" s="703">
        <f>IF($O433=0,0,           IF(FRM,_xll.qGetFwdRate(Z$14,$O432,R432,"T",DCC_Leg1_Float),_xll.qGetFwdRate(Z$14,$O432,$O433,"T",DCC_Leg1_Float)))</f>
        <v>0</v>
      </c>
      <c r="AA432" s="703">
        <f>IF($O433=0,0,           IF(FRM,_xll.qGetFwdRate(AA$14,$O432,S432,"T",DCC_Leg1_Float),_xll.qGetFwdRate(AA$14,$O432,$O433,"T",DCC_Leg1_Float)))</f>
        <v>0</v>
      </c>
      <c r="AB432" s="703">
        <f t="shared" si="87"/>
        <v>0</v>
      </c>
      <c r="AC432" s="703">
        <f>IF($O433=0,0,           IF(FRM,_xll.qGetFwdRate(AC$14,$O432,U432,"T",DCC_Leg1_Float),_xll.qGetFwdRate(AC$14,$O432,$O433,"T",DCC_Leg1_Float)))</f>
        <v>0</v>
      </c>
      <c r="AD432" s="703">
        <f t="shared" si="92"/>
        <v>0</v>
      </c>
      <c r="AE432" s="703">
        <f t="shared" si="93"/>
        <v>0</v>
      </c>
      <c r="AF432" s="703">
        <f>IF($O433=0,0,           IF(FRM,_xll.qGetFwdRate(AF$14,$O432,X432,"T",DCC_Leg1_Float),_xll.qGetFwdRate(AF$14,$O432,$O433,"T",DCC_Leg1_Float)))</f>
        <v>0</v>
      </c>
      <c r="AG432" s="703">
        <f>IF($O433=0,0,           IF(FRM,_xll.qGetFwdRate(AG$14,$O432,Y432,"T",DCC_Leg1_Float),_xll.qGetFwdRate(AG$14,$O432,$O433,"T",DCC_Leg1_Float)))</f>
        <v>0</v>
      </c>
      <c r="AH432" s="685">
        <v>0</v>
      </c>
      <c r="AI432" s="667"/>
      <c r="AJ432" s="670">
        <f>IF(O433=0,0,             IF(ISNUMBER(AI432),AI432,             IF(ISTEXT(AI432),INDEX(Z432:AG432,MATCH(AI432,$Z$17:$AG$17,0)),           IF(AH432="INT",_xll.qInterp(O433,R432:Y432,Z432:AG432),       INDEX(Z432:AG432,MATCH(AH432,$Z$17:$AG$17,0))))))</f>
        <v>0</v>
      </c>
      <c r="AK432" s="732">
        <v>20</v>
      </c>
      <c r="AL432" s="721">
        <f t="shared" si="88"/>
        <v>0</v>
      </c>
      <c r="AM432" s="284">
        <f>IF($O433,_xll.qDateYears($O432,$O433,DCC_Leg1_Fixed),0)</f>
        <v>0</v>
      </c>
      <c r="AN432" s="284">
        <f>IF($O433,_xll.qDateYears($O432,$O433,DCC_Leg1_Float),0)</f>
        <v>0</v>
      </c>
      <c r="AP432" s="350">
        <f t="shared" si="94"/>
        <v>0</v>
      </c>
      <c r="AQ432" s="375">
        <f>IF(GenType_1a="Fixed",GenRate_1a%*$AL431*AM431,          IF(GenType_1a="Float",$AL431*(_xll.qGetFwdRate($D$18,$O431,$O432,"T",DCC_Leg1_Float)%+GenRate_1a%%)*$AN431,        IF(GenType_1a="bp (Fixed)",GenRate_1a%%*$AM431*$AL431,   IF(GenType_1a="bp (Float)",GenRate_1a%%*$AL431*$AN431,0))))</f>
        <v>0</v>
      </c>
      <c r="AR432" s="561"/>
      <c r="AT432" s="341">
        <f t="shared" si="98"/>
        <v>0</v>
      </c>
      <c r="AV432" s="356"/>
      <c r="AW432" s="122">
        <v>0</v>
      </c>
      <c r="AX432" s="128">
        <f t="shared" si="89"/>
        <v>0</v>
      </c>
      <c r="AY432" s="357">
        <v>0</v>
      </c>
      <c r="AZ432" s="699">
        <f>IF($AW433=0,0,        _xll.qDateNext($AW432,AZ$17,"M",TRUE,Currency2))</f>
        <v>0</v>
      </c>
      <c r="BA432" s="699">
        <f>IF($AW433=0,0,        _xll.qDateNext($AW432,BA$17,"M",TRUE,Currency2))</f>
        <v>0</v>
      </c>
      <c r="BB432" s="699">
        <f>IF($AW433=0,0,        _xll.qDateNext($AW432,BB$17,"M",TRUE,Currency2))</f>
        <v>0</v>
      </c>
      <c r="BC432" s="699">
        <f>IF($AW433=0,0,        _xll.qDateNext($AW432,BC$17,"M",TRUE,Currency2))</f>
        <v>0</v>
      </c>
      <c r="BD432" s="699">
        <f>IF($AW433=0,0,        _xll.qDateNext($AW432,BD$17,"M",TRUE,Currency2))</f>
        <v>0</v>
      </c>
      <c r="BE432" s="699">
        <f>IF($AW433=0,0,        _xll.qDateNext($AW432,BE$17,"M",TRUE,Currency2))</f>
        <v>0</v>
      </c>
      <c r="BF432" s="699">
        <f>IF($AW433=0,0,        _xll.qDateNext($AW432,BF$17,"M",TRUE,Currency2))</f>
        <v>0</v>
      </c>
      <c r="BG432" s="699">
        <f>IF($AW433=0,0,        _xll.qDateNext($AW432,BG$17,"M",TRUE,Currency2))</f>
        <v>0</v>
      </c>
      <c r="BH432" s="703">
        <v>0</v>
      </c>
      <c r="BI432" s="703">
        <v>0</v>
      </c>
      <c r="BJ432" s="703">
        <v>0</v>
      </c>
      <c r="BK432" s="703">
        <v>0</v>
      </c>
      <c r="BL432" s="703">
        <f t="shared" si="95"/>
        <v>0</v>
      </c>
      <c r="BM432" s="703">
        <f t="shared" si="96"/>
        <v>0</v>
      </c>
      <c r="BN432" s="703">
        <v>0</v>
      </c>
      <c r="BO432" s="703">
        <v>0</v>
      </c>
      <c r="BP432" s="685">
        <v>0</v>
      </c>
      <c r="BQ432" s="667"/>
      <c r="BR432" s="670">
        <f>IF(AW433=0,0,             IF(ISNUMBER(BQ432),BQ432,             IF(ISTEXT(BQ432),INDEX(BH432:BO432,MATCH(BQ432,$BH$17:$BO$17,0)),           IF(BP432="INT",_xll.qInterp(AW433,AZ432:BG432,BH432:BO432),       INDEX(BH432:BO432,MATCH(BP432,$BH$17:$BO$17,0))))))</f>
        <v>0</v>
      </c>
      <c r="BS432" s="731">
        <f t="shared" si="90"/>
        <v>0</v>
      </c>
      <c r="BT432" s="406">
        <f t="shared" si="91"/>
        <v>0</v>
      </c>
      <c r="BU432" s="284">
        <f>IF($AW433,_xll.qDateYears($AW432,$AW433,DCC_Leg2_Fixed),0)</f>
        <v>0</v>
      </c>
      <c r="BV432" s="284">
        <f>IF($AW433,_xll.qDateYears($AW432,$AW433,DCC_Leg2_Float),0)</f>
        <v>0</v>
      </c>
      <c r="BX432" s="350">
        <f t="shared" si="97"/>
        <v>0</v>
      </c>
      <c r="BY432" s="375">
        <f>IF(GenType_2a="Fixed",GenRate_2a%*$BT431*BU431,          IF(GenType_2a="Float",$BT431*(_xll.qGetFwdRate($J$18,$AW431,$AW432,"T",DCC_Leg2_Float)%+GenRate_2a%%)*$BV431,        IF(GenType_2a="bp (Fixed)",GenRate_2a%%*$BU431*$BT431,   IF(GenType_2a="bp (Float)",GenRate_2a%%*$BT431*$BV431,0))))</f>
        <v>0</v>
      </c>
      <c r="BZ432" s="561"/>
      <c r="CB432" s="341">
        <f t="shared" si="99"/>
        <v>0</v>
      </c>
      <c r="CC432" s="563"/>
      <c r="CD432" s="356"/>
      <c r="CE432" s="341">
        <v>0</v>
      </c>
      <c r="CF432" s="563"/>
      <c r="CG432" s="356"/>
    </row>
    <row r="433" spans="15:85">
      <c r="O433" s="122">
        <v>0</v>
      </c>
      <c r="P433" s="128">
        <f t="shared" si="86"/>
        <v>0</v>
      </c>
      <c r="Q433" s="126">
        <v>0</v>
      </c>
      <c r="R433" s="699">
        <f>IF($O434=0,0,        _xll.qDateNext($O433,R$17,"M",TRUE,Currency1))</f>
        <v>0</v>
      </c>
      <c r="S433" s="699">
        <f>IF($O434=0,0,        _xll.qDateNext($O433,S$17,"M",TRUE,Currency1))</f>
        <v>0</v>
      </c>
      <c r="T433" s="699">
        <f>IF($O434=0,0,        _xll.qDateNext($O433,T$17,"M",TRUE,Currency1))</f>
        <v>0</v>
      </c>
      <c r="U433" s="699">
        <f>IF($O434=0,0,        _xll.qDateNext($O433,U$17,"M",TRUE,Currency1))</f>
        <v>0</v>
      </c>
      <c r="V433" s="699">
        <f>IF($O434=0,0,        _xll.qDateNext($O433,V$17,"M",TRUE,Currency1))</f>
        <v>0</v>
      </c>
      <c r="W433" s="699">
        <f>IF($O434=0,0,        _xll.qDateNext($O433,W$17,"M",TRUE,Currency1))</f>
        <v>0</v>
      </c>
      <c r="X433" s="699">
        <f>IF($O434=0,0,        _xll.qDateNext($O433,X$17,"M",TRUE,Currency1))</f>
        <v>0</v>
      </c>
      <c r="Y433" s="699">
        <f>IF($O434=0,0,        _xll.qDateNext($O433,Y$17,"M",TRUE,Currency1))</f>
        <v>0</v>
      </c>
      <c r="Z433" s="703">
        <f>IF($O434=0,0,           IF(FRM,_xll.qGetFwdRate(Z$14,$O433,R433,"T",DCC_Leg1_Float),_xll.qGetFwdRate(Z$14,$O433,$O434,"T",DCC_Leg1_Float)))</f>
        <v>0</v>
      </c>
      <c r="AA433" s="703">
        <f>IF($O434=0,0,           IF(FRM,_xll.qGetFwdRate(AA$14,$O433,S433,"T",DCC_Leg1_Float),_xll.qGetFwdRate(AA$14,$O433,$O434,"T",DCC_Leg1_Float)))</f>
        <v>0</v>
      </c>
      <c r="AB433" s="703">
        <f t="shared" si="87"/>
        <v>0</v>
      </c>
      <c r="AC433" s="703">
        <f>IF($O434=0,0,           IF(FRM,_xll.qGetFwdRate(AC$14,$O433,U433,"T",DCC_Leg1_Float),_xll.qGetFwdRate(AC$14,$O433,$O434,"T",DCC_Leg1_Float)))</f>
        <v>0</v>
      </c>
      <c r="AD433" s="703">
        <f t="shared" si="92"/>
        <v>0</v>
      </c>
      <c r="AE433" s="703">
        <f t="shared" si="93"/>
        <v>0</v>
      </c>
      <c r="AF433" s="703">
        <f>IF($O434=0,0,           IF(FRM,_xll.qGetFwdRate(AF$14,$O433,X433,"T",DCC_Leg1_Float),_xll.qGetFwdRate(AF$14,$O433,$O434,"T",DCC_Leg1_Float)))</f>
        <v>0</v>
      </c>
      <c r="AG433" s="703">
        <f>IF($O434=0,0,           IF(FRM,_xll.qGetFwdRate(AG$14,$O433,Y433,"T",DCC_Leg1_Float),_xll.qGetFwdRate(AG$14,$O433,$O434,"T",DCC_Leg1_Float)))</f>
        <v>0</v>
      </c>
      <c r="AH433" s="685">
        <v>0</v>
      </c>
      <c r="AI433" s="667"/>
      <c r="AJ433" s="670">
        <f>IF(O434=0,0,             IF(ISNUMBER(AI433),AI433,             IF(ISTEXT(AI433),INDEX(Z433:AG433,MATCH(AI433,$Z$17:$AG$17,0)),           IF(AH433="INT",_xll.qInterp(O434,R433:Y433,Z433:AG433),       INDEX(Z433:AG433,MATCH(AH433,$Z$17:$AG$17,0))))))</f>
        <v>0</v>
      </c>
      <c r="AK433" s="732">
        <v>20</v>
      </c>
      <c r="AL433" s="721">
        <f t="shared" si="88"/>
        <v>0</v>
      </c>
      <c r="AM433" s="284">
        <f>IF($O434,_xll.qDateYears($O433,$O434,DCC_Leg1_Fixed),0)</f>
        <v>0</v>
      </c>
      <c r="AN433" s="284">
        <f>IF($O434,_xll.qDateYears($O433,$O434,DCC_Leg1_Float),0)</f>
        <v>0</v>
      </c>
      <c r="AP433" s="350">
        <f t="shared" si="94"/>
        <v>0</v>
      </c>
      <c r="AQ433" s="375">
        <f>IF(GenType_1a="Fixed",GenRate_1a%*$AL432*AM432,          IF(GenType_1a="Float",$AL432*(_xll.qGetFwdRate($D$18,$O432,$O433,"T",DCC_Leg1_Float)%+GenRate_1a%%)*$AN432,        IF(GenType_1a="bp (Fixed)",GenRate_1a%%*$AM432*$AL432,   IF(GenType_1a="bp (Float)",GenRate_1a%%*$AL432*$AN432,0))))</f>
        <v>0</v>
      </c>
      <c r="AR433" s="561"/>
      <c r="AT433" s="341">
        <f t="shared" si="98"/>
        <v>0</v>
      </c>
      <c r="AV433" s="356"/>
      <c r="AW433" s="122">
        <v>0</v>
      </c>
      <c r="AX433" s="128">
        <f t="shared" si="89"/>
        <v>0</v>
      </c>
      <c r="AY433" s="357">
        <v>0</v>
      </c>
      <c r="AZ433" s="699">
        <f>IF($AW434=0,0,        _xll.qDateNext($AW433,AZ$17,"M",TRUE,Currency2))</f>
        <v>0</v>
      </c>
      <c r="BA433" s="699">
        <f>IF($AW434=0,0,        _xll.qDateNext($AW433,BA$17,"M",TRUE,Currency2))</f>
        <v>0</v>
      </c>
      <c r="BB433" s="699">
        <f>IF($AW434=0,0,        _xll.qDateNext($AW433,BB$17,"M",TRUE,Currency2))</f>
        <v>0</v>
      </c>
      <c r="BC433" s="699">
        <f>IF($AW434=0,0,        _xll.qDateNext($AW433,BC$17,"M",TRUE,Currency2))</f>
        <v>0</v>
      </c>
      <c r="BD433" s="699">
        <f>IF($AW434=0,0,        _xll.qDateNext($AW433,BD$17,"M",TRUE,Currency2))</f>
        <v>0</v>
      </c>
      <c r="BE433" s="699">
        <f>IF($AW434=0,0,        _xll.qDateNext($AW433,BE$17,"M",TRUE,Currency2))</f>
        <v>0</v>
      </c>
      <c r="BF433" s="699">
        <f>IF($AW434=0,0,        _xll.qDateNext($AW433,BF$17,"M",TRUE,Currency2))</f>
        <v>0</v>
      </c>
      <c r="BG433" s="699">
        <f>IF($AW434=0,0,        _xll.qDateNext($AW433,BG$17,"M",TRUE,Currency2))</f>
        <v>0</v>
      </c>
      <c r="BH433" s="703">
        <v>0</v>
      </c>
      <c r="BI433" s="703">
        <v>0</v>
      </c>
      <c r="BJ433" s="703">
        <v>0</v>
      </c>
      <c r="BK433" s="703">
        <v>0</v>
      </c>
      <c r="BL433" s="703">
        <f t="shared" si="95"/>
        <v>0</v>
      </c>
      <c r="BM433" s="703">
        <f t="shared" si="96"/>
        <v>0</v>
      </c>
      <c r="BN433" s="703">
        <v>0</v>
      </c>
      <c r="BO433" s="703">
        <v>0</v>
      </c>
      <c r="BP433" s="685">
        <v>0</v>
      </c>
      <c r="BQ433" s="667"/>
      <c r="BR433" s="670">
        <f>IF(AW434=0,0,             IF(ISNUMBER(BQ433),BQ433,             IF(ISTEXT(BQ433),INDEX(BH433:BO433,MATCH(BQ433,$BH$17:$BO$17,0)),           IF(BP433="INT",_xll.qInterp(AW434,AZ433:BG433,BH433:BO433),       INDEX(BH433:BO433,MATCH(BP433,$BH$17:$BO$17,0))))))</f>
        <v>0</v>
      </c>
      <c r="BS433" s="731">
        <f t="shared" si="90"/>
        <v>0</v>
      </c>
      <c r="BT433" s="406">
        <f t="shared" si="91"/>
        <v>0</v>
      </c>
      <c r="BU433" s="284">
        <f>IF($AW434,_xll.qDateYears($AW433,$AW434,DCC_Leg2_Fixed),0)</f>
        <v>0</v>
      </c>
      <c r="BV433" s="284">
        <f>IF($AW434,_xll.qDateYears($AW433,$AW434,DCC_Leg2_Float),0)</f>
        <v>0</v>
      </c>
      <c r="BX433" s="350">
        <f t="shared" si="97"/>
        <v>0</v>
      </c>
      <c r="BY433" s="375">
        <f>IF(GenType_2a="Fixed",GenRate_2a%*$BT432*BU432,          IF(GenType_2a="Float",$BT432*(_xll.qGetFwdRate($J$18,$AW432,$AW433,"T",DCC_Leg2_Float)%+GenRate_2a%%)*$BV432,        IF(GenType_2a="bp (Fixed)",GenRate_2a%%*$BU432*$BT432,   IF(GenType_2a="bp (Float)",GenRate_2a%%*$BT432*$BV432,0))))</f>
        <v>0</v>
      </c>
      <c r="BZ433" s="561"/>
      <c r="CB433" s="341">
        <f t="shared" si="99"/>
        <v>0</v>
      </c>
      <c r="CC433" s="563"/>
      <c r="CD433" s="356"/>
      <c r="CE433" s="341">
        <v>0</v>
      </c>
      <c r="CF433" s="563"/>
      <c r="CG433" s="356"/>
    </row>
    <row r="434" spans="15:85">
      <c r="O434" s="122">
        <v>0</v>
      </c>
      <c r="P434" s="128">
        <f t="shared" si="86"/>
        <v>0</v>
      </c>
      <c r="Q434" s="126">
        <v>0</v>
      </c>
      <c r="R434" s="699">
        <f>IF($O435=0,0,        _xll.qDateNext($O434,R$17,"M",TRUE,Currency1))</f>
        <v>0</v>
      </c>
      <c r="S434" s="699">
        <f>IF($O435=0,0,        _xll.qDateNext($O434,S$17,"M",TRUE,Currency1))</f>
        <v>0</v>
      </c>
      <c r="T434" s="699">
        <f>IF($O435=0,0,        _xll.qDateNext($O434,T$17,"M",TRUE,Currency1))</f>
        <v>0</v>
      </c>
      <c r="U434" s="699">
        <f>IF($O435=0,0,        _xll.qDateNext($O434,U$17,"M",TRUE,Currency1))</f>
        <v>0</v>
      </c>
      <c r="V434" s="699">
        <f>IF($O435=0,0,        _xll.qDateNext($O434,V$17,"M",TRUE,Currency1))</f>
        <v>0</v>
      </c>
      <c r="W434" s="699">
        <f>IF($O435=0,0,        _xll.qDateNext($O434,W$17,"M",TRUE,Currency1))</f>
        <v>0</v>
      </c>
      <c r="X434" s="699">
        <f>IF($O435=0,0,        _xll.qDateNext($O434,X$17,"M",TRUE,Currency1))</f>
        <v>0</v>
      </c>
      <c r="Y434" s="699">
        <f>IF($O435=0,0,        _xll.qDateNext($O434,Y$17,"M",TRUE,Currency1))</f>
        <v>0</v>
      </c>
      <c r="Z434" s="703">
        <f>IF($O435=0,0,           IF(FRM,_xll.qGetFwdRate(Z$14,$O434,R434,"T",DCC_Leg1_Float),_xll.qGetFwdRate(Z$14,$O434,$O435,"T",DCC_Leg1_Float)))</f>
        <v>0</v>
      </c>
      <c r="AA434" s="703">
        <f>IF($O435=0,0,           IF(FRM,_xll.qGetFwdRate(AA$14,$O434,S434,"T",DCC_Leg1_Float),_xll.qGetFwdRate(AA$14,$O434,$O435,"T",DCC_Leg1_Float)))</f>
        <v>0</v>
      </c>
      <c r="AB434" s="703">
        <f t="shared" si="87"/>
        <v>0</v>
      </c>
      <c r="AC434" s="703">
        <f>IF($O435=0,0,           IF(FRM,_xll.qGetFwdRate(AC$14,$O434,U434,"T",DCC_Leg1_Float),_xll.qGetFwdRate(AC$14,$O434,$O435,"T",DCC_Leg1_Float)))</f>
        <v>0</v>
      </c>
      <c r="AD434" s="703">
        <f t="shared" si="92"/>
        <v>0</v>
      </c>
      <c r="AE434" s="703">
        <f t="shared" si="93"/>
        <v>0</v>
      </c>
      <c r="AF434" s="703">
        <f>IF($O435=0,0,           IF(FRM,_xll.qGetFwdRate(AF$14,$O434,X434,"T",DCC_Leg1_Float),_xll.qGetFwdRate(AF$14,$O434,$O435,"T",DCC_Leg1_Float)))</f>
        <v>0</v>
      </c>
      <c r="AG434" s="703">
        <f>IF($O435=0,0,           IF(FRM,_xll.qGetFwdRate(AG$14,$O434,Y434,"T",DCC_Leg1_Float),_xll.qGetFwdRate(AG$14,$O434,$O435,"T",DCC_Leg1_Float)))</f>
        <v>0</v>
      </c>
      <c r="AH434" s="685">
        <v>0</v>
      </c>
      <c r="AI434" s="667"/>
      <c r="AJ434" s="670">
        <f>IF(O435=0,0,             IF(ISNUMBER(AI434),AI434,             IF(ISTEXT(AI434),INDEX(Z434:AG434,MATCH(AI434,$Z$17:$AG$17,0)),           IF(AH434="INT",_xll.qInterp(O435,R434:Y434,Z434:AG434),       INDEX(Z434:AG434,MATCH(AH434,$Z$17:$AG$17,0))))))</f>
        <v>0</v>
      </c>
      <c r="AK434" s="732">
        <v>20</v>
      </c>
      <c r="AL434" s="721">
        <f t="shared" si="88"/>
        <v>0</v>
      </c>
      <c r="AM434" s="284">
        <f>IF($O435,_xll.qDateYears($O434,$O435,DCC_Leg1_Fixed),0)</f>
        <v>0</v>
      </c>
      <c r="AN434" s="284">
        <f>IF($O435,_xll.qDateYears($O434,$O435,DCC_Leg1_Float),0)</f>
        <v>0</v>
      </c>
      <c r="AP434" s="350">
        <f t="shared" si="94"/>
        <v>0</v>
      </c>
      <c r="AQ434" s="375">
        <f>IF(GenType_1a="Fixed",GenRate_1a%*$AL433*AM433,          IF(GenType_1a="Float",$AL433*(_xll.qGetFwdRate($D$18,$O433,$O434,"T",DCC_Leg1_Float)%+GenRate_1a%%)*$AN433,        IF(GenType_1a="bp (Fixed)",GenRate_1a%%*$AM433*$AL433,   IF(GenType_1a="bp (Float)",GenRate_1a%%*$AL433*$AN433,0))))</f>
        <v>0</v>
      </c>
      <c r="AR434" s="561"/>
      <c r="AT434" s="341">
        <f t="shared" si="98"/>
        <v>0</v>
      </c>
      <c r="AV434" s="356"/>
      <c r="AW434" s="122">
        <v>0</v>
      </c>
      <c r="AX434" s="128">
        <f t="shared" si="89"/>
        <v>0</v>
      </c>
      <c r="AY434" s="357">
        <v>0</v>
      </c>
      <c r="AZ434" s="699">
        <f>IF($AW435=0,0,        _xll.qDateNext($AW434,AZ$17,"M",TRUE,Currency2))</f>
        <v>0</v>
      </c>
      <c r="BA434" s="699">
        <f>IF($AW435=0,0,        _xll.qDateNext($AW434,BA$17,"M",TRUE,Currency2))</f>
        <v>0</v>
      </c>
      <c r="BB434" s="699">
        <f>IF($AW435=0,0,        _xll.qDateNext($AW434,BB$17,"M",TRUE,Currency2))</f>
        <v>0</v>
      </c>
      <c r="BC434" s="699">
        <f>IF($AW435=0,0,        _xll.qDateNext($AW434,BC$17,"M",TRUE,Currency2))</f>
        <v>0</v>
      </c>
      <c r="BD434" s="699">
        <f>IF($AW435=0,0,        _xll.qDateNext($AW434,BD$17,"M",TRUE,Currency2))</f>
        <v>0</v>
      </c>
      <c r="BE434" s="699">
        <f>IF($AW435=0,0,        _xll.qDateNext($AW434,BE$17,"M",TRUE,Currency2))</f>
        <v>0</v>
      </c>
      <c r="BF434" s="699">
        <f>IF($AW435=0,0,        _xll.qDateNext($AW434,BF$17,"M",TRUE,Currency2))</f>
        <v>0</v>
      </c>
      <c r="BG434" s="699">
        <f>IF($AW435=0,0,        _xll.qDateNext($AW434,BG$17,"M",TRUE,Currency2))</f>
        <v>0</v>
      </c>
      <c r="BH434" s="703">
        <v>0</v>
      </c>
      <c r="BI434" s="703">
        <v>0</v>
      </c>
      <c r="BJ434" s="703">
        <v>0</v>
      </c>
      <c r="BK434" s="703">
        <v>0</v>
      </c>
      <c r="BL434" s="703">
        <f t="shared" si="95"/>
        <v>0</v>
      </c>
      <c r="BM434" s="703">
        <f t="shared" si="96"/>
        <v>0</v>
      </c>
      <c r="BN434" s="703">
        <v>0</v>
      </c>
      <c r="BO434" s="703">
        <v>0</v>
      </c>
      <c r="BP434" s="685">
        <v>0</v>
      </c>
      <c r="BQ434" s="667"/>
      <c r="BR434" s="670">
        <f>IF(AW435=0,0,             IF(ISNUMBER(BQ434),BQ434,             IF(ISTEXT(BQ434),INDEX(BH434:BO434,MATCH(BQ434,$BH$17:$BO$17,0)),           IF(BP434="INT",_xll.qInterp(AW435,AZ434:BG434,BH434:BO434),       INDEX(BH434:BO434,MATCH(BP434,$BH$17:$BO$17,0))))))</f>
        <v>0</v>
      </c>
      <c r="BS434" s="731">
        <f t="shared" si="90"/>
        <v>0</v>
      </c>
      <c r="BT434" s="406">
        <f t="shared" si="91"/>
        <v>0</v>
      </c>
      <c r="BU434" s="284">
        <f>IF($AW435,_xll.qDateYears($AW434,$AW435,DCC_Leg2_Fixed),0)</f>
        <v>0</v>
      </c>
      <c r="BV434" s="284">
        <f>IF($AW435,_xll.qDateYears($AW434,$AW435,DCC_Leg2_Float),0)</f>
        <v>0</v>
      </c>
      <c r="BX434" s="350">
        <f t="shared" si="97"/>
        <v>0</v>
      </c>
      <c r="BY434" s="375">
        <f>IF(GenType_2a="Fixed",GenRate_2a%*$BT433*BU433,          IF(GenType_2a="Float",$BT433*(_xll.qGetFwdRate($J$18,$AW433,$AW434,"T",DCC_Leg2_Float)%+GenRate_2a%%)*$BV433,        IF(GenType_2a="bp (Fixed)",GenRate_2a%%*$BU433*$BT433,   IF(GenType_2a="bp (Float)",GenRate_2a%%*$BT433*$BV433,0))))</f>
        <v>0</v>
      </c>
      <c r="BZ434" s="561"/>
      <c r="CB434" s="341">
        <f t="shared" si="99"/>
        <v>0</v>
      </c>
      <c r="CC434" s="563"/>
      <c r="CD434" s="356"/>
      <c r="CE434" s="341">
        <v>0</v>
      </c>
      <c r="CF434" s="563"/>
      <c r="CG434" s="356"/>
    </row>
    <row r="435" spans="15:85">
      <c r="O435" s="122">
        <v>0</v>
      </c>
      <c r="P435" s="128">
        <f t="shared" si="86"/>
        <v>0</v>
      </c>
      <c r="Q435" s="126">
        <v>0</v>
      </c>
      <c r="R435" s="699">
        <f>IF($O436=0,0,        _xll.qDateNext($O435,R$17,"M",TRUE,Currency1))</f>
        <v>0</v>
      </c>
      <c r="S435" s="699">
        <f>IF($O436=0,0,        _xll.qDateNext($O435,S$17,"M",TRUE,Currency1))</f>
        <v>0</v>
      </c>
      <c r="T435" s="699">
        <f>IF($O436=0,0,        _xll.qDateNext($O435,T$17,"M",TRUE,Currency1))</f>
        <v>0</v>
      </c>
      <c r="U435" s="699">
        <f>IF($O436=0,0,        _xll.qDateNext($O435,U$17,"M",TRUE,Currency1))</f>
        <v>0</v>
      </c>
      <c r="V435" s="699">
        <f>IF($O436=0,0,        _xll.qDateNext($O435,V$17,"M",TRUE,Currency1))</f>
        <v>0</v>
      </c>
      <c r="W435" s="699">
        <f>IF($O436=0,0,        _xll.qDateNext($O435,W$17,"M",TRUE,Currency1))</f>
        <v>0</v>
      </c>
      <c r="X435" s="699">
        <f>IF($O436=0,0,        _xll.qDateNext($O435,X$17,"M",TRUE,Currency1))</f>
        <v>0</v>
      </c>
      <c r="Y435" s="699">
        <f>IF($O436=0,0,        _xll.qDateNext($O435,Y$17,"M",TRUE,Currency1))</f>
        <v>0</v>
      </c>
      <c r="Z435" s="703">
        <f>IF($O436=0,0,           IF(FRM,_xll.qGetFwdRate(Z$14,$O435,R435,"T",DCC_Leg1_Float),_xll.qGetFwdRate(Z$14,$O435,$O436,"T",DCC_Leg1_Float)))</f>
        <v>0</v>
      </c>
      <c r="AA435" s="703">
        <f>IF($O436=0,0,           IF(FRM,_xll.qGetFwdRate(AA$14,$O435,S435,"T",DCC_Leg1_Float),_xll.qGetFwdRate(AA$14,$O435,$O436,"T",DCC_Leg1_Float)))</f>
        <v>0</v>
      </c>
      <c r="AB435" s="703">
        <f t="shared" si="87"/>
        <v>0</v>
      </c>
      <c r="AC435" s="703">
        <f>IF($O436=0,0,           IF(FRM,_xll.qGetFwdRate(AC$14,$O435,U435,"T",DCC_Leg1_Float),_xll.qGetFwdRate(AC$14,$O435,$O436,"T",DCC_Leg1_Float)))</f>
        <v>0</v>
      </c>
      <c r="AD435" s="703">
        <f t="shared" si="92"/>
        <v>0</v>
      </c>
      <c r="AE435" s="703">
        <f t="shared" si="93"/>
        <v>0</v>
      </c>
      <c r="AF435" s="703">
        <f>IF($O436=0,0,           IF(FRM,_xll.qGetFwdRate(AF$14,$O435,X435,"T",DCC_Leg1_Float),_xll.qGetFwdRate(AF$14,$O435,$O436,"T",DCC_Leg1_Float)))</f>
        <v>0</v>
      </c>
      <c r="AG435" s="703">
        <f>IF($O436=0,0,           IF(FRM,_xll.qGetFwdRate(AG$14,$O435,Y435,"T",DCC_Leg1_Float),_xll.qGetFwdRate(AG$14,$O435,$O436,"T",DCC_Leg1_Float)))</f>
        <v>0</v>
      </c>
      <c r="AH435" s="685">
        <v>0</v>
      </c>
      <c r="AI435" s="667"/>
      <c r="AJ435" s="670">
        <f>IF(O436=0,0,             IF(ISNUMBER(AI435),AI435,             IF(ISTEXT(AI435),INDEX(Z435:AG435,MATCH(AI435,$Z$17:$AG$17,0)),           IF(AH435="INT",_xll.qInterp(O436,R435:Y435,Z435:AG435),       INDEX(Z435:AG435,MATCH(AH435,$Z$17:$AG$17,0))))))</f>
        <v>0</v>
      </c>
      <c r="AK435" s="732">
        <v>20</v>
      </c>
      <c r="AL435" s="721">
        <f t="shared" si="88"/>
        <v>0</v>
      </c>
      <c r="AM435" s="284">
        <f>IF($O436,_xll.qDateYears($O435,$O436,DCC_Leg1_Fixed),0)</f>
        <v>0</v>
      </c>
      <c r="AN435" s="284">
        <f>IF($O436,_xll.qDateYears($O435,$O436,DCC_Leg1_Float),0)</f>
        <v>0</v>
      </c>
      <c r="AP435" s="350">
        <f t="shared" si="94"/>
        <v>0</v>
      </c>
      <c r="AQ435" s="375">
        <f>IF(GenType_1a="Fixed",GenRate_1a%*$AL434*AM434,          IF(GenType_1a="Float",$AL434*(_xll.qGetFwdRate($D$18,$O434,$O435,"T",DCC_Leg1_Float)%+GenRate_1a%%)*$AN434,        IF(GenType_1a="bp (Fixed)",GenRate_1a%%*$AM434*$AL434,   IF(GenType_1a="bp (Float)",GenRate_1a%%*$AL434*$AN434,0))))</f>
        <v>0</v>
      </c>
      <c r="AR435" s="561"/>
      <c r="AT435" s="341">
        <f t="shared" si="98"/>
        <v>0</v>
      </c>
      <c r="AV435" s="356"/>
      <c r="AW435" s="122">
        <v>0</v>
      </c>
      <c r="AX435" s="128">
        <f t="shared" si="89"/>
        <v>0</v>
      </c>
      <c r="AY435" s="357">
        <v>0</v>
      </c>
      <c r="AZ435" s="699">
        <f>IF($AW436=0,0,        _xll.qDateNext($AW435,AZ$17,"M",TRUE,Currency2))</f>
        <v>0</v>
      </c>
      <c r="BA435" s="699">
        <f>IF($AW436=0,0,        _xll.qDateNext($AW435,BA$17,"M",TRUE,Currency2))</f>
        <v>0</v>
      </c>
      <c r="BB435" s="699">
        <f>IF($AW436=0,0,        _xll.qDateNext($AW435,BB$17,"M",TRUE,Currency2))</f>
        <v>0</v>
      </c>
      <c r="BC435" s="699">
        <f>IF($AW436=0,0,        _xll.qDateNext($AW435,BC$17,"M",TRUE,Currency2))</f>
        <v>0</v>
      </c>
      <c r="BD435" s="699">
        <f>IF($AW436=0,0,        _xll.qDateNext($AW435,BD$17,"M",TRUE,Currency2))</f>
        <v>0</v>
      </c>
      <c r="BE435" s="699">
        <f>IF($AW436=0,0,        _xll.qDateNext($AW435,BE$17,"M",TRUE,Currency2))</f>
        <v>0</v>
      </c>
      <c r="BF435" s="699">
        <f>IF($AW436=0,0,        _xll.qDateNext($AW435,BF$17,"M",TRUE,Currency2))</f>
        <v>0</v>
      </c>
      <c r="BG435" s="699">
        <f>IF($AW436=0,0,        _xll.qDateNext($AW435,BG$17,"M",TRUE,Currency2))</f>
        <v>0</v>
      </c>
      <c r="BH435" s="703">
        <v>0</v>
      </c>
      <c r="BI435" s="703">
        <v>0</v>
      </c>
      <c r="BJ435" s="703">
        <v>0</v>
      </c>
      <c r="BK435" s="703">
        <v>0</v>
      </c>
      <c r="BL435" s="703">
        <f t="shared" si="95"/>
        <v>0</v>
      </c>
      <c r="BM435" s="703">
        <f t="shared" si="96"/>
        <v>0</v>
      </c>
      <c r="BN435" s="703">
        <v>0</v>
      </c>
      <c r="BO435" s="703">
        <v>0</v>
      </c>
      <c r="BP435" s="685">
        <v>0</v>
      </c>
      <c r="BQ435" s="667"/>
      <c r="BR435" s="670">
        <f>IF(AW436=0,0,             IF(ISNUMBER(BQ435),BQ435,             IF(ISTEXT(BQ435),INDEX(BH435:BO435,MATCH(BQ435,$BH$17:$BO$17,0)),           IF(BP435="INT",_xll.qInterp(AW436,AZ435:BG435,BH435:BO435),       INDEX(BH435:BO435,MATCH(BP435,$BH$17:$BO$17,0))))))</f>
        <v>0</v>
      </c>
      <c r="BS435" s="731">
        <f t="shared" si="90"/>
        <v>0</v>
      </c>
      <c r="BT435" s="406">
        <f t="shared" si="91"/>
        <v>0</v>
      </c>
      <c r="BU435" s="284">
        <f>IF($AW436,_xll.qDateYears($AW435,$AW436,DCC_Leg2_Fixed),0)</f>
        <v>0</v>
      </c>
      <c r="BV435" s="284">
        <f>IF($AW436,_xll.qDateYears($AW435,$AW436,DCC_Leg2_Float),0)</f>
        <v>0</v>
      </c>
      <c r="BX435" s="350">
        <f t="shared" si="97"/>
        <v>0</v>
      </c>
      <c r="BY435" s="375">
        <f>IF(GenType_2a="Fixed",GenRate_2a%*$BT434*BU434,          IF(GenType_2a="Float",$BT434*(_xll.qGetFwdRate($J$18,$AW434,$AW435,"T",DCC_Leg2_Float)%+GenRate_2a%%)*$BV434,        IF(GenType_2a="bp (Fixed)",GenRate_2a%%*$BU434*$BT434,   IF(GenType_2a="bp (Float)",GenRate_2a%%*$BT434*$BV434,0))))</f>
        <v>0</v>
      </c>
      <c r="BZ435" s="561"/>
      <c r="CB435" s="341">
        <f t="shared" si="99"/>
        <v>0</v>
      </c>
      <c r="CC435" s="563"/>
      <c r="CD435" s="356"/>
      <c r="CE435" s="341">
        <v>0</v>
      </c>
      <c r="CF435" s="563"/>
      <c r="CG435" s="356"/>
    </row>
    <row r="436" spans="15:85">
      <c r="O436" s="122">
        <v>0</v>
      </c>
      <c r="P436" s="128">
        <f t="shared" si="86"/>
        <v>0</v>
      </c>
      <c r="Q436" s="126">
        <v>0</v>
      </c>
      <c r="R436" s="699">
        <f>IF($O437=0,0,        _xll.qDateNext($O436,R$17,"M",TRUE,Currency1))</f>
        <v>0</v>
      </c>
      <c r="S436" s="699">
        <f>IF($O437=0,0,        _xll.qDateNext($O436,S$17,"M",TRUE,Currency1))</f>
        <v>0</v>
      </c>
      <c r="T436" s="699">
        <f>IF($O437=0,0,        _xll.qDateNext($O436,T$17,"M",TRUE,Currency1))</f>
        <v>0</v>
      </c>
      <c r="U436" s="699">
        <f>IF($O437=0,0,        _xll.qDateNext($O436,U$17,"M",TRUE,Currency1))</f>
        <v>0</v>
      </c>
      <c r="V436" s="699">
        <f>IF($O437=0,0,        _xll.qDateNext($O436,V$17,"M",TRUE,Currency1))</f>
        <v>0</v>
      </c>
      <c r="W436" s="699">
        <f>IF($O437=0,0,        _xll.qDateNext($O436,W$17,"M",TRUE,Currency1))</f>
        <v>0</v>
      </c>
      <c r="X436" s="699">
        <f>IF($O437=0,0,        _xll.qDateNext($O436,X$17,"M",TRUE,Currency1))</f>
        <v>0</v>
      </c>
      <c r="Y436" s="699">
        <f>IF($O437=0,0,        _xll.qDateNext($O436,Y$17,"M",TRUE,Currency1))</f>
        <v>0</v>
      </c>
      <c r="Z436" s="703">
        <f>IF($O437=0,0,           IF(FRM,_xll.qGetFwdRate(Z$14,$O436,R436,"T",DCC_Leg1_Float),_xll.qGetFwdRate(Z$14,$O436,$O437,"T",DCC_Leg1_Float)))</f>
        <v>0</v>
      </c>
      <c r="AA436" s="703">
        <f>IF($O437=0,0,           IF(FRM,_xll.qGetFwdRate(AA$14,$O436,S436,"T",DCC_Leg1_Float),_xll.qGetFwdRate(AA$14,$O436,$O437,"T",DCC_Leg1_Float)))</f>
        <v>0</v>
      </c>
      <c r="AB436" s="703">
        <f t="shared" si="87"/>
        <v>0</v>
      </c>
      <c r="AC436" s="703">
        <f>IF($O437=0,0,           IF(FRM,_xll.qGetFwdRate(AC$14,$O436,U436,"T",DCC_Leg1_Float),_xll.qGetFwdRate(AC$14,$O436,$O437,"T",DCC_Leg1_Float)))</f>
        <v>0</v>
      </c>
      <c r="AD436" s="703">
        <f t="shared" si="92"/>
        <v>0</v>
      </c>
      <c r="AE436" s="703">
        <f t="shared" si="93"/>
        <v>0</v>
      </c>
      <c r="AF436" s="703">
        <f>IF($O437=0,0,           IF(FRM,_xll.qGetFwdRate(AF$14,$O436,X436,"T",DCC_Leg1_Float),_xll.qGetFwdRate(AF$14,$O436,$O437,"T",DCC_Leg1_Float)))</f>
        <v>0</v>
      </c>
      <c r="AG436" s="703">
        <f>IF($O437=0,0,           IF(FRM,_xll.qGetFwdRate(AG$14,$O436,Y436,"T",DCC_Leg1_Float),_xll.qGetFwdRate(AG$14,$O436,$O437,"T",DCC_Leg1_Float)))</f>
        <v>0</v>
      </c>
      <c r="AH436" s="685">
        <v>0</v>
      </c>
      <c r="AI436" s="667"/>
      <c r="AJ436" s="670">
        <f>IF(O437=0,0,             IF(ISNUMBER(AI436),AI436,             IF(ISTEXT(AI436),INDEX(Z436:AG436,MATCH(AI436,$Z$17:$AG$17,0)),           IF(AH436="INT",_xll.qInterp(O437,R436:Y436,Z436:AG436),       INDEX(Z436:AG436,MATCH(AH436,$Z$17:$AG$17,0))))))</f>
        <v>0</v>
      </c>
      <c r="AK436" s="732">
        <v>20</v>
      </c>
      <c r="AL436" s="721">
        <f t="shared" si="88"/>
        <v>0</v>
      </c>
      <c r="AM436" s="284">
        <f>IF($O437,_xll.qDateYears($O436,$O437,DCC_Leg1_Fixed),0)</f>
        <v>0</v>
      </c>
      <c r="AN436" s="284">
        <f>IF($O437,_xll.qDateYears($O436,$O437,DCC_Leg1_Float),0)</f>
        <v>0</v>
      </c>
      <c r="AP436" s="350">
        <f t="shared" si="94"/>
        <v>0</v>
      </c>
      <c r="AQ436" s="375">
        <f>IF(GenType_1a="Fixed",GenRate_1a%*$AL435*AM435,          IF(GenType_1a="Float",$AL435*(_xll.qGetFwdRate($D$18,$O435,$O436,"T",DCC_Leg1_Float)%+GenRate_1a%%)*$AN435,        IF(GenType_1a="bp (Fixed)",GenRate_1a%%*$AM435*$AL435,   IF(GenType_1a="bp (Float)",GenRate_1a%%*$AL435*$AN435,0))))</f>
        <v>0</v>
      </c>
      <c r="AR436" s="561"/>
      <c r="AT436" s="341">
        <f t="shared" si="98"/>
        <v>0</v>
      </c>
      <c r="AV436" s="356"/>
      <c r="AW436" s="122">
        <v>0</v>
      </c>
      <c r="AX436" s="128">
        <f t="shared" si="89"/>
        <v>0</v>
      </c>
      <c r="AY436" s="357">
        <v>0</v>
      </c>
      <c r="AZ436" s="699">
        <f>IF($AW437=0,0,        _xll.qDateNext($AW436,AZ$17,"M",TRUE,Currency2))</f>
        <v>0</v>
      </c>
      <c r="BA436" s="699">
        <f>IF($AW437=0,0,        _xll.qDateNext($AW436,BA$17,"M",TRUE,Currency2))</f>
        <v>0</v>
      </c>
      <c r="BB436" s="699">
        <f>IF($AW437=0,0,        _xll.qDateNext($AW436,BB$17,"M",TRUE,Currency2))</f>
        <v>0</v>
      </c>
      <c r="BC436" s="699">
        <f>IF($AW437=0,0,        _xll.qDateNext($AW436,BC$17,"M",TRUE,Currency2))</f>
        <v>0</v>
      </c>
      <c r="BD436" s="699">
        <f>IF($AW437=0,0,        _xll.qDateNext($AW436,BD$17,"M",TRUE,Currency2))</f>
        <v>0</v>
      </c>
      <c r="BE436" s="699">
        <f>IF($AW437=0,0,        _xll.qDateNext($AW436,BE$17,"M",TRUE,Currency2))</f>
        <v>0</v>
      </c>
      <c r="BF436" s="699">
        <f>IF($AW437=0,0,        _xll.qDateNext($AW436,BF$17,"M",TRUE,Currency2))</f>
        <v>0</v>
      </c>
      <c r="BG436" s="699">
        <f>IF($AW437=0,0,        _xll.qDateNext($AW436,BG$17,"M",TRUE,Currency2))</f>
        <v>0</v>
      </c>
      <c r="BH436" s="703">
        <v>0</v>
      </c>
      <c r="BI436" s="703">
        <v>0</v>
      </c>
      <c r="BJ436" s="703">
        <v>0</v>
      </c>
      <c r="BK436" s="703">
        <v>0</v>
      </c>
      <c r="BL436" s="703">
        <f t="shared" si="95"/>
        <v>0</v>
      </c>
      <c r="BM436" s="703">
        <f t="shared" si="96"/>
        <v>0</v>
      </c>
      <c r="BN436" s="703">
        <v>0</v>
      </c>
      <c r="BO436" s="703">
        <v>0</v>
      </c>
      <c r="BP436" s="685">
        <v>0</v>
      </c>
      <c r="BQ436" s="667"/>
      <c r="BR436" s="670">
        <f>IF(AW437=0,0,             IF(ISNUMBER(BQ436),BQ436,             IF(ISTEXT(BQ436),INDEX(BH436:BO436,MATCH(BQ436,$BH$17:$BO$17,0)),           IF(BP436="INT",_xll.qInterp(AW437,AZ436:BG436,BH436:BO436),       INDEX(BH436:BO436,MATCH(BP436,$BH$17:$BO$17,0))))))</f>
        <v>0</v>
      </c>
      <c r="BS436" s="731">
        <f t="shared" si="90"/>
        <v>0</v>
      </c>
      <c r="BT436" s="406">
        <f t="shared" si="91"/>
        <v>0</v>
      </c>
      <c r="BU436" s="284">
        <f>IF($AW437,_xll.qDateYears($AW436,$AW437,DCC_Leg2_Fixed),0)</f>
        <v>0</v>
      </c>
      <c r="BV436" s="284">
        <f>IF($AW437,_xll.qDateYears($AW436,$AW437,DCC_Leg2_Float),0)</f>
        <v>0</v>
      </c>
      <c r="BX436" s="350">
        <f t="shared" si="97"/>
        <v>0</v>
      </c>
      <c r="BY436" s="375">
        <f>IF(GenType_2a="Fixed",GenRate_2a%*$BT435*BU435,          IF(GenType_2a="Float",$BT435*(_xll.qGetFwdRate($J$18,$AW435,$AW436,"T",DCC_Leg2_Float)%+GenRate_2a%%)*$BV435,        IF(GenType_2a="bp (Fixed)",GenRate_2a%%*$BU435*$BT435,   IF(GenType_2a="bp (Float)",GenRate_2a%%*$BT435*$BV435,0))))</f>
        <v>0</v>
      </c>
      <c r="BZ436" s="561"/>
      <c r="CB436" s="341">
        <f t="shared" si="99"/>
        <v>0</v>
      </c>
      <c r="CC436" s="563"/>
      <c r="CD436" s="356"/>
      <c r="CE436" s="341">
        <v>0</v>
      </c>
      <c r="CF436" s="563"/>
      <c r="CG436" s="356"/>
    </row>
    <row r="437" spans="15:85">
      <c r="O437" s="122">
        <v>0</v>
      </c>
      <c r="P437" s="128">
        <f t="shared" si="86"/>
        <v>0</v>
      </c>
      <c r="Q437" s="126">
        <v>0</v>
      </c>
      <c r="R437" s="699">
        <f>IF($O438=0,0,        _xll.qDateNext($O437,R$17,"M",TRUE,Currency1))</f>
        <v>0</v>
      </c>
      <c r="S437" s="699">
        <f>IF($O438=0,0,        _xll.qDateNext($O437,S$17,"M",TRUE,Currency1))</f>
        <v>0</v>
      </c>
      <c r="T437" s="699">
        <f>IF($O438=0,0,        _xll.qDateNext($O437,T$17,"M",TRUE,Currency1))</f>
        <v>0</v>
      </c>
      <c r="U437" s="699">
        <f>IF($O438=0,0,        _xll.qDateNext($O437,U$17,"M",TRUE,Currency1))</f>
        <v>0</v>
      </c>
      <c r="V437" s="699">
        <f>IF($O438=0,0,        _xll.qDateNext($O437,V$17,"M",TRUE,Currency1))</f>
        <v>0</v>
      </c>
      <c r="W437" s="699">
        <f>IF($O438=0,0,        _xll.qDateNext($O437,W$17,"M",TRUE,Currency1))</f>
        <v>0</v>
      </c>
      <c r="X437" s="699">
        <f>IF($O438=0,0,        _xll.qDateNext($O437,X$17,"M",TRUE,Currency1))</f>
        <v>0</v>
      </c>
      <c r="Y437" s="699">
        <f>IF($O438=0,0,        _xll.qDateNext($O437,Y$17,"M",TRUE,Currency1))</f>
        <v>0</v>
      </c>
      <c r="Z437" s="703">
        <f>IF($O438=0,0,           IF(FRM,_xll.qGetFwdRate(Z$14,$O437,R437,"T",DCC_Leg1_Float),_xll.qGetFwdRate(Z$14,$O437,$O438,"T",DCC_Leg1_Float)))</f>
        <v>0</v>
      </c>
      <c r="AA437" s="703">
        <f>IF($O438=0,0,           IF(FRM,_xll.qGetFwdRate(AA$14,$O437,S437,"T",DCC_Leg1_Float),_xll.qGetFwdRate(AA$14,$O437,$O438,"T",DCC_Leg1_Float)))</f>
        <v>0</v>
      </c>
      <c r="AB437" s="703">
        <f t="shared" si="87"/>
        <v>0</v>
      </c>
      <c r="AC437" s="703">
        <f>IF($O438=0,0,           IF(FRM,_xll.qGetFwdRate(AC$14,$O437,U437,"T",DCC_Leg1_Float),_xll.qGetFwdRate(AC$14,$O437,$O438,"T",DCC_Leg1_Float)))</f>
        <v>0</v>
      </c>
      <c r="AD437" s="703">
        <f t="shared" si="92"/>
        <v>0</v>
      </c>
      <c r="AE437" s="703">
        <f t="shared" si="93"/>
        <v>0</v>
      </c>
      <c r="AF437" s="703">
        <f>IF($O438=0,0,           IF(FRM,_xll.qGetFwdRate(AF$14,$O437,X437,"T",DCC_Leg1_Float),_xll.qGetFwdRate(AF$14,$O437,$O438,"T",DCC_Leg1_Float)))</f>
        <v>0</v>
      </c>
      <c r="AG437" s="703">
        <f>IF($O438=0,0,           IF(FRM,_xll.qGetFwdRate(AG$14,$O437,Y437,"T",DCC_Leg1_Float),_xll.qGetFwdRate(AG$14,$O437,$O438,"T",DCC_Leg1_Float)))</f>
        <v>0</v>
      </c>
      <c r="AH437" s="685">
        <v>0</v>
      </c>
      <c r="AI437" s="667"/>
      <c r="AJ437" s="670">
        <f>IF(O438=0,0,             IF(ISNUMBER(AI437),AI437,             IF(ISTEXT(AI437),INDEX(Z437:AG437,MATCH(AI437,$Z$17:$AG$17,0)),           IF(AH437="INT",_xll.qInterp(O438,R437:Y437,Z437:AG437),       INDEX(Z437:AG437,MATCH(AH437,$Z$17:$AG$17,0))))))</f>
        <v>0</v>
      </c>
      <c r="AK437" s="732">
        <v>20</v>
      </c>
      <c r="AL437" s="721">
        <f t="shared" si="88"/>
        <v>0</v>
      </c>
      <c r="AM437" s="284">
        <f>IF($O438,_xll.qDateYears($O437,$O438,DCC_Leg1_Fixed),0)</f>
        <v>0</v>
      </c>
      <c r="AN437" s="284">
        <f>IF($O438,_xll.qDateYears($O437,$O438,DCC_Leg1_Float),0)</f>
        <v>0</v>
      </c>
      <c r="AP437" s="350">
        <f t="shared" si="94"/>
        <v>0</v>
      </c>
      <c r="AQ437" s="375">
        <f>IF(GenType_1a="Fixed",GenRate_1a%*$AL436*AM436,          IF(GenType_1a="Float",$AL436*(_xll.qGetFwdRate($D$18,$O436,$O437,"T",DCC_Leg1_Float)%+GenRate_1a%%)*$AN436,        IF(GenType_1a="bp (Fixed)",GenRate_1a%%*$AM436*$AL436,   IF(GenType_1a="bp (Float)",GenRate_1a%%*$AL436*$AN436,0))))</f>
        <v>0</v>
      </c>
      <c r="AR437" s="561"/>
      <c r="AT437" s="341">
        <f t="shared" si="98"/>
        <v>0</v>
      </c>
      <c r="AV437" s="356"/>
      <c r="AW437" s="122">
        <v>0</v>
      </c>
      <c r="AX437" s="128">
        <f t="shared" si="89"/>
        <v>0</v>
      </c>
      <c r="AY437" s="357">
        <v>0</v>
      </c>
      <c r="AZ437" s="699">
        <f>IF($AW438=0,0,        _xll.qDateNext($AW437,AZ$17,"M",TRUE,Currency2))</f>
        <v>0</v>
      </c>
      <c r="BA437" s="699">
        <f>IF($AW438=0,0,        _xll.qDateNext($AW437,BA$17,"M",TRUE,Currency2))</f>
        <v>0</v>
      </c>
      <c r="BB437" s="699">
        <f>IF($AW438=0,0,        _xll.qDateNext($AW437,BB$17,"M",TRUE,Currency2))</f>
        <v>0</v>
      </c>
      <c r="BC437" s="699">
        <f>IF($AW438=0,0,        _xll.qDateNext($AW437,BC$17,"M",TRUE,Currency2))</f>
        <v>0</v>
      </c>
      <c r="BD437" s="699">
        <f>IF($AW438=0,0,        _xll.qDateNext($AW437,BD$17,"M",TRUE,Currency2))</f>
        <v>0</v>
      </c>
      <c r="BE437" s="699">
        <f>IF($AW438=0,0,        _xll.qDateNext($AW437,BE$17,"M",TRUE,Currency2))</f>
        <v>0</v>
      </c>
      <c r="BF437" s="699">
        <f>IF($AW438=0,0,        _xll.qDateNext($AW437,BF$17,"M",TRUE,Currency2))</f>
        <v>0</v>
      </c>
      <c r="BG437" s="699">
        <f>IF($AW438=0,0,        _xll.qDateNext($AW437,BG$17,"M",TRUE,Currency2))</f>
        <v>0</v>
      </c>
      <c r="BH437" s="703">
        <v>0</v>
      </c>
      <c r="BI437" s="703">
        <v>0</v>
      </c>
      <c r="BJ437" s="703">
        <v>0</v>
      </c>
      <c r="BK437" s="703">
        <v>0</v>
      </c>
      <c r="BL437" s="703">
        <f t="shared" si="95"/>
        <v>0</v>
      </c>
      <c r="BM437" s="703">
        <f t="shared" si="96"/>
        <v>0</v>
      </c>
      <c r="BN437" s="703">
        <v>0</v>
      </c>
      <c r="BO437" s="703">
        <v>0</v>
      </c>
      <c r="BP437" s="685">
        <v>0</v>
      </c>
      <c r="BQ437" s="667"/>
      <c r="BR437" s="670">
        <f>IF(AW438=0,0,             IF(ISNUMBER(BQ437),BQ437,             IF(ISTEXT(BQ437),INDEX(BH437:BO437,MATCH(BQ437,$BH$17:$BO$17,0)),           IF(BP437="INT",_xll.qInterp(AW438,AZ437:BG437,BH437:BO437),       INDEX(BH437:BO437,MATCH(BP437,$BH$17:$BO$17,0))))))</f>
        <v>0</v>
      </c>
      <c r="BS437" s="731">
        <f t="shared" si="90"/>
        <v>0</v>
      </c>
      <c r="BT437" s="406">
        <f t="shared" si="91"/>
        <v>0</v>
      </c>
      <c r="BU437" s="284">
        <f>IF($AW438,_xll.qDateYears($AW437,$AW438,DCC_Leg2_Fixed),0)</f>
        <v>0</v>
      </c>
      <c r="BV437" s="284">
        <f>IF($AW438,_xll.qDateYears($AW437,$AW438,DCC_Leg2_Float),0)</f>
        <v>0</v>
      </c>
      <c r="BX437" s="350">
        <f t="shared" si="97"/>
        <v>0</v>
      </c>
      <c r="BY437" s="375">
        <f>IF(GenType_2a="Fixed",GenRate_2a%*$BT436*BU436,          IF(GenType_2a="Float",$BT436*(_xll.qGetFwdRate($J$18,$AW436,$AW437,"T",DCC_Leg2_Float)%+GenRate_2a%%)*$BV436,        IF(GenType_2a="bp (Fixed)",GenRate_2a%%*$BU436*$BT436,   IF(GenType_2a="bp (Float)",GenRate_2a%%*$BT436*$BV436,0))))</f>
        <v>0</v>
      </c>
      <c r="BZ437" s="561"/>
      <c r="CB437" s="341">
        <f t="shared" si="99"/>
        <v>0</v>
      </c>
      <c r="CC437" s="563"/>
      <c r="CD437" s="356"/>
      <c r="CE437" s="341">
        <v>0</v>
      </c>
      <c r="CF437" s="563"/>
      <c r="CG437" s="356"/>
    </row>
    <row r="438" spans="15:85">
      <c r="O438" s="122">
        <v>0</v>
      </c>
      <c r="P438" s="128">
        <f t="shared" si="86"/>
        <v>0</v>
      </c>
      <c r="Q438" s="126">
        <v>0</v>
      </c>
      <c r="R438" s="699">
        <f>IF($O439=0,0,        _xll.qDateNext($O438,R$17,"M",TRUE,Currency1))</f>
        <v>0</v>
      </c>
      <c r="S438" s="699">
        <f>IF($O439=0,0,        _xll.qDateNext($O438,S$17,"M",TRUE,Currency1))</f>
        <v>0</v>
      </c>
      <c r="T438" s="699">
        <f>IF($O439=0,0,        _xll.qDateNext($O438,T$17,"M",TRUE,Currency1))</f>
        <v>0</v>
      </c>
      <c r="U438" s="699">
        <f>IF($O439=0,0,        _xll.qDateNext($O438,U$17,"M",TRUE,Currency1))</f>
        <v>0</v>
      </c>
      <c r="V438" s="699">
        <f>IF($O439=0,0,        _xll.qDateNext($O438,V$17,"M",TRUE,Currency1))</f>
        <v>0</v>
      </c>
      <c r="W438" s="699">
        <f>IF($O439=0,0,        _xll.qDateNext($O438,W$17,"M",TRUE,Currency1))</f>
        <v>0</v>
      </c>
      <c r="X438" s="699">
        <f>IF($O439=0,0,        _xll.qDateNext($O438,X$17,"M",TRUE,Currency1))</f>
        <v>0</v>
      </c>
      <c r="Y438" s="699">
        <f>IF($O439=0,0,        _xll.qDateNext($O438,Y$17,"M",TRUE,Currency1))</f>
        <v>0</v>
      </c>
      <c r="Z438" s="703">
        <f>IF($O439=0,0,           IF(FRM,_xll.qGetFwdRate(Z$14,$O438,R438,"T",DCC_Leg1_Float),_xll.qGetFwdRate(Z$14,$O438,$O439,"T",DCC_Leg1_Float)))</f>
        <v>0</v>
      </c>
      <c r="AA438" s="703">
        <f>IF($O439=0,0,           IF(FRM,_xll.qGetFwdRate(AA$14,$O438,S438,"T",DCC_Leg1_Float),_xll.qGetFwdRate(AA$14,$O438,$O439,"T",DCC_Leg1_Float)))</f>
        <v>0</v>
      </c>
      <c r="AB438" s="703">
        <f t="shared" si="87"/>
        <v>0</v>
      </c>
      <c r="AC438" s="703">
        <f>IF($O439=0,0,           IF(FRM,_xll.qGetFwdRate(AC$14,$O438,U438,"T",DCC_Leg1_Float),_xll.qGetFwdRate(AC$14,$O438,$O439,"T",DCC_Leg1_Float)))</f>
        <v>0</v>
      </c>
      <c r="AD438" s="703">
        <f t="shared" si="92"/>
        <v>0</v>
      </c>
      <c r="AE438" s="703">
        <f t="shared" si="93"/>
        <v>0</v>
      </c>
      <c r="AF438" s="703">
        <f>IF($O439=0,0,           IF(FRM,_xll.qGetFwdRate(AF$14,$O438,X438,"T",DCC_Leg1_Float),_xll.qGetFwdRate(AF$14,$O438,$O439,"T",DCC_Leg1_Float)))</f>
        <v>0</v>
      </c>
      <c r="AG438" s="703">
        <f>IF($O439=0,0,           IF(FRM,_xll.qGetFwdRate(AG$14,$O438,Y438,"T",DCC_Leg1_Float),_xll.qGetFwdRate(AG$14,$O438,$O439,"T",DCC_Leg1_Float)))</f>
        <v>0</v>
      </c>
      <c r="AH438" s="685">
        <v>0</v>
      </c>
      <c r="AI438" s="667"/>
      <c r="AJ438" s="670">
        <f>IF(O439=0,0,             IF(ISNUMBER(AI438),AI438,             IF(ISTEXT(AI438),INDEX(Z438:AG438,MATCH(AI438,$Z$17:$AG$17,0)),           IF(AH438="INT",_xll.qInterp(O439,R438:Y438,Z438:AG438),       INDEX(Z438:AG438,MATCH(AH438,$Z$17:$AG$17,0))))))</f>
        <v>0</v>
      </c>
      <c r="AK438" s="732">
        <v>20</v>
      </c>
      <c r="AL438" s="721">
        <f t="shared" si="88"/>
        <v>0</v>
      </c>
      <c r="AM438" s="284">
        <f>IF($O439,_xll.qDateYears($O438,$O439,DCC_Leg1_Fixed),0)</f>
        <v>0</v>
      </c>
      <c r="AN438" s="284">
        <f>IF($O439,_xll.qDateYears($O438,$O439,DCC_Leg1_Float),0)</f>
        <v>0</v>
      </c>
      <c r="AP438" s="350">
        <f t="shared" si="94"/>
        <v>0</v>
      </c>
      <c r="AQ438" s="375">
        <f>IF(GenType_1a="Fixed",GenRate_1a%*$AL437*AM437,          IF(GenType_1a="Float",$AL437*(_xll.qGetFwdRate($D$18,$O437,$O438,"T",DCC_Leg1_Float)%+GenRate_1a%%)*$AN437,        IF(GenType_1a="bp (Fixed)",GenRate_1a%%*$AM437*$AL437,   IF(GenType_1a="bp (Float)",GenRate_1a%%*$AL437*$AN437,0))))</f>
        <v>0</v>
      </c>
      <c r="AR438" s="561"/>
      <c r="AT438" s="341">
        <f t="shared" si="98"/>
        <v>0</v>
      </c>
      <c r="AV438" s="356"/>
      <c r="AW438" s="122">
        <v>0</v>
      </c>
      <c r="AX438" s="128">
        <f t="shared" si="89"/>
        <v>0</v>
      </c>
      <c r="AY438" s="357">
        <v>0</v>
      </c>
      <c r="AZ438" s="699">
        <f>IF($AW439=0,0,        _xll.qDateNext($AW438,AZ$17,"M",TRUE,Currency2))</f>
        <v>0</v>
      </c>
      <c r="BA438" s="699">
        <f>IF($AW439=0,0,        _xll.qDateNext($AW438,BA$17,"M",TRUE,Currency2))</f>
        <v>0</v>
      </c>
      <c r="BB438" s="699">
        <f>IF($AW439=0,0,        _xll.qDateNext($AW438,BB$17,"M",TRUE,Currency2))</f>
        <v>0</v>
      </c>
      <c r="BC438" s="699">
        <f>IF($AW439=0,0,        _xll.qDateNext($AW438,BC$17,"M",TRUE,Currency2))</f>
        <v>0</v>
      </c>
      <c r="BD438" s="699">
        <f>IF($AW439=0,0,        _xll.qDateNext($AW438,BD$17,"M",TRUE,Currency2))</f>
        <v>0</v>
      </c>
      <c r="BE438" s="699">
        <f>IF($AW439=0,0,        _xll.qDateNext($AW438,BE$17,"M",TRUE,Currency2))</f>
        <v>0</v>
      </c>
      <c r="BF438" s="699">
        <f>IF($AW439=0,0,        _xll.qDateNext($AW438,BF$17,"M",TRUE,Currency2))</f>
        <v>0</v>
      </c>
      <c r="BG438" s="699">
        <f>IF($AW439=0,0,        _xll.qDateNext($AW438,BG$17,"M",TRUE,Currency2))</f>
        <v>0</v>
      </c>
      <c r="BH438" s="703">
        <v>0</v>
      </c>
      <c r="BI438" s="703">
        <v>0</v>
      </c>
      <c r="BJ438" s="703">
        <v>0</v>
      </c>
      <c r="BK438" s="703">
        <v>0</v>
      </c>
      <c r="BL438" s="703">
        <f t="shared" si="95"/>
        <v>0</v>
      </c>
      <c r="BM438" s="703">
        <f t="shared" si="96"/>
        <v>0</v>
      </c>
      <c r="BN438" s="703">
        <v>0</v>
      </c>
      <c r="BO438" s="703">
        <v>0</v>
      </c>
      <c r="BP438" s="685">
        <v>0</v>
      </c>
      <c r="BQ438" s="667"/>
      <c r="BR438" s="670">
        <f>IF(AW439=0,0,             IF(ISNUMBER(BQ438),BQ438,             IF(ISTEXT(BQ438),INDEX(BH438:BO438,MATCH(BQ438,$BH$17:$BO$17,0)),           IF(BP438="INT",_xll.qInterp(AW439,AZ438:BG438,BH438:BO438),       INDEX(BH438:BO438,MATCH(BP438,$BH$17:$BO$17,0))))))</f>
        <v>0</v>
      </c>
      <c r="BS438" s="731">
        <f t="shared" si="90"/>
        <v>0</v>
      </c>
      <c r="BT438" s="406">
        <f t="shared" si="91"/>
        <v>0</v>
      </c>
      <c r="BU438" s="284">
        <f>IF($AW439,_xll.qDateYears($AW438,$AW439,DCC_Leg2_Fixed),0)</f>
        <v>0</v>
      </c>
      <c r="BV438" s="284">
        <f>IF($AW439,_xll.qDateYears($AW438,$AW439,DCC_Leg2_Float),0)</f>
        <v>0</v>
      </c>
      <c r="BX438" s="350">
        <f t="shared" si="97"/>
        <v>0</v>
      </c>
      <c r="BY438" s="375">
        <f>IF(GenType_2a="Fixed",GenRate_2a%*$BT437*BU437,          IF(GenType_2a="Float",$BT437*(_xll.qGetFwdRate($J$18,$AW437,$AW438,"T",DCC_Leg2_Float)%+GenRate_2a%%)*$BV437,        IF(GenType_2a="bp (Fixed)",GenRate_2a%%*$BU437*$BT437,   IF(GenType_2a="bp (Float)",GenRate_2a%%*$BT437*$BV437,0))))</f>
        <v>0</v>
      </c>
      <c r="BZ438" s="561"/>
      <c r="CB438" s="341">
        <f t="shared" si="99"/>
        <v>0</v>
      </c>
      <c r="CC438" s="563"/>
      <c r="CD438" s="356"/>
      <c r="CE438" s="341">
        <v>0</v>
      </c>
      <c r="CF438" s="563"/>
      <c r="CG438" s="356"/>
    </row>
    <row r="439" spans="15:85">
      <c r="O439" s="122">
        <v>0</v>
      </c>
      <c r="P439" s="128">
        <f t="shared" si="86"/>
        <v>0</v>
      </c>
      <c r="Q439" s="126">
        <v>0</v>
      </c>
      <c r="R439" s="699">
        <f>IF($O440=0,0,        _xll.qDateNext($O439,R$17,"M",TRUE,Currency1))</f>
        <v>0</v>
      </c>
      <c r="S439" s="699">
        <f>IF($O440=0,0,        _xll.qDateNext($O439,S$17,"M",TRUE,Currency1))</f>
        <v>0</v>
      </c>
      <c r="T439" s="699">
        <f>IF($O440=0,0,        _xll.qDateNext($O439,T$17,"M",TRUE,Currency1))</f>
        <v>0</v>
      </c>
      <c r="U439" s="699">
        <f>IF($O440=0,0,        _xll.qDateNext($O439,U$17,"M",TRUE,Currency1))</f>
        <v>0</v>
      </c>
      <c r="V439" s="699">
        <f>IF($O440=0,0,        _xll.qDateNext($O439,V$17,"M",TRUE,Currency1))</f>
        <v>0</v>
      </c>
      <c r="W439" s="699">
        <f>IF($O440=0,0,        _xll.qDateNext($O439,W$17,"M",TRUE,Currency1))</f>
        <v>0</v>
      </c>
      <c r="X439" s="699">
        <f>IF($O440=0,0,        _xll.qDateNext($O439,X$17,"M",TRUE,Currency1))</f>
        <v>0</v>
      </c>
      <c r="Y439" s="699">
        <f>IF($O440=0,0,        _xll.qDateNext($O439,Y$17,"M",TRUE,Currency1))</f>
        <v>0</v>
      </c>
      <c r="Z439" s="703">
        <f>IF($O440=0,0,           IF(FRM,_xll.qGetFwdRate(Z$14,$O439,R439,"T",DCC_Leg1_Float),_xll.qGetFwdRate(Z$14,$O439,$O440,"T",DCC_Leg1_Float)))</f>
        <v>0</v>
      </c>
      <c r="AA439" s="703">
        <f>IF($O440=0,0,           IF(FRM,_xll.qGetFwdRate(AA$14,$O439,S439,"T",DCC_Leg1_Float),_xll.qGetFwdRate(AA$14,$O439,$O440,"T",DCC_Leg1_Float)))</f>
        <v>0</v>
      </c>
      <c r="AB439" s="703">
        <f t="shared" si="87"/>
        <v>0</v>
      </c>
      <c r="AC439" s="703">
        <f>IF($O440=0,0,           IF(FRM,_xll.qGetFwdRate(AC$14,$O439,U439,"T",DCC_Leg1_Float),_xll.qGetFwdRate(AC$14,$O439,$O440,"T",DCC_Leg1_Float)))</f>
        <v>0</v>
      </c>
      <c r="AD439" s="703">
        <f t="shared" si="92"/>
        <v>0</v>
      </c>
      <c r="AE439" s="703">
        <f t="shared" si="93"/>
        <v>0</v>
      </c>
      <c r="AF439" s="703">
        <f>IF($O440=0,0,           IF(FRM,_xll.qGetFwdRate(AF$14,$O439,X439,"T",DCC_Leg1_Float),_xll.qGetFwdRate(AF$14,$O439,$O440,"T",DCC_Leg1_Float)))</f>
        <v>0</v>
      </c>
      <c r="AG439" s="703">
        <f>IF($O440=0,0,           IF(FRM,_xll.qGetFwdRate(AG$14,$O439,Y439,"T",DCC_Leg1_Float),_xll.qGetFwdRate(AG$14,$O439,$O440,"T",DCC_Leg1_Float)))</f>
        <v>0</v>
      </c>
      <c r="AH439" s="685">
        <v>0</v>
      </c>
      <c r="AI439" s="667"/>
      <c r="AJ439" s="670">
        <f>IF(O440=0,0,             IF(ISNUMBER(AI439),AI439,             IF(ISTEXT(AI439),INDEX(Z439:AG439,MATCH(AI439,$Z$17:$AG$17,0)),           IF(AH439="INT",_xll.qInterp(O440,R439:Y439,Z439:AG439),       INDEX(Z439:AG439,MATCH(AH439,$Z$17:$AG$17,0))))))</f>
        <v>0</v>
      </c>
      <c r="AK439" s="732">
        <v>20</v>
      </c>
      <c r="AL439" s="721">
        <f t="shared" si="88"/>
        <v>0</v>
      </c>
      <c r="AM439" s="284">
        <f>IF($O440,_xll.qDateYears($O439,$O440,DCC_Leg1_Fixed),0)</f>
        <v>0</v>
      </c>
      <c r="AN439" s="284">
        <f>IF($O440,_xll.qDateYears($O439,$O440,DCC_Leg1_Float),0)</f>
        <v>0</v>
      </c>
      <c r="AP439" s="350">
        <f t="shared" si="94"/>
        <v>0</v>
      </c>
      <c r="AQ439" s="375">
        <f>IF(GenType_1a="Fixed",GenRate_1a%*$AL438*AM438,          IF(GenType_1a="Float",$AL438*(_xll.qGetFwdRate($D$18,$O438,$O439,"T",DCC_Leg1_Float)%+GenRate_1a%%)*$AN438,        IF(GenType_1a="bp (Fixed)",GenRate_1a%%*$AM438*$AL438,   IF(GenType_1a="bp (Float)",GenRate_1a%%*$AL438*$AN438,0))))</f>
        <v>0</v>
      </c>
      <c r="AR439" s="561"/>
      <c r="AT439" s="341">
        <f t="shared" si="98"/>
        <v>0</v>
      </c>
      <c r="AV439" s="356"/>
      <c r="AW439" s="122">
        <v>0</v>
      </c>
      <c r="AX439" s="128">
        <f t="shared" si="89"/>
        <v>0</v>
      </c>
      <c r="AY439" s="357">
        <v>0</v>
      </c>
      <c r="AZ439" s="699">
        <f>IF($AW440=0,0,        _xll.qDateNext($AW439,AZ$17,"M",TRUE,Currency2))</f>
        <v>0</v>
      </c>
      <c r="BA439" s="699">
        <f>IF($AW440=0,0,        _xll.qDateNext($AW439,BA$17,"M",TRUE,Currency2))</f>
        <v>0</v>
      </c>
      <c r="BB439" s="699">
        <f>IF($AW440=0,0,        _xll.qDateNext($AW439,BB$17,"M",TRUE,Currency2))</f>
        <v>0</v>
      </c>
      <c r="BC439" s="699">
        <f>IF($AW440=0,0,        _xll.qDateNext($AW439,BC$17,"M",TRUE,Currency2))</f>
        <v>0</v>
      </c>
      <c r="BD439" s="699">
        <f>IF($AW440=0,0,        _xll.qDateNext($AW439,BD$17,"M",TRUE,Currency2))</f>
        <v>0</v>
      </c>
      <c r="BE439" s="699">
        <f>IF($AW440=0,0,        _xll.qDateNext($AW439,BE$17,"M",TRUE,Currency2))</f>
        <v>0</v>
      </c>
      <c r="BF439" s="699">
        <f>IF($AW440=0,0,        _xll.qDateNext($AW439,BF$17,"M",TRUE,Currency2))</f>
        <v>0</v>
      </c>
      <c r="BG439" s="699">
        <f>IF($AW440=0,0,        _xll.qDateNext($AW439,BG$17,"M",TRUE,Currency2))</f>
        <v>0</v>
      </c>
      <c r="BH439" s="703">
        <v>0</v>
      </c>
      <c r="BI439" s="703">
        <v>0</v>
      </c>
      <c r="BJ439" s="703">
        <v>0</v>
      </c>
      <c r="BK439" s="703">
        <v>0</v>
      </c>
      <c r="BL439" s="703">
        <f t="shared" si="95"/>
        <v>0</v>
      </c>
      <c r="BM439" s="703">
        <f t="shared" si="96"/>
        <v>0</v>
      </c>
      <c r="BN439" s="703">
        <v>0</v>
      </c>
      <c r="BO439" s="703">
        <v>0</v>
      </c>
      <c r="BP439" s="685">
        <v>0</v>
      </c>
      <c r="BQ439" s="667"/>
      <c r="BR439" s="670">
        <f>IF(AW440=0,0,             IF(ISNUMBER(BQ439),BQ439,             IF(ISTEXT(BQ439),INDEX(BH439:BO439,MATCH(BQ439,$BH$17:$BO$17,0)),           IF(BP439="INT",_xll.qInterp(AW440,AZ439:BG439,BH439:BO439),       INDEX(BH439:BO439,MATCH(BP439,$BH$17:$BO$17,0))))))</f>
        <v>0</v>
      </c>
      <c r="BS439" s="731">
        <f t="shared" si="90"/>
        <v>0</v>
      </c>
      <c r="BT439" s="406">
        <f t="shared" si="91"/>
        <v>0</v>
      </c>
      <c r="BU439" s="284">
        <f>IF($AW440,_xll.qDateYears($AW439,$AW440,DCC_Leg2_Fixed),0)</f>
        <v>0</v>
      </c>
      <c r="BV439" s="284">
        <f>IF($AW440,_xll.qDateYears($AW439,$AW440,DCC_Leg2_Float),0)</f>
        <v>0</v>
      </c>
      <c r="BX439" s="350">
        <f t="shared" si="97"/>
        <v>0</v>
      </c>
      <c r="BY439" s="375">
        <f>IF(GenType_2a="Fixed",GenRate_2a%*$BT438*BU438,          IF(GenType_2a="Float",$BT438*(_xll.qGetFwdRate($J$18,$AW438,$AW439,"T",DCC_Leg2_Float)%+GenRate_2a%%)*$BV438,        IF(GenType_2a="bp (Fixed)",GenRate_2a%%*$BU438*$BT438,   IF(GenType_2a="bp (Float)",GenRate_2a%%*$BT438*$BV438,0))))</f>
        <v>0</v>
      </c>
      <c r="BZ439" s="561"/>
      <c r="CB439" s="341">
        <f t="shared" si="99"/>
        <v>0</v>
      </c>
      <c r="CC439" s="563"/>
      <c r="CD439" s="356"/>
      <c r="CE439" s="341">
        <v>0</v>
      </c>
      <c r="CF439" s="563"/>
      <c r="CG439" s="356"/>
    </row>
    <row r="440" spans="15:85">
      <c r="O440" s="122">
        <v>0</v>
      </c>
      <c r="P440" s="128">
        <f t="shared" si="86"/>
        <v>0</v>
      </c>
      <c r="Q440" s="126">
        <v>0</v>
      </c>
      <c r="R440" s="699">
        <f>IF($O441=0,0,        _xll.qDateNext($O440,R$17,"M",TRUE,Currency1))</f>
        <v>0</v>
      </c>
      <c r="S440" s="699">
        <f>IF($O441=0,0,        _xll.qDateNext($O440,S$17,"M",TRUE,Currency1))</f>
        <v>0</v>
      </c>
      <c r="T440" s="699">
        <f>IF($O441=0,0,        _xll.qDateNext($O440,T$17,"M",TRUE,Currency1))</f>
        <v>0</v>
      </c>
      <c r="U440" s="699">
        <f>IF($O441=0,0,        _xll.qDateNext($O440,U$17,"M",TRUE,Currency1))</f>
        <v>0</v>
      </c>
      <c r="V440" s="699">
        <f>IF($O441=0,0,        _xll.qDateNext($O440,V$17,"M",TRUE,Currency1))</f>
        <v>0</v>
      </c>
      <c r="W440" s="699">
        <f>IF($O441=0,0,        _xll.qDateNext($O440,W$17,"M",TRUE,Currency1))</f>
        <v>0</v>
      </c>
      <c r="X440" s="699">
        <f>IF($O441=0,0,        _xll.qDateNext($O440,X$17,"M",TRUE,Currency1))</f>
        <v>0</v>
      </c>
      <c r="Y440" s="699">
        <f>IF($O441=0,0,        _xll.qDateNext($O440,Y$17,"M",TRUE,Currency1))</f>
        <v>0</v>
      </c>
      <c r="Z440" s="703">
        <f>IF($O441=0,0,           IF(FRM,_xll.qGetFwdRate(Z$14,$O440,R440,"T",DCC_Leg1_Float),_xll.qGetFwdRate(Z$14,$O440,$O441,"T",DCC_Leg1_Float)))</f>
        <v>0</v>
      </c>
      <c r="AA440" s="703">
        <f>IF($O441=0,0,           IF(FRM,_xll.qGetFwdRate(AA$14,$O440,S440,"T",DCC_Leg1_Float),_xll.qGetFwdRate(AA$14,$O440,$O441,"T",DCC_Leg1_Float)))</f>
        <v>0</v>
      </c>
      <c r="AB440" s="703">
        <f t="shared" si="87"/>
        <v>0</v>
      </c>
      <c r="AC440" s="703">
        <f>IF($O441=0,0,           IF(FRM,_xll.qGetFwdRate(AC$14,$O440,U440,"T",DCC_Leg1_Float),_xll.qGetFwdRate(AC$14,$O440,$O441,"T",DCC_Leg1_Float)))</f>
        <v>0</v>
      </c>
      <c r="AD440" s="703">
        <f t="shared" si="92"/>
        <v>0</v>
      </c>
      <c r="AE440" s="703">
        <f t="shared" si="93"/>
        <v>0</v>
      </c>
      <c r="AF440" s="703">
        <f>IF($O441=0,0,           IF(FRM,_xll.qGetFwdRate(AF$14,$O440,X440,"T",DCC_Leg1_Float),_xll.qGetFwdRate(AF$14,$O440,$O441,"T",DCC_Leg1_Float)))</f>
        <v>0</v>
      </c>
      <c r="AG440" s="703">
        <f>IF($O441=0,0,           IF(FRM,_xll.qGetFwdRate(AG$14,$O440,Y440,"T",DCC_Leg1_Float),_xll.qGetFwdRate(AG$14,$O440,$O441,"T",DCC_Leg1_Float)))</f>
        <v>0</v>
      </c>
      <c r="AH440" s="685">
        <v>0</v>
      </c>
      <c r="AI440" s="667"/>
      <c r="AJ440" s="670">
        <f>IF(O441=0,0,             IF(ISNUMBER(AI440),AI440,             IF(ISTEXT(AI440),INDEX(Z440:AG440,MATCH(AI440,$Z$17:$AG$17,0)),           IF(AH440="INT",_xll.qInterp(O441,R440:Y440,Z440:AG440),       INDEX(Z440:AG440,MATCH(AH440,$Z$17:$AG$17,0))))))</f>
        <v>0</v>
      </c>
      <c r="AK440" s="732">
        <v>20</v>
      </c>
      <c r="AL440" s="721">
        <f t="shared" si="88"/>
        <v>0</v>
      </c>
      <c r="AM440" s="284">
        <f>IF($O441,_xll.qDateYears($O440,$O441,DCC_Leg1_Fixed),0)</f>
        <v>0</v>
      </c>
      <c r="AN440" s="284">
        <f>IF($O441,_xll.qDateYears($O440,$O441,DCC_Leg1_Float),0)</f>
        <v>0</v>
      </c>
      <c r="AP440" s="350">
        <f t="shared" si="94"/>
        <v>0</v>
      </c>
      <c r="AQ440" s="375">
        <f>IF(GenType_1a="Fixed",GenRate_1a%*$AL439*AM439,          IF(GenType_1a="Float",$AL439*(_xll.qGetFwdRate($D$18,$O439,$O440,"T",DCC_Leg1_Float)%+GenRate_1a%%)*$AN439,        IF(GenType_1a="bp (Fixed)",GenRate_1a%%*$AM439*$AL439,   IF(GenType_1a="bp (Float)",GenRate_1a%%*$AL439*$AN439,0))))</f>
        <v>0</v>
      </c>
      <c r="AR440" s="561"/>
      <c r="AT440" s="341">
        <f t="shared" si="98"/>
        <v>0</v>
      </c>
      <c r="AV440" s="356"/>
      <c r="AW440" s="122">
        <v>0</v>
      </c>
      <c r="AX440" s="128">
        <f t="shared" si="89"/>
        <v>0</v>
      </c>
      <c r="AY440" s="357">
        <v>0</v>
      </c>
      <c r="AZ440" s="699">
        <f>IF($AW441=0,0,        _xll.qDateNext($AW440,AZ$17,"M",TRUE,Currency2))</f>
        <v>0</v>
      </c>
      <c r="BA440" s="699">
        <f>IF($AW441=0,0,        _xll.qDateNext($AW440,BA$17,"M",TRUE,Currency2))</f>
        <v>0</v>
      </c>
      <c r="BB440" s="699">
        <f>IF($AW441=0,0,        _xll.qDateNext($AW440,BB$17,"M",TRUE,Currency2))</f>
        <v>0</v>
      </c>
      <c r="BC440" s="699">
        <f>IF($AW441=0,0,        _xll.qDateNext($AW440,BC$17,"M",TRUE,Currency2))</f>
        <v>0</v>
      </c>
      <c r="BD440" s="699">
        <f>IF($AW441=0,0,        _xll.qDateNext($AW440,BD$17,"M",TRUE,Currency2))</f>
        <v>0</v>
      </c>
      <c r="BE440" s="699">
        <f>IF($AW441=0,0,        _xll.qDateNext($AW440,BE$17,"M",TRUE,Currency2))</f>
        <v>0</v>
      </c>
      <c r="BF440" s="699">
        <f>IF($AW441=0,0,        _xll.qDateNext($AW440,BF$17,"M",TRUE,Currency2))</f>
        <v>0</v>
      </c>
      <c r="BG440" s="699">
        <f>IF($AW441=0,0,        _xll.qDateNext($AW440,BG$17,"M",TRUE,Currency2))</f>
        <v>0</v>
      </c>
      <c r="BH440" s="703">
        <v>0</v>
      </c>
      <c r="BI440" s="703">
        <v>0</v>
      </c>
      <c r="BJ440" s="703">
        <v>0</v>
      </c>
      <c r="BK440" s="703">
        <v>0</v>
      </c>
      <c r="BL440" s="703">
        <f t="shared" si="95"/>
        <v>0</v>
      </c>
      <c r="BM440" s="703">
        <f t="shared" si="96"/>
        <v>0</v>
      </c>
      <c r="BN440" s="703">
        <v>0</v>
      </c>
      <c r="BO440" s="703">
        <v>0</v>
      </c>
      <c r="BP440" s="685">
        <v>0</v>
      </c>
      <c r="BQ440" s="667"/>
      <c r="BR440" s="670">
        <f>IF(AW441=0,0,             IF(ISNUMBER(BQ440),BQ440,             IF(ISTEXT(BQ440),INDEX(BH440:BO440,MATCH(BQ440,$BH$17:$BO$17,0)),           IF(BP440="INT",_xll.qInterp(AW441,AZ440:BG440,BH440:BO440),       INDEX(BH440:BO440,MATCH(BP440,$BH$17:$BO$17,0))))))</f>
        <v>0</v>
      </c>
      <c r="BS440" s="731">
        <f t="shared" si="90"/>
        <v>0</v>
      </c>
      <c r="BT440" s="406">
        <f t="shared" si="91"/>
        <v>0</v>
      </c>
      <c r="BU440" s="284">
        <f>IF($AW441,_xll.qDateYears($AW440,$AW441,DCC_Leg2_Fixed),0)</f>
        <v>0</v>
      </c>
      <c r="BV440" s="284">
        <f>IF($AW441,_xll.qDateYears($AW440,$AW441,DCC_Leg2_Float),0)</f>
        <v>0</v>
      </c>
      <c r="BX440" s="350">
        <f t="shared" si="97"/>
        <v>0</v>
      </c>
      <c r="BY440" s="375">
        <f>IF(GenType_2a="Fixed",GenRate_2a%*$BT439*BU439,          IF(GenType_2a="Float",$BT439*(_xll.qGetFwdRate($J$18,$AW439,$AW440,"T",DCC_Leg2_Float)%+GenRate_2a%%)*$BV439,        IF(GenType_2a="bp (Fixed)",GenRate_2a%%*$BU439*$BT439,   IF(GenType_2a="bp (Float)",GenRate_2a%%*$BT439*$BV439,0))))</f>
        <v>0</v>
      </c>
      <c r="BZ440" s="561"/>
      <c r="CB440" s="341">
        <f t="shared" si="99"/>
        <v>0</v>
      </c>
      <c r="CC440" s="563"/>
      <c r="CD440" s="356"/>
      <c r="CE440" s="341">
        <v>0</v>
      </c>
      <c r="CF440" s="563"/>
      <c r="CG440" s="356"/>
    </row>
    <row r="441" spans="15:85">
      <c r="O441" s="122">
        <v>0</v>
      </c>
      <c r="P441" s="128">
        <f t="shared" si="86"/>
        <v>0</v>
      </c>
      <c r="Q441" s="126">
        <v>0</v>
      </c>
      <c r="R441" s="699">
        <f>IF($O442=0,0,        _xll.qDateNext($O441,R$17,"M",TRUE,Currency1))</f>
        <v>0</v>
      </c>
      <c r="S441" s="699">
        <f>IF($O442=0,0,        _xll.qDateNext($O441,S$17,"M",TRUE,Currency1))</f>
        <v>0</v>
      </c>
      <c r="T441" s="699">
        <f>IF($O442=0,0,        _xll.qDateNext($O441,T$17,"M",TRUE,Currency1))</f>
        <v>0</v>
      </c>
      <c r="U441" s="699">
        <f>IF($O442=0,0,        _xll.qDateNext($O441,U$17,"M",TRUE,Currency1))</f>
        <v>0</v>
      </c>
      <c r="V441" s="699">
        <f>IF($O442=0,0,        _xll.qDateNext($O441,V$17,"M",TRUE,Currency1))</f>
        <v>0</v>
      </c>
      <c r="W441" s="699">
        <f>IF($O442=0,0,        _xll.qDateNext($O441,W$17,"M",TRUE,Currency1))</f>
        <v>0</v>
      </c>
      <c r="X441" s="699">
        <f>IF($O442=0,0,        _xll.qDateNext($O441,X$17,"M",TRUE,Currency1))</f>
        <v>0</v>
      </c>
      <c r="Y441" s="699">
        <f>IF($O442=0,0,        _xll.qDateNext($O441,Y$17,"M",TRUE,Currency1))</f>
        <v>0</v>
      </c>
      <c r="Z441" s="703">
        <f>IF($O442=0,0,           IF(FRM,_xll.qGetFwdRate(Z$14,$O441,R441,"T",DCC_Leg1_Float),_xll.qGetFwdRate(Z$14,$O441,$O442,"T",DCC_Leg1_Float)))</f>
        <v>0</v>
      </c>
      <c r="AA441" s="703">
        <f>IF($O442=0,0,           IF(FRM,_xll.qGetFwdRate(AA$14,$O441,S441,"T",DCC_Leg1_Float),_xll.qGetFwdRate(AA$14,$O441,$O442,"T",DCC_Leg1_Float)))</f>
        <v>0</v>
      </c>
      <c r="AB441" s="703">
        <f t="shared" si="87"/>
        <v>0</v>
      </c>
      <c r="AC441" s="703">
        <f>IF($O442=0,0,           IF(FRM,_xll.qGetFwdRate(AC$14,$O441,U441,"T",DCC_Leg1_Float),_xll.qGetFwdRate(AC$14,$O441,$O442,"T",DCC_Leg1_Float)))</f>
        <v>0</v>
      </c>
      <c r="AD441" s="703">
        <f t="shared" si="92"/>
        <v>0</v>
      </c>
      <c r="AE441" s="703">
        <f t="shared" si="93"/>
        <v>0</v>
      </c>
      <c r="AF441" s="703">
        <f>IF($O442=0,0,           IF(FRM,_xll.qGetFwdRate(AF$14,$O441,X441,"T",DCC_Leg1_Float),_xll.qGetFwdRate(AF$14,$O441,$O442,"T",DCC_Leg1_Float)))</f>
        <v>0</v>
      </c>
      <c r="AG441" s="703">
        <f>IF($O442=0,0,           IF(FRM,_xll.qGetFwdRate(AG$14,$O441,Y441,"T",DCC_Leg1_Float),_xll.qGetFwdRate(AG$14,$O441,$O442,"T",DCC_Leg1_Float)))</f>
        <v>0</v>
      </c>
      <c r="AH441" s="685">
        <v>0</v>
      </c>
      <c r="AI441" s="667"/>
      <c r="AJ441" s="670">
        <f>IF(O442=0,0,             IF(ISNUMBER(AI441),AI441,             IF(ISTEXT(AI441),INDEX(Z441:AG441,MATCH(AI441,$Z$17:$AG$17,0)),           IF(AH441="INT",_xll.qInterp(O442,R441:Y441,Z441:AG441),       INDEX(Z441:AG441,MATCH(AH441,$Z$17:$AG$17,0))))))</f>
        <v>0</v>
      </c>
      <c r="AK441" s="732">
        <v>20</v>
      </c>
      <c r="AL441" s="721">
        <f t="shared" si="88"/>
        <v>0</v>
      </c>
      <c r="AM441" s="284">
        <f>IF($O442,_xll.qDateYears($O441,$O442,DCC_Leg1_Fixed),0)</f>
        <v>0</v>
      </c>
      <c r="AN441" s="284">
        <f>IF($O442,_xll.qDateYears($O441,$O442,DCC_Leg1_Float),0)</f>
        <v>0</v>
      </c>
      <c r="AP441" s="350">
        <f t="shared" si="94"/>
        <v>0</v>
      </c>
      <c r="AQ441" s="375">
        <f>IF(GenType_1a="Fixed",GenRate_1a%*$AL440*AM440,          IF(GenType_1a="Float",$AL440*(_xll.qGetFwdRate($D$18,$O440,$O441,"T",DCC_Leg1_Float)%+GenRate_1a%%)*$AN440,        IF(GenType_1a="bp (Fixed)",GenRate_1a%%*$AM440*$AL440,   IF(GenType_1a="bp (Float)",GenRate_1a%%*$AL440*$AN440,0))))</f>
        <v>0</v>
      </c>
      <c r="AR441" s="561"/>
      <c r="AT441" s="341">
        <f t="shared" si="98"/>
        <v>0</v>
      </c>
      <c r="AV441" s="356"/>
      <c r="AW441" s="122">
        <v>0</v>
      </c>
      <c r="AX441" s="128">
        <f t="shared" si="89"/>
        <v>0</v>
      </c>
      <c r="AY441" s="357">
        <v>0</v>
      </c>
      <c r="AZ441" s="699">
        <f>IF($AW442=0,0,        _xll.qDateNext($AW441,AZ$17,"M",TRUE,Currency2))</f>
        <v>0</v>
      </c>
      <c r="BA441" s="699">
        <f>IF($AW442=0,0,        _xll.qDateNext($AW441,BA$17,"M",TRUE,Currency2))</f>
        <v>0</v>
      </c>
      <c r="BB441" s="699">
        <f>IF($AW442=0,0,        _xll.qDateNext($AW441,BB$17,"M",TRUE,Currency2))</f>
        <v>0</v>
      </c>
      <c r="BC441" s="699">
        <f>IF($AW442=0,0,        _xll.qDateNext($AW441,BC$17,"M",TRUE,Currency2))</f>
        <v>0</v>
      </c>
      <c r="BD441" s="699">
        <f>IF($AW442=0,0,        _xll.qDateNext($AW441,BD$17,"M",TRUE,Currency2))</f>
        <v>0</v>
      </c>
      <c r="BE441" s="699">
        <f>IF($AW442=0,0,        _xll.qDateNext($AW441,BE$17,"M",TRUE,Currency2))</f>
        <v>0</v>
      </c>
      <c r="BF441" s="699">
        <f>IF($AW442=0,0,        _xll.qDateNext($AW441,BF$17,"M",TRUE,Currency2))</f>
        <v>0</v>
      </c>
      <c r="BG441" s="699">
        <f>IF($AW442=0,0,        _xll.qDateNext($AW441,BG$17,"M",TRUE,Currency2))</f>
        <v>0</v>
      </c>
      <c r="BH441" s="703">
        <v>0</v>
      </c>
      <c r="BI441" s="703">
        <v>0</v>
      </c>
      <c r="BJ441" s="703">
        <v>0</v>
      </c>
      <c r="BK441" s="703">
        <v>0</v>
      </c>
      <c r="BL441" s="703">
        <f t="shared" si="95"/>
        <v>0</v>
      </c>
      <c r="BM441" s="703">
        <f t="shared" si="96"/>
        <v>0</v>
      </c>
      <c r="BN441" s="703">
        <v>0</v>
      </c>
      <c r="BO441" s="703">
        <v>0</v>
      </c>
      <c r="BP441" s="685">
        <v>0</v>
      </c>
      <c r="BQ441" s="667"/>
      <c r="BR441" s="670">
        <f>IF(AW442=0,0,             IF(ISNUMBER(BQ441),BQ441,             IF(ISTEXT(BQ441),INDEX(BH441:BO441,MATCH(BQ441,$BH$17:$BO$17,0)),           IF(BP441="INT",_xll.qInterp(AW442,AZ441:BG441,BH441:BO441),       INDEX(BH441:BO441,MATCH(BP441,$BH$17:$BO$17,0))))))</f>
        <v>0</v>
      </c>
      <c r="BS441" s="731">
        <f t="shared" si="90"/>
        <v>0</v>
      </c>
      <c r="BT441" s="406">
        <f t="shared" si="91"/>
        <v>0</v>
      </c>
      <c r="BU441" s="284">
        <f>IF($AW442,_xll.qDateYears($AW441,$AW442,DCC_Leg2_Fixed),0)</f>
        <v>0</v>
      </c>
      <c r="BV441" s="284">
        <f>IF($AW442,_xll.qDateYears($AW441,$AW442,DCC_Leg2_Float),0)</f>
        <v>0</v>
      </c>
      <c r="BX441" s="350">
        <f t="shared" si="97"/>
        <v>0</v>
      </c>
      <c r="BY441" s="375">
        <f>IF(GenType_2a="Fixed",GenRate_2a%*$BT440*BU440,          IF(GenType_2a="Float",$BT440*(_xll.qGetFwdRate($J$18,$AW440,$AW441,"T",DCC_Leg2_Float)%+GenRate_2a%%)*$BV440,        IF(GenType_2a="bp (Fixed)",GenRate_2a%%*$BU440*$BT440,   IF(GenType_2a="bp (Float)",GenRate_2a%%*$BT440*$BV440,0))))</f>
        <v>0</v>
      </c>
      <c r="BZ441" s="561"/>
      <c r="CB441" s="341">
        <f t="shared" si="99"/>
        <v>0</v>
      </c>
      <c r="CC441" s="563"/>
      <c r="CD441" s="356"/>
      <c r="CE441" s="341">
        <v>0</v>
      </c>
      <c r="CF441" s="563"/>
      <c r="CG441" s="356"/>
    </row>
    <row r="442" spans="15:85">
      <c r="O442" s="122">
        <v>0</v>
      </c>
      <c r="P442" s="128">
        <f t="shared" si="86"/>
        <v>0</v>
      </c>
      <c r="Q442" s="126">
        <v>0</v>
      </c>
      <c r="R442" s="699">
        <f>IF($O443=0,0,        _xll.qDateNext($O442,R$17,"M",TRUE,Currency1))</f>
        <v>0</v>
      </c>
      <c r="S442" s="699">
        <f>IF($O443=0,0,        _xll.qDateNext($O442,S$17,"M",TRUE,Currency1))</f>
        <v>0</v>
      </c>
      <c r="T442" s="699">
        <f>IF($O443=0,0,        _xll.qDateNext($O442,T$17,"M",TRUE,Currency1))</f>
        <v>0</v>
      </c>
      <c r="U442" s="699">
        <f>IF($O443=0,0,        _xll.qDateNext($O442,U$17,"M",TRUE,Currency1))</f>
        <v>0</v>
      </c>
      <c r="V442" s="699">
        <f>IF($O443=0,0,        _xll.qDateNext($O442,V$17,"M",TRUE,Currency1))</f>
        <v>0</v>
      </c>
      <c r="W442" s="699">
        <f>IF($O443=0,0,        _xll.qDateNext($O442,W$17,"M",TRUE,Currency1))</f>
        <v>0</v>
      </c>
      <c r="X442" s="699">
        <f>IF($O443=0,0,        _xll.qDateNext($O442,X$17,"M",TRUE,Currency1))</f>
        <v>0</v>
      </c>
      <c r="Y442" s="699">
        <f>IF($O443=0,0,        _xll.qDateNext($O442,Y$17,"M",TRUE,Currency1))</f>
        <v>0</v>
      </c>
      <c r="Z442" s="703">
        <f>IF($O443=0,0,           IF(FRM,_xll.qGetFwdRate(Z$14,$O442,R442,"T",DCC_Leg1_Float),_xll.qGetFwdRate(Z$14,$O442,$O443,"T",DCC_Leg1_Float)))</f>
        <v>0</v>
      </c>
      <c r="AA442" s="703">
        <f>IF($O443=0,0,           IF(FRM,_xll.qGetFwdRate(AA$14,$O442,S442,"T",DCC_Leg1_Float),_xll.qGetFwdRate(AA$14,$O442,$O443,"T",DCC_Leg1_Float)))</f>
        <v>0</v>
      </c>
      <c r="AB442" s="703">
        <f t="shared" si="87"/>
        <v>0</v>
      </c>
      <c r="AC442" s="703">
        <f>IF($O443=0,0,           IF(FRM,_xll.qGetFwdRate(AC$14,$O442,U442,"T",DCC_Leg1_Float),_xll.qGetFwdRate(AC$14,$O442,$O443,"T",DCC_Leg1_Float)))</f>
        <v>0</v>
      </c>
      <c r="AD442" s="703">
        <f t="shared" si="92"/>
        <v>0</v>
      </c>
      <c r="AE442" s="703">
        <f t="shared" si="93"/>
        <v>0</v>
      </c>
      <c r="AF442" s="703">
        <f>IF($O443=0,0,           IF(FRM,_xll.qGetFwdRate(AF$14,$O442,X442,"T",DCC_Leg1_Float),_xll.qGetFwdRate(AF$14,$O442,$O443,"T",DCC_Leg1_Float)))</f>
        <v>0</v>
      </c>
      <c r="AG442" s="703">
        <f>IF($O443=0,0,           IF(FRM,_xll.qGetFwdRate(AG$14,$O442,Y442,"T",DCC_Leg1_Float),_xll.qGetFwdRate(AG$14,$O442,$O443,"T",DCC_Leg1_Float)))</f>
        <v>0</v>
      </c>
      <c r="AH442" s="685">
        <v>0</v>
      </c>
      <c r="AI442" s="667"/>
      <c r="AJ442" s="670">
        <f>IF(O443=0,0,             IF(ISNUMBER(AI442),AI442,             IF(ISTEXT(AI442),INDEX(Z442:AG442,MATCH(AI442,$Z$17:$AG$17,0)),           IF(AH442="INT",_xll.qInterp(O443,R442:Y442,Z442:AG442),       INDEX(Z442:AG442,MATCH(AH442,$Z$17:$AG$17,0))))))</f>
        <v>0</v>
      </c>
      <c r="AK442" s="732">
        <v>20</v>
      </c>
      <c r="AL442" s="721">
        <f t="shared" si="88"/>
        <v>0</v>
      </c>
      <c r="AM442" s="284">
        <f>IF($O443,_xll.qDateYears($O442,$O443,DCC_Leg1_Fixed),0)</f>
        <v>0</v>
      </c>
      <c r="AN442" s="284">
        <f>IF($O443,_xll.qDateYears($O442,$O443,DCC_Leg1_Float),0)</f>
        <v>0</v>
      </c>
      <c r="AP442" s="350">
        <f t="shared" si="94"/>
        <v>0</v>
      </c>
      <c r="AQ442" s="375">
        <f>IF(GenType_1a="Fixed",GenRate_1a%*$AL441*AM441,          IF(GenType_1a="Float",$AL441*(_xll.qGetFwdRate($D$18,$O441,$O442,"T",DCC_Leg1_Float)%+GenRate_1a%%)*$AN441,        IF(GenType_1a="bp (Fixed)",GenRate_1a%%*$AM441*$AL441,   IF(GenType_1a="bp (Float)",GenRate_1a%%*$AL441*$AN441,0))))</f>
        <v>0</v>
      </c>
      <c r="AR442" s="561"/>
      <c r="AT442" s="341">
        <f t="shared" si="98"/>
        <v>0</v>
      </c>
      <c r="AV442" s="356"/>
      <c r="AW442" s="122">
        <v>0</v>
      </c>
      <c r="AX442" s="128">
        <f t="shared" si="89"/>
        <v>0</v>
      </c>
      <c r="AY442" s="357">
        <v>0</v>
      </c>
      <c r="AZ442" s="699">
        <f>IF($AW443=0,0,        _xll.qDateNext($AW442,AZ$17,"M",TRUE,Currency2))</f>
        <v>0</v>
      </c>
      <c r="BA442" s="699">
        <f>IF($AW443=0,0,        _xll.qDateNext($AW442,BA$17,"M",TRUE,Currency2))</f>
        <v>0</v>
      </c>
      <c r="BB442" s="699">
        <f>IF($AW443=0,0,        _xll.qDateNext($AW442,BB$17,"M",TRUE,Currency2))</f>
        <v>0</v>
      </c>
      <c r="BC442" s="699">
        <f>IF($AW443=0,0,        _xll.qDateNext($AW442,BC$17,"M",TRUE,Currency2))</f>
        <v>0</v>
      </c>
      <c r="BD442" s="699">
        <f>IF($AW443=0,0,        _xll.qDateNext($AW442,BD$17,"M",TRUE,Currency2))</f>
        <v>0</v>
      </c>
      <c r="BE442" s="699">
        <f>IF($AW443=0,0,        _xll.qDateNext($AW442,BE$17,"M",TRUE,Currency2))</f>
        <v>0</v>
      </c>
      <c r="BF442" s="699">
        <f>IF($AW443=0,0,        _xll.qDateNext($AW442,BF$17,"M",TRUE,Currency2))</f>
        <v>0</v>
      </c>
      <c r="BG442" s="699">
        <f>IF($AW443=0,0,        _xll.qDateNext($AW442,BG$17,"M",TRUE,Currency2))</f>
        <v>0</v>
      </c>
      <c r="BH442" s="703">
        <v>0</v>
      </c>
      <c r="BI442" s="703">
        <v>0</v>
      </c>
      <c r="BJ442" s="703">
        <v>0</v>
      </c>
      <c r="BK442" s="703">
        <v>0</v>
      </c>
      <c r="BL442" s="703">
        <f t="shared" si="95"/>
        <v>0</v>
      </c>
      <c r="BM442" s="703">
        <f t="shared" si="96"/>
        <v>0</v>
      </c>
      <c r="BN442" s="703">
        <v>0</v>
      </c>
      <c r="BO442" s="703">
        <v>0</v>
      </c>
      <c r="BP442" s="685">
        <v>0</v>
      </c>
      <c r="BQ442" s="667"/>
      <c r="BR442" s="670">
        <f>IF(AW443=0,0,             IF(ISNUMBER(BQ442),BQ442,             IF(ISTEXT(BQ442),INDEX(BH442:BO442,MATCH(BQ442,$BH$17:$BO$17,0)),           IF(BP442="INT",_xll.qInterp(AW443,AZ442:BG442,BH442:BO442),       INDEX(BH442:BO442,MATCH(BP442,$BH$17:$BO$17,0))))))</f>
        <v>0</v>
      </c>
      <c r="BS442" s="731">
        <f t="shared" si="90"/>
        <v>0</v>
      </c>
      <c r="BT442" s="406">
        <f t="shared" si="91"/>
        <v>0</v>
      </c>
      <c r="BU442" s="284">
        <f>IF($AW443,_xll.qDateYears($AW442,$AW443,DCC_Leg2_Fixed),0)</f>
        <v>0</v>
      </c>
      <c r="BV442" s="284">
        <f>IF($AW443,_xll.qDateYears($AW442,$AW443,DCC_Leg2_Float),0)</f>
        <v>0</v>
      </c>
      <c r="BX442" s="350">
        <f t="shared" si="97"/>
        <v>0</v>
      </c>
      <c r="BY442" s="375">
        <f>IF(GenType_2a="Fixed",GenRate_2a%*$BT441*BU441,          IF(GenType_2a="Float",$BT441*(_xll.qGetFwdRate($J$18,$AW441,$AW442,"T",DCC_Leg2_Float)%+GenRate_2a%%)*$BV441,        IF(GenType_2a="bp (Fixed)",GenRate_2a%%*$BU441*$BT441,   IF(GenType_2a="bp (Float)",GenRate_2a%%*$BT441*$BV441,0))))</f>
        <v>0</v>
      </c>
      <c r="BZ442" s="561"/>
      <c r="CB442" s="341">
        <f t="shared" si="99"/>
        <v>0</v>
      </c>
      <c r="CC442" s="563"/>
      <c r="CD442" s="356"/>
      <c r="CE442" s="341">
        <v>0</v>
      </c>
      <c r="CF442" s="563"/>
      <c r="CG442" s="356"/>
    </row>
    <row r="443" spans="15:85">
      <c r="O443" s="122">
        <v>0</v>
      </c>
      <c r="P443" s="128">
        <f t="shared" si="86"/>
        <v>0</v>
      </c>
      <c r="Q443" s="126">
        <v>0</v>
      </c>
      <c r="R443" s="699">
        <f>IF($O444=0,0,        _xll.qDateNext($O443,R$17,"M",TRUE,Currency1))</f>
        <v>0</v>
      </c>
      <c r="S443" s="699">
        <f>IF($O444=0,0,        _xll.qDateNext($O443,S$17,"M",TRUE,Currency1))</f>
        <v>0</v>
      </c>
      <c r="T443" s="699">
        <f>IF($O444=0,0,        _xll.qDateNext($O443,T$17,"M",TRUE,Currency1))</f>
        <v>0</v>
      </c>
      <c r="U443" s="699">
        <f>IF($O444=0,0,        _xll.qDateNext($O443,U$17,"M",TRUE,Currency1))</f>
        <v>0</v>
      </c>
      <c r="V443" s="699">
        <f>IF($O444=0,0,        _xll.qDateNext($O443,V$17,"M",TRUE,Currency1))</f>
        <v>0</v>
      </c>
      <c r="W443" s="699">
        <f>IF($O444=0,0,        _xll.qDateNext($O443,W$17,"M",TRUE,Currency1))</f>
        <v>0</v>
      </c>
      <c r="X443" s="699">
        <f>IF($O444=0,0,        _xll.qDateNext($O443,X$17,"M",TRUE,Currency1))</f>
        <v>0</v>
      </c>
      <c r="Y443" s="699">
        <f>IF($O444=0,0,        _xll.qDateNext($O443,Y$17,"M",TRUE,Currency1))</f>
        <v>0</v>
      </c>
      <c r="Z443" s="703">
        <f>IF($O444=0,0,           IF(FRM,_xll.qGetFwdRate(Z$14,$O443,R443,"T",DCC_Leg1_Float),_xll.qGetFwdRate(Z$14,$O443,$O444,"T",DCC_Leg1_Float)))</f>
        <v>0</v>
      </c>
      <c r="AA443" s="703">
        <f>IF($O444=0,0,           IF(FRM,_xll.qGetFwdRate(AA$14,$O443,S443,"T",DCC_Leg1_Float),_xll.qGetFwdRate(AA$14,$O443,$O444,"T",DCC_Leg1_Float)))</f>
        <v>0</v>
      </c>
      <c r="AB443" s="703">
        <f t="shared" si="87"/>
        <v>0</v>
      </c>
      <c r="AC443" s="703">
        <f>IF($O444=0,0,           IF(FRM,_xll.qGetFwdRate(AC$14,$O443,U443,"T",DCC_Leg1_Float),_xll.qGetFwdRate(AC$14,$O443,$O444,"T",DCC_Leg1_Float)))</f>
        <v>0</v>
      </c>
      <c r="AD443" s="703">
        <f t="shared" si="92"/>
        <v>0</v>
      </c>
      <c r="AE443" s="703">
        <f t="shared" si="93"/>
        <v>0</v>
      </c>
      <c r="AF443" s="703">
        <f>IF($O444=0,0,           IF(FRM,_xll.qGetFwdRate(AF$14,$O443,X443,"T",DCC_Leg1_Float),_xll.qGetFwdRate(AF$14,$O443,$O444,"T",DCC_Leg1_Float)))</f>
        <v>0</v>
      </c>
      <c r="AG443" s="703">
        <f>IF($O444=0,0,           IF(FRM,_xll.qGetFwdRate(AG$14,$O443,Y443,"T",DCC_Leg1_Float),_xll.qGetFwdRate(AG$14,$O443,$O444,"T",DCC_Leg1_Float)))</f>
        <v>0</v>
      </c>
      <c r="AH443" s="685">
        <v>0</v>
      </c>
      <c r="AI443" s="667"/>
      <c r="AJ443" s="670">
        <f>IF(O444=0,0,             IF(ISNUMBER(AI443),AI443,             IF(ISTEXT(AI443),INDEX(Z443:AG443,MATCH(AI443,$Z$17:$AG$17,0)),           IF(AH443="INT",_xll.qInterp(O444,R443:Y443,Z443:AG443),       INDEX(Z443:AG443,MATCH(AH443,$Z$17:$AG$17,0))))))</f>
        <v>0</v>
      </c>
      <c r="AK443" s="732">
        <v>20</v>
      </c>
      <c r="AL443" s="721">
        <f t="shared" si="88"/>
        <v>0</v>
      </c>
      <c r="AM443" s="284">
        <f>IF($O444,_xll.qDateYears($O443,$O444,DCC_Leg1_Fixed),0)</f>
        <v>0</v>
      </c>
      <c r="AN443" s="284">
        <f>IF($O444,_xll.qDateYears($O443,$O444,DCC_Leg1_Float),0)</f>
        <v>0</v>
      </c>
      <c r="AP443" s="350">
        <f t="shared" si="94"/>
        <v>0</v>
      </c>
      <c r="AQ443" s="375">
        <f>IF(GenType_1a="Fixed",GenRate_1a%*$AL442*AM442,          IF(GenType_1a="Float",$AL442*(_xll.qGetFwdRate($D$18,$O442,$O443,"T",DCC_Leg1_Float)%+GenRate_1a%%)*$AN442,        IF(GenType_1a="bp (Fixed)",GenRate_1a%%*$AM442*$AL442,   IF(GenType_1a="bp (Float)",GenRate_1a%%*$AL442*$AN442,0))))</f>
        <v>0</v>
      </c>
      <c r="AR443" s="561"/>
      <c r="AT443" s="341">
        <f t="shared" si="98"/>
        <v>0</v>
      </c>
      <c r="AV443" s="356"/>
      <c r="AW443" s="122">
        <v>0</v>
      </c>
      <c r="AX443" s="128">
        <f t="shared" si="89"/>
        <v>0</v>
      </c>
      <c r="AY443" s="357">
        <v>0</v>
      </c>
      <c r="AZ443" s="699">
        <f>IF($AW444=0,0,        _xll.qDateNext($AW443,AZ$17,"M",TRUE,Currency2))</f>
        <v>0</v>
      </c>
      <c r="BA443" s="699">
        <f>IF($AW444=0,0,        _xll.qDateNext($AW443,BA$17,"M",TRUE,Currency2))</f>
        <v>0</v>
      </c>
      <c r="BB443" s="699">
        <f>IF($AW444=0,0,        _xll.qDateNext($AW443,BB$17,"M",TRUE,Currency2))</f>
        <v>0</v>
      </c>
      <c r="BC443" s="699">
        <f>IF($AW444=0,0,        _xll.qDateNext($AW443,BC$17,"M",TRUE,Currency2))</f>
        <v>0</v>
      </c>
      <c r="BD443" s="699">
        <f>IF($AW444=0,0,        _xll.qDateNext($AW443,BD$17,"M",TRUE,Currency2))</f>
        <v>0</v>
      </c>
      <c r="BE443" s="699">
        <f>IF($AW444=0,0,        _xll.qDateNext($AW443,BE$17,"M",TRUE,Currency2))</f>
        <v>0</v>
      </c>
      <c r="BF443" s="699">
        <f>IF($AW444=0,0,        _xll.qDateNext($AW443,BF$17,"M",TRUE,Currency2))</f>
        <v>0</v>
      </c>
      <c r="BG443" s="699">
        <f>IF($AW444=0,0,        _xll.qDateNext($AW443,BG$17,"M",TRUE,Currency2))</f>
        <v>0</v>
      </c>
      <c r="BH443" s="703">
        <v>0</v>
      </c>
      <c r="BI443" s="703">
        <v>0</v>
      </c>
      <c r="BJ443" s="703">
        <v>0</v>
      </c>
      <c r="BK443" s="703">
        <v>0</v>
      </c>
      <c r="BL443" s="703">
        <f t="shared" si="95"/>
        <v>0</v>
      </c>
      <c r="BM443" s="703">
        <f t="shared" si="96"/>
        <v>0</v>
      </c>
      <c r="BN443" s="703">
        <v>0</v>
      </c>
      <c r="BO443" s="703">
        <v>0</v>
      </c>
      <c r="BP443" s="685">
        <v>0</v>
      </c>
      <c r="BQ443" s="667"/>
      <c r="BR443" s="670">
        <f>IF(AW444=0,0,             IF(ISNUMBER(BQ443),BQ443,             IF(ISTEXT(BQ443),INDEX(BH443:BO443,MATCH(BQ443,$BH$17:$BO$17,0)),           IF(BP443="INT",_xll.qInterp(AW444,AZ443:BG443,BH443:BO443),       INDEX(BH443:BO443,MATCH(BP443,$BH$17:$BO$17,0))))))</f>
        <v>0</v>
      </c>
      <c r="BS443" s="731">
        <f t="shared" si="90"/>
        <v>0</v>
      </c>
      <c r="BT443" s="406">
        <f t="shared" si="91"/>
        <v>0</v>
      </c>
      <c r="BU443" s="284">
        <f>IF($AW444,_xll.qDateYears($AW443,$AW444,DCC_Leg2_Fixed),0)</f>
        <v>0</v>
      </c>
      <c r="BV443" s="284">
        <f>IF($AW444,_xll.qDateYears($AW443,$AW444,DCC_Leg2_Float),0)</f>
        <v>0</v>
      </c>
      <c r="BX443" s="350">
        <f t="shared" si="97"/>
        <v>0</v>
      </c>
      <c r="BY443" s="375">
        <f>IF(GenType_2a="Fixed",GenRate_2a%*$BT442*BU442,          IF(GenType_2a="Float",$BT442*(_xll.qGetFwdRate($J$18,$AW442,$AW443,"T",DCC_Leg2_Float)%+GenRate_2a%%)*$BV442,        IF(GenType_2a="bp (Fixed)",GenRate_2a%%*$BU442*$BT442,   IF(GenType_2a="bp (Float)",GenRate_2a%%*$BT442*$BV442,0))))</f>
        <v>0</v>
      </c>
      <c r="BZ443" s="561"/>
      <c r="CB443" s="341">
        <f t="shared" si="99"/>
        <v>0</v>
      </c>
      <c r="CC443" s="563"/>
      <c r="CD443" s="356"/>
      <c r="CE443" s="341">
        <v>0</v>
      </c>
      <c r="CF443" s="563"/>
      <c r="CG443" s="356"/>
    </row>
    <row r="444" spans="15:85">
      <c r="O444" s="122">
        <v>0</v>
      </c>
      <c r="P444" s="128">
        <f t="shared" si="86"/>
        <v>0</v>
      </c>
      <c r="Q444" s="126">
        <v>0</v>
      </c>
      <c r="R444" s="699">
        <f>IF($O445=0,0,        _xll.qDateNext($O444,R$17,"M",TRUE,Currency1))</f>
        <v>0</v>
      </c>
      <c r="S444" s="699">
        <f>IF($O445=0,0,        _xll.qDateNext($O444,S$17,"M",TRUE,Currency1))</f>
        <v>0</v>
      </c>
      <c r="T444" s="699">
        <f>IF($O445=0,0,        _xll.qDateNext($O444,T$17,"M",TRUE,Currency1))</f>
        <v>0</v>
      </c>
      <c r="U444" s="699">
        <f>IF($O445=0,0,        _xll.qDateNext($O444,U$17,"M",TRUE,Currency1))</f>
        <v>0</v>
      </c>
      <c r="V444" s="699">
        <f>IF($O445=0,0,        _xll.qDateNext($O444,V$17,"M",TRUE,Currency1))</f>
        <v>0</v>
      </c>
      <c r="W444" s="699">
        <f>IF($O445=0,0,        _xll.qDateNext($O444,W$17,"M",TRUE,Currency1))</f>
        <v>0</v>
      </c>
      <c r="X444" s="699">
        <f>IF($O445=0,0,        _xll.qDateNext($O444,X$17,"M",TRUE,Currency1))</f>
        <v>0</v>
      </c>
      <c r="Y444" s="699">
        <f>IF($O445=0,0,        _xll.qDateNext($O444,Y$17,"M",TRUE,Currency1))</f>
        <v>0</v>
      </c>
      <c r="Z444" s="703">
        <f>IF($O445=0,0,           IF(FRM,_xll.qGetFwdRate(Z$14,$O444,R444,"T",DCC_Leg1_Float),_xll.qGetFwdRate(Z$14,$O444,$O445,"T",DCC_Leg1_Float)))</f>
        <v>0</v>
      </c>
      <c r="AA444" s="703">
        <f>IF($O445=0,0,           IF(FRM,_xll.qGetFwdRate(AA$14,$O444,S444,"T",DCC_Leg1_Float),_xll.qGetFwdRate(AA$14,$O444,$O445,"T",DCC_Leg1_Float)))</f>
        <v>0</v>
      </c>
      <c r="AB444" s="703">
        <f t="shared" si="87"/>
        <v>0</v>
      </c>
      <c r="AC444" s="703">
        <f>IF($O445=0,0,           IF(FRM,_xll.qGetFwdRate(AC$14,$O444,U444,"T",DCC_Leg1_Float),_xll.qGetFwdRate(AC$14,$O444,$O445,"T",DCC_Leg1_Float)))</f>
        <v>0</v>
      </c>
      <c r="AD444" s="703">
        <f t="shared" si="92"/>
        <v>0</v>
      </c>
      <c r="AE444" s="703">
        <f t="shared" si="93"/>
        <v>0</v>
      </c>
      <c r="AF444" s="703">
        <f>IF($O445=0,0,           IF(FRM,_xll.qGetFwdRate(AF$14,$O444,X444,"T",DCC_Leg1_Float),_xll.qGetFwdRate(AF$14,$O444,$O445,"T",DCC_Leg1_Float)))</f>
        <v>0</v>
      </c>
      <c r="AG444" s="703">
        <f>IF($O445=0,0,           IF(FRM,_xll.qGetFwdRate(AG$14,$O444,Y444,"T",DCC_Leg1_Float),_xll.qGetFwdRate(AG$14,$O444,$O445,"T",DCC_Leg1_Float)))</f>
        <v>0</v>
      </c>
      <c r="AH444" s="685">
        <v>0</v>
      </c>
      <c r="AI444" s="667"/>
      <c r="AJ444" s="670">
        <f>IF(O445=0,0,             IF(ISNUMBER(AI444),AI444,             IF(ISTEXT(AI444),INDEX(Z444:AG444,MATCH(AI444,$Z$17:$AG$17,0)),           IF(AH444="INT",_xll.qInterp(O445,R444:Y444,Z444:AG444),       INDEX(Z444:AG444,MATCH(AH444,$Z$17:$AG$17,0))))))</f>
        <v>0</v>
      </c>
      <c r="AK444" s="732">
        <v>20</v>
      </c>
      <c r="AL444" s="721">
        <f t="shared" si="88"/>
        <v>0</v>
      </c>
      <c r="AM444" s="284">
        <f>IF($O445,_xll.qDateYears($O444,$O445,DCC_Leg1_Fixed),0)</f>
        <v>0</v>
      </c>
      <c r="AN444" s="284">
        <f>IF($O445,_xll.qDateYears($O444,$O445,DCC_Leg1_Float),0)</f>
        <v>0</v>
      </c>
      <c r="AP444" s="350">
        <f t="shared" si="94"/>
        <v>0</v>
      </c>
      <c r="AQ444" s="375">
        <f>IF(GenType_1a="Fixed",GenRate_1a%*$AL443*AM443,          IF(GenType_1a="Float",$AL443*(_xll.qGetFwdRate($D$18,$O443,$O444,"T",DCC_Leg1_Float)%+GenRate_1a%%)*$AN443,        IF(GenType_1a="bp (Fixed)",GenRate_1a%%*$AM443*$AL443,   IF(GenType_1a="bp (Float)",GenRate_1a%%*$AL443*$AN443,0))))</f>
        <v>0</v>
      </c>
      <c r="AR444" s="561"/>
      <c r="AT444" s="341">
        <f t="shared" si="98"/>
        <v>0</v>
      </c>
      <c r="AV444" s="356"/>
      <c r="AW444" s="122">
        <v>0</v>
      </c>
      <c r="AX444" s="128">
        <f t="shared" si="89"/>
        <v>0</v>
      </c>
      <c r="AY444" s="357">
        <v>0</v>
      </c>
      <c r="AZ444" s="699">
        <f>IF($AW445=0,0,        _xll.qDateNext($AW444,AZ$17,"M",TRUE,Currency2))</f>
        <v>0</v>
      </c>
      <c r="BA444" s="699">
        <f>IF($AW445=0,0,        _xll.qDateNext($AW444,BA$17,"M",TRUE,Currency2))</f>
        <v>0</v>
      </c>
      <c r="BB444" s="699">
        <f>IF($AW445=0,0,        _xll.qDateNext($AW444,BB$17,"M",TRUE,Currency2))</f>
        <v>0</v>
      </c>
      <c r="BC444" s="699">
        <f>IF($AW445=0,0,        _xll.qDateNext($AW444,BC$17,"M",TRUE,Currency2))</f>
        <v>0</v>
      </c>
      <c r="BD444" s="699">
        <f>IF($AW445=0,0,        _xll.qDateNext($AW444,BD$17,"M",TRUE,Currency2))</f>
        <v>0</v>
      </c>
      <c r="BE444" s="699">
        <f>IF($AW445=0,0,        _xll.qDateNext($AW444,BE$17,"M",TRUE,Currency2))</f>
        <v>0</v>
      </c>
      <c r="BF444" s="699">
        <f>IF($AW445=0,0,        _xll.qDateNext($AW444,BF$17,"M",TRUE,Currency2))</f>
        <v>0</v>
      </c>
      <c r="BG444" s="699">
        <f>IF($AW445=0,0,        _xll.qDateNext($AW444,BG$17,"M",TRUE,Currency2))</f>
        <v>0</v>
      </c>
      <c r="BH444" s="703">
        <v>0</v>
      </c>
      <c r="BI444" s="703">
        <v>0</v>
      </c>
      <c r="BJ444" s="703">
        <v>0</v>
      </c>
      <c r="BK444" s="703">
        <v>0</v>
      </c>
      <c r="BL444" s="703">
        <f t="shared" si="95"/>
        <v>0</v>
      </c>
      <c r="BM444" s="703">
        <f t="shared" si="96"/>
        <v>0</v>
      </c>
      <c r="BN444" s="703">
        <v>0</v>
      </c>
      <c r="BO444" s="703">
        <v>0</v>
      </c>
      <c r="BP444" s="685">
        <v>0</v>
      </c>
      <c r="BQ444" s="667"/>
      <c r="BR444" s="670">
        <f>IF(AW445=0,0,             IF(ISNUMBER(BQ444),BQ444,             IF(ISTEXT(BQ444),INDEX(BH444:BO444,MATCH(BQ444,$BH$17:$BO$17,0)),           IF(BP444="INT",_xll.qInterp(AW445,AZ444:BG444,BH444:BO444),       INDEX(BH444:BO444,MATCH(BP444,$BH$17:$BO$17,0))))))</f>
        <v>0</v>
      </c>
      <c r="BS444" s="731">
        <f t="shared" si="90"/>
        <v>0</v>
      </c>
      <c r="BT444" s="406">
        <f t="shared" si="91"/>
        <v>0</v>
      </c>
      <c r="BU444" s="284">
        <f>IF($AW445,_xll.qDateYears($AW444,$AW445,DCC_Leg2_Fixed),0)</f>
        <v>0</v>
      </c>
      <c r="BV444" s="284">
        <f>IF($AW445,_xll.qDateYears($AW444,$AW445,DCC_Leg2_Float),0)</f>
        <v>0</v>
      </c>
      <c r="BX444" s="350">
        <f t="shared" si="97"/>
        <v>0</v>
      </c>
      <c r="BY444" s="375">
        <f>IF(GenType_2a="Fixed",GenRate_2a%*$BT443*BU443,          IF(GenType_2a="Float",$BT443*(_xll.qGetFwdRate($J$18,$AW443,$AW444,"T",DCC_Leg2_Float)%+GenRate_2a%%)*$BV443,        IF(GenType_2a="bp (Fixed)",GenRate_2a%%*$BU443*$BT443,   IF(GenType_2a="bp (Float)",GenRate_2a%%*$BT443*$BV443,0))))</f>
        <v>0</v>
      </c>
      <c r="BZ444" s="561"/>
      <c r="CB444" s="341">
        <f t="shared" si="99"/>
        <v>0</v>
      </c>
      <c r="CC444" s="563"/>
      <c r="CD444" s="356"/>
      <c r="CE444" s="341">
        <v>0</v>
      </c>
      <c r="CF444" s="563"/>
      <c r="CG444" s="356"/>
    </row>
    <row r="445" spans="15:85">
      <c r="O445" s="122">
        <v>0</v>
      </c>
      <c r="P445" s="128">
        <f t="shared" si="86"/>
        <v>0</v>
      </c>
      <c r="Q445" s="126">
        <v>0</v>
      </c>
      <c r="R445" s="699">
        <f>IF($O446=0,0,        _xll.qDateNext($O445,R$17,"M",TRUE,Currency1))</f>
        <v>0</v>
      </c>
      <c r="S445" s="699">
        <f>IF($O446=0,0,        _xll.qDateNext($O445,S$17,"M",TRUE,Currency1))</f>
        <v>0</v>
      </c>
      <c r="T445" s="699">
        <f>IF($O446=0,0,        _xll.qDateNext($O445,T$17,"M",TRUE,Currency1))</f>
        <v>0</v>
      </c>
      <c r="U445" s="699">
        <f>IF($O446=0,0,        _xll.qDateNext($O445,U$17,"M",TRUE,Currency1))</f>
        <v>0</v>
      </c>
      <c r="V445" s="699">
        <f>IF($O446=0,0,        _xll.qDateNext($O445,V$17,"M",TRUE,Currency1))</f>
        <v>0</v>
      </c>
      <c r="W445" s="699">
        <f>IF($O446=0,0,        _xll.qDateNext($O445,W$17,"M",TRUE,Currency1))</f>
        <v>0</v>
      </c>
      <c r="X445" s="699">
        <f>IF($O446=0,0,        _xll.qDateNext($O445,X$17,"M",TRUE,Currency1))</f>
        <v>0</v>
      </c>
      <c r="Y445" s="699">
        <f>IF($O446=0,0,        _xll.qDateNext($O445,Y$17,"M",TRUE,Currency1))</f>
        <v>0</v>
      </c>
      <c r="Z445" s="703">
        <f>IF($O446=0,0,           IF(FRM,_xll.qGetFwdRate(Z$14,$O445,R445,"T",DCC_Leg1_Float),_xll.qGetFwdRate(Z$14,$O445,$O446,"T",DCC_Leg1_Float)))</f>
        <v>0</v>
      </c>
      <c r="AA445" s="703">
        <f>IF($O446=0,0,           IF(FRM,_xll.qGetFwdRate(AA$14,$O445,S445,"T",DCC_Leg1_Float),_xll.qGetFwdRate(AA$14,$O445,$O446,"T",DCC_Leg1_Float)))</f>
        <v>0</v>
      </c>
      <c r="AB445" s="703">
        <f t="shared" si="87"/>
        <v>0</v>
      </c>
      <c r="AC445" s="703">
        <f>IF($O446=0,0,           IF(FRM,_xll.qGetFwdRate(AC$14,$O445,U445,"T",DCC_Leg1_Float),_xll.qGetFwdRate(AC$14,$O445,$O446,"T",DCC_Leg1_Float)))</f>
        <v>0</v>
      </c>
      <c r="AD445" s="703">
        <f t="shared" si="92"/>
        <v>0</v>
      </c>
      <c r="AE445" s="703">
        <f t="shared" si="93"/>
        <v>0</v>
      </c>
      <c r="AF445" s="703">
        <f>IF($O446=0,0,           IF(FRM,_xll.qGetFwdRate(AF$14,$O445,X445,"T",DCC_Leg1_Float),_xll.qGetFwdRate(AF$14,$O445,$O446,"T",DCC_Leg1_Float)))</f>
        <v>0</v>
      </c>
      <c r="AG445" s="703">
        <f>IF($O446=0,0,           IF(FRM,_xll.qGetFwdRate(AG$14,$O445,Y445,"T",DCC_Leg1_Float),_xll.qGetFwdRate(AG$14,$O445,$O446,"T",DCC_Leg1_Float)))</f>
        <v>0</v>
      </c>
      <c r="AH445" s="685">
        <v>0</v>
      </c>
      <c r="AI445" s="667"/>
      <c r="AJ445" s="670">
        <f>IF(O446=0,0,             IF(ISNUMBER(AI445),AI445,             IF(ISTEXT(AI445),INDEX(Z445:AG445,MATCH(AI445,$Z$17:$AG$17,0)),           IF(AH445="INT",_xll.qInterp(O446,R445:Y445,Z445:AG445),       INDEX(Z445:AG445,MATCH(AH445,$Z$17:$AG$17,0))))))</f>
        <v>0</v>
      </c>
      <c r="AK445" s="732">
        <v>20</v>
      </c>
      <c r="AL445" s="721">
        <f t="shared" si="88"/>
        <v>0</v>
      </c>
      <c r="AM445" s="284">
        <f>IF($O446,_xll.qDateYears($O445,$O446,DCC_Leg1_Fixed),0)</f>
        <v>0</v>
      </c>
      <c r="AN445" s="284">
        <f>IF($O446,_xll.qDateYears($O445,$O446,DCC_Leg1_Float),0)</f>
        <v>0</v>
      </c>
      <c r="AP445" s="350">
        <f t="shared" si="94"/>
        <v>0</v>
      </c>
      <c r="AQ445" s="375">
        <f>IF(GenType_1a="Fixed",GenRate_1a%*$AL444*AM444,          IF(GenType_1a="Float",$AL444*(_xll.qGetFwdRate($D$18,$O444,$O445,"T",DCC_Leg1_Float)%+GenRate_1a%%)*$AN444,        IF(GenType_1a="bp (Fixed)",GenRate_1a%%*$AM444*$AL444,   IF(GenType_1a="bp (Float)",GenRate_1a%%*$AL444*$AN444,0))))</f>
        <v>0</v>
      </c>
      <c r="AR445" s="561"/>
      <c r="AT445" s="341">
        <f t="shared" si="98"/>
        <v>0</v>
      </c>
      <c r="AV445" s="356"/>
      <c r="AW445" s="122">
        <v>0</v>
      </c>
      <c r="AX445" s="128">
        <f t="shared" si="89"/>
        <v>0</v>
      </c>
      <c r="AY445" s="357">
        <v>0</v>
      </c>
      <c r="AZ445" s="699">
        <f>IF($AW446=0,0,        _xll.qDateNext($AW445,AZ$17,"M",TRUE,Currency2))</f>
        <v>0</v>
      </c>
      <c r="BA445" s="699">
        <f>IF($AW446=0,0,        _xll.qDateNext($AW445,BA$17,"M",TRUE,Currency2))</f>
        <v>0</v>
      </c>
      <c r="BB445" s="699">
        <f>IF($AW446=0,0,        _xll.qDateNext($AW445,BB$17,"M",TRUE,Currency2))</f>
        <v>0</v>
      </c>
      <c r="BC445" s="699">
        <f>IF($AW446=0,0,        _xll.qDateNext($AW445,BC$17,"M",TRUE,Currency2))</f>
        <v>0</v>
      </c>
      <c r="BD445" s="699">
        <f>IF($AW446=0,0,        _xll.qDateNext($AW445,BD$17,"M",TRUE,Currency2))</f>
        <v>0</v>
      </c>
      <c r="BE445" s="699">
        <f>IF($AW446=0,0,        _xll.qDateNext($AW445,BE$17,"M",TRUE,Currency2))</f>
        <v>0</v>
      </c>
      <c r="BF445" s="699">
        <f>IF($AW446=0,0,        _xll.qDateNext($AW445,BF$17,"M",TRUE,Currency2))</f>
        <v>0</v>
      </c>
      <c r="BG445" s="699">
        <f>IF($AW446=0,0,        _xll.qDateNext($AW445,BG$17,"M",TRUE,Currency2))</f>
        <v>0</v>
      </c>
      <c r="BH445" s="703">
        <v>0</v>
      </c>
      <c r="BI445" s="703">
        <v>0</v>
      </c>
      <c r="BJ445" s="703">
        <v>0</v>
      </c>
      <c r="BK445" s="703">
        <v>0</v>
      </c>
      <c r="BL445" s="703">
        <f t="shared" si="95"/>
        <v>0</v>
      </c>
      <c r="BM445" s="703">
        <f t="shared" si="96"/>
        <v>0</v>
      </c>
      <c r="BN445" s="703">
        <v>0</v>
      </c>
      <c r="BO445" s="703">
        <v>0</v>
      </c>
      <c r="BP445" s="685">
        <v>0</v>
      </c>
      <c r="BQ445" s="667"/>
      <c r="BR445" s="670">
        <f>IF(AW446=0,0,             IF(ISNUMBER(BQ445),BQ445,             IF(ISTEXT(BQ445),INDEX(BH445:BO445,MATCH(BQ445,$BH$17:$BO$17,0)),           IF(BP445="INT",_xll.qInterp(AW446,AZ445:BG445,BH445:BO445),       INDEX(BH445:BO445,MATCH(BP445,$BH$17:$BO$17,0))))))</f>
        <v>0</v>
      </c>
      <c r="BS445" s="731">
        <f t="shared" si="90"/>
        <v>0</v>
      </c>
      <c r="BT445" s="406">
        <f t="shared" si="91"/>
        <v>0</v>
      </c>
      <c r="BU445" s="284">
        <f>IF($AW446,_xll.qDateYears($AW445,$AW446,DCC_Leg2_Fixed),0)</f>
        <v>0</v>
      </c>
      <c r="BV445" s="284">
        <f>IF($AW446,_xll.qDateYears($AW445,$AW446,DCC_Leg2_Float),0)</f>
        <v>0</v>
      </c>
      <c r="BX445" s="350">
        <f t="shared" si="97"/>
        <v>0</v>
      </c>
      <c r="BY445" s="375">
        <f>IF(GenType_2a="Fixed",GenRate_2a%*$BT444*BU444,          IF(GenType_2a="Float",$BT444*(_xll.qGetFwdRate($J$18,$AW444,$AW445,"T",DCC_Leg2_Float)%+GenRate_2a%%)*$BV444,        IF(GenType_2a="bp (Fixed)",GenRate_2a%%*$BU444*$BT444,   IF(GenType_2a="bp (Float)",GenRate_2a%%*$BT444*$BV444,0))))</f>
        <v>0</v>
      </c>
      <c r="BZ445" s="561"/>
      <c r="CB445" s="341">
        <f t="shared" si="99"/>
        <v>0</v>
      </c>
      <c r="CC445" s="563"/>
      <c r="CD445" s="356"/>
      <c r="CE445" s="341">
        <v>0</v>
      </c>
      <c r="CF445" s="563"/>
      <c r="CG445" s="356"/>
    </row>
    <row r="446" spans="15:85">
      <c r="O446" s="122">
        <v>0</v>
      </c>
      <c r="P446" s="128">
        <f t="shared" si="86"/>
        <v>0</v>
      </c>
      <c r="Q446" s="126">
        <v>0</v>
      </c>
      <c r="R446" s="699">
        <f>IF($O447=0,0,        _xll.qDateNext($O446,R$17,"M",TRUE,Currency1))</f>
        <v>0</v>
      </c>
      <c r="S446" s="699">
        <f>IF($O447=0,0,        _xll.qDateNext($O446,S$17,"M",TRUE,Currency1))</f>
        <v>0</v>
      </c>
      <c r="T446" s="699">
        <f>IF($O447=0,0,        _xll.qDateNext($O446,T$17,"M",TRUE,Currency1))</f>
        <v>0</v>
      </c>
      <c r="U446" s="699">
        <f>IF($O447=0,0,        _xll.qDateNext($O446,U$17,"M",TRUE,Currency1))</f>
        <v>0</v>
      </c>
      <c r="V446" s="699">
        <f>IF($O447=0,0,        _xll.qDateNext($O446,V$17,"M",TRUE,Currency1))</f>
        <v>0</v>
      </c>
      <c r="W446" s="699">
        <f>IF($O447=0,0,        _xll.qDateNext($O446,W$17,"M",TRUE,Currency1))</f>
        <v>0</v>
      </c>
      <c r="X446" s="699">
        <f>IF($O447=0,0,        _xll.qDateNext($O446,X$17,"M",TRUE,Currency1))</f>
        <v>0</v>
      </c>
      <c r="Y446" s="699">
        <f>IF($O447=0,0,        _xll.qDateNext($O446,Y$17,"M",TRUE,Currency1))</f>
        <v>0</v>
      </c>
      <c r="Z446" s="703">
        <f>IF($O447=0,0,           IF(FRM,_xll.qGetFwdRate(Z$14,$O446,R446,"T",DCC_Leg1_Float),_xll.qGetFwdRate(Z$14,$O446,$O447,"T",DCC_Leg1_Float)))</f>
        <v>0</v>
      </c>
      <c r="AA446" s="703">
        <f>IF($O447=0,0,           IF(FRM,_xll.qGetFwdRate(AA$14,$O446,S446,"T",DCC_Leg1_Float),_xll.qGetFwdRate(AA$14,$O446,$O447,"T",DCC_Leg1_Float)))</f>
        <v>0</v>
      </c>
      <c r="AB446" s="703">
        <f t="shared" si="87"/>
        <v>0</v>
      </c>
      <c r="AC446" s="703">
        <f>IF($O447=0,0,           IF(FRM,_xll.qGetFwdRate(AC$14,$O446,U446,"T",DCC_Leg1_Float),_xll.qGetFwdRate(AC$14,$O446,$O447,"T",DCC_Leg1_Float)))</f>
        <v>0</v>
      </c>
      <c r="AD446" s="703">
        <f t="shared" si="92"/>
        <v>0</v>
      </c>
      <c r="AE446" s="703">
        <f t="shared" si="93"/>
        <v>0</v>
      </c>
      <c r="AF446" s="703">
        <f>IF($O447=0,0,           IF(FRM,_xll.qGetFwdRate(AF$14,$O446,X446,"T",DCC_Leg1_Float),_xll.qGetFwdRate(AF$14,$O446,$O447,"T",DCC_Leg1_Float)))</f>
        <v>0</v>
      </c>
      <c r="AG446" s="703">
        <f>IF($O447=0,0,           IF(FRM,_xll.qGetFwdRate(AG$14,$O446,Y446,"T",DCC_Leg1_Float),_xll.qGetFwdRate(AG$14,$O446,$O447,"T",DCC_Leg1_Float)))</f>
        <v>0</v>
      </c>
      <c r="AH446" s="685">
        <v>0</v>
      </c>
      <c r="AI446" s="667"/>
      <c r="AJ446" s="670">
        <f>IF(O447=0,0,             IF(ISNUMBER(AI446),AI446,             IF(ISTEXT(AI446),INDEX(Z446:AG446,MATCH(AI446,$Z$17:$AG$17,0)),           IF(AH446="INT",_xll.qInterp(O447,R446:Y446,Z446:AG446),       INDEX(Z446:AG446,MATCH(AH446,$Z$17:$AG$17,0))))))</f>
        <v>0</v>
      </c>
      <c r="AK446" s="732">
        <v>20</v>
      </c>
      <c r="AL446" s="721">
        <f t="shared" si="88"/>
        <v>0</v>
      </c>
      <c r="AM446" s="284">
        <f>IF($O447,_xll.qDateYears($O446,$O447,DCC_Leg1_Fixed),0)</f>
        <v>0</v>
      </c>
      <c r="AN446" s="284">
        <f>IF($O447,_xll.qDateYears($O446,$O447,DCC_Leg1_Float),0)</f>
        <v>0</v>
      </c>
      <c r="AP446" s="350">
        <f t="shared" si="94"/>
        <v>0</v>
      </c>
      <c r="AQ446" s="375">
        <f>IF(GenType_1a="Fixed",GenRate_1a%*$AL445*AM445,          IF(GenType_1a="Float",$AL445*(_xll.qGetFwdRate($D$18,$O445,$O446,"T",DCC_Leg1_Float)%+GenRate_1a%%)*$AN445,        IF(GenType_1a="bp (Fixed)",GenRate_1a%%*$AM445*$AL445,   IF(GenType_1a="bp (Float)",GenRate_1a%%*$AL445*$AN445,0))))</f>
        <v>0</v>
      </c>
      <c r="AR446" s="561"/>
      <c r="AT446" s="341">
        <f t="shared" si="98"/>
        <v>0</v>
      </c>
      <c r="AV446" s="356"/>
      <c r="AW446" s="122">
        <v>0</v>
      </c>
      <c r="AX446" s="128">
        <f t="shared" si="89"/>
        <v>0</v>
      </c>
      <c r="AY446" s="357">
        <v>0</v>
      </c>
      <c r="AZ446" s="699">
        <f>IF($AW447=0,0,        _xll.qDateNext($AW446,AZ$17,"M",TRUE,Currency2))</f>
        <v>0</v>
      </c>
      <c r="BA446" s="699">
        <f>IF($AW447=0,0,        _xll.qDateNext($AW446,BA$17,"M",TRUE,Currency2))</f>
        <v>0</v>
      </c>
      <c r="BB446" s="699">
        <f>IF($AW447=0,0,        _xll.qDateNext($AW446,BB$17,"M",TRUE,Currency2))</f>
        <v>0</v>
      </c>
      <c r="BC446" s="699">
        <f>IF($AW447=0,0,        _xll.qDateNext($AW446,BC$17,"M",TRUE,Currency2))</f>
        <v>0</v>
      </c>
      <c r="BD446" s="699">
        <f>IF($AW447=0,0,        _xll.qDateNext($AW446,BD$17,"M",TRUE,Currency2))</f>
        <v>0</v>
      </c>
      <c r="BE446" s="699">
        <f>IF($AW447=0,0,        _xll.qDateNext($AW446,BE$17,"M",TRUE,Currency2))</f>
        <v>0</v>
      </c>
      <c r="BF446" s="699">
        <f>IF($AW447=0,0,        _xll.qDateNext($AW446,BF$17,"M",TRUE,Currency2))</f>
        <v>0</v>
      </c>
      <c r="BG446" s="699">
        <f>IF($AW447=0,0,        _xll.qDateNext($AW446,BG$17,"M",TRUE,Currency2))</f>
        <v>0</v>
      </c>
      <c r="BH446" s="703">
        <v>0</v>
      </c>
      <c r="BI446" s="703">
        <v>0</v>
      </c>
      <c r="BJ446" s="703">
        <v>0</v>
      </c>
      <c r="BK446" s="703">
        <v>0</v>
      </c>
      <c r="BL446" s="703">
        <f t="shared" si="95"/>
        <v>0</v>
      </c>
      <c r="BM446" s="703">
        <f t="shared" si="96"/>
        <v>0</v>
      </c>
      <c r="BN446" s="703">
        <v>0</v>
      </c>
      <c r="BO446" s="703">
        <v>0</v>
      </c>
      <c r="BP446" s="685">
        <v>0</v>
      </c>
      <c r="BQ446" s="667"/>
      <c r="BR446" s="670">
        <f>IF(AW447=0,0,             IF(ISNUMBER(BQ446),BQ446,             IF(ISTEXT(BQ446),INDEX(BH446:BO446,MATCH(BQ446,$BH$17:$BO$17,0)),           IF(BP446="INT",_xll.qInterp(AW447,AZ446:BG446,BH446:BO446),       INDEX(BH446:BO446,MATCH(BP446,$BH$17:$BO$17,0))))))</f>
        <v>0</v>
      </c>
      <c r="BS446" s="731">
        <f t="shared" si="90"/>
        <v>0</v>
      </c>
      <c r="BT446" s="406">
        <f t="shared" si="91"/>
        <v>0</v>
      </c>
      <c r="BU446" s="284">
        <f>IF($AW447,_xll.qDateYears($AW446,$AW447,DCC_Leg2_Fixed),0)</f>
        <v>0</v>
      </c>
      <c r="BV446" s="284">
        <f>IF($AW447,_xll.qDateYears($AW446,$AW447,DCC_Leg2_Float),0)</f>
        <v>0</v>
      </c>
      <c r="BX446" s="350">
        <f t="shared" si="97"/>
        <v>0</v>
      </c>
      <c r="BY446" s="375">
        <f>IF(GenType_2a="Fixed",GenRate_2a%*$BT445*BU445,          IF(GenType_2a="Float",$BT445*(_xll.qGetFwdRate($J$18,$AW445,$AW446,"T",DCC_Leg2_Float)%+GenRate_2a%%)*$BV445,        IF(GenType_2a="bp (Fixed)",GenRate_2a%%*$BU445*$BT445,   IF(GenType_2a="bp (Float)",GenRate_2a%%*$BT445*$BV445,0))))</f>
        <v>0</v>
      </c>
      <c r="BZ446" s="561"/>
      <c r="CB446" s="341">
        <f t="shared" si="99"/>
        <v>0</v>
      </c>
      <c r="CC446" s="563"/>
      <c r="CD446" s="356"/>
      <c r="CE446" s="341">
        <v>0</v>
      </c>
      <c r="CF446" s="563"/>
      <c r="CG446" s="356"/>
    </row>
    <row r="447" spans="15:85">
      <c r="O447" s="122">
        <v>0</v>
      </c>
      <c r="P447" s="128">
        <f t="shared" si="86"/>
        <v>0</v>
      </c>
      <c r="Q447" s="126">
        <v>0</v>
      </c>
      <c r="R447" s="699">
        <f>IF($O448=0,0,        _xll.qDateNext($O447,R$17,"M",TRUE,Currency1))</f>
        <v>0</v>
      </c>
      <c r="S447" s="699">
        <f>IF($O448=0,0,        _xll.qDateNext($O447,S$17,"M",TRUE,Currency1))</f>
        <v>0</v>
      </c>
      <c r="T447" s="699">
        <f>IF($O448=0,0,        _xll.qDateNext($O447,T$17,"M",TRUE,Currency1))</f>
        <v>0</v>
      </c>
      <c r="U447" s="699">
        <f>IF($O448=0,0,        _xll.qDateNext($O447,U$17,"M",TRUE,Currency1))</f>
        <v>0</v>
      </c>
      <c r="V447" s="699">
        <f>IF($O448=0,0,        _xll.qDateNext($O447,V$17,"M",TRUE,Currency1))</f>
        <v>0</v>
      </c>
      <c r="W447" s="699">
        <f>IF($O448=0,0,        _xll.qDateNext($O447,W$17,"M",TRUE,Currency1))</f>
        <v>0</v>
      </c>
      <c r="X447" s="699">
        <f>IF($O448=0,0,        _xll.qDateNext($O447,X$17,"M",TRUE,Currency1))</f>
        <v>0</v>
      </c>
      <c r="Y447" s="699">
        <f>IF($O448=0,0,        _xll.qDateNext($O447,Y$17,"M",TRUE,Currency1))</f>
        <v>0</v>
      </c>
      <c r="Z447" s="703">
        <f>IF($O448=0,0,           IF(FRM,_xll.qGetFwdRate(Z$14,$O447,R447,"T",DCC_Leg1_Float),_xll.qGetFwdRate(Z$14,$O447,$O448,"T",DCC_Leg1_Float)))</f>
        <v>0</v>
      </c>
      <c r="AA447" s="703">
        <f>IF($O448=0,0,           IF(FRM,_xll.qGetFwdRate(AA$14,$O447,S447,"T",DCC_Leg1_Float),_xll.qGetFwdRate(AA$14,$O447,$O448,"T",DCC_Leg1_Float)))</f>
        <v>0</v>
      </c>
      <c r="AB447" s="703">
        <f t="shared" si="87"/>
        <v>0</v>
      </c>
      <c r="AC447" s="703">
        <f>IF($O448=0,0,           IF(FRM,_xll.qGetFwdRate(AC$14,$O447,U447,"T",DCC_Leg1_Float),_xll.qGetFwdRate(AC$14,$O447,$O448,"T",DCC_Leg1_Float)))</f>
        <v>0</v>
      </c>
      <c r="AD447" s="703">
        <f t="shared" si="92"/>
        <v>0</v>
      </c>
      <c r="AE447" s="703">
        <f t="shared" si="93"/>
        <v>0</v>
      </c>
      <c r="AF447" s="703">
        <f>IF($O448=0,0,           IF(FRM,_xll.qGetFwdRate(AF$14,$O447,X447,"T",DCC_Leg1_Float),_xll.qGetFwdRate(AF$14,$O447,$O448,"T",DCC_Leg1_Float)))</f>
        <v>0</v>
      </c>
      <c r="AG447" s="703">
        <f>IF($O448=0,0,           IF(FRM,_xll.qGetFwdRate(AG$14,$O447,Y447,"T",DCC_Leg1_Float),_xll.qGetFwdRate(AG$14,$O447,$O448,"T",DCC_Leg1_Float)))</f>
        <v>0</v>
      </c>
      <c r="AH447" s="685">
        <v>0</v>
      </c>
      <c r="AI447" s="667"/>
      <c r="AJ447" s="670">
        <f>IF(O448=0,0,             IF(ISNUMBER(AI447),AI447,             IF(ISTEXT(AI447),INDEX(Z447:AG447,MATCH(AI447,$Z$17:$AG$17,0)),           IF(AH447="INT",_xll.qInterp(O448,R447:Y447,Z447:AG447),       INDEX(Z447:AG447,MATCH(AH447,$Z$17:$AG$17,0))))))</f>
        <v>0</v>
      </c>
      <c r="AK447" s="732">
        <v>20</v>
      </c>
      <c r="AL447" s="721">
        <f t="shared" si="88"/>
        <v>0</v>
      </c>
      <c r="AM447" s="284">
        <f>IF($O448,_xll.qDateYears($O447,$O448,DCC_Leg1_Fixed),0)</f>
        <v>0</v>
      </c>
      <c r="AN447" s="284">
        <f>IF($O448,_xll.qDateYears($O447,$O448,DCC_Leg1_Float),0)</f>
        <v>0</v>
      </c>
      <c r="AP447" s="350">
        <f t="shared" si="94"/>
        <v>0</v>
      </c>
      <c r="AQ447" s="375">
        <f>IF(GenType_1a="Fixed",GenRate_1a%*$AL446*AM446,          IF(GenType_1a="Float",$AL446*(_xll.qGetFwdRate($D$18,$O446,$O447,"T",DCC_Leg1_Float)%+GenRate_1a%%)*$AN446,        IF(GenType_1a="bp (Fixed)",GenRate_1a%%*$AM446*$AL446,   IF(GenType_1a="bp (Float)",GenRate_1a%%*$AL446*$AN446,0))))</f>
        <v>0</v>
      </c>
      <c r="AR447" s="561"/>
      <c r="AT447" s="341">
        <f t="shared" si="98"/>
        <v>0</v>
      </c>
      <c r="AV447" s="356"/>
      <c r="AW447" s="122">
        <v>0</v>
      </c>
      <c r="AX447" s="128">
        <f t="shared" si="89"/>
        <v>0</v>
      </c>
      <c r="AY447" s="357">
        <v>0</v>
      </c>
      <c r="AZ447" s="699">
        <f>IF($AW448=0,0,        _xll.qDateNext($AW447,AZ$17,"M",TRUE,Currency2))</f>
        <v>0</v>
      </c>
      <c r="BA447" s="699">
        <f>IF($AW448=0,0,        _xll.qDateNext($AW447,BA$17,"M",TRUE,Currency2))</f>
        <v>0</v>
      </c>
      <c r="BB447" s="699">
        <f>IF($AW448=0,0,        _xll.qDateNext($AW447,BB$17,"M",TRUE,Currency2))</f>
        <v>0</v>
      </c>
      <c r="BC447" s="699">
        <f>IF($AW448=0,0,        _xll.qDateNext($AW447,BC$17,"M",TRUE,Currency2))</f>
        <v>0</v>
      </c>
      <c r="BD447" s="699">
        <f>IF($AW448=0,0,        _xll.qDateNext($AW447,BD$17,"M",TRUE,Currency2))</f>
        <v>0</v>
      </c>
      <c r="BE447" s="699">
        <f>IF($AW448=0,0,        _xll.qDateNext($AW447,BE$17,"M",TRUE,Currency2))</f>
        <v>0</v>
      </c>
      <c r="BF447" s="699">
        <f>IF($AW448=0,0,        _xll.qDateNext($AW447,BF$17,"M",TRUE,Currency2))</f>
        <v>0</v>
      </c>
      <c r="BG447" s="699">
        <f>IF($AW448=0,0,        _xll.qDateNext($AW447,BG$17,"M",TRUE,Currency2))</f>
        <v>0</v>
      </c>
      <c r="BH447" s="703">
        <v>0</v>
      </c>
      <c r="BI447" s="703">
        <v>0</v>
      </c>
      <c r="BJ447" s="703">
        <v>0</v>
      </c>
      <c r="BK447" s="703">
        <v>0</v>
      </c>
      <c r="BL447" s="703">
        <f t="shared" si="95"/>
        <v>0</v>
      </c>
      <c r="BM447" s="703">
        <f t="shared" si="96"/>
        <v>0</v>
      </c>
      <c r="BN447" s="703">
        <v>0</v>
      </c>
      <c r="BO447" s="703">
        <v>0</v>
      </c>
      <c r="BP447" s="685">
        <v>0</v>
      </c>
      <c r="BQ447" s="667"/>
      <c r="BR447" s="670">
        <f>IF(AW448=0,0,             IF(ISNUMBER(BQ447),BQ447,             IF(ISTEXT(BQ447),INDEX(BH447:BO447,MATCH(BQ447,$BH$17:$BO$17,0)),           IF(BP447="INT",_xll.qInterp(AW448,AZ447:BG447,BH447:BO447),       INDEX(BH447:BO447,MATCH(BP447,$BH$17:$BO$17,0))))))</f>
        <v>0</v>
      </c>
      <c r="BS447" s="731">
        <f t="shared" si="90"/>
        <v>0</v>
      </c>
      <c r="BT447" s="406">
        <f t="shared" si="91"/>
        <v>0</v>
      </c>
      <c r="BU447" s="284">
        <f>IF($AW448,_xll.qDateYears($AW447,$AW448,DCC_Leg2_Fixed),0)</f>
        <v>0</v>
      </c>
      <c r="BV447" s="284">
        <f>IF($AW448,_xll.qDateYears($AW447,$AW448,DCC_Leg2_Float),0)</f>
        <v>0</v>
      </c>
      <c r="BX447" s="350">
        <f t="shared" si="97"/>
        <v>0</v>
      </c>
      <c r="BY447" s="375">
        <f>IF(GenType_2a="Fixed",GenRate_2a%*$BT446*BU446,          IF(GenType_2a="Float",$BT446*(_xll.qGetFwdRate($J$18,$AW446,$AW447,"T",DCC_Leg2_Float)%+GenRate_2a%%)*$BV446,        IF(GenType_2a="bp (Fixed)",GenRate_2a%%*$BU446*$BT446,   IF(GenType_2a="bp (Float)",GenRate_2a%%*$BT446*$BV446,0))))</f>
        <v>0</v>
      </c>
      <c r="BZ447" s="561"/>
      <c r="CB447" s="341">
        <f t="shared" si="99"/>
        <v>0</v>
      </c>
      <c r="CC447" s="563"/>
      <c r="CD447" s="356"/>
      <c r="CE447" s="341">
        <v>0</v>
      </c>
      <c r="CF447" s="563"/>
      <c r="CG447" s="356"/>
    </row>
    <row r="448" spans="15:85">
      <c r="O448" s="122">
        <v>0</v>
      </c>
      <c r="P448" s="128">
        <f t="shared" si="86"/>
        <v>0</v>
      </c>
      <c r="Q448" s="126">
        <v>0</v>
      </c>
      <c r="R448" s="699">
        <f>IF($O449=0,0,        _xll.qDateNext($O448,R$17,"M",TRUE,Currency1))</f>
        <v>0</v>
      </c>
      <c r="S448" s="699">
        <f>IF($O449=0,0,        _xll.qDateNext($O448,S$17,"M",TRUE,Currency1))</f>
        <v>0</v>
      </c>
      <c r="T448" s="699">
        <f>IF($O449=0,0,        _xll.qDateNext($O448,T$17,"M",TRUE,Currency1))</f>
        <v>0</v>
      </c>
      <c r="U448" s="699">
        <f>IF($O449=0,0,        _xll.qDateNext($O448,U$17,"M",TRUE,Currency1))</f>
        <v>0</v>
      </c>
      <c r="V448" s="699">
        <f>IF($O449=0,0,        _xll.qDateNext($O448,V$17,"M",TRUE,Currency1))</f>
        <v>0</v>
      </c>
      <c r="W448" s="699">
        <f>IF($O449=0,0,        _xll.qDateNext($O448,W$17,"M",TRUE,Currency1))</f>
        <v>0</v>
      </c>
      <c r="X448" s="699">
        <f>IF($O449=0,0,        _xll.qDateNext($O448,X$17,"M",TRUE,Currency1))</f>
        <v>0</v>
      </c>
      <c r="Y448" s="699">
        <f>IF($O449=0,0,        _xll.qDateNext($O448,Y$17,"M",TRUE,Currency1))</f>
        <v>0</v>
      </c>
      <c r="Z448" s="703">
        <f>IF($O449=0,0,           IF(FRM,_xll.qGetFwdRate(Z$14,$O448,R448,"T",DCC_Leg1_Float),_xll.qGetFwdRate(Z$14,$O448,$O449,"T",DCC_Leg1_Float)))</f>
        <v>0</v>
      </c>
      <c r="AA448" s="703">
        <f>IF($O449=0,0,           IF(FRM,_xll.qGetFwdRate(AA$14,$O448,S448,"T",DCC_Leg1_Float),_xll.qGetFwdRate(AA$14,$O448,$O449,"T",DCC_Leg1_Float)))</f>
        <v>0</v>
      </c>
      <c r="AB448" s="703">
        <f t="shared" si="87"/>
        <v>0</v>
      </c>
      <c r="AC448" s="703">
        <f>IF($O449=0,0,           IF(FRM,_xll.qGetFwdRate(AC$14,$O448,U448,"T",DCC_Leg1_Float),_xll.qGetFwdRate(AC$14,$O448,$O449,"T",DCC_Leg1_Float)))</f>
        <v>0</v>
      </c>
      <c r="AD448" s="703">
        <f t="shared" si="92"/>
        <v>0</v>
      </c>
      <c r="AE448" s="703">
        <f t="shared" si="93"/>
        <v>0</v>
      </c>
      <c r="AF448" s="703">
        <f>IF($O449=0,0,           IF(FRM,_xll.qGetFwdRate(AF$14,$O448,X448,"T",DCC_Leg1_Float),_xll.qGetFwdRate(AF$14,$O448,$O449,"T",DCC_Leg1_Float)))</f>
        <v>0</v>
      </c>
      <c r="AG448" s="703">
        <f>IF($O449=0,0,           IF(FRM,_xll.qGetFwdRate(AG$14,$O448,Y448,"T",DCC_Leg1_Float),_xll.qGetFwdRate(AG$14,$O448,$O449,"T",DCC_Leg1_Float)))</f>
        <v>0</v>
      </c>
      <c r="AH448" s="685">
        <v>0</v>
      </c>
      <c r="AI448" s="667"/>
      <c r="AJ448" s="670">
        <f>IF(O449=0,0,             IF(ISNUMBER(AI448),AI448,             IF(ISTEXT(AI448),INDEX(Z448:AG448,MATCH(AI448,$Z$17:$AG$17,0)),           IF(AH448="INT",_xll.qInterp(O449,R448:Y448,Z448:AG448),       INDEX(Z448:AG448,MATCH(AH448,$Z$17:$AG$17,0))))))</f>
        <v>0</v>
      </c>
      <c r="AK448" s="732">
        <v>20</v>
      </c>
      <c r="AL448" s="721">
        <f t="shared" si="88"/>
        <v>0</v>
      </c>
      <c r="AM448" s="284">
        <f>IF($O449,_xll.qDateYears($O448,$O449,DCC_Leg1_Fixed),0)</f>
        <v>0</v>
      </c>
      <c r="AN448" s="284">
        <f>IF($O449,_xll.qDateYears($O448,$O449,DCC_Leg1_Float),0)</f>
        <v>0</v>
      </c>
      <c r="AP448" s="350">
        <f t="shared" si="94"/>
        <v>0</v>
      </c>
      <c r="AQ448" s="375">
        <f>IF(GenType_1a="Fixed",GenRate_1a%*$AL447*AM447,          IF(GenType_1a="Float",$AL447*(_xll.qGetFwdRate($D$18,$O447,$O448,"T",DCC_Leg1_Float)%+GenRate_1a%%)*$AN447,        IF(GenType_1a="bp (Fixed)",GenRate_1a%%*$AM447*$AL447,   IF(GenType_1a="bp (Float)",GenRate_1a%%*$AL447*$AN447,0))))</f>
        <v>0</v>
      </c>
      <c r="AR448" s="561"/>
      <c r="AT448" s="341">
        <f t="shared" si="98"/>
        <v>0</v>
      </c>
      <c r="AV448" s="356"/>
      <c r="AW448" s="122">
        <v>0</v>
      </c>
      <c r="AX448" s="128">
        <f t="shared" si="89"/>
        <v>0</v>
      </c>
      <c r="AY448" s="357">
        <v>0</v>
      </c>
      <c r="AZ448" s="699">
        <f>IF($AW449=0,0,        _xll.qDateNext($AW448,AZ$17,"M",TRUE,Currency2))</f>
        <v>0</v>
      </c>
      <c r="BA448" s="699">
        <f>IF($AW449=0,0,        _xll.qDateNext($AW448,BA$17,"M",TRUE,Currency2))</f>
        <v>0</v>
      </c>
      <c r="BB448" s="699">
        <f>IF($AW449=0,0,        _xll.qDateNext($AW448,BB$17,"M",TRUE,Currency2))</f>
        <v>0</v>
      </c>
      <c r="BC448" s="699">
        <f>IF($AW449=0,0,        _xll.qDateNext($AW448,BC$17,"M",TRUE,Currency2))</f>
        <v>0</v>
      </c>
      <c r="BD448" s="699">
        <f>IF($AW449=0,0,        _xll.qDateNext($AW448,BD$17,"M",TRUE,Currency2))</f>
        <v>0</v>
      </c>
      <c r="BE448" s="699">
        <f>IF($AW449=0,0,        _xll.qDateNext($AW448,BE$17,"M",TRUE,Currency2))</f>
        <v>0</v>
      </c>
      <c r="BF448" s="699">
        <f>IF($AW449=0,0,        _xll.qDateNext($AW448,BF$17,"M",TRUE,Currency2))</f>
        <v>0</v>
      </c>
      <c r="BG448" s="699">
        <f>IF($AW449=0,0,        _xll.qDateNext($AW448,BG$17,"M",TRUE,Currency2))</f>
        <v>0</v>
      </c>
      <c r="BH448" s="703">
        <v>0</v>
      </c>
      <c r="BI448" s="703">
        <v>0</v>
      </c>
      <c r="BJ448" s="703">
        <v>0</v>
      </c>
      <c r="BK448" s="703">
        <v>0</v>
      </c>
      <c r="BL448" s="703">
        <f t="shared" si="95"/>
        <v>0</v>
      </c>
      <c r="BM448" s="703">
        <f t="shared" si="96"/>
        <v>0</v>
      </c>
      <c r="BN448" s="703">
        <v>0</v>
      </c>
      <c r="BO448" s="703">
        <v>0</v>
      </c>
      <c r="BP448" s="685">
        <v>0</v>
      </c>
      <c r="BQ448" s="667"/>
      <c r="BR448" s="670">
        <f>IF(AW449=0,0,             IF(ISNUMBER(BQ448),BQ448,             IF(ISTEXT(BQ448),INDEX(BH448:BO448,MATCH(BQ448,$BH$17:$BO$17,0)),           IF(BP448="INT",_xll.qInterp(AW449,AZ448:BG448,BH448:BO448),       INDEX(BH448:BO448,MATCH(BP448,$BH$17:$BO$17,0))))))</f>
        <v>0</v>
      </c>
      <c r="BS448" s="731">
        <f t="shared" si="90"/>
        <v>0</v>
      </c>
      <c r="BT448" s="406">
        <f t="shared" si="91"/>
        <v>0</v>
      </c>
      <c r="BU448" s="284">
        <f>IF($AW449,_xll.qDateYears($AW448,$AW449,DCC_Leg2_Fixed),0)</f>
        <v>0</v>
      </c>
      <c r="BV448" s="284">
        <f>IF($AW449,_xll.qDateYears($AW448,$AW449,DCC_Leg2_Float),0)</f>
        <v>0</v>
      </c>
      <c r="BX448" s="350">
        <f t="shared" si="97"/>
        <v>0</v>
      </c>
      <c r="BY448" s="375">
        <f>IF(GenType_2a="Fixed",GenRate_2a%*$BT447*BU447,          IF(GenType_2a="Float",$BT447*(_xll.qGetFwdRate($J$18,$AW447,$AW448,"T",DCC_Leg2_Float)%+GenRate_2a%%)*$BV447,        IF(GenType_2a="bp (Fixed)",GenRate_2a%%*$BU447*$BT447,   IF(GenType_2a="bp (Float)",GenRate_2a%%*$BT447*$BV447,0))))</f>
        <v>0</v>
      </c>
      <c r="BZ448" s="561"/>
      <c r="CB448" s="341">
        <f t="shared" si="99"/>
        <v>0</v>
      </c>
      <c r="CC448" s="563"/>
      <c r="CD448" s="356"/>
      <c r="CE448" s="341">
        <v>0</v>
      </c>
      <c r="CF448" s="563"/>
      <c r="CG448" s="356"/>
    </row>
    <row r="449" spans="15:85">
      <c r="O449" s="122">
        <v>0</v>
      </c>
      <c r="P449" s="128">
        <f t="shared" si="86"/>
        <v>0</v>
      </c>
      <c r="Q449" s="126">
        <v>0</v>
      </c>
      <c r="R449" s="699">
        <f>IF($O450=0,0,        _xll.qDateNext($O449,R$17,"M",TRUE,Currency1))</f>
        <v>0</v>
      </c>
      <c r="S449" s="699">
        <f>IF($O450=0,0,        _xll.qDateNext($O449,S$17,"M",TRUE,Currency1))</f>
        <v>0</v>
      </c>
      <c r="T449" s="699">
        <f>IF($O450=0,0,        _xll.qDateNext($O449,T$17,"M",TRUE,Currency1))</f>
        <v>0</v>
      </c>
      <c r="U449" s="699">
        <f>IF($O450=0,0,        _xll.qDateNext($O449,U$17,"M",TRUE,Currency1))</f>
        <v>0</v>
      </c>
      <c r="V449" s="699">
        <f>IF($O450=0,0,        _xll.qDateNext($O449,V$17,"M",TRUE,Currency1))</f>
        <v>0</v>
      </c>
      <c r="W449" s="699">
        <f>IF($O450=0,0,        _xll.qDateNext($O449,W$17,"M",TRUE,Currency1))</f>
        <v>0</v>
      </c>
      <c r="X449" s="699">
        <f>IF($O450=0,0,        _xll.qDateNext($O449,X$17,"M",TRUE,Currency1))</f>
        <v>0</v>
      </c>
      <c r="Y449" s="699">
        <f>IF($O450=0,0,        _xll.qDateNext($O449,Y$17,"M",TRUE,Currency1))</f>
        <v>0</v>
      </c>
      <c r="Z449" s="703">
        <f>IF($O450=0,0,           IF(FRM,_xll.qGetFwdRate(Z$14,$O449,R449,"T",DCC_Leg1_Float),_xll.qGetFwdRate(Z$14,$O449,$O450,"T",DCC_Leg1_Float)))</f>
        <v>0</v>
      </c>
      <c r="AA449" s="703">
        <f>IF($O450=0,0,           IF(FRM,_xll.qGetFwdRate(AA$14,$O449,S449,"T",DCC_Leg1_Float),_xll.qGetFwdRate(AA$14,$O449,$O450,"T",DCC_Leg1_Float)))</f>
        <v>0</v>
      </c>
      <c r="AB449" s="703">
        <f t="shared" si="87"/>
        <v>0</v>
      </c>
      <c r="AC449" s="703">
        <f>IF($O450=0,0,           IF(FRM,_xll.qGetFwdRate(AC$14,$O449,U449,"T",DCC_Leg1_Float),_xll.qGetFwdRate(AC$14,$O449,$O450,"T",DCC_Leg1_Float)))</f>
        <v>0</v>
      </c>
      <c r="AD449" s="703">
        <f t="shared" si="92"/>
        <v>0</v>
      </c>
      <c r="AE449" s="703">
        <f t="shared" si="93"/>
        <v>0</v>
      </c>
      <c r="AF449" s="703">
        <f>IF($O450=0,0,           IF(FRM,_xll.qGetFwdRate(AF$14,$O449,X449,"T",DCC_Leg1_Float),_xll.qGetFwdRate(AF$14,$O449,$O450,"T",DCC_Leg1_Float)))</f>
        <v>0</v>
      </c>
      <c r="AG449" s="703">
        <f>IF($O450=0,0,           IF(FRM,_xll.qGetFwdRate(AG$14,$O449,Y449,"T",DCC_Leg1_Float),_xll.qGetFwdRate(AG$14,$O449,$O450,"T",DCC_Leg1_Float)))</f>
        <v>0</v>
      </c>
      <c r="AH449" s="685">
        <v>0</v>
      </c>
      <c r="AI449" s="667"/>
      <c r="AJ449" s="670">
        <f>IF(O450=0,0,             IF(ISNUMBER(AI449),AI449,             IF(ISTEXT(AI449),INDEX(Z449:AG449,MATCH(AI449,$Z$17:$AG$17,0)),           IF(AH449="INT",_xll.qInterp(O450,R449:Y449,Z449:AG449),       INDEX(Z449:AG449,MATCH(AH449,$Z$17:$AG$17,0))))))</f>
        <v>0</v>
      </c>
      <c r="AK449" s="732">
        <v>20</v>
      </c>
      <c r="AL449" s="721">
        <f t="shared" si="88"/>
        <v>0</v>
      </c>
      <c r="AM449" s="284">
        <f>IF($O450,_xll.qDateYears($O449,$O450,DCC_Leg1_Fixed),0)</f>
        <v>0</v>
      </c>
      <c r="AN449" s="284">
        <f>IF($O450,_xll.qDateYears($O449,$O450,DCC_Leg1_Float),0)</f>
        <v>0</v>
      </c>
      <c r="AP449" s="350">
        <f t="shared" si="94"/>
        <v>0</v>
      </c>
      <c r="AQ449" s="375">
        <f>IF(GenType_1a="Fixed",GenRate_1a%*$AL448*AM448,          IF(GenType_1a="Float",$AL448*(_xll.qGetFwdRate($D$18,$O448,$O449,"T",DCC_Leg1_Float)%+GenRate_1a%%)*$AN448,        IF(GenType_1a="bp (Fixed)",GenRate_1a%%*$AM448*$AL448,   IF(GenType_1a="bp (Float)",GenRate_1a%%*$AL448*$AN448,0))))</f>
        <v>0</v>
      </c>
      <c r="AR449" s="561"/>
      <c r="AT449" s="341">
        <f t="shared" si="98"/>
        <v>0</v>
      </c>
      <c r="AV449" s="356"/>
      <c r="AW449" s="122">
        <v>0</v>
      </c>
      <c r="AX449" s="128">
        <f t="shared" si="89"/>
        <v>0</v>
      </c>
      <c r="AY449" s="357">
        <v>0</v>
      </c>
      <c r="AZ449" s="699">
        <f>IF($AW450=0,0,        _xll.qDateNext($AW449,AZ$17,"M",TRUE,Currency2))</f>
        <v>0</v>
      </c>
      <c r="BA449" s="699">
        <f>IF($AW450=0,0,        _xll.qDateNext($AW449,BA$17,"M",TRUE,Currency2))</f>
        <v>0</v>
      </c>
      <c r="BB449" s="699">
        <f>IF($AW450=0,0,        _xll.qDateNext($AW449,BB$17,"M",TRUE,Currency2))</f>
        <v>0</v>
      </c>
      <c r="BC449" s="699">
        <f>IF($AW450=0,0,        _xll.qDateNext($AW449,BC$17,"M",TRUE,Currency2))</f>
        <v>0</v>
      </c>
      <c r="BD449" s="699">
        <f>IF($AW450=0,0,        _xll.qDateNext($AW449,BD$17,"M",TRUE,Currency2))</f>
        <v>0</v>
      </c>
      <c r="BE449" s="699">
        <f>IF($AW450=0,0,        _xll.qDateNext($AW449,BE$17,"M",TRUE,Currency2))</f>
        <v>0</v>
      </c>
      <c r="BF449" s="699">
        <f>IF($AW450=0,0,        _xll.qDateNext($AW449,BF$17,"M",TRUE,Currency2))</f>
        <v>0</v>
      </c>
      <c r="BG449" s="699">
        <f>IF($AW450=0,0,        _xll.qDateNext($AW449,BG$17,"M",TRUE,Currency2))</f>
        <v>0</v>
      </c>
      <c r="BH449" s="703">
        <v>0</v>
      </c>
      <c r="BI449" s="703">
        <v>0</v>
      </c>
      <c r="BJ449" s="703">
        <v>0</v>
      </c>
      <c r="BK449" s="703">
        <v>0</v>
      </c>
      <c r="BL449" s="703">
        <f t="shared" si="95"/>
        <v>0</v>
      </c>
      <c r="BM449" s="703">
        <f t="shared" si="96"/>
        <v>0</v>
      </c>
      <c r="BN449" s="703">
        <v>0</v>
      </c>
      <c r="BO449" s="703">
        <v>0</v>
      </c>
      <c r="BP449" s="685">
        <v>0</v>
      </c>
      <c r="BQ449" s="667"/>
      <c r="BR449" s="670">
        <f>IF(AW450=0,0,             IF(ISNUMBER(BQ449),BQ449,             IF(ISTEXT(BQ449),INDEX(BH449:BO449,MATCH(BQ449,$BH$17:$BO$17,0)),           IF(BP449="INT",_xll.qInterp(AW450,AZ449:BG449,BH449:BO449),       INDEX(BH449:BO449,MATCH(BP449,$BH$17:$BO$17,0))))))</f>
        <v>0</v>
      </c>
      <c r="BS449" s="731">
        <f t="shared" si="90"/>
        <v>0</v>
      </c>
      <c r="BT449" s="406">
        <f t="shared" si="91"/>
        <v>0</v>
      </c>
      <c r="BU449" s="284">
        <f>IF($AW450,_xll.qDateYears($AW449,$AW450,DCC_Leg2_Fixed),0)</f>
        <v>0</v>
      </c>
      <c r="BV449" s="284">
        <f>IF($AW450,_xll.qDateYears($AW449,$AW450,DCC_Leg2_Float),0)</f>
        <v>0</v>
      </c>
      <c r="BX449" s="350">
        <f t="shared" si="97"/>
        <v>0</v>
      </c>
      <c r="BY449" s="375">
        <f>IF(GenType_2a="Fixed",GenRate_2a%*$BT448*BU448,          IF(GenType_2a="Float",$BT448*(_xll.qGetFwdRate($J$18,$AW448,$AW449,"T",DCC_Leg2_Float)%+GenRate_2a%%)*$BV448,        IF(GenType_2a="bp (Fixed)",GenRate_2a%%*$BU448*$BT448,   IF(GenType_2a="bp (Float)",GenRate_2a%%*$BT448*$BV448,0))))</f>
        <v>0</v>
      </c>
      <c r="BZ449" s="561"/>
      <c r="CB449" s="341">
        <f t="shared" si="99"/>
        <v>0</v>
      </c>
      <c r="CC449" s="563"/>
      <c r="CD449" s="356"/>
      <c r="CE449" s="341">
        <v>0</v>
      </c>
      <c r="CF449" s="563"/>
      <c r="CG449" s="356"/>
    </row>
    <row r="450" spans="15:85">
      <c r="O450" s="122">
        <v>0</v>
      </c>
      <c r="P450" s="128">
        <f t="shared" si="86"/>
        <v>0</v>
      </c>
      <c r="Q450" s="126">
        <v>0</v>
      </c>
      <c r="R450" s="699">
        <f>IF($O451=0,0,        _xll.qDateNext($O450,R$17,"M",TRUE,Currency1))</f>
        <v>0</v>
      </c>
      <c r="S450" s="699">
        <f>IF($O451=0,0,        _xll.qDateNext($O450,S$17,"M",TRUE,Currency1))</f>
        <v>0</v>
      </c>
      <c r="T450" s="699">
        <f>IF($O451=0,0,        _xll.qDateNext($O450,T$17,"M",TRUE,Currency1))</f>
        <v>0</v>
      </c>
      <c r="U450" s="699">
        <f>IF($O451=0,0,        _xll.qDateNext($O450,U$17,"M",TRUE,Currency1))</f>
        <v>0</v>
      </c>
      <c r="V450" s="699">
        <f>IF($O451=0,0,        _xll.qDateNext($O450,V$17,"M",TRUE,Currency1))</f>
        <v>0</v>
      </c>
      <c r="W450" s="699">
        <f>IF($O451=0,0,        _xll.qDateNext($O450,W$17,"M",TRUE,Currency1))</f>
        <v>0</v>
      </c>
      <c r="X450" s="699">
        <f>IF($O451=0,0,        _xll.qDateNext($O450,X$17,"M",TRUE,Currency1))</f>
        <v>0</v>
      </c>
      <c r="Y450" s="699">
        <f>IF($O451=0,0,        _xll.qDateNext($O450,Y$17,"M",TRUE,Currency1))</f>
        <v>0</v>
      </c>
      <c r="Z450" s="703">
        <f>IF($O451=0,0,           IF(FRM,_xll.qGetFwdRate(Z$14,$O450,R450,"T",DCC_Leg1_Float),_xll.qGetFwdRate(Z$14,$O450,$O451,"T",DCC_Leg1_Float)))</f>
        <v>0</v>
      </c>
      <c r="AA450" s="703">
        <f>IF($O451=0,0,           IF(FRM,_xll.qGetFwdRate(AA$14,$O450,S450,"T",DCC_Leg1_Float),_xll.qGetFwdRate(AA$14,$O450,$O451,"T",DCC_Leg1_Float)))</f>
        <v>0</v>
      </c>
      <c r="AB450" s="703">
        <f t="shared" si="87"/>
        <v>0</v>
      </c>
      <c r="AC450" s="703">
        <f>IF($O451=0,0,           IF(FRM,_xll.qGetFwdRate(AC$14,$O450,U450,"T",DCC_Leg1_Float),_xll.qGetFwdRate(AC$14,$O450,$O451,"T",DCC_Leg1_Float)))</f>
        <v>0</v>
      </c>
      <c r="AD450" s="703">
        <f t="shared" si="92"/>
        <v>0</v>
      </c>
      <c r="AE450" s="703">
        <f t="shared" si="93"/>
        <v>0</v>
      </c>
      <c r="AF450" s="703">
        <f>IF($O451=0,0,           IF(FRM,_xll.qGetFwdRate(AF$14,$O450,X450,"T",DCC_Leg1_Float),_xll.qGetFwdRate(AF$14,$O450,$O451,"T",DCC_Leg1_Float)))</f>
        <v>0</v>
      </c>
      <c r="AG450" s="703">
        <f>IF($O451=0,0,           IF(FRM,_xll.qGetFwdRate(AG$14,$O450,Y450,"T",DCC_Leg1_Float),_xll.qGetFwdRate(AG$14,$O450,$O451,"T",DCC_Leg1_Float)))</f>
        <v>0</v>
      </c>
      <c r="AH450" s="685">
        <v>0</v>
      </c>
      <c r="AI450" s="667"/>
      <c r="AJ450" s="670">
        <f>IF(O451=0,0,             IF(ISNUMBER(AI450),AI450,             IF(ISTEXT(AI450),INDEX(Z450:AG450,MATCH(AI450,$Z$17:$AG$17,0)),           IF(AH450="INT",_xll.qInterp(O451,R450:Y450,Z450:AG450),       INDEX(Z450:AG450,MATCH(AH450,$Z$17:$AG$17,0))))))</f>
        <v>0</v>
      </c>
      <c r="AK450" s="732">
        <v>20</v>
      </c>
      <c r="AL450" s="721">
        <f t="shared" si="88"/>
        <v>0</v>
      </c>
      <c r="AM450" s="284">
        <f>IF($O451,_xll.qDateYears($O450,$O451,DCC_Leg1_Fixed),0)</f>
        <v>0</v>
      </c>
      <c r="AN450" s="284">
        <f>IF($O451,_xll.qDateYears($O450,$O451,DCC_Leg1_Float),0)</f>
        <v>0</v>
      </c>
      <c r="AP450" s="350">
        <f t="shared" si="94"/>
        <v>0</v>
      </c>
      <c r="AQ450" s="375">
        <f>IF(GenType_1a="Fixed",GenRate_1a%*$AL449*AM449,          IF(GenType_1a="Float",$AL449*(_xll.qGetFwdRate($D$18,$O449,$O450,"T",DCC_Leg1_Float)%+GenRate_1a%%)*$AN449,        IF(GenType_1a="bp (Fixed)",GenRate_1a%%*$AM449*$AL449,   IF(GenType_1a="bp (Float)",GenRate_1a%%*$AL449*$AN449,0))))</f>
        <v>0</v>
      </c>
      <c r="AR450" s="561"/>
      <c r="AT450" s="341">
        <f t="shared" si="98"/>
        <v>0</v>
      </c>
      <c r="AV450" s="356"/>
      <c r="AW450" s="122">
        <v>0</v>
      </c>
      <c r="AX450" s="128">
        <f t="shared" si="89"/>
        <v>0</v>
      </c>
      <c r="AY450" s="357">
        <v>0</v>
      </c>
      <c r="AZ450" s="699">
        <f>IF($AW451=0,0,        _xll.qDateNext($AW450,AZ$17,"M",TRUE,Currency2))</f>
        <v>0</v>
      </c>
      <c r="BA450" s="699">
        <f>IF($AW451=0,0,        _xll.qDateNext($AW450,BA$17,"M",TRUE,Currency2))</f>
        <v>0</v>
      </c>
      <c r="BB450" s="699">
        <f>IF($AW451=0,0,        _xll.qDateNext($AW450,BB$17,"M",TRUE,Currency2))</f>
        <v>0</v>
      </c>
      <c r="BC450" s="699">
        <f>IF($AW451=0,0,        _xll.qDateNext($AW450,BC$17,"M",TRUE,Currency2))</f>
        <v>0</v>
      </c>
      <c r="BD450" s="699">
        <f>IF($AW451=0,0,        _xll.qDateNext($AW450,BD$17,"M",TRUE,Currency2))</f>
        <v>0</v>
      </c>
      <c r="BE450" s="699">
        <f>IF($AW451=0,0,        _xll.qDateNext($AW450,BE$17,"M",TRUE,Currency2))</f>
        <v>0</v>
      </c>
      <c r="BF450" s="699">
        <f>IF($AW451=0,0,        _xll.qDateNext($AW450,BF$17,"M",TRUE,Currency2))</f>
        <v>0</v>
      </c>
      <c r="BG450" s="699">
        <f>IF($AW451=0,0,        _xll.qDateNext($AW450,BG$17,"M",TRUE,Currency2))</f>
        <v>0</v>
      </c>
      <c r="BH450" s="703">
        <v>0</v>
      </c>
      <c r="BI450" s="703">
        <v>0</v>
      </c>
      <c r="BJ450" s="703">
        <v>0</v>
      </c>
      <c r="BK450" s="703">
        <v>0</v>
      </c>
      <c r="BL450" s="703">
        <f t="shared" si="95"/>
        <v>0</v>
      </c>
      <c r="BM450" s="703">
        <f t="shared" si="96"/>
        <v>0</v>
      </c>
      <c r="BN450" s="703">
        <v>0</v>
      </c>
      <c r="BO450" s="703">
        <v>0</v>
      </c>
      <c r="BP450" s="685">
        <v>0</v>
      </c>
      <c r="BQ450" s="667"/>
      <c r="BR450" s="670">
        <f>IF(AW451=0,0,             IF(ISNUMBER(BQ450),BQ450,             IF(ISTEXT(BQ450),INDEX(BH450:BO450,MATCH(BQ450,$BH$17:$BO$17,0)),           IF(BP450="INT",_xll.qInterp(AW451,AZ450:BG450,BH450:BO450),       INDEX(BH450:BO450,MATCH(BP450,$BH$17:$BO$17,0))))))</f>
        <v>0</v>
      </c>
      <c r="BS450" s="731">
        <f t="shared" si="90"/>
        <v>0</v>
      </c>
      <c r="BT450" s="406">
        <f t="shared" si="91"/>
        <v>0</v>
      </c>
      <c r="BU450" s="284">
        <f>IF($AW451,_xll.qDateYears($AW450,$AW451,DCC_Leg2_Fixed),0)</f>
        <v>0</v>
      </c>
      <c r="BV450" s="284">
        <f>IF($AW451,_xll.qDateYears($AW450,$AW451,DCC_Leg2_Float),0)</f>
        <v>0</v>
      </c>
      <c r="BX450" s="350">
        <f t="shared" si="97"/>
        <v>0</v>
      </c>
      <c r="BY450" s="375">
        <f>IF(GenType_2a="Fixed",GenRate_2a%*$BT449*BU449,          IF(GenType_2a="Float",$BT449*(_xll.qGetFwdRate($J$18,$AW449,$AW450,"T",DCC_Leg2_Float)%+GenRate_2a%%)*$BV449,        IF(GenType_2a="bp (Fixed)",GenRate_2a%%*$BU449*$BT449,   IF(GenType_2a="bp (Float)",GenRate_2a%%*$BT449*$BV449,0))))</f>
        <v>0</v>
      </c>
      <c r="BZ450" s="561"/>
      <c r="CB450" s="341">
        <f t="shared" si="99"/>
        <v>0</v>
      </c>
      <c r="CC450" s="563"/>
      <c r="CD450" s="356"/>
      <c r="CE450" s="341">
        <v>0</v>
      </c>
      <c r="CF450" s="563"/>
      <c r="CG450" s="356"/>
    </row>
    <row r="451" spans="15:85">
      <c r="O451" s="122">
        <v>0</v>
      </c>
      <c r="P451" s="128">
        <f t="shared" si="86"/>
        <v>0</v>
      </c>
      <c r="Q451" s="126">
        <v>0</v>
      </c>
      <c r="R451" s="699">
        <f>IF($O452=0,0,        _xll.qDateNext($O451,R$17,"M",TRUE,Currency1))</f>
        <v>0</v>
      </c>
      <c r="S451" s="699">
        <f>IF($O452=0,0,        _xll.qDateNext($O451,S$17,"M",TRUE,Currency1))</f>
        <v>0</v>
      </c>
      <c r="T451" s="699">
        <f>IF($O452=0,0,        _xll.qDateNext($O451,T$17,"M",TRUE,Currency1))</f>
        <v>0</v>
      </c>
      <c r="U451" s="699">
        <f>IF($O452=0,0,        _xll.qDateNext($O451,U$17,"M",TRUE,Currency1))</f>
        <v>0</v>
      </c>
      <c r="V451" s="699">
        <f>IF($O452=0,0,        _xll.qDateNext($O451,V$17,"M",TRUE,Currency1))</f>
        <v>0</v>
      </c>
      <c r="W451" s="699">
        <f>IF($O452=0,0,        _xll.qDateNext($O451,W$17,"M",TRUE,Currency1))</f>
        <v>0</v>
      </c>
      <c r="X451" s="699">
        <f>IF($O452=0,0,        _xll.qDateNext($O451,X$17,"M",TRUE,Currency1))</f>
        <v>0</v>
      </c>
      <c r="Y451" s="699">
        <f>IF($O452=0,0,        _xll.qDateNext($O451,Y$17,"M",TRUE,Currency1))</f>
        <v>0</v>
      </c>
      <c r="Z451" s="703">
        <f>IF($O452=0,0,           IF(FRM,_xll.qGetFwdRate(Z$14,$O451,R451,"T",DCC_Leg1_Float),_xll.qGetFwdRate(Z$14,$O451,$O452,"T",DCC_Leg1_Float)))</f>
        <v>0</v>
      </c>
      <c r="AA451" s="703">
        <f>IF($O452=0,0,           IF(FRM,_xll.qGetFwdRate(AA$14,$O451,S451,"T",DCC_Leg1_Float),_xll.qGetFwdRate(AA$14,$O451,$O452,"T",DCC_Leg1_Float)))</f>
        <v>0</v>
      </c>
      <c r="AB451" s="703">
        <f t="shared" si="87"/>
        <v>0</v>
      </c>
      <c r="AC451" s="703">
        <f>IF($O452=0,0,           IF(FRM,_xll.qGetFwdRate(AC$14,$O451,U451,"T",DCC_Leg1_Float),_xll.qGetFwdRate(AC$14,$O451,$O452,"T",DCC_Leg1_Float)))</f>
        <v>0</v>
      </c>
      <c r="AD451" s="703">
        <f t="shared" si="92"/>
        <v>0</v>
      </c>
      <c r="AE451" s="703">
        <f t="shared" si="93"/>
        <v>0</v>
      </c>
      <c r="AF451" s="703">
        <f>IF($O452=0,0,           IF(FRM,_xll.qGetFwdRate(AF$14,$O451,X451,"T",DCC_Leg1_Float),_xll.qGetFwdRate(AF$14,$O451,$O452,"T",DCC_Leg1_Float)))</f>
        <v>0</v>
      </c>
      <c r="AG451" s="703">
        <f>IF($O452=0,0,           IF(FRM,_xll.qGetFwdRate(AG$14,$O451,Y451,"T",DCC_Leg1_Float),_xll.qGetFwdRate(AG$14,$O451,$O452,"T",DCC_Leg1_Float)))</f>
        <v>0</v>
      </c>
      <c r="AH451" s="685">
        <v>0</v>
      </c>
      <c r="AI451" s="667"/>
      <c r="AJ451" s="670">
        <f>IF(O452=0,0,             IF(ISNUMBER(AI451),AI451,             IF(ISTEXT(AI451),INDEX(Z451:AG451,MATCH(AI451,$Z$17:$AG$17,0)),           IF(AH451="INT",_xll.qInterp(O452,R451:Y451,Z451:AG451),       INDEX(Z451:AG451,MATCH(AH451,$Z$17:$AG$17,0))))))</f>
        <v>0</v>
      </c>
      <c r="AK451" s="732">
        <v>20</v>
      </c>
      <c r="AL451" s="721">
        <f t="shared" si="88"/>
        <v>0</v>
      </c>
      <c r="AM451" s="284">
        <f>IF($O452,_xll.qDateYears($O451,$O452,DCC_Leg1_Fixed),0)</f>
        <v>0</v>
      </c>
      <c r="AN451" s="284">
        <f>IF($O452,_xll.qDateYears($O451,$O452,DCC_Leg1_Float),0)</f>
        <v>0</v>
      </c>
      <c r="AP451" s="350">
        <f t="shared" si="94"/>
        <v>0</v>
      </c>
      <c r="AQ451" s="375">
        <f>IF(GenType_1a="Fixed",GenRate_1a%*$AL450*AM450,          IF(GenType_1a="Float",$AL450*(_xll.qGetFwdRate($D$18,$O450,$O451,"T",DCC_Leg1_Float)%+GenRate_1a%%)*$AN450,        IF(GenType_1a="bp (Fixed)",GenRate_1a%%*$AM450*$AL450,   IF(GenType_1a="bp (Float)",GenRate_1a%%*$AL450*$AN450,0))))</f>
        <v>0</v>
      </c>
      <c r="AR451" s="561"/>
      <c r="AT451" s="341">
        <f t="shared" si="98"/>
        <v>0</v>
      </c>
      <c r="AV451" s="356"/>
      <c r="AW451" s="122">
        <v>0</v>
      </c>
      <c r="AX451" s="128">
        <f t="shared" si="89"/>
        <v>0</v>
      </c>
      <c r="AY451" s="357">
        <v>0</v>
      </c>
      <c r="AZ451" s="699">
        <f>IF($AW452=0,0,        _xll.qDateNext($AW451,AZ$17,"M",TRUE,Currency2))</f>
        <v>0</v>
      </c>
      <c r="BA451" s="699">
        <f>IF($AW452=0,0,        _xll.qDateNext($AW451,BA$17,"M",TRUE,Currency2))</f>
        <v>0</v>
      </c>
      <c r="BB451" s="699">
        <f>IF($AW452=0,0,        _xll.qDateNext($AW451,BB$17,"M",TRUE,Currency2))</f>
        <v>0</v>
      </c>
      <c r="BC451" s="699">
        <f>IF($AW452=0,0,        _xll.qDateNext($AW451,BC$17,"M",TRUE,Currency2))</f>
        <v>0</v>
      </c>
      <c r="BD451" s="699">
        <f>IF($AW452=0,0,        _xll.qDateNext($AW451,BD$17,"M",TRUE,Currency2))</f>
        <v>0</v>
      </c>
      <c r="BE451" s="699">
        <f>IF($AW452=0,0,        _xll.qDateNext($AW451,BE$17,"M",TRUE,Currency2))</f>
        <v>0</v>
      </c>
      <c r="BF451" s="699">
        <f>IF($AW452=0,0,        _xll.qDateNext($AW451,BF$17,"M",TRUE,Currency2))</f>
        <v>0</v>
      </c>
      <c r="BG451" s="699">
        <f>IF($AW452=0,0,        _xll.qDateNext($AW451,BG$17,"M",TRUE,Currency2))</f>
        <v>0</v>
      </c>
      <c r="BH451" s="703">
        <v>0</v>
      </c>
      <c r="BI451" s="703">
        <v>0</v>
      </c>
      <c r="BJ451" s="703">
        <v>0</v>
      </c>
      <c r="BK451" s="703">
        <v>0</v>
      </c>
      <c r="BL451" s="703">
        <f t="shared" si="95"/>
        <v>0</v>
      </c>
      <c r="BM451" s="703">
        <f t="shared" si="96"/>
        <v>0</v>
      </c>
      <c r="BN451" s="703">
        <v>0</v>
      </c>
      <c r="BO451" s="703">
        <v>0</v>
      </c>
      <c r="BP451" s="685">
        <v>0</v>
      </c>
      <c r="BQ451" s="667"/>
      <c r="BR451" s="670">
        <f>IF(AW452=0,0,             IF(ISNUMBER(BQ451),BQ451,             IF(ISTEXT(BQ451),INDEX(BH451:BO451,MATCH(BQ451,$BH$17:$BO$17,0)),           IF(BP451="INT",_xll.qInterp(AW452,AZ451:BG451,BH451:BO451),       INDEX(BH451:BO451,MATCH(BP451,$BH$17:$BO$17,0))))))</f>
        <v>0</v>
      </c>
      <c r="BS451" s="731">
        <f t="shared" si="90"/>
        <v>0</v>
      </c>
      <c r="BT451" s="406">
        <f t="shared" si="91"/>
        <v>0</v>
      </c>
      <c r="BU451" s="284">
        <f>IF($AW452,_xll.qDateYears($AW451,$AW452,DCC_Leg2_Fixed),0)</f>
        <v>0</v>
      </c>
      <c r="BV451" s="284">
        <f>IF($AW452,_xll.qDateYears($AW451,$AW452,DCC_Leg2_Float),0)</f>
        <v>0</v>
      </c>
      <c r="BX451" s="350">
        <f t="shared" si="97"/>
        <v>0</v>
      </c>
      <c r="BY451" s="375">
        <f>IF(GenType_2a="Fixed",GenRate_2a%*$BT450*BU450,          IF(GenType_2a="Float",$BT450*(_xll.qGetFwdRate($J$18,$AW450,$AW451,"T",DCC_Leg2_Float)%+GenRate_2a%%)*$BV450,        IF(GenType_2a="bp (Fixed)",GenRate_2a%%*$BU450*$BT450,   IF(GenType_2a="bp (Float)",GenRate_2a%%*$BT450*$BV450,0))))</f>
        <v>0</v>
      </c>
      <c r="BZ451" s="561"/>
      <c r="CB451" s="341">
        <f t="shared" si="99"/>
        <v>0</v>
      </c>
      <c r="CC451" s="563"/>
      <c r="CD451" s="356"/>
      <c r="CE451" s="341">
        <v>0</v>
      </c>
      <c r="CF451" s="563"/>
      <c r="CG451" s="356"/>
    </row>
    <row r="452" spans="15:85">
      <c r="O452" s="122">
        <v>0</v>
      </c>
      <c r="P452" s="128">
        <f t="shared" si="86"/>
        <v>0</v>
      </c>
      <c r="Q452" s="126">
        <v>0</v>
      </c>
      <c r="R452" s="699">
        <f>IF($O453=0,0,        _xll.qDateNext($O452,R$17,"M",TRUE,Currency1))</f>
        <v>0</v>
      </c>
      <c r="S452" s="699">
        <f>IF($O453=0,0,        _xll.qDateNext($O452,S$17,"M",TRUE,Currency1))</f>
        <v>0</v>
      </c>
      <c r="T452" s="699">
        <f>IF($O453=0,0,        _xll.qDateNext($O452,T$17,"M",TRUE,Currency1))</f>
        <v>0</v>
      </c>
      <c r="U452" s="699">
        <f>IF($O453=0,0,        _xll.qDateNext($O452,U$17,"M",TRUE,Currency1))</f>
        <v>0</v>
      </c>
      <c r="V452" s="699">
        <f>IF($O453=0,0,        _xll.qDateNext($O452,V$17,"M",TRUE,Currency1))</f>
        <v>0</v>
      </c>
      <c r="W452" s="699">
        <f>IF($O453=0,0,        _xll.qDateNext($O452,W$17,"M",TRUE,Currency1))</f>
        <v>0</v>
      </c>
      <c r="X452" s="699">
        <f>IF($O453=0,0,        _xll.qDateNext($O452,X$17,"M",TRUE,Currency1))</f>
        <v>0</v>
      </c>
      <c r="Y452" s="699">
        <f>IF($O453=0,0,        _xll.qDateNext($O452,Y$17,"M",TRUE,Currency1))</f>
        <v>0</v>
      </c>
      <c r="Z452" s="703">
        <f>IF($O453=0,0,           IF(FRM,_xll.qGetFwdRate(Z$14,$O452,R452,"T",DCC_Leg1_Float),_xll.qGetFwdRate(Z$14,$O452,$O453,"T",DCC_Leg1_Float)))</f>
        <v>0</v>
      </c>
      <c r="AA452" s="703">
        <f>IF($O453=0,0,           IF(FRM,_xll.qGetFwdRate(AA$14,$O452,S452,"T",DCC_Leg1_Float),_xll.qGetFwdRate(AA$14,$O452,$O453,"T",DCC_Leg1_Float)))</f>
        <v>0</v>
      </c>
      <c r="AB452" s="703">
        <f t="shared" si="87"/>
        <v>0</v>
      </c>
      <c r="AC452" s="703">
        <f>IF($O453=0,0,           IF(FRM,_xll.qGetFwdRate(AC$14,$O452,U452,"T",DCC_Leg1_Float),_xll.qGetFwdRate(AC$14,$O452,$O453,"T",DCC_Leg1_Float)))</f>
        <v>0</v>
      </c>
      <c r="AD452" s="703">
        <f t="shared" si="92"/>
        <v>0</v>
      </c>
      <c r="AE452" s="703">
        <f t="shared" si="93"/>
        <v>0</v>
      </c>
      <c r="AF452" s="703">
        <f>IF($O453=0,0,           IF(FRM,_xll.qGetFwdRate(AF$14,$O452,X452,"T",DCC_Leg1_Float),_xll.qGetFwdRate(AF$14,$O452,$O453,"T",DCC_Leg1_Float)))</f>
        <v>0</v>
      </c>
      <c r="AG452" s="703">
        <f>IF($O453=0,0,           IF(FRM,_xll.qGetFwdRate(AG$14,$O452,Y452,"T",DCC_Leg1_Float),_xll.qGetFwdRate(AG$14,$O452,$O453,"T",DCC_Leg1_Float)))</f>
        <v>0</v>
      </c>
      <c r="AH452" s="685">
        <v>0</v>
      </c>
      <c r="AI452" s="667"/>
      <c r="AJ452" s="670">
        <f>IF(O453=0,0,             IF(ISNUMBER(AI452),AI452,             IF(ISTEXT(AI452),INDEX(Z452:AG452,MATCH(AI452,$Z$17:$AG$17,0)),           IF(AH452="INT",_xll.qInterp(O453,R452:Y452,Z452:AG452),       INDEX(Z452:AG452,MATCH(AH452,$Z$17:$AG$17,0))))))</f>
        <v>0</v>
      </c>
      <c r="AK452" s="732">
        <v>20</v>
      </c>
      <c r="AL452" s="721">
        <f t="shared" si="88"/>
        <v>0</v>
      </c>
      <c r="AM452" s="284">
        <f>IF($O453,_xll.qDateYears($O452,$O453,DCC_Leg1_Fixed),0)</f>
        <v>0</v>
      </c>
      <c r="AN452" s="284">
        <f>IF($O453,_xll.qDateYears($O452,$O453,DCC_Leg1_Float),0)</f>
        <v>0</v>
      </c>
      <c r="AP452" s="350">
        <f t="shared" si="94"/>
        <v>0</v>
      </c>
      <c r="AQ452" s="375">
        <f>IF(GenType_1a="Fixed",GenRate_1a%*$AL451*AM451,          IF(GenType_1a="Float",$AL451*(_xll.qGetFwdRate($D$18,$O451,$O452,"T",DCC_Leg1_Float)%+GenRate_1a%%)*$AN451,        IF(GenType_1a="bp (Fixed)",GenRate_1a%%*$AM451*$AL451,   IF(GenType_1a="bp (Float)",GenRate_1a%%*$AL451*$AN451,0))))</f>
        <v>0</v>
      </c>
      <c r="AR452" s="561"/>
      <c r="AT452" s="341">
        <f t="shared" si="98"/>
        <v>0</v>
      </c>
      <c r="AV452" s="356"/>
      <c r="AW452" s="122">
        <v>0</v>
      </c>
      <c r="AX452" s="128">
        <f t="shared" si="89"/>
        <v>0</v>
      </c>
      <c r="AY452" s="357">
        <v>0</v>
      </c>
      <c r="AZ452" s="699">
        <f>IF($AW453=0,0,        _xll.qDateNext($AW452,AZ$17,"M",TRUE,Currency2))</f>
        <v>0</v>
      </c>
      <c r="BA452" s="699">
        <f>IF($AW453=0,0,        _xll.qDateNext($AW452,BA$17,"M",TRUE,Currency2))</f>
        <v>0</v>
      </c>
      <c r="BB452" s="699">
        <f>IF($AW453=0,0,        _xll.qDateNext($AW452,BB$17,"M",TRUE,Currency2))</f>
        <v>0</v>
      </c>
      <c r="BC452" s="699">
        <f>IF($AW453=0,0,        _xll.qDateNext($AW452,BC$17,"M",TRUE,Currency2))</f>
        <v>0</v>
      </c>
      <c r="BD452" s="699">
        <f>IF($AW453=0,0,        _xll.qDateNext($AW452,BD$17,"M",TRUE,Currency2))</f>
        <v>0</v>
      </c>
      <c r="BE452" s="699">
        <f>IF($AW453=0,0,        _xll.qDateNext($AW452,BE$17,"M",TRUE,Currency2))</f>
        <v>0</v>
      </c>
      <c r="BF452" s="699">
        <f>IF($AW453=0,0,        _xll.qDateNext($AW452,BF$17,"M",TRUE,Currency2))</f>
        <v>0</v>
      </c>
      <c r="BG452" s="699">
        <f>IF($AW453=0,0,        _xll.qDateNext($AW452,BG$17,"M",TRUE,Currency2))</f>
        <v>0</v>
      </c>
      <c r="BH452" s="703">
        <v>0</v>
      </c>
      <c r="BI452" s="703">
        <v>0</v>
      </c>
      <c r="BJ452" s="703">
        <v>0</v>
      </c>
      <c r="BK452" s="703">
        <v>0</v>
      </c>
      <c r="BL452" s="703">
        <f t="shared" si="95"/>
        <v>0</v>
      </c>
      <c r="BM452" s="703">
        <f t="shared" si="96"/>
        <v>0</v>
      </c>
      <c r="BN452" s="703">
        <v>0</v>
      </c>
      <c r="BO452" s="703">
        <v>0</v>
      </c>
      <c r="BP452" s="685">
        <v>0</v>
      </c>
      <c r="BQ452" s="667"/>
      <c r="BR452" s="670">
        <f>IF(AW453=0,0,             IF(ISNUMBER(BQ452),BQ452,             IF(ISTEXT(BQ452),INDEX(BH452:BO452,MATCH(BQ452,$BH$17:$BO$17,0)),           IF(BP452="INT",_xll.qInterp(AW453,AZ452:BG452,BH452:BO452),       INDEX(BH452:BO452,MATCH(BP452,$BH$17:$BO$17,0))))))</f>
        <v>0</v>
      </c>
      <c r="BS452" s="731">
        <f t="shared" si="90"/>
        <v>0</v>
      </c>
      <c r="BT452" s="406">
        <f t="shared" si="91"/>
        <v>0</v>
      </c>
      <c r="BU452" s="284">
        <f>IF($AW453,_xll.qDateYears($AW452,$AW453,DCC_Leg2_Fixed),0)</f>
        <v>0</v>
      </c>
      <c r="BV452" s="284">
        <f>IF($AW453,_xll.qDateYears($AW452,$AW453,DCC_Leg2_Float),0)</f>
        <v>0</v>
      </c>
      <c r="BX452" s="350">
        <f t="shared" si="97"/>
        <v>0</v>
      </c>
      <c r="BY452" s="375">
        <f>IF(GenType_2a="Fixed",GenRate_2a%*$BT451*BU451,          IF(GenType_2a="Float",$BT451*(_xll.qGetFwdRate($J$18,$AW451,$AW452,"T",DCC_Leg2_Float)%+GenRate_2a%%)*$BV451,        IF(GenType_2a="bp (Fixed)",GenRate_2a%%*$BU451*$BT451,   IF(GenType_2a="bp (Float)",GenRate_2a%%*$BT451*$BV451,0))))</f>
        <v>0</v>
      </c>
      <c r="BZ452" s="561"/>
      <c r="CB452" s="341">
        <f t="shared" si="99"/>
        <v>0</v>
      </c>
      <c r="CC452" s="563"/>
      <c r="CD452" s="356"/>
      <c r="CE452" s="341">
        <v>0</v>
      </c>
      <c r="CF452" s="563"/>
      <c r="CG452" s="356"/>
    </row>
    <row r="453" spans="15:85">
      <c r="O453" s="122">
        <v>0</v>
      </c>
      <c r="P453" s="128">
        <f t="shared" si="86"/>
        <v>0</v>
      </c>
      <c r="Q453" s="126">
        <v>0</v>
      </c>
      <c r="R453" s="699">
        <f>IF($O454=0,0,        _xll.qDateNext($O453,R$17,"M",TRUE,Currency1))</f>
        <v>0</v>
      </c>
      <c r="S453" s="699">
        <f>IF($O454=0,0,        _xll.qDateNext($O453,S$17,"M",TRUE,Currency1))</f>
        <v>0</v>
      </c>
      <c r="T453" s="699">
        <f>IF($O454=0,0,        _xll.qDateNext($O453,T$17,"M",TRUE,Currency1))</f>
        <v>0</v>
      </c>
      <c r="U453" s="699">
        <f>IF($O454=0,0,        _xll.qDateNext($O453,U$17,"M",TRUE,Currency1))</f>
        <v>0</v>
      </c>
      <c r="V453" s="699">
        <f>IF($O454=0,0,        _xll.qDateNext($O453,V$17,"M",TRUE,Currency1))</f>
        <v>0</v>
      </c>
      <c r="W453" s="699">
        <f>IF($O454=0,0,        _xll.qDateNext($O453,W$17,"M",TRUE,Currency1))</f>
        <v>0</v>
      </c>
      <c r="X453" s="699">
        <f>IF($O454=0,0,        _xll.qDateNext($O453,X$17,"M",TRUE,Currency1))</f>
        <v>0</v>
      </c>
      <c r="Y453" s="699">
        <f>IF($O454=0,0,        _xll.qDateNext($O453,Y$17,"M",TRUE,Currency1))</f>
        <v>0</v>
      </c>
      <c r="Z453" s="703">
        <f>IF($O454=0,0,           IF(FRM,_xll.qGetFwdRate(Z$14,$O453,R453,"T",DCC_Leg1_Float),_xll.qGetFwdRate(Z$14,$O453,$O454,"T",DCC_Leg1_Float)))</f>
        <v>0</v>
      </c>
      <c r="AA453" s="703">
        <f>IF($O454=0,0,           IF(FRM,_xll.qGetFwdRate(AA$14,$O453,S453,"T",DCC_Leg1_Float),_xll.qGetFwdRate(AA$14,$O453,$O454,"T",DCC_Leg1_Float)))</f>
        <v>0</v>
      </c>
      <c r="AB453" s="703">
        <f t="shared" si="87"/>
        <v>0</v>
      </c>
      <c r="AC453" s="703">
        <f>IF($O454=0,0,           IF(FRM,_xll.qGetFwdRate(AC$14,$O453,U453,"T",DCC_Leg1_Float),_xll.qGetFwdRate(AC$14,$O453,$O454,"T",DCC_Leg1_Float)))</f>
        <v>0</v>
      </c>
      <c r="AD453" s="703">
        <f t="shared" si="92"/>
        <v>0</v>
      </c>
      <c r="AE453" s="703">
        <f t="shared" si="93"/>
        <v>0</v>
      </c>
      <c r="AF453" s="703">
        <f>IF($O454=0,0,           IF(FRM,_xll.qGetFwdRate(AF$14,$O453,X453,"T",DCC_Leg1_Float),_xll.qGetFwdRate(AF$14,$O453,$O454,"T",DCC_Leg1_Float)))</f>
        <v>0</v>
      </c>
      <c r="AG453" s="703">
        <f>IF($O454=0,0,           IF(FRM,_xll.qGetFwdRate(AG$14,$O453,Y453,"T",DCC_Leg1_Float),_xll.qGetFwdRate(AG$14,$O453,$O454,"T",DCC_Leg1_Float)))</f>
        <v>0</v>
      </c>
      <c r="AH453" s="685">
        <v>0</v>
      </c>
      <c r="AI453" s="667"/>
      <c r="AJ453" s="670">
        <f>IF(O454=0,0,             IF(ISNUMBER(AI453),AI453,             IF(ISTEXT(AI453),INDEX(Z453:AG453,MATCH(AI453,$Z$17:$AG$17,0)),           IF(AH453="INT",_xll.qInterp(O454,R453:Y453,Z453:AG453),       INDEX(Z453:AG453,MATCH(AH453,$Z$17:$AG$17,0))))))</f>
        <v>0</v>
      </c>
      <c r="AK453" s="732">
        <v>20</v>
      </c>
      <c r="AL453" s="721">
        <f t="shared" si="88"/>
        <v>0</v>
      </c>
      <c r="AM453" s="284">
        <f>IF($O454,_xll.qDateYears($O453,$O454,DCC_Leg1_Fixed),0)</f>
        <v>0</v>
      </c>
      <c r="AN453" s="284">
        <f>IF($O454,_xll.qDateYears($O453,$O454,DCC_Leg1_Float),0)</f>
        <v>0</v>
      </c>
      <c r="AP453" s="350">
        <f t="shared" si="94"/>
        <v>0</v>
      </c>
      <c r="AQ453" s="375">
        <f>IF(GenType_1a="Fixed",GenRate_1a%*$AL452*AM452,          IF(GenType_1a="Float",$AL452*(_xll.qGetFwdRate($D$18,$O452,$O453,"T",DCC_Leg1_Float)%+GenRate_1a%%)*$AN452,        IF(GenType_1a="bp (Fixed)",GenRate_1a%%*$AM452*$AL452,   IF(GenType_1a="bp (Float)",GenRate_1a%%*$AL452*$AN452,0))))</f>
        <v>0</v>
      </c>
      <c r="AR453" s="561"/>
      <c r="AT453" s="341">
        <f t="shared" si="98"/>
        <v>0</v>
      </c>
      <c r="AV453" s="356"/>
      <c r="AW453" s="122">
        <v>0</v>
      </c>
      <c r="AX453" s="128">
        <f t="shared" si="89"/>
        <v>0</v>
      </c>
      <c r="AY453" s="357">
        <v>0</v>
      </c>
      <c r="AZ453" s="699">
        <f>IF($AW454=0,0,        _xll.qDateNext($AW453,AZ$17,"M",TRUE,Currency2))</f>
        <v>0</v>
      </c>
      <c r="BA453" s="699">
        <f>IF($AW454=0,0,        _xll.qDateNext($AW453,BA$17,"M",TRUE,Currency2))</f>
        <v>0</v>
      </c>
      <c r="BB453" s="699">
        <f>IF($AW454=0,0,        _xll.qDateNext($AW453,BB$17,"M",TRUE,Currency2))</f>
        <v>0</v>
      </c>
      <c r="BC453" s="699">
        <f>IF($AW454=0,0,        _xll.qDateNext($AW453,BC$17,"M",TRUE,Currency2))</f>
        <v>0</v>
      </c>
      <c r="BD453" s="699">
        <f>IF($AW454=0,0,        _xll.qDateNext($AW453,BD$17,"M",TRUE,Currency2))</f>
        <v>0</v>
      </c>
      <c r="BE453" s="699">
        <f>IF($AW454=0,0,        _xll.qDateNext($AW453,BE$17,"M",TRUE,Currency2))</f>
        <v>0</v>
      </c>
      <c r="BF453" s="699">
        <f>IF($AW454=0,0,        _xll.qDateNext($AW453,BF$17,"M",TRUE,Currency2))</f>
        <v>0</v>
      </c>
      <c r="BG453" s="699">
        <f>IF($AW454=0,0,        _xll.qDateNext($AW453,BG$17,"M",TRUE,Currency2))</f>
        <v>0</v>
      </c>
      <c r="BH453" s="703">
        <v>0</v>
      </c>
      <c r="BI453" s="703">
        <v>0</v>
      </c>
      <c r="BJ453" s="703">
        <v>0</v>
      </c>
      <c r="BK453" s="703">
        <v>0</v>
      </c>
      <c r="BL453" s="703">
        <f t="shared" si="95"/>
        <v>0</v>
      </c>
      <c r="BM453" s="703">
        <f t="shared" si="96"/>
        <v>0</v>
      </c>
      <c r="BN453" s="703">
        <v>0</v>
      </c>
      <c r="BO453" s="703">
        <v>0</v>
      </c>
      <c r="BP453" s="685">
        <v>0</v>
      </c>
      <c r="BQ453" s="667"/>
      <c r="BR453" s="670">
        <f>IF(AW454=0,0,             IF(ISNUMBER(BQ453),BQ453,             IF(ISTEXT(BQ453),INDEX(BH453:BO453,MATCH(BQ453,$BH$17:$BO$17,0)),           IF(BP453="INT",_xll.qInterp(AW454,AZ453:BG453,BH453:BO453),       INDEX(BH453:BO453,MATCH(BP453,$BH$17:$BO$17,0))))))</f>
        <v>0</v>
      </c>
      <c r="BS453" s="731">
        <f t="shared" si="90"/>
        <v>0</v>
      </c>
      <c r="BT453" s="406">
        <f t="shared" si="91"/>
        <v>0</v>
      </c>
      <c r="BU453" s="284">
        <f>IF($AW454,_xll.qDateYears($AW453,$AW454,DCC_Leg2_Fixed),0)</f>
        <v>0</v>
      </c>
      <c r="BV453" s="284">
        <f>IF($AW454,_xll.qDateYears($AW453,$AW454,DCC_Leg2_Float),0)</f>
        <v>0</v>
      </c>
      <c r="BX453" s="350">
        <f t="shared" si="97"/>
        <v>0</v>
      </c>
      <c r="BY453" s="375">
        <f>IF(GenType_2a="Fixed",GenRate_2a%*$BT452*BU452,          IF(GenType_2a="Float",$BT452*(_xll.qGetFwdRate($J$18,$AW452,$AW453,"T",DCC_Leg2_Float)%+GenRate_2a%%)*$BV452,        IF(GenType_2a="bp (Fixed)",GenRate_2a%%*$BU452*$BT452,   IF(GenType_2a="bp (Float)",GenRate_2a%%*$BT452*$BV452,0))))</f>
        <v>0</v>
      </c>
      <c r="BZ453" s="561"/>
      <c r="CB453" s="341">
        <f t="shared" si="99"/>
        <v>0</v>
      </c>
      <c r="CC453" s="563"/>
      <c r="CD453" s="356"/>
      <c r="CE453" s="341">
        <v>0</v>
      </c>
      <c r="CF453" s="563"/>
      <c r="CG453" s="356"/>
    </row>
    <row r="454" spans="15:85">
      <c r="O454" s="122">
        <v>0</v>
      </c>
      <c r="P454" s="128">
        <f t="shared" si="86"/>
        <v>0</v>
      </c>
      <c r="Q454" s="126">
        <v>0</v>
      </c>
      <c r="R454" s="699">
        <f>IF($O455=0,0,        _xll.qDateNext($O454,R$17,"M",TRUE,Currency1))</f>
        <v>0</v>
      </c>
      <c r="S454" s="699">
        <f>IF($O455=0,0,        _xll.qDateNext($O454,S$17,"M",TRUE,Currency1))</f>
        <v>0</v>
      </c>
      <c r="T454" s="699">
        <f>IF($O455=0,0,        _xll.qDateNext($O454,T$17,"M",TRUE,Currency1))</f>
        <v>0</v>
      </c>
      <c r="U454" s="699">
        <f>IF($O455=0,0,        _xll.qDateNext($O454,U$17,"M",TRUE,Currency1))</f>
        <v>0</v>
      </c>
      <c r="V454" s="699">
        <f>IF($O455=0,0,        _xll.qDateNext($O454,V$17,"M",TRUE,Currency1))</f>
        <v>0</v>
      </c>
      <c r="W454" s="699">
        <f>IF($O455=0,0,        _xll.qDateNext($O454,W$17,"M",TRUE,Currency1))</f>
        <v>0</v>
      </c>
      <c r="X454" s="699">
        <f>IF($O455=0,0,        _xll.qDateNext($O454,X$17,"M",TRUE,Currency1))</f>
        <v>0</v>
      </c>
      <c r="Y454" s="699">
        <f>IF($O455=0,0,        _xll.qDateNext($O454,Y$17,"M",TRUE,Currency1))</f>
        <v>0</v>
      </c>
      <c r="Z454" s="703">
        <f>IF($O455=0,0,           IF(FRM,_xll.qGetFwdRate(Z$14,$O454,R454,"T",DCC_Leg1_Float),_xll.qGetFwdRate(Z$14,$O454,$O455,"T",DCC_Leg1_Float)))</f>
        <v>0</v>
      </c>
      <c r="AA454" s="703">
        <f>IF($O455=0,0,           IF(FRM,_xll.qGetFwdRate(AA$14,$O454,S454,"T",DCC_Leg1_Float),_xll.qGetFwdRate(AA$14,$O454,$O455,"T",DCC_Leg1_Float)))</f>
        <v>0</v>
      </c>
      <c r="AB454" s="703">
        <f t="shared" si="87"/>
        <v>0</v>
      </c>
      <c r="AC454" s="703">
        <f>IF($O455=0,0,           IF(FRM,_xll.qGetFwdRate(AC$14,$O454,U454,"T",DCC_Leg1_Float),_xll.qGetFwdRate(AC$14,$O454,$O455,"T",DCC_Leg1_Float)))</f>
        <v>0</v>
      </c>
      <c r="AD454" s="703">
        <f t="shared" si="92"/>
        <v>0</v>
      </c>
      <c r="AE454" s="703">
        <f t="shared" si="93"/>
        <v>0</v>
      </c>
      <c r="AF454" s="703">
        <f>IF($O455=0,0,           IF(FRM,_xll.qGetFwdRate(AF$14,$O454,X454,"T",DCC_Leg1_Float),_xll.qGetFwdRate(AF$14,$O454,$O455,"T",DCC_Leg1_Float)))</f>
        <v>0</v>
      </c>
      <c r="AG454" s="703">
        <f>IF($O455=0,0,           IF(FRM,_xll.qGetFwdRate(AG$14,$O454,Y454,"T",DCC_Leg1_Float),_xll.qGetFwdRate(AG$14,$O454,$O455,"T",DCC_Leg1_Float)))</f>
        <v>0</v>
      </c>
      <c r="AH454" s="685">
        <v>0</v>
      </c>
      <c r="AI454" s="667"/>
      <c r="AJ454" s="670">
        <f>IF(O455=0,0,             IF(ISNUMBER(AI454),AI454,             IF(ISTEXT(AI454),INDEX(Z454:AG454,MATCH(AI454,$Z$17:$AG$17,0)),           IF(AH454="INT",_xll.qInterp(O455,R454:Y454,Z454:AG454),       INDEX(Z454:AG454,MATCH(AH454,$Z$17:$AG$17,0))))))</f>
        <v>0</v>
      </c>
      <c r="AK454" s="732">
        <v>20</v>
      </c>
      <c r="AL454" s="721">
        <f t="shared" si="88"/>
        <v>0</v>
      </c>
      <c r="AM454" s="284">
        <f>IF($O455,_xll.qDateYears($O454,$O455,DCC_Leg1_Fixed),0)</f>
        <v>0</v>
      </c>
      <c r="AN454" s="284">
        <f>IF($O455,_xll.qDateYears($O454,$O455,DCC_Leg1_Float),0)</f>
        <v>0</v>
      </c>
      <c r="AP454" s="350">
        <f t="shared" si="94"/>
        <v>0</v>
      </c>
      <c r="AQ454" s="375">
        <f>IF(GenType_1a="Fixed",GenRate_1a%*$AL453*AM453,          IF(GenType_1a="Float",$AL453*(_xll.qGetFwdRate($D$18,$O453,$O454,"T",DCC_Leg1_Float)%+GenRate_1a%%)*$AN453,        IF(GenType_1a="bp (Fixed)",GenRate_1a%%*$AM453*$AL453,   IF(GenType_1a="bp (Float)",GenRate_1a%%*$AL453*$AN453,0))))</f>
        <v>0</v>
      </c>
      <c r="AR454" s="561"/>
      <c r="AT454" s="341">
        <f t="shared" si="98"/>
        <v>0</v>
      </c>
      <c r="AV454" s="356"/>
      <c r="AW454" s="122">
        <v>0</v>
      </c>
      <c r="AX454" s="128">
        <f t="shared" si="89"/>
        <v>0</v>
      </c>
      <c r="AY454" s="357">
        <v>0</v>
      </c>
      <c r="AZ454" s="699">
        <f>IF($AW455=0,0,        _xll.qDateNext($AW454,AZ$17,"M",TRUE,Currency2))</f>
        <v>0</v>
      </c>
      <c r="BA454" s="699">
        <f>IF($AW455=0,0,        _xll.qDateNext($AW454,BA$17,"M",TRUE,Currency2))</f>
        <v>0</v>
      </c>
      <c r="BB454" s="699">
        <f>IF($AW455=0,0,        _xll.qDateNext($AW454,BB$17,"M",TRUE,Currency2))</f>
        <v>0</v>
      </c>
      <c r="BC454" s="699">
        <f>IF($AW455=0,0,        _xll.qDateNext($AW454,BC$17,"M",TRUE,Currency2))</f>
        <v>0</v>
      </c>
      <c r="BD454" s="699">
        <f>IF($AW455=0,0,        _xll.qDateNext($AW454,BD$17,"M",TRUE,Currency2))</f>
        <v>0</v>
      </c>
      <c r="BE454" s="699">
        <f>IF($AW455=0,0,        _xll.qDateNext($AW454,BE$17,"M",TRUE,Currency2))</f>
        <v>0</v>
      </c>
      <c r="BF454" s="699">
        <f>IF($AW455=0,0,        _xll.qDateNext($AW454,BF$17,"M",TRUE,Currency2))</f>
        <v>0</v>
      </c>
      <c r="BG454" s="699">
        <f>IF($AW455=0,0,        _xll.qDateNext($AW454,BG$17,"M",TRUE,Currency2))</f>
        <v>0</v>
      </c>
      <c r="BH454" s="703">
        <v>0</v>
      </c>
      <c r="BI454" s="703">
        <v>0</v>
      </c>
      <c r="BJ454" s="703">
        <v>0</v>
      </c>
      <c r="BK454" s="703">
        <v>0</v>
      </c>
      <c r="BL454" s="703">
        <f t="shared" si="95"/>
        <v>0</v>
      </c>
      <c r="BM454" s="703">
        <f t="shared" si="96"/>
        <v>0</v>
      </c>
      <c r="BN454" s="703">
        <v>0</v>
      </c>
      <c r="BO454" s="703">
        <v>0</v>
      </c>
      <c r="BP454" s="685">
        <v>0</v>
      </c>
      <c r="BQ454" s="667"/>
      <c r="BR454" s="670">
        <f>IF(AW455=0,0,             IF(ISNUMBER(BQ454),BQ454,             IF(ISTEXT(BQ454),INDEX(BH454:BO454,MATCH(BQ454,$BH$17:$BO$17,0)),           IF(BP454="INT",_xll.qInterp(AW455,AZ454:BG454,BH454:BO454),       INDEX(BH454:BO454,MATCH(BP454,$BH$17:$BO$17,0))))))</f>
        <v>0</v>
      </c>
      <c r="BS454" s="731">
        <f t="shared" si="90"/>
        <v>0</v>
      </c>
      <c r="BT454" s="406">
        <f t="shared" si="91"/>
        <v>0</v>
      </c>
      <c r="BU454" s="284">
        <f>IF($AW455,_xll.qDateYears($AW454,$AW455,DCC_Leg2_Fixed),0)</f>
        <v>0</v>
      </c>
      <c r="BV454" s="284">
        <f>IF($AW455,_xll.qDateYears($AW454,$AW455,DCC_Leg2_Float),0)</f>
        <v>0</v>
      </c>
      <c r="BX454" s="350">
        <f t="shared" si="97"/>
        <v>0</v>
      </c>
      <c r="BY454" s="375">
        <f>IF(GenType_2a="Fixed",GenRate_2a%*$BT453*BU453,          IF(GenType_2a="Float",$BT453*(_xll.qGetFwdRate($J$18,$AW453,$AW454,"T",DCC_Leg2_Float)%+GenRate_2a%%)*$BV453,        IF(GenType_2a="bp (Fixed)",GenRate_2a%%*$BU453*$BT453,   IF(GenType_2a="bp (Float)",GenRate_2a%%*$BT453*$BV453,0))))</f>
        <v>0</v>
      </c>
      <c r="BZ454" s="561"/>
      <c r="CB454" s="341">
        <f t="shared" si="99"/>
        <v>0</v>
      </c>
      <c r="CC454" s="563"/>
      <c r="CD454" s="356"/>
      <c r="CE454" s="341">
        <v>0</v>
      </c>
      <c r="CF454" s="563"/>
      <c r="CG454" s="356"/>
    </row>
    <row r="455" spans="15:85">
      <c r="O455" s="122">
        <v>0</v>
      </c>
      <c r="P455" s="128">
        <f t="shared" si="86"/>
        <v>0</v>
      </c>
      <c r="Q455" s="126">
        <v>0</v>
      </c>
      <c r="R455" s="699">
        <f>IF($O456=0,0,        _xll.qDateNext($O455,R$17,"M",TRUE,Currency1))</f>
        <v>0</v>
      </c>
      <c r="S455" s="699">
        <f>IF($O456=0,0,        _xll.qDateNext($O455,S$17,"M",TRUE,Currency1))</f>
        <v>0</v>
      </c>
      <c r="T455" s="699">
        <f>IF($O456=0,0,        _xll.qDateNext($O455,T$17,"M",TRUE,Currency1))</f>
        <v>0</v>
      </c>
      <c r="U455" s="699">
        <f>IF($O456=0,0,        _xll.qDateNext($O455,U$17,"M",TRUE,Currency1))</f>
        <v>0</v>
      </c>
      <c r="V455" s="699">
        <f>IF($O456=0,0,        _xll.qDateNext($O455,V$17,"M",TRUE,Currency1))</f>
        <v>0</v>
      </c>
      <c r="W455" s="699">
        <f>IF($O456=0,0,        _xll.qDateNext($O455,W$17,"M",TRUE,Currency1))</f>
        <v>0</v>
      </c>
      <c r="X455" s="699">
        <f>IF($O456=0,0,        _xll.qDateNext($O455,X$17,"M",TRUE,Currency1))</f>
        <v>0</v>
      </c>
      <c r="Y455" s="699">
        <f>IF($O456=0,0,        _xll.qDateNext($O455,Y$17,"M",TRUE,Currency1))</f>
        <v>0</v>
      </c>
      <c r="Z455" s="703">
        <f>IF($O456=0,0,           IF(FRM,_xll.qGetFwdRate(Z$14,$O455,R455,"T",DCC_Leg1_Float),_xll.qGetFwdRate(Z$14,$O455,$O456,"T",DCC_Leg1_Float)))</f>
        <v>0</v>
      </c>
      <c r="AA455" s="703">
        <f>IF($O456=0,0,           IF(FRM,_xll.qGetFwdRate(AA$14,$O455,S455,"T",DCC_Leg1_Float),_xll.qGetFwdRate(AA$14,$O455,$O456,"T",DCC_Leg1_Float)))</f>
        <v>0</v>
      </c>
      <c r="AB455" s="703">
        <f t="shared" si="87"/>
        <v>0</v>
      </c>
      <c r="AC455" s="703">
        <f>IF($O456=0,0,           IF(FRM,_xll.qGetFwdRate(AC$14,$O455,U455,"T",DCC_Leg1_Float),_xll.qGetFwdRate(AC$14,$O455,$O456,"T",DCC_Leg1_Float)))</f>
        <v>0</v>
      </c>
      <c r="AD455" s="703">
        <f t="shared" si="92"/>
        <v>0</v>
      </c>
      <c r="AE455" s="703">
        <f t="shared" si="93"/>
        <v>0</v>
      </c>
      <c r="AF455" s="703">
        <f>IF($O456=0,0,           IF(FRM,_xll.qGetFwdRate(AF$14,$O455,X455,"T",DCC_Leg1_Float),_xll.qGetFwdRate(AF$14,$O455,$O456,"T",DCC_Leg1_Float)))</f>
        <v>0</v>
      </c>
      <c r="AG455" s="703">
        <f>IF($O456=0,0,           IF(FRM,_xll.qGetFwdRate(AG$14,$O455,Y455,"T",DCC_Leg1_Float),_xll.qGetFwdRate(AG$14,$O455,$O456,"T",DCC_Leg1_Float)))</f>
        <v>0</v>
      </c>
      <c r="AH455" s="685">
        <v>0</v>
      </c>
      <c r="AI455" s="667"/>
      <c r="AJ455" s="670">
        <f>IF(O456=0,0,             IF(ISNUMBER(AI455),AI455,             IF(ISTEXT(AI455),INDEX(Z455:AG455,MATCH(AI455,$Z$17:$AG$17,0)),           IF(AH455="INT",_xll.qInterp(O456,R455:Y455,Z455:AG455),       INDEX(Z455:AG455,MATCH(AH455,$Z$17:$AG$17,0))))))</f>
        <v>0</v>
      </c>
      <c r="AK455" s="732">
        <v>20</v>
      </c>
      <c r="AL455" s="721">
        <f t="shared" si="88"/>
        <v>0</v>
      </c>
      <c r="AM455" s="284">
        <f>IF($O456,_xll.qDateYears($O455,$O456,DCC_Leg1_Fixed),0)</f>
        <v>0</v>
      </c>
      <c r="AN455" s="284">
        <f>IF($O456,_xll.qDateYears($O455,$O456,DCC_Leg1_Float),0)</f>
        <v>0</v>
      </c>
      <c r="AP455" s="350">
        <f t="shared" si="94"/>
        <v>0</v>
      </c>
      <c r="AQ455" s="375">
        <f>IF(GenType_1a="Fixed",GenRate_1a%*$AL454*AM454,          IF(GenType_1a="Float",$AL454*(_xll.qGetFwdRate($D$18,$O454,$O455,"T",DCC_Leg1_Float)%+GenRate_1a%%)*$AN454,        IF(GenType_1a="bp (Fixed)",GenRate_1a%%*$AM454*$AL454,   IF(GenType_1a="bp (Float)",GenRate_1a%%*$AL454*$AN454,0))))</f>
        <v>0</v>
      </c>
      <c r="AR455" s="561"/>
      <c r="AT455" s="341">
        <f t="shared" si="98"/>
        <v>0</v>
      </c>
      <c r="AV455" s="356"/>
      <c r="AW455" s="122">
        <v>0</v>
      </c>
      <c r="AX455" s="128">
        <f t="shared" si="89"/>
        <v>0</v>
      </c>
      <c r="AY455" s="357">
        <v>0</v>
      </c>
      <c r="AZ455" s="699">
        <f>IF($AW456=0,0,        _xll.qDateNext($AW455,AZ$17,"M",TRUE,Currency2))</f>
        <v>0</v>
      </c>
      <c r="BA455" s="699">
        <f>IF($AW456=0,0,        _xll.qDateNext($AW455,BA$17,"M",TRUE,Currency2))</f>
        <v>0</v>
      </c>
      <c r="BB455" s="699">
        <f>IF($AW456=0,0,        _xll.qDateNext($AW455,BB$17,"M",TRUE,Currency2))</f>
        <v>0</v>
      </c>
      <c r="BC455" s="699">
        <f>IF($AW456=0,0,        _xll.qDateNext($AW455,BC$17,"M",TRUE,Currency2))</f>
        <v>0</v>
      </c>
      <c r="BD455" s="699">
        <f>IF($AW456=0,0,        _xll.qDateNext($AW455,BD$17,"M",TRUE,Currency2))</f>
        <v>0</v>
      </c>
      <c r="BE455" s="699">
        <f>IF($AW456=0,0,        _xll.qDateNext($AW455,BE$17,"M",TRUE,Currency2))</f>
        <v>0</v>
      </c>
      <c r="BF455" s="699">
        <f>IF($AW456=0,0,        _xll.qDateNext($AW455,BF$17,"M",TRUE,Currency2))</f>
        <v>0</v>
      </c>
      <c r="BG455" s="699">
        <f>IF($AW456=0,0,        _xll.qDateNext($AW455,BG$17,"M",TRUE,Currency2))</f>
        <v>0</v>
      </c>
      <c r="BH455" s="703">
        <v>0</v>
      </c>
      <c r="BI455" s="703">
        <v>0</v>
      </c>
      <c r="BJ455" s="703">
        <v>0</v>
      </c>
      <c r="BK455" s="703">
        <v>0</v>
      </c>
      <c r="BL455" s="703">
        <f t="shared" si="95"/>
        <v>0</v>
      </c>
      <c r="BM455" s="703">
        <f t="shared" si="96"/>
        <v>0</v>
      </c>
      <c r="BN455" s="703">
        <v>0</v>
      </c>
      <c r="BO455" s="703">
        <v>0</v>
      </c>
      <c r="BP455" s="685">
        <v>0</v>
      </c>
      <c r="BQ455" s="667"/>
      <c r="BR455" s="670">
        <f>IF(AW456=0,0,             IF(ISNUMBER(BQ455),BQ455,             IF(ISTEXT(BQ455),INDEX(BH455:BO455,MATCH(BQ455,$BH$17:$BO$17,0)),           IF(BP455="INT",_xll.qInterp(AW456,AZ455:BG455,BH455:BO455),       INDEX(BH455:BO455,MATCH(BP455,$BH$17:$BO$17,0))))))</f>
        <v>0</v>
      </c>
      <c r="BS455" s="731">
        <f t="shared" si="90"/>
        <v>0</v>
      </c>
      <c r="BT455" s="406">
        <f t="shared" si="91"/>
        <v>0</v>
      </c>
      <c r="BU455" s="284">
        <f>IF($AW456,_xll.qDateYears($AW455,$AW456,DCC_Leg2_Fixed),0)</f>
        <v>0</v>
      </c>
      <c r="BV455" s="284">
        <f>IF($AW456,_xll.qDateYears($AW455,$AW456,DCC_Leg2_Float),0)</f>
        <v>0</v>
      </c>
      <c r="BX455" s="350">
        <f t="shared" si="97"/>
        <v>0</v>
      </c>
      <c r="BY455" s="375">
        <f>IF(GenType_2a="Fixed",GenRate_2a%*$BT454*BU454,          IF(GenType_2a="Float",$BT454*(_xll.qGetFwdRate($J$18,$AW454,$AW455,"T",DCC_Leg2_Float)%+GenRate_2a%%)*$BV454,        IF(GenType_2a="bp (Fixed)",GenRate_2a%%*$BU454*$BT454,   IF(GenType_2a="bp (Float)",GenRate_2a%%*$BT454*$BV454,0))))</f>
        <v>0</v>
      </c>
      <c r="BZ455" s="561"/>
      <c r="CB455" s="341">
        <f t="shared" si="99"/>
        <v>0</v>
      </c>
      <c r="CC455" s="563"/>
      <c r="CD455" s="356"/>
      <c r="CE455" s="341">
        <v>0</v>
      </c>
      <c r="CF455" s="563"/>
      <c r="CG455" s="356"/>
    </row>
    <row r="456" spans="15:85">
      <c r="O456" s="122">
        <v>0</v>
      </c>
      <c r="P456" s="128">
        <f t="shared" si="86"/>
        <v>0</v>
      </c>
      <c r="Q456" s="126">
        <v>0</v>
      </c>
      <c r="R456" s="699">
        <f>IF($O457=0,0,        _xll.qDateNext($O456,R$17,"M",TRUE,Currency1))</f>
        <v>0</v>
      </c>
      <c r="S456" s="699">
        <f>IF($O457=0,0,        _xll.qDateNext($O456,S$17,"M",TRUE,Currency1))</f>
        <v>0</v>
      </c>
      <c r="T456" s="699">
        <f>IF($O457=0,0,        _xll.qDateNext($O456,T$17,"M",TRUE,Currency1))</f>
        <v>0</v>
      </c>
      <c r="U456" s="699">
        <f>IF($O457=0,0,        _xll.qDateNext($O456,U$17,"M",TRUE,Currency1))</f>
        <v>0</v>
      </c>
      <c r="V456" s="699">
        <f>IF($O457=0,0,        _xll.qDateNext($O456,V$17,"M",TRUE,Currency1))</f>
        <v>0</v>
      </c>
      <c r="W456" s="699">
        <f>IF($O457=0,0,        _xll.qDateNext($O456,W$17,"M",TRUE,Currency1))</f>
        <v>0</v>
      </c>
      <c r="X456" s="699">
        <f>IF($O457=0,0,        _xll.qDateNext($O456,X$17,"M",TRUE,Currency1))</f>
        <v>0</v>
      </c>
      <c r="Y456" s="699">
        <f>IF($O457=0,0,        _xll.qDateNext($O456,Y$17,"M",TRUE,Currency1))</f>
        <v>0</v>
      </c>
      <c r="Z456" s="703">
        <f>IF($O457=0,0,           IF(FRM,_xll.qGetFwdRate(Z$14,$O456,R456,"T",DCC_Leg1_Float),_xll.qGetFwdRate(Z$14,$O456,$O457,"T",DCC_Leg1_Float)))</f>
        <v>0</v>
      </c>
      <c r="AA456" s="703">
        <f>IF($O457=0,0,           IF(FRM,_xll.qGetFwdRate(AA$14,$O456,S456,"T",DCC_Leg1_Float),_xll.qGetFwdRate(AA$14,$O456,$O457,"T",DCC_Leg1_Float)))</f>
        <v>0</v>
      </c>
      <c r="AB456" s="703">
        <f t="shared" si="87"/>
        <v>0</v>
      </c>
      <c r="AC456" s="703">
        <f>IF($O457=0,0,           IF(FRM,_xll.qGetFwdRate(AC$14,$O456,U456,"T",DCC_Leg1_Float),_xll.qGetFwdRate(AC$14,$O456,$O457,"T",DCC_Leg1_Float)))</f>
        <v>0</v>
      </c>
      <c r="AD456" s="703">
        <f t="shared" si="92"/>
        <v>0</v>
      </c>
      <c r="AE456" s="703">
        <f t="shared" si="93"/>
        <v>0</v>
      </c>
      <c r="AF456" s="703">
        <f>IF($O457=0,0,           IF(FRM,_xll.qGetFwdRate(AF$14,$O456,X456,"T",DCC_Leg1_Float),_xll.qGetFwdRate(AF$14,$O456,$O457,"T",DCC_Leg1_Float)))</f>
        <v>0</v>
      </c>
      <c r="AG456" s="703">
        <f>IF($O457=0,0,           IF(FRM,_xll.qGetFwdRate(AG$14,$O456,Y456,"T",DCC_Leg1_Float),_xll.qGetFwdRate(AG$14,$O456,$O457,"T",DCC_Leg1_Float)))</f>
        <v>0</v>
      </c>
      <c r="AH456" s="685">
        <v>0</v>
      </c>
      <c r="AI456" s="667"/>
      <c r="AJ456" s="670">
        <f>IF(O457=0,0,             IF(ISNUMBER(AI456),AI456,             IF(ISTEXT(AI456),INDEX(Z456:AG456,MATCH(AI456,$Z$17:$AG$17,0)),           IF(AH456="INT",_xll.qInterp(O457,R456:Y456,Z456:AG456),       INDEX(Z456:AG456,MATCH(AH456,$Z$17:$AG$17,0))))))</f>
        <v>0</v>
      </c>
      <c r="AK456" s="732">
        <v>20</v>
      </c>
      <c r="AL456" s="721">
        <f t="shared" si="88"/>
        <v>0</v>
      </c>
      <c r="AM456" s="284">
        <f>IF($O457,_xll.qDateYears($O456,$O457,DCC_Leg1_Fixed),0)</f>
        <v>0</v>
      </c>
      <c r="AN456" s="284">
        <f>IF($O457,_xll.qDateYears($O456,$O457,DCC_Leg1_Float),0)</f>
        <v>0</v>
      </c>
      <c r="AP456" s="350">
        <f t="shared" si="94"/>
        <v>0</v>
      </c>
      <c r="AQ456" s="375">
        <f>IF(GenType_1a="Fixed",GenRate_1a%*$AL455*AM455,          IF(GenType_1a="Float",$AL455*(_xll.qGetFwdRate($D$18,$O455,$O456,"T",DCC_Leg1_Float)%+GenRate_1a%%)*$AN455,        IF(GenType_1a="bp (Fixed)",GenRate_1a%%*$AM455*$AL455,   IF(GenType_1a="bp (Float)",GenRate_1a%%*$AL455*$AN455,0))))</f>
        <v>0</v>
      </c>
      <c r="AR456" s="561"/>
      <c r="AT456" s="341">
        <f t="shared" si="98"/>
        <v>0</v>
      </c>
      <c r="AV456" s="356"/>
      <c r="AW456" s="122">
        <v>0</v>
      </c>
      <c r="AX456" s="128">
        <f t="shared" si="89"/>
        <v>0</v>
      </c>
      <c r="AY456" s="357">
        <v>0</v>
      </c>
      <c r="AZ456" s="699">
        <f>IF($AW457=0,0,        _xll.qDateNext($AW456,AZ$17,"M",TRUE,Currency2))</f>
        <v>0</v>
      </c>
      <c r="BA456" s="699">
        <f>IF($AW457=0,0,        _xll.qDateNext($AW456,BA$17,"M",TRUE,Currency2))</f>
        <v>0</v>
      </c>
      <c r="BB456" s="699">
        <f>IF($AW457=0,0,        _xll.qDateNext($AW456,BB$17,"M",TRUE,Currency2))</f>
        <v>0</v>
      </c>
      <c r="BC456" s="699">
        <f>IF($AW457=0,0,        _xll.qDateNext($AW456,BC$17,"M",TRUE,Currency2))</f>
        <v>0</v>
      </c>
      <c r="BD456" s="699">
        <f>IF($AW457=0,0,        _xll.qDateNext($AW456,BD$17,"M",TRUE,Currency2))</f>
        <v>0</v>
      </c>
      <c r="BE456" s="699">
        <f>IF($AW457=0,0,        _xll.qDateNext($AW456,BE$17,"M",TRUE,Currency2))</f>
        <v>0</v>
      </c>
      <c r="BF456" s="699">
        <f>IF($AW457=0,0,        _xll.qDateNext($AW456,BF$17,"M",TRUE,Currency2))</f>
        <v>0</v>
      </c>
      <c r="BG456" s="699">
        <f>IF($AW457=0,0,        _xll.qDateNext($AW456,BG$17,"M",TRUE,Currency2))</f>
        <v>0</v>
      </c>
      <c r="BH456" s="703">
        <v>0</v>
      </c>
      <c r="BI456" s="703">
        <v>0</v>
      </c>
      <c r="BJ456" s="703">
        <v>0</v>
      </c>
      <c r="BK456" s="703">
        <v>0</v>
      </c>
      <c r="BL456" s="703">
        <f t="shared" si="95"/>
        <v>0</v>
      </c>
      <c r="BM456" s="703">
        <f t="shared" si="96"/>
        <v>0</v>
      </c>
      <c r="BN456" s="703">
        <v>0</v>
      </c>
      <c r="BO456" s="703">
        <v>0</v>
      </c>
      <c r="BP456" s="685">
        <v>0</v>
      </c>
      <c r="BQ456" s="667"/>
      <c r="BR456" s="670">
        <f>IF(AW457=0,0,             IF(ISNUMBER(BQ456),BQ456,             IF(ISTEXT(BQ456),INDEX(BH456:BO456,MATCH(BQ456,$BH$17:$BO$17,0)),           IF(BP456="INT",_xll.qInterp(AW457,AZ456:BG456,BH456:BO456),       INDEX(BH456:BO456,MATCH(BP456,$BH$17:$BO$17,0))))))</f>
        <v>0</v>
      </c>
      <c r="BS456" s="731">
        <f t="shared" si="90"/>
        <v>0</v>
      </c>
      <c r="BT456" s="406">
        <f t="shared" si="91"/>
        <v>0</v>
      </c>
      <c r="BU456" s="284">
        <f>IF($AW457,_xll.qDateYears($AW456,$AW457,DCC_Leg2_Fixed),0)</f>
        <v>0</v>
      </c>
      <c r="BV456" s="284">
        <f>IF($AW457,_xll.qDateYears($AW456,$AW457,DCC_Leg2_Float),0)</f>
        <v>0</v>
      </c>
      <c r="BX456" s="350">
        <f t="shared" si="97"/>
        <v>0</v>
      </c>
      <c r="BY456" s="375">
        <f>IF(GenType_2a="Fixed",GenRate_2a%*$BT455*BU455,          IF(GenType_2a="Float",$BT455*(_xll.qGetFwdRate($J$18,$AW455,$AW456,"T",DCC_Leg2_Float)%+GenRate_2a%%)*$BV455,        IF(GenType_2a="bp (Fixed)",GenRate_2a%%*$BU455*$BT455,   IF(GenType_2a="bp (Float)",GenRate_2a%%*$BT455*$BV455,0))))</f>
        <v>0</v>
      </c>
      <c r="BZ456" s="561"/>
      <c r="CB456" s="341">
        <f t="shared" si="99"/>
        <v>0</v>
      </c>
      <c r="CC456" s="563"/>
      <c r="CD456" s="356"/>
      <c r="CE456" s="341">
        <v>0</v>
      </c>
      <c r="CF456" s="563"/>
      <c r="CG456" s="356"/>
    </row>
    <row r="457" spans="15:85">
      <c r="O457" s="122">
        <v>0</v>
      </c>
      <c r="P457" s="128">
        <f t="shared" si="86"/>
        <v>0</v>
      </c>
      <c r="Q457" s="126">
        <v>0</v>
      </c>
      <c r="R457" s="699">
        <f>IF($O458=0,0,        _xll.qDateNext($O457,R$17,"M",TRUE,Currency1))</f>
        <v>0</v>
      </c>
      <c r="S457" s="699">
        <f>IF($O458=0,0,        _xll.qDateNext($O457,S$17,"M",TRUE,Currency1))</f>
        <v>0</v>
      </c>
      <c r="T457" s="699">
        <f>IF($O458=0,0,        _xll.qDateNext($O457,T$17,"M",TRUE,Currency1))</f>
        <v>0</v>
      </c>
      <c r="U457" s="699">
        <f>IF($O458=0,0,        _xll.qDateNext($O457,U$17,"M",TRUE,Currency1))</f>
        <v>0</v>
      </c>
      <c r="V457" s="699">
        <f>IF($O458=0,0,        _xll.qDateNext($O457,V$17,"M",TRUE,Currency1))</f>
        <v>0</v>
      </c>
      <c r="W457" s="699">
        <f>IF($O458=0,0,        _xll.qDateNext($O457,W$17,"M",TRUE,Currency1))</f>
        <v>0</v>
      </c>
      <c r="X457" s="699">
        <f>IF($O458=0,0,        _xll.qDateNext($O457,X$17,"M",TRUE,Currency1))</f>
        <v>0</v>
      </c>
      <c r="Y457" s="699">
        <f>IF($O458=0,0,        _xll.qDateNext($O457,Y$17,"M",TRUE,Currency1))</f>
        <v>0</v>
      </c>
      <c r="Z457" s="703">
        <f>IF($O458=0,0,           IF(FRM,_xll.qGetFwdRate(Z$14,$O457,R457,"T",DCC_Leg1_Float),_xll.qGetFwdRate(Z$14,$O457,$O458,"T",DCC_Leg1_Float)))</f>
        <v>0</v>
      </c>
      <c r="AA457" s="703">
        <f>IF($O458=0,0,           IF(FRM,_xll.qGetFwdRate(AA$14,$O457,S457,"T",DCC_Leg1_Float),_xll.qGetFwdRate(AA$14,$O457,$O458,"T",DCC_Leg1_Float)))</f>
        <v>0</v>
      </c>
      <c r="AB457" s="703">
        <f t="shared" si="87"/>
        <v>0</v>
      </c>
      <c r="AC457" s="703">
        <f>IF($O458=0,0,           IF(FRM,_xll.qGetFwdRate(AC$14,$O457,U457,"T",DCC_Leg1_Float),_xll.qGetFwdRate(AC$14,$O457,$O458,"T",DCC_Leg1_Float)))</f>
        <v>0</v>
      </c>
      <c r="AD457" s="703">
        <f t="shared" si="92"/>
        <v>0</v>
      </c>
      <c r="AE457" s="703">
        <f t="shared" si="93"/>
        <v>0</v>
      </c>
      <c r="AF457" s="703">
        <f>IF($O458=0,0,           IF(FRM,_xll.qGetFwdRate(AF$14,$O457,X457,"T",DCC_Leg1_Float),_xll.qGetFwdRate(AF$14,$O457,$O458,"T",DCC_Leg1_Float)))</f>
        <v>0</v>
      </c>
      <c r="AG457" s="703">
        <f>IF($O458=0,0,           IF(FRM,_xll.qGetFwdRate(AG$14,$O457,Y457,"T",DCC_Leg1_Float),_xll.qGetFwdRate(AG$14,$O457,$O458,"T",DCC_Leg1_Float)))</f>
        <v>0</v>
      </c>
      <c r="AH457" s="685">
        <v>0</v>
      </c>
      <c r="AI457" s="667"/>
      <c r="AJ457" s="670">
        <f>IF(O458=0,0,             IF(ISNUMBER(AI457),AI457,             IF(ISTEXT(AI457),INDEX(Z457:AG457,MATCH(AI457,$Z$17:$AG$17,0)),           IF(AH457="INT",_xll.qInterp(O458,R457:Y457,Z457:AG457),       INDEX(Z457:AG457,MATCH(AH457,$Z$17:$AG$17,0))))))</f>
        <v>0</v>
      </c>
      <c r="AK457" s="732">
        <v>20</v>
      </c>
      <c r="AL457" s="721">
        <f t="shared" si="88"/>
        <v>0</v>
      </c>
      <c r="AM457" s="284">
        <f>IF($O458,_xll.qDateYears($O457,$O458,DCC_Leg1_Fixed),0)</f>
        <v>0</v>
      </c>
      <c r="AN457" s="284">
        <f>IF($O458,_xll.qDateYears($O457,$O458,DCC_Leg1_Float),0)</f>
        <v>0</v>
      </c>
      <c r="AP457" s="350">
        <f t="shared" si="94"/>
        <v>0</v>
      </c>
      <c r="AQ457" s="375">
        <f>IF(GenType_1a="Fixed",GenRate_1a%*$AL456*AM456,          IF(GenType_1a="Float",$AL456*(_xll.qGetFwdRate($D$18,$O456,$O457,"T",DCC_Leg1_Float)%+GenRate_1a%%)*$AN456,        IF(GenType_1a="bp (Fixed)",GenRate_1a%%*$AM456*$AL456,   IF(GenType_1a="bp (Float)",GenRate_1a%%*$AL456*$AN456,0))))</f>
        <v>0</v>
      </c>
      <c r="AR457" s="561"/>
      <c r="AT457" s="341">
        <f t="shared" si="98"/>
        <v>0</v>
      </c>
      <c r="AV457" s="356"/>
      <c r="AW457" s="122">
        <v>0</v>
      </c>
      <c r="AX457" s="128">
        <f t="shared" si="89"/>
        <v>0</v>
      </c>
      <c r="AY457" s="357">
        <v>0</v>
      </c>
      <c r="AZ457" s="699">
        <f>IF($AW458=0,0,        _xll.qDateNext($AW457,AZ$17,"M",TRUE,Currency2))</f>
        <v>0</v>
      </c>
      <c r="BA457" s="699">
        <f>IF($AW458=0,0,        _xll.qDateNext($AW457,BA$17,"M",TRUE,Currency2))</f>
        <v>0</v>
      </c>
      <c r="BB457" s="699">
        <f>IF($AW458=0,0,        _xll.qDateNext($AW457,BB$17,"M",TRUE,Currency2))</f>
        <v>0</v>
      </c>
      <c r="BC457" s="699">
        <f>IF($AW458=0,0,        _xll.qDateNext($AW457,BC$17,"M",TRUE,Currency2))</f>
        <v>0</v>
      </c>
      <c r="BD457" s="699">
        <f>IF($AW458=0,0,        _xll.qDateNext($AW457,BD$17,"M",TRUE,Currency2))</f>
        <v>0</v>
      </c>
      <c r="BE457" s="699">
        <f>IF($AW458=0,0,        _xll.qDateNext($AW457,BE$17,"M",TRUE,Currency2))</f>
        <v>0</v>
      </c>
      <c r="BF457" s="699">
        <f>IF($AW458=0,0,        _xll.qDateNext($AW457,BF$17,"M",TRUE,Currency2))</f>
        <v>0</v>
      </c>
      <c r="BG457" s="699">
        <f>IF($AW458=0,0,        _xll.qDateNext($AW457,BG$17,"M",TRUE,Currency2))</f>
        <v>0</v>
      </c>
      <c r="BH457" s="703">
        <v>0</v>
      </c>
      <c r="BI457" s="703">
        <v>0</v>
      </c>
      <c r="BJ457" s="703">
        <v>0</v>
      </c>
      <c r="BK457" s="703">
        <v>0</v>
      </c>
      <c r="BL457" s="703">
        <f t="shared" si="95"/>
        <v>0</v>
      </c>
      <c r="BM457" s="703">
        <f t="shared" si="96"/>
        <v>0</v>
      </c>
      <c r="BN457" s="703">
        <v>0</v>
      </c>
      <c r="BO457" s="703">
        <v>0</v>
      </c>
      <c r="BP457" s="685">
        <v>0</v>
      </c>
      <c r="BQ457" s="667"/>
      <c r="BR457" s="670">
        <f>IF(AW458=0,0,             IF(ISNUMBER(BQ457),BQ457,             IF(ISTEXT(BQ457),INDEX(BH457:BO457,MATCH(BQ457,$BH$17:$BO$17,0)),           IF(BP457="INT",_xll.qInterp(AW458,AZ457:BG457,BH457:BO457),       INDEX(BH457:BO457,MATCH(BP457,$BH$17:$BO$17,0))))))</f>
        <v>0</v>
      </c>
      <c r="BS457" s="731">
        <f t="shared" si="90"/>
        <v>0</v>
      </c>
      <c r="BT457" s="406">
        <f t="shared" si="91"/>
        <v>0</v>
      </c>
      <c r="BU457" s="284">
        <f>IF($AW458,_xll.qDateYears($AW457,$AW458,DCC_Leg2_Fixed),0)</f>
        <v>0</v>
      </c>
      <c r="BV457" s="284">
        <f>IF($AW458,_xll.qDateYears($AW457,$AW458,DCC_Leg2_Float),0)</f>
        <v>0</v>
      </c>
      <c r="BX457" s="350">
        <f t="shared" si="97"/>
        <v>0</v>
      </c>
      <c r="BY457" s="375">
        <f>IF(GenType_2a="Fixed",GenRate_2a%*$BT456*BU456,          IF(GenType_2a="Float",$BT456*(_xll.qGetFwdRate($J$18,$AW456,$AW457,"T",DCC_Leg2_Float)%+GenRate_2a%%)*$BV456,        IF(GenType_2a="bp (Fixed)",GenRate_2a%%*$BU456*$BT456,   IF(GenType_2a="bp (Float)",GenRate_2a%%*$BT456*$BV456,0))))</f>
        <v>0</v>
      </c>
      <c r="BZ457" s="561"/>
      <c r="CB457" s="341">
        <f t="shared" si="99"/>
        <v>0</v>
      </c>
      <c r="CC457" s="563"/>
      <c r="CD457" s="356"/>
      <c r="CE457" s="341">
        <v>0</v>
      </c>
      <c r="CF457" s="563"/>
      <c r="CG457" s="356"/>
    </row>
    <row r="458" spans="15:85">
      <c r="O458" s="122">
        <v>0</v>
      </c>
      <c r="P458" s="128">
        <f t="shared" si="86"/>
        <v>0</v>
      </c>
      <c r="Q458" s="126">
        <v>0</v>
      </c>
      <c r="R458" s="699">
        <f>IF($O459=0,0,        _xll.qDateNext($O458,R$17,"M",TRUE,Currency1))</f>
        <v>0</v>
      </c>
      <c r="S458" s="699">
        <f>IF($O459=0,0,        _xll.qDateNext($O458,S$17,"M",TRUE,Currency1))</f>
        <v>0</v>
      </c>
      <c r="T458" s="699">
        <f>IF($O459=0,0,        _xll.qDateNext($O458,T$17,"M",TRUE,Currency1))</f>
        <v>0</v>
      </c>
      <c r="U458" s="699">
        <f>IF($O459=0,0,        _xll.qDateNext($O458,U$17,"M",TRUE,Currency1))</f>
        <v>0</v>
      </c>
      <c r="V458" s="699">
        <f>IF($O459=0,0,        _xll.qDateNext($O458,V$17,"M",TRUE,Currency1))</f>
        <v>0</v>
      </c>
      <c r="W458" s="699">
        <f>IF($O459=0,0,        _xll.qDateNext($O458,W$17,"M",TRUE,Currency1))</f>
        <v>0</v>
      </c>
      <c r="X458" s="699">
        <f>IF($O459=0,0,        _xll.qDateNext($O458,X$17,"M",TRUE,Currency1))</f>
        <v>0</v>
      </c>
      <c r="Y458" s="699">
        <f>IF($O459=0,0,        _xll.qDateNext($O458,Y$17,"M",TRUE,Currency1))</f>
        <v>0</v>
      </c>
      <c r="Z458" s="703">
        <f>IF($O459=0,0,           IF(FRM,_xll.qGetFwdRate(Z$14,$O458,R458,"T",DCC_Leg1_Float),_xll.qGetFwdRate(Z$14,$O458,$O459,"T",DCC_Leg1_Float)))</f>
        <v>0</v>
      </c>
      <c r="AA458" s="703">
        <f>IF($O459=0,0,           IF(FRM,_xll.qGetFwdRate(AA$14,$O458,S458,"T",DCC_Leg1_Float),_xll.qGetFwdRate(AA$14,$O458,$O459,"T",DCC_Leg1_Float)))</f>
        <v>0</v>
      </c>
      <c r="AB458" s="703">
        <f t="shared" si="87"/>
        <v>0</v>
      </c>
      <c r="AC458" s="703">
        <f>IF($O459=0,0,           IF(FRM,_xll.qGetFwdRate(AC$14,$O458,U458,"T",DCC_Leg1_Float),_xll.qGetFwdRate(AC$14,$O458,$O459,"T",DCC_Leg1_Float)))</f>
        <v>0</v>
      </c>
      <c r="AD458" s="703">
        <f t="shared" si="92"/>
        <v>0</v>
      </c>
      <c r="AE458" s="703">
        <f t="shared" si="93"/>
        <v>0</v>
      </c>
      <c r="AF458" s="703">
        <f>IF($O459=0,0,           IF(FRM,_xll.qGetFwdRate(AF$14,$O458,X458,"T",DCC_Leg1_Float),_xll.qGetFwdRate(AF$14,$O458,$O459,"T",DCC_Leg1_Float)))</f>
        <v>0</v>
      </c>
      <c r="AG458" s="703">
        <f>IF($O459=0,0,           IF(FRM,_xll.qGetFwdRate(AG$14,$O458,Y458,"T",DCC_Leg1_Float),_xll.qGetFwdRate(AG$14,$O458,$O459,"T",DCC_Leg1_Float)))</f>
        <v>0</v>
      </c>
      <c r="AH458" s="685">
        <v>0</v>
      </c>
      <c r="AI458" s="667"/>
      <c r="AJ458" s="670">
        <f>IF(O459=0,0,             IF(ISNUMBER(AI458),AI458,             IF(ISTEXT(AI458),INDEX(Z458:AG458,MATCH(AI458,$Z$17:$AG$17,0)),           IF(AH458="INT",_xll.qInterp(O459,R458:Y458,Z458:AG458),       INDEX(Z458:AG458,MATCH(AH458,$Z$17:$AG$17,0))))))</f>
        <v>0</v>
      </c>
      <c r="AK458" s="732">
        <v>20</v>
      </c>
      <c r="AL458" s="721">
        <f t="shared" si="88"/>
        <v>0</v>
      </c>
      <c r="AM458" s="284">
        <f>IF($O459,_xll.qDateYears($O458,$O459,DCC_Leg1_Fixed),0)</f>
        <v>0</v>
      </c>
      <c r="AN458" s="284">
        <f>IF($O459,_xll.qDateYears($O458,$O459,DCC_Leg1_Float),0)</f>
        <v>0</v>
      </c>
      <c r="AP458" s="350">
        <f t="shared" si="94"/>
        <v>0</v>
      </c>
      <c r="AQ458" s="375">
        <f>IF(GenType_1a="Fixed",GenRate_1a%*$AL457*AM457,          IF(GenType_1a="Float",$AL457*(_xll.qGetFwdRate($D$18,$O457,$O458,"T",DCC_Leg1_Float)%+GenRate_1a%%)*$AN457,        IF(GenType_1a="bp (Fixed)",GenRate_1a%%*$AM457*$AL457,   IF(GenType_1a="bp (Float)",GenRate_1a%%*$AL457*$AN457,0))))</f>
        <v>0</v>
      </c>
      <c r="AR458" s="561"/>
      <c r="AT458" s="341">
        <f t="shared" si="98"/>
        <v>0</v>
      </c>
      <c r="AV458" s="356"/>
      <c r="AW458" s="122">
        <v>0</v>
      </c>
      <c r="AX458" s="128">
        <f t="shared" si="89"/>
        <v>0</v>
      </c>
      <c r="AY458" s="357">
        <v>0</v>
      </c>
      <c r="AZ458" s="699">
        <f>IF($AW459=0,0,        _xll.qDateNext($AW458,AZ$17,"M",TRUE,Currency2))</f>
        <v>0</v>
      </c>
      <c r="BA458" s="699">
        <f>IF($AW459=0,0,        _xll.qDateNext($AW458,BA$17,"M",TRUE,Currency2))</f>
        <v>0</v>
      </c>
      <c r="BB458" s="699">
        <f>IF($AW459=0,0,        _xll.qDateNext($AW458,BB$17,"M",TRUE,Currency2))</f>
        <v>0</v>
      </c>
      <c r="BC458" s="699">
        <f>IF($AW459=0,0,        _xll.qDateNext($AW458,BC$17,"M",TRUE,Currency2))</f>
        <v>0</v>
      </c>
      <c r="BD458" s="699">
        <f>IF($AW459=0,0,        _xll.qDateNext($AW458,BD$17,"M",TRUE,Currency2))</f>
        <v>0</v>
      </c>
      <c r="BE458" s="699">
        <f>IF($AW459=0,0,        _xll.qDateNext($AW458,BE$17,"M",TRUE,Currency2))</f>
        <v>0</v>
      </c>
      <c r="BF458" s="699">
        <f>IF($AW459=0,0,        _xll.qDateNext($AW458,BF$17,"M",TRUE,Currency2))</f>
        <v>0</v>
      </c>
      <c r="BG458" s="699">
        <f>IF($AW459=0,0,        _xll.qDateNext($AW458,BG$17,"M",TRUE,Currency2))</f>
        <v>0</v>
      </c>
      <c r="BH458" s="703">
        <v>0</v>
      </c>
      <c r="BI458" s="703">
        <v>0</v>
      </c>
      <c r="BJ458" s="703">
        <v>0</v>
      </c>
      <c r="BK458" s="703">
        <v>0</v>
      </c>
      <c r="BL458" s="703">
        <f t="shared" si="95"/>
        <v>0</v>
      </c>
      <c r="BM458" s="703">
        <f t="shared" si="96"/>
        <v>0</v>
      </c>
      <c r="BN458" s="703">
        <v>0</v>
      </c>
      <c r="BO458" s="703">
        <v>0</v>
      </c>
      <c r="BP458" s="685">
        <v>0</v>
      </c>
      <c r="BQ458" s="667"/>
      <c r="BR458" s="670">
        <f>IF(AW459=0,0,             IF(ISNUMBER(BQ458),BQ458,             IF(ISTEXT(BQ458),INDEX(BH458:BO458,MATCH(BQ458,$BH$17:$BO$17,0)),           IF(BP458="INT",_xll.qInterp(AW459,AZ458:BG458,BH458:BO458),       INDEX(BH458:BO458,MATCH(BP458,$BH$17:$BO$17,0))))))</f>
        <v>0</v>
      </c>
      <c r="BS458" s="731">
        <f t="shared" si="90"/>
        <v>0</v>
      </c>
      <c r="BT458" s="406">
        <f t="shared" si="91"/>
        <v>0</v>
      </c>
      <c r="BU458" s="284">
        <f>IF($AW459,_xll.qDateYears($AW458,$AW459,DCC_Leg2_Fixed),0)</f>
        <v>0</v>
      </c>
      <c r="BV458" s="284">
        <f>IF($AW459,_xll.qDateYears($AW458,$AW459,DCC_Leg2_Float),0)</f>
        <v>0</v>
      </c>
      <c r="BX458" s="350">
        <f t="shared" si="97"/>
        <v>0</v>
      </c>
      <c r="BY458" s="375">
        <f>IF(GenType_2a="Fixed",GenRate_2a%*$BT457*BU457,          IF(GenType_2a="Float",$BT457*(_xll.qGetFwdRate($J$18,$AW457,$AW458,"T",DCC_Leg2_Float)%+GenRate_2a%%)*$BV457,        IF(GenType_2a="bp (Fixed)",GenRate_2a%%*$BU457*$BT457,   IF(GenType_2a="bp (Float)",GenRate_2a%%*$BT457*$BV457,0))))</f>
        <v>0</v>
      </c>
      <c r="BZ458" s="561"/>
      <c r="CB458" s="341">
        <f t="shared" si="99"/>
        <v>0</v>
      </c>
      <c r="CC458" s="563"/>
      <c r="CD458" s="356"/>
      <c r="CE458" s="341">
        <v>0</v>
      </c>
      <c r="CF458" s="563"/>
      <c r="CG458" s="356"/>
    </row>
    <row r="459" spans="15:85">
      <c r="O459" s="122">
        <v>0</v>
      </c>
      <c r="P459" s="128">
        <f t="shared" si="86"/>
        <v>0</v>
      </c>
      <c r="Q459" s="126">
        <v>0</v>
      </c>
      <c r="R459" s="699">
        <f>IF($O460=0,0,        _xll.qDateNext($O459,R$17,"M",TRUE,Currency1))</f>
        <v>0</v>
      </c>
      <c r="S459" s="699">
        <f>IF($O460=0,0,        _xll.qDateNext($O459,S$17,"M",TRUE,Currency1))</f>
        <v>0</v>
      </c>
      <c r="T459" s="699">
        <f>IF($O460=0,0,        _xll.qDateNext($O459,T$17,"M",TRUE,Currency1))</f>
        <v>0</v>
      </c>
      <c r="U459" s="699">
        <f>IF($O460=0,0,        _xll.qDateNext($O459,U$17,"M",TRUE,Currency1))</f>
        <v>0</v>
      </c>
      <c r="V459" s="699">
        <f>IF($O460=0,0,        _xll.qDateNext($O459,V$17,"M",TRUE,Currency1))</f>
        <v>0</v>
      </c>
      <c r="W459" s="699">
        <f>IF($O460=0,0,        _xll.qDateNext($O459,W$17,"M",TRUE,Currency1))</f>
        <v>0</v>
      </c>
      <c r="X459" s="699">
        <f>IF($O460=0,0,        _xll.qDateNext($O459,X$17,"M",TRUE,Currency1))</f>
        <v>0</v>
      </c>
      <c r="Y459" s="699">
        <f>IF($O460=0,0,        _xll.qDateNext($O459,Y$17,"M",TRUE,Currency1))</f>
        <v>0</v>
      </c>
      <c r="Z459" s="703">
        <f>IF($O460=0,0,           IF(FRM,_xll.qGetFwdRate(Z$14,$O459,R459,"T",DCC_Leg1_Float),_xll.qGetFwdRate(Z$14,$O459,$O460,"T",DCC_Leg1_Float)))</f>
        <v>0</v>
      </c>
      <c r="AA459" s="703">
        <f>IF($O460=0,0,           IF(FRM,_xll.qGetFwdRate(AA$14,$O459,S459,"T",DCC_Leg1_Float),_xll.qGetFwdRate(AA$14,$O459,$O460,"T",DCC_Leg1_Float)))</f>
        <v>0</v>
      </c>
      <c r="AB459" s="703">
        <f t="shared" si="87"/>
        <v>0</v>
      </c>
      <c r="AC459" s="703">
        <f>IF($O460=0,0,           IF(FRM,_xll.qGetFwdRate(AC$14,$O459,U459,"T",DCC_Leg1_Float),_xll.qGetFwdRate(AC$14,$O459,$O460,"T",DCC_Leg1_Float)))</f>
        <v>0</v>
      </c>
      <c r="AD459" s="703">
        <f t="shared" si="92"/>
        <v>0</v>
      </c>
      <c r="AE459" s="703">
        <f t="shared" si="93"/>
        <v>0</v>
      </c>
      <c r="AF459" s="703">
        <f>IF($O460=0,0,           IF(FRM,_xll.qGetFwdRate(AF$14,$O459,X459,"T",DCC_Leg1_Float),_xll.qGetFwdRate(AF$14,$O459,$O460,"T",DCC_Leg1_Float)))</f>
        <v>0</v>
      </c>
      <c r="AG459" s="703">
        <f>IF($O460=0,0,           IF(FRM,_xll.qGetFwdRate(AG$14,$O459,Y459,"T",DCC_Leg1_Float),_xll.qGetFwdRate(AG$14,$O459,$O460,"T",DCC_Leg1_Float)))</f>
        <v>0</v>
      </c>
      <c r="AH459" s="685">
        <v>0</v>
      </c>
      <c r="AI459" s="667"/>
      <c r="AJ459" s="670">
        <f>IF(O460=0,0,             IF(ISNUMBER(AI459),AI459,             IF(ISTEXT(AI459),INDEX(Z459:AG459,MATCH(AI459,$Z$17:$AG$17,0)),           IF(AH459="INT",_xll.qInterp(O460,R459:Y459,Z459:AG459),       INDEX(Z459:AG459,MATCH(AH459,$Z$17:$AG$17,0))))))</f>
        <v>0</v>
      </c>
      <c r="AK459" s="732">
        <v>20</v>
      </c>
      <c r="AL459" s="721">
        <f t="shared" si="88"/>
        <v>0</v>
      </c>
      <c r="AM459" s="284">
        <f>IF($O460,_xll.qDateYears($O459,$O460,DCC_Leg1_Fixed),0)</f>
        <v>0</v>
      </c>
      <c r="AN459" s="284">
        <f>IF($O460,_xll.qDateYears($O459,$O460,DCC_Leg1_Float),0)</f>
        <v>0</v>
      </c>
      <c r="AP459" s="350">
        <f t="shared" si="94"/>
        <v>0</v>
      </c>
      <c r="AQ459" s="375">
        <f>IF(GenType_1a="Fixed",GenRate_1a%*$AL458*AM458,          IF(GenType_1a="Float",$AL458*(_xll.qGetFwdRate($D$18,$O458,$O459,"T",DCC_Leg1_Float)%+GenRate_1a%%)*$AN458,        IF(GenType_1a="bp (Fixed)",GenRate_1a%%*$AM458*$AL458,   IF(GenType_1a="bp (Float)",GenRate_1a%%*$AL458*$AN458,0))))</f>
        <v>0</v>
      </c>
      <c r="AR459" s="561"/>
      <c r="AT459" s="341">
        <f t="shared" si="98"/>
        <v>0</v>
      </c>
      <c r="AV459" s="356"/>
      <c r="AW459" s="122">
        <v>0</v>
      </c>
      <c r="AX459" s="128">
        <f t="shared" si="89"/>
        <v>0</v>
      </c>
      <c r="AY459" s="357">
        <v>0</v>
      </c>
      <c r="AZ459" s="699">
        <f>IF($AW460=0,0,        _xll.qDateNext($AW459,AZ$17,"M",TRUE,Currency2))</f>
        <v>0</v>
      </c>
      <c r="BA459" s="699">
        <f>IF($AW460=0,0,        _xll.qDateNext($AW459,BA$17,"M",TRUE,Currency2))</f>
        <v>0</v>
      </c>
      <c r="BB459" s="699">
        <f>IF($AW460=0,0,        _xll.qDateNext($AW459,BB$17,"M",TRUE,Currency2))</f>
        <v>0</v>
      </c>
      <c r="BC459" s="699">
        <f>IF($AW460=0,0,        _xll.qDateNext($AW459,BC$17,"M",TRUE,Currency2))</f>
        <v>0</v>
      </c>
      <c r="BD459" s="699">
        <f>IF($AW460=0,0,        _xll.qDateNext($AW459,BD$17,"M",TRUE,Currency2))</f>
        <v>0</v>
      </c>
      <c r="BE459" s="699">
        <f>IF($AW460=0,0,        _xll.qDateNext($AW459,BE$17,"M",TRUE,Currency2))</f>
        <v>0</v>
      </c>
      <c r="BF459" s="699">
        <f>IF($AW460=0,0,        _xll.qDateNext($AW459,BF$17,"M",TRUE,Currency2))</f>
        <v>0</v>
      </c>
      <c r="BG459" s="699">
        <f>IF($AW460=0,0,        _xll.qDateNext($AW459,BG$17,"M",TRUE,Currency2))</f>
        <v>0</v>
      </c>
      <c r="BH459" s="703">
        <v>0</v>
      </c>
      <c r="BI459" s="703">
        <v>0</v>
      </c>
      <c r="BJ459" s="703">
        <v>0</v>
      </c>
      <c r="BK459" s="703">
        <v>0</v>
      </c>
      <c r="BL459" s="703">
        <f t="shared" si="95"/>
        <v>0</v>
      </c>
      <c r="BM459" s="703">
        <f t="shared" si="96"/>
        <v>0</v>
      </c>
      <c r="BN459" s="703">
        <v>0</v>
      </c>
      <c r="BO459" s="703">
        <v>0</v>
      </c>
      <c r="BP459" s="685">
        <v>0</v>
      </c>
      <c r="BQ459" s="667"/>
      <c r="BR459" s="670">
        <f>IF(AW460=0,0,             IF(ISNUMBER(BQ459),BQ459,             IF(ISTEXT(BQ459),INDEX(BH459:BO459,MATCH(BQ459,$BH$17:$BO$17,0)),           IF(BP459="INT",_xll.qInterp(AW460,AZ459:BG459,BH459:BO459),       INDEX(BH459:BO459,MATCH(BP459,$BH$17:$BO$17,0))))))</f>
        <v>0</v>
      </c>
      <c r="BS459" s="731">
        <f t="shared" si="90"/>
        <v>0</v>
      </c>
      <c r="BT459" s="406">
        <f t="shared" si="91"/>
        <v>0</v>
      </c>
      <c r="BU459" s="284">
        <f>IF($AW460,_xll.qDateYears($AW459,$AW460,DCC_Leg2_Fixed),0)</f>
        <v>0</v>
      </c>
      <c r="BV459" s="284">
        <f>IF($AW460,_xll.qDateYears($AW459,$AW460,DCC_Leg2_Float),0)</f>
        <v>0</v>
      </c>
      <c r="BX459" s="350">
        <f t="shared" si="97"/>
        <v>0</v>
      </c>
      <c r="BY459" s="375">
        <f>IF(GenType_2a="Fixed",GenRate_2a%*$BT458*BU458,          IF(GenType_2a="Float",$BT458*(_xll.qGetFwdRate($J$18,$AW458,$AW459,"T",DCC_Leg2_Float)%+GenRate_2a%%)*$BV458,        IF(GenType_2a="bp (Fixed)",GenRate_2a%%*$BU458*$BT458,   IF(GenType_2a="bp (Float)",GenRate_2a%%*$BT458*$BV458,0))))</f>
        <v>0</v>
      </c>
      <c r="BZ459" s="561"/>
      <c r="CB459" s="341">
        <f t="shared" si="99"/>
        <v>0</v>
      </c>
      <c r="CC459" s="563"/>
      <c r="CD459" s="356"/>
      <c r="CE459" s="341">
        <v>0</v>
      </c>
      <c r="CF459" s="563"/>
      <c r="CG459" s="356"/>
    </row>
    <row r="460" spans="15:85">
      <c r="O460" s="122">
        <v>0</v>
      </c>
      <c r="P460" s="128">
        <f t="shared" si="86"/>
        <v>0</v>
      </c>
      <c r="Q460" s="126">
        <v>0</v>
      </c>
      <c r="R460" s="699">
        <f>IF($O461=0,0,        _xll.qDateNext($O460,R$17,"M",TRUE,Currency1))</f>
        <v>0</v>
      </c>
      <c r="S460" s="699">
        <f>IF($O461=0,0,        _xll.qDateNext($O460,S$17,"M",TRUE,Currency1))</f>
        <v>0</v>
      </c>
      <c r="T460" s="699">
        <f>IF($O461=0,0,        _xll.qDateNext($O460,T$17,"M",TRUE,Currency1))</f>
        <v>0</v>
      </c>
      <c r="U460" s="699">
        <f>IF($O461=0,0,        _xll.qDateNext($O460,U$17,"M",TRUE,Currency1))</f>
        <v>0</v>
      </c>
      <c r="V460" s="699">
        <f>IF($O461=0,0,        _xll.qDateNext($O460,V$17,"M",TRUE,Currency1))</f>
        <v>0</v>
      </c>
      <c r="W460" s="699">
        <f>IF($O461=0,0,        _xll.qDateNext($O460,W$17,"M",TRUE,Currency1))</f>
        <v>0</v>
      </c>
      <c r="X460" s="699">
        <f>IF($O461=0,0,        _xll.qDateNext($O460,X$17,"M",TRUE,Currency1))</f>
        <v>0</v>
      </c>
      <c r="Y460" s="699">
        <f>IF($O461=0,0,        _xll.qDateNext($O460,Y$17,"M",TRUE,Currency1))</f>
        <v>0</v>
      </c>
      <c r="Z460" s="703">
        <f>IF($O461=0,0,           IF(FRM,_xll.qGetFwdRate(Z$14,$O460,R460,"T",DCC_Leg1_Float),_xll.qGetFwdRate(Z$14,$O460,$O461,"T",DCC_Leg1_Float)))</f>
        <v>0</v>
      </c>
      <c r="AA460" s="703">
        <f>IF($O461=0,0,           IF(FRM,_xll.qGetFwdRate(AA$14,$O460,S460,"T",DCC_Leg1_Float),_xll.qGetFwdRate(AA$14,$O460,$O461,"T",DCC_Leg1_Float)))</f>
        <v>0</v>
      </c>
      <c r="AB460" s="703">
        <f t="shared" si="87"/>
        <v>0</v>
      </c>
      <c r="AC460" s="703">
        <f>IF($O461=0,0,           IF(FRM,_xll.qGetFwdRate(AC$14,$O460,U460,"T",DCC_Leg1_Float),_xll.qGetFwdRate(AC$14,$O460,$O461,"T",DCC_Leg1_Float)))</f>
        <v>0</v>
      </c>
      <c r="AD460" s="703">
        <f t="shared" si="92"/>
        <v>0</v>
      </c>
      <c r="AE460" s="703">
        <f t="shared" si="93"/>
        <v>0</v>
      </c>
      <c r="AF460" s="703">
        <f>IF($O461=0,0,           IF(FRM,_xll.qGetFwdRate(AF$14,$O460,X460,"T",DCC_Leg1_Float),_xll.qGetFwdRate(AF$14,$O460,$O461,"T",DCC_Leg1_Float)))</f>
        <v>0</v>
      </c>
      <c r="AG460" s="703">
        <f>IF($O461=0,0,           IF(FRM,_xll.qGetFwdRate(AG$14,$O460,Y460,"T",DCC_Leg1_Float),_xll.qGetFwdRate(AG$14,$O460,$O461,"T",DCC_Leg1_Float)))</f>
        <v>0</v>
      </c>
      <c r="AH460" s="685">
        <v>0</v>
      </c>
      <c r="AI460" s="667"/>
      <c r="AJ460" s="670">
        <f>IF(O461=0,0,             IF(ISNUMBER(AI460),AI460,             IF(ISTEXT(AI460),INDEX(Z460:AG460,MATCH(AI460,$Z$17:$AG$17,0)),           IF(AH460="INT",_xll.qInterp(O461,R460:Y460,Z460:AG460),       INDEX(Z460:AG460,MATCH(AH460,$Z$17:$AG$17,0))))))</f>
        <v>0</v>
      </c>
      <c r="AK460" s="732">
        <v>20</v>
      </c>
      <c r="AL460" s="721">
        <f t="shared" si="88"/>
        <v>0</v>
      </c>
      <c r="AM460" s="284">
        <f>IF($O461,_xll.qDateYears($O460,$O461,DCC_Leg1_Fixed),0)</f>
        <v>0</v>
      </c>
      <c r="AN460" s="284">
        <f>IF($O461,_xll.qDateYears($O460,$O461,DCC_Leg1_Float),0)</f>
        <v>0</v>
      </c>
      <c r="AP460" s="350">
        <f t="shared" si="94"/>
        <v>0</v>
      </c>
      <c r="AQ460" s="375">
        <f>IF(GenType_1a="Fixed",GenRate_1a%*$AL459*AM459,          IF(GenType_1a="Float",$AL459*(_xll.qGetFwdRate($D$18,$O459,$O460,"T",DCC_Leg1_Float)%+GenRate_1a%%)*$AN459,        IF(GenType_1a="bp (Fixed)",GenRate_1a%%*$AM459*$AL459,   IF(GenType_1a="bp (Float)",GenRate_1a%%*$AL459*$AN459,0))))</f>
        <v>0</v>
      </c>
      <c r="AR460" s="561"/>
      <c r="AT460" s="341">
        <f t="shared" si="98"/>
        <v>0</v>
      </c>
      <c r="AV460" s="356"/>
      <c r="AW460" s="122">
        <v>0</v>
      </c>
      <c r="AX460" s="128">
        <f t="shared" si="89"/>
        <v>0</v>
      </c>
      <c r="AY460" s="357">
        <v>0</v>
      </c>
      <c r="AZ460" s="699">
        <f>IF($AW461=0,0,        _xll.qDateNext($AW460,AZ$17,"M",TRUE,Currency2))</f>
        <v>0</v>
      </c>
      <c r="BA460" s="699">
        <f>IF($AW461=0,0,        _xll.qDateNext($AW460,BA$17,"M",TRUE,Currency2))</f>
        <v>0</v>
      </c>
      <c r="BB460" s="699">
        <f>IF($AW461=0,0,        _xll.qDateNext($AW460,BB$17,"M",TRUE,Currency2))</f>
        <v>0</v>
      </c>
      <c r="BC460" s="699">
        <f>IF($AW461=0,0,        _xll.qDateNext($AW460,BC$17,"M",TRUE,Currency2))</f>
        <v>0</v>
      </c>
      <c r="BD460" s="699">
        <f>IF($AW461=0,0,        _xll.qDateNext($AW460,BD$17,"M",TRUE,Currency2))</f>
        <v>0</v>
      </c>
      <c r="BE460" s="699">
        <f>IF($AW461=0,0,        _xll.qDateNext($AW460,BE$17,"M",TRUE,Currency2))</f>
        <v>0</v>
      </c>
      <c r="BF460" s="699">
        <f>IF($AW461=0,0,        _xll.qDateNext($AW460,BF$17,"M",TRUE,Currency2))</f>
        <v>0</v>
      </c>
      <c r="BG460" s="699">
        <f>IF($AW461=0,0,        _xll.qDateNext($AW460,BG$17,"M",TRUE,Currency2))</f>
        <v>0</v>
      </c>
      <c r="BH460" s="703">
        <v>0</v>
      </c>
      <c r="BI460" s="703">
        <v>0</v>
      </c>
      <c r="BJ460" s="703">
        <v>0</v>
      </c>
      <c r="BK460" s="703">
        <v>0</v>
      </c>
      <c r="BL460" s="703">
        <f t="shared" si="95"/>
        <v>0</v>
      </c>
      <c r="BM460" s="703">
        <f t="shared" si="96"/>
        <v>0</v>
      </c>
      <c r="BN460" s="703">
        <v>0</v>
      </c>
      <c r="BO460" s="703">
        <v>0</v>
      </c>
      <c r="BP460" s="685">
        <v>0</v>
      </c>
      <c r="BQ460" s="667"/>
      <c r="BR460" s="670">
        <f>IF(AW461=0,0,             IF(ISNUMBER(BQ460),BQ460,             IF(ISTEXT(BQ460),INDEX(BH460:BO460,MATCH(BQ460,$BH$17:$BO$17,0)),           IF(BP460="INT",_xll.qInterp(AW461,AZ460:BG460,BH460:BO460),       INDEX(BH460:BO460,MATCH(BP460,$BH$17:$BO$17,0))))))</f>
        <v>0</v>
      </c>
      <c r="BS460" s="731">
        <f t="shared" si="90"/>
        <v>0</v>
      </c>
      <c r="BT460" s="406">
        <f t="shared" si="91"/>
        <v>0</v>
      </c>
      <c r="BU460" s="284">
        <f>IF($AW461,_xll.qDateYears($AW460,$AW461,DCC_Leg2_Fixed),0)</f>
        <v>0</v>
      </c>
      <c r="BV460" s="284">
        <f>IF($AW461,_xll.qDateYears($AW460,$AW461,DCC_Leg2_Float),0)</f>
        <v>0</v>
      </c>
      <c r="BX460" s="350">
        <f t="shared" si="97"/>
        <v>0</v>
      </c>
      <c r="BY460" s="375">
        <f>IF(GenType_2a="Fixed",GenRate_2a%*$BT459*BU459,          IF(GenType_2a="Float",$BT459*(_xll.qGetFwdRate($J$18,$AW459,$AW460,"T",DCC_Leg2_Float)%+GenRate_2a%%)*$BV459,        IF(GenType_2a="bp (Fixed)",GenRate_2a%%*$BU459*$BT459,   IF(GenType_2a="bp (Float)",GenRate_2a%%*$BT459*$BV459,0))))</f>
        <v>0</v>
      </c>
      <c r="BZ460" s="561"/>
      <c r="CB460" s="341">
        <f t="shared" si="99"/>
        <v>0</v>
      </c>
      <c r="CC460" s="563"/>
      <c r="CD460" s="356"/>
      <c r="CE460" s="341">
        <v>0</v>
      </c>
      <c r="CF460" s="563"/>
      <c r="CG460" s="356"/>
    </row>
    <row r="461" spans="15:85">
      <c r="O461" s="122">
        <v>0</v>
      </c>
      <c r="P461" s="128">
        <f t="shared" si="86"/>
        <v>0</v>
      </c>
      <c r="Q461" s="126">
        <v>0</v>
      </c>
      <c r="R461" s="699">
        <f>IF($O462=0,0,        _xll.qDateNext($O461,R$17,"M",TRUE,Currency1))</f>
        <v>0</v>
      </c>
      <c r="S461" s="699">
        <f>IF($O462=0,0,        _xll.qDateNext($O461,S$17,"M",TRUE,Currency1))</f>
        <v>0</v>
      </c>
      <c r="T461" s="699">
        <f>IF($O462=0,0,        _xll.qDateNext($O461,T$17,"M",TRUE,Currency1))</f>
        <v>0</v>
      </c>
      <c r="U461" s="699">
        <f>IF($O462=0,0,        _xll.qDateNext($O461,U$17,"M",TRUE,Currency1))</f>
        <v>0</v>
      </c>
      <c r="V461" s="699">
        <f>IF($O462=0,0,        _xll.qDateNext($O461,V$17,"M",TRUE,Currency1))</f>
        <v>0</v>
      </c>
      <c r="W461" s="699">
        <f>IF($O462=0,0,        _xll.qDateNext($O461,W$17,"M",TRUE,Currency1))</f>
        <v>0</v>
      </c>
      <c r="X461" s="699">
        <f>IF($O462=0,0,        _xll.qDateNext($O461,X$17,"M",TRUE,Currency1))</f>
        <v>0</v>
      </c>
      <c r="Y461" s="699">
        <f>IF($O462=0,0,        _xll.qDateNext($O461,Y$17,"M",TRUE,Currency1))</f>
        <v>0</v>
      </c>
      <c r="Z461" s="703">
        <f>IF($O462=0,0,           IF(FRM,_xll.qGetFwdRate(Z$14,$O461,R461,"T",DCC_Leg1_Float),_xll.qGetFwdRate(Z$14,$O461,$O462,"T",DCC_Leg1_Float)))</f>
        <v>0</v>
      </c>
      <c r="AA461" s="703">
        <f>IF($O462=0,0,           IF(FRM,_xll.qGetFwdRate(AA$14,$O461,S461,"T",DCC_Leg1_Float),_xll.qGetFwdRate(AA$14,$O461,$O462,"T",DCC_Leg1_Float)))</f>
        <v>0</v>
      </c>
      <c r="AB461" s="703">
        <f t="shared" si="87"/>
        <v>0</v>
      </c>
      <c r="AC461" s="703">
        <f>IF($O462=0,0,           IF(FRM,_xll.qGetFwdRate(AC$14,$O461,U461,"T",DCC_Leg1_Float),_xll.qGetFwdRate(AC$14,$O461,$O462,"T",DCC_Leg1_Float)))</f>
        <v>0</v>
      </c>
      <c r="AD461" s="703">
        <f t="shared" si="92"/>
        <v>0</v>
      </c>
      <c r="AE461" s="703">
        <f t="shared" si="93"/>
        <v>0</v>
      </c>
      <c r="AF461" s="703">
        <f>IF($O462=0,0,           IF(FRM,_xll.qGetFwdRate(AF$14,$O461,X461,"T",DCC_Leg1_Float),_xll.qGetFwdRate(AF$14,$O461,$O462,"T",DCC_Leg1_Float)))</f>
        <v>0</v>
      </c>
      <c r="AG461" s="703">
        <f>IF($O462=0,0,           IF(FRM,_xll.qGetFwdRate(AG$14,$O461,Y461,"T",DCC_Leg1_Float),_xll.qGetFwdRate(AG$14,$O461,$O462,"T",DCC_Leg1_Float)))</f>
        <v>0</v>
      </c>
      <c r="AH461" s="685">
        <v>0</v>
      </c>
      <c r="AI461" s="667"/>
      <c r="AJ461" s="670">
        <f>IF(O462=0,0,             IF(ISNUMBER(AI461),AI461,             IF(ISTEXT(AI461),INDEX(Z461:AG461,MATCH(AI461,$Z$17:$AG$17,0)),           IF(AH461="INT",_xll.qInterp(O462,R461:Y461,Z461:AG461),       INDEX(Z461:AG461,MATCH(AH461,$Z$17:$AG$17,0))))))</f>
        <v>0</v>
      </c>
      <c r="AK461" s="732">
        <v>20</v>
      </c>
      <c r="AL461" s="721">
        <f t="shared" si="88"/>
        <v>0</v>
      </c>
      <c r="AM461" s="284">
        <f>IF($O462,_xll.qDateYears($O461,$O462,DCC_Leg1_Fixed),0)</f>
        <v>0</v>
      </c>
      <c r="AN461" s="284">
        <f>IF($O462,_xll.qDateYears($O461,$O462,DCC_Leg1_Float),0)</f>
        <v>0</v>
      </c>
      <c r="AP461" s="350">
        <f t="shared" si="94"/>
        <v>0</v>
      </c>
      <c r="AQ461" s="375">
        <f>IF(GenType_1a="Fixed",GenRate_1a%*$AL460*AM460,          IF(GenType_1a="Float",$AL460*(_xll.qGetFwdRate($D$18,$O460,$O461,"T",DCC_Leg1_Float)%+GenRate_1a%%)*$AN460,        IF(GenType_1a="bp (Fixed)",GenRate_1a%%*$AM460*$AL460,   IF(GenType_1a="bp (Float)",GenRate_1a%%*$AL460*$AN460,0))))</f>
        <v>0</v>
      </c>
      <c r="AR461" s="561"/>
      <c r="AT461" s="341">
        <f t="shared" si="98"/>
        <v>0</v>
      </c>
      <c r="AV461" s="356"/>
      <c r="AW461" s="122">
        <v>0</v>
      </c>
      <c r="AX461" s="128">
        <f t="shared" si="89"/>
        <v>0</v>
      </c>
      <c r="AY461" s="357">
        <v>0</v>
      </c>
      <c r="AZ461" s="699">
        <f>IF($AW462=0,0,        _xll.qDateNext($AW461,AZ$17,"M",TRUE,Currency2))</f>
        <v>0</v>
      </c>
      <c r="BA461" s="699">
        <f>IF($AW462=0,0,        _xll.qDateNext($AW461,BA$17,"M",TRUE,Currency2))</f>
        <v>0</v>
      </c>
      <c r="BB461" s="699">
        <f>IF($AW462=0,0,        _xll.qDateNext($AW461,BB$17,"M",TRUE,Currency2))</f>
        <v>0</v>
      </c>
      <c r="BC461" s="699">
        <f>IF($AW462=0,0,        _xll.qDateNext($AW461,BC$17,"M",TRUE,Currency2))</f>
        <v>0</v>
      </c>
      <c r="BD461" s="699">
        <f>IF($AW462=0,0,        _xll.qDateNext($AW461,BD$17,"M",TRUE,Currency2))</f>
        <v>0</v>
      </c>
      <c r="BE461" s="699">
        <f>IF($AW462=0,0,        _xll.qDateNext($AW461,BE$17,"M",TRUE,Currency2))</f>
        <v>0</v>
      </c>
      <c r="BF461" s="699">
        <f>IF($AW462=0,0,        _xll.qDateNext($AW461,BF$17,"M",TRUE,Currency2))</f>
        <v>0</v>
      </c>
      <c r="BG461" s="699">
        <f>IF($AW462=0,0,        _xll.qDateNext($AW461,BG$17,"M",TRUE,Currency2))</f>
        <v>0</v>
      </c>
      <c r="BH461" s="703">
        <v>0</v>
      </c>
      <c r="BI461" s="703">
        <v>0</v>
      </c>
      <c r="BJ461" s="703">
        <v>0</v>
      </c>
      <c r="BK461" s="703">
        <v>0</v>
      </c>
      <c r="BL461" s="703">
        <f t="shared" si="95"/>
        <v>0</v>
      </c>
      <c r="BM461" s="703">
        <f t="shared" si="96"/>
        <v>0</v>
      </c>
      <c r="BN461" s="703">
        <v>0</v>
      </c>
      <c r="BO461" s="703">
        <v>0</v>
      </c>
      <c r="BP461" s="685">
        <v>0</v>
      </c>
      <c r="BQ461" s="667"/>
      <c r="BR461" s="670">
        <f>IF(AW462=0,0,             IF(ISNUMBER(BQ461),BQ461,             IF(ISTEXT(BQ461),INDEX(BH461:BO461,MATCH(BQ461,$BH$17:$BO$17,0)),           IF(BP461="INT",_xll.qInterp(AW462,AZ461:BG461,BH461:BO461),       INDEX(BH461:BO461,MATCH(BP461,$BH$17:$BO$17,0))))))</f>
        <v>0</v>
      </c>
      <c r="BS461" s="731">
        <f t="shared" si="90"/>
        <v>0</v>
      </c>
      <c r="BT461" s="406">
        <f t="shared" si="91"/>
        <v>0</v>
      </c>
      <c r="BU461" s="284">
        <f>IF($AW462,_xll.qDateYears($AW461,$AW462,DCC_Leg2_Fixed),0)</f>
        <v>0</v>
      </c>
      <c r="BV461" s="284">
        <f>IF($AW462,_xll.qDateYears($AW461,$AW462,DCC_Leg2_Float),0)</f>
        <v>0</v>
      </c>
      <c r="BX461" s="350">
        <f t="shared" si="97"/>
        <v>0</v>
      </c>
      <c r="BY461" s="375">
        <f>IF(GenType_2a="Fixed",GenRate_2a%*$BT460*BU460,          IF(GenType_2a="Float",$BT460*(_xll.qGetFwdRate($J$18,$AW460,$AW461,"T",DCC_Leg2_Float)%+GenRate_2a%%)*$BV460,        IF(GenType_2a="bp (Fixed)",GenRate_2a%%*$BU460*$BT460,   IF(GenType_2a="bp (Float)",GenRate_2a%%*$BT460*$BV460,0))))</f>
        <v>0</v>
      </c>
      <c r="BZ461" s="561"/>
      <c r="CB461" s="341">
        <f t="shared" si="99"/>
        <v>0</v>
      </c>
      <c r="CC461" s="563"/>
      <c r="CD461" s="356"/>
      <c r="CE461" s="341">
        <v>0</v>
      </c>
      <c r="CF461" s="563"/>
      <c r="CG461" s="356"/>
    </row>
    <row r="462" spans="15:85">
      <c r="O462" s="122">
        <v>0</v>
      </c>
      <c r="P462" s="128">
        <f t="shared" si="86"/>
        <v>0</v>
      </c>
      <c r="Q462" s="126">
        <v>0</v>
      </c>
      <c r="R462" s="699">
        <f>IF($O463=0,0,        _xll.qDateNext($O462,R$17,"M",TRUE,Currency1))</f>
        <v>0</v>
      </c>
      <c r="S462" s="699">
        <f>IF($O463=0,0,        _xll.qDateNext($O462,S$17,"M",TRUE,Currency1))</f>
        <v>0</v>
      </c>
      <c r="T462" s="699">
        <f>IF($O463=0,0,        _xll.qDateNext($O462,T$17,"M",TRUE,Currency1))</f>
        <v>0</v>
      </c>
      <c r="U462" s="699">
        <f>IF($O463=0,0,        _xll.qDateNext($O462,U$17,"M",TRUE,Currency1))</f>
        <v>0</v>
      </c>
      <c r="V462" s="699">
        <f>IF($O463=0,0,        _xll.qDateNext($O462,V$17,"M",TRUE,Currency1))</f>
        <v>0</v>
      </c>
      <c r="W462" s="699">
        <f>IF($O463=0,0,        _xll.qDateNext($O462,W$17,"M",TRUE,Currency1))</f>
        <v>0</v>
      </c>
      <c r="X462" s="699">
        <f>IF($O463=0,0,        _xll.qDateNext($O462,X$17,"M",TRUE,Currency1))</f>
        <v>0</v>
      </c>
      <c r="Y462" s="699">
        <f>IF($O463=0,0,        _xll.qDateNext($O462,Y$17,"M",TRUE,Currency1))</f>
        <v>0</v>
      </c>
      <c r="Z462" s="703">
        <f>IF($O463=0,0,           IF(FRM,_xll.qGetFwdRate(Z$14,$O462,R462,"T",DCC_Leg1_Float),_xll.qGetFwdRate(Z$14,$O462,$O463,"T",DCC_Leg1_Float)))</f>
        <v>0</v>
      </c>
      <c r="AA462" s="703">
        <f>IF($O463=0,0,           IF(FRM,_xll.qGetFwdRate(AA$14,$O462,S462,"T",DCC_Leg1_Float),_xll.qGetFwdRate(AA$14,$O462,$O463,"T",DCC_Leg1_Float)))</f>
        <v>0</v>
      </c>
      <c r="AB462" s="703">
        <f t="shared" si="87"/>
        <v>0</v>
      </c>
      <c r="AC462" s="703">
        <f>IF($O463=0,0,           IF(FRM,_xll.qGetFwdRate(AC$14,$O462,U462,"T",DCC_Leg1_Float),_xll.qGetFwdRate(AC$14,$O462,$O463,"T",DCC_Leg1_Float)))</f>
        <v>0</v>
      </c>
      <c r="AD462" s="703">
        <f t="shared" si="92"/>
        <v>0</v>
      </c>
      <c r="AE462" s="703">
        <f t="shared" si="93"/>
        <v>0</v>
      </c>
      <c r="AF462" s="703">
        <f>IF($O463=0,0,           IF(FRM,_xll.qGetFwdRate(AF$14,$O462,X462,"T",DCC_Leg1_Float),_xll.qGetFwdRate(AF$14,$O462,$O463,"T",DCC_Leg1_Float)))</f>
        <v>0</v>
      </c>
      <c r="AG462" s="703">
        <f>IF($O463=0,0,           IF(FRM,_xll.qGetFwdRate(AG$14,$O462,Y462,"T",DCC_Leg1_Float),_xll.qGetFwdRate(AG$14,$O462,$O463,"T",DCC_Leg1_Float)))</f>
        <v>0</v>
      </c>
      <c r="AH462" s="685">
        <v>0</v>
      </c>
      <c r="AI462" s="667"/>
      <c r="AJ462" s="670">
        <f>IF(O463=0,0,             IF(ISNUMBER(AI462),AI462,             IF(ISTEXT(AI462),INDEX(Z462:AG462,MATCH(AI462,$Z$17:$AG$17,0)),           IF(AH462="INT",_xll.qInterp(O463,R462:Y462,Z462:AG462),       INDEX(Z462:AG462,MATCH(AH462,$Z$17:$AG$17,0))))))</f>
        <v>0</v>
      </c>
      <c r="AK462" s="732">
        <v>20</v>
      </c>
      <c r="AL462" s="721">
        <f t="shared" si="88"/>
        <v>0</v>
      </c>
      <c r="AM462" s="284">
        <f>IF($O463,_xll.qDateYears($O462,$O463,DCC_Leg1_Fixed),0)</f>
        <v>0</v>
      </c>
      <c r="AN462" s="284">
        <f>IF($O463,_xll.qDateYears($O462,$O463,DCC_Leg1_Float),0)</f>
        <v>0</v>
      </c>
      <c r="AP462" s="350">
        <f t="shared" si="94"/>
        <v>0</v>
      </c>
      <c r="AQ462" s="375">
        <f>IF(GenType_1a="Fixed",GenRate_1a%*$AL461*AM461,          IF(GenType_1a="Float",$AL461*(_xll.qGetFwdRate($D$18,$O461,$O462,"T",DCC_Leg1_Float)%+GenRate_1a%%)*$AN461,        IF(GenType_1a="bp (Fixed)",GenRate_1a%%*$AM461*$AL461,   IF(GenType_1a="bp (Float)",GenRate_1a%%*$AL461*$AN461,0))))</f>
        <v>0</v>
      </c>
      <c r="AR462" s="561"/>
      <c r="AT462" s="341">
        <f t="shared" si="98"/>
        <v>0</v>
      </c>
      <c r="AV462" s="356"/>
      <c r="AW462" s="122">
        <v>0</v>
      </c>
      <c r="AX462" s="128">
        <f t="shared" si="89"/>
        <v>0</v>
      </c>
      <c r="AY462" s="357">
        <v>0</v>
      </c>
      <c r="AZ462" s="699">
        <f>IF($AW463=0,0,        _xll.qDateNext($AW462,AZ$17,"M",TRUE,Currency2))</f>
        <v>0</v>
      </c>
      <c r="BA462" s="699">
        <f>IF($AW463=0,0,        _xll.qDateNext($AW462,BA$17,"M",TRUE,Currency2))</f>
        <v>0</v>
      </c>
      <c r="BB462" s="699">
        <f>IF($AW463=0,0,        _xll.qDateNext($AW462,BB$17,"M",TRUE,Currency2))</f>
        <v>0</v>
      </c>
      <c r="BC462" s="699">
        <f>IF($AW463=0,0,        _xll.qDateNext($AW462,BC$17,"M",TRUE,Currency2))</f>
        <v>0</v>
      </c>
      <c r="BD462" s="699">
        <f>IF($AW463=0,0,        _xll.qDateNext($AW462,BD$17,"M",TRUE,Currency2))</f>
        <v>0</v>
      </c>
      <c r="BE462" s="699">
        <f>IF($AW463=0,0,        _xll.qDateNext($AW462,BE$17,"M",TRUE,Currency2))</f>
        <v>0</v>
      </c>
      <c r="BF462" s="699">
        <f>IF($AW463=0,0,        _xll.qDateNext($AW462,BF$17,"M",TRUE,Currency2))</f>
        <v>0</v>
      </c>
      <c r="BG462" s="699">
        <f>IF($AW463=0,0,        _xll.qDateNext($AW462,BG$17,"M",TRUE,Currency2))</f>
        <v>0</v>
      </c>
      <c r="BH462" s="703">
        <v>0</v>
      </c>
      <c r="BI462" s="703">
        <v>0</v>
      </c>
      <c r="BJ462" s="703">
        <v>0</v>
      </c>
      <c r="BK462" s="703">
        <v>0</v>
      </c>
      <c r="BL462" s="703">
        <f t="shared" si="95"/>
        <v>0</v>
      </c>
      <c r="BM462" s="703">
        <f t="shared" si="96"/>
        <v>0</v>
      </c>
      <c r="BN462" s="703">
        <v>0</v>
      </c>
      <c r="BO462" s="703">
        <v>0</v>
      </c>
      <c r="BP462" s="685">
        <v>0</v>
      </c>
      <c r="BQ462" s="667"/>
      <c r="BR462" s="670">
        <f>IF(AW463=0,0,             IF(ISNUMBER(BQ462),BQ462,             IF(ISTEXT(BQ462),INDEX(BH462:BO462,MATCH(BQ462,$BH$17:$BO$17,0)),           IF(BP462="INT",_xll.qInterp(AW463,AZ462:BG462,BH462:BO462),       INDEX(BH462:BO462,MATCH(BP462,$BH$17:$BO$17,0))))))</f>
        <v>0</v>
      </c>
      <c r="BS462" s="731">
        <f t="shared" si="90"/>
        <v>0</v>
      </c>
      <c r="BT462" s="406">
        <f t="shared" si="91"/>
        <v>0</v>
      </c>
      <c r="BU462" s="284">
        <f>IF($AW463,_xll.qDateYears($AW462,$AW463,DCC_Leg2_Fixed),0)</f>
        <v>0</v>
      </c>
      <c r="BV462" s="284">
        <f>IF($AW463,_xll.qDateYears($AW462,$AW463,DCC_Leg2_Float),0)</f>
        <v>0</v>
      </c>
      <c r="BX462" s="350">
        <f t="shared" si="97"/>
        <v>0</v>
      </c>
      <c r="BY462" s="375">
        <f>IF(GenType_2a="Fixed",GenRate_2a%*$BT461*BU461,          IF(GenType_2a="Float",$BT461*(_xll.qGetFwdRate($J$18,$AW461,$AW462,"T",DCC_Leg2_Float)%+GenRate_2a%%)*$BV461,        IF(GenType_2a="bp (Fixed)",GenRate_2a%%*$BU461*$BT461,   IF(GenType_2a="bp (Float)",GenRate_2a%%*$BT461*$BV461,0))))</f>
        <v>0</v>
      </c>
      <c r="BZ462" s="561"/>
      <c r="CB462" s="341">
        <f t="shared" si="99"/>
        <v>0</v>
      </c>
      <c r="CC462" s="563"/>
      <c r="CD462" s="356"/>
      <c r="CE462" s="341">
        <v>0</v>
      </c>
      <c r="CF462" s="563"/>
      <c r="CG462" s="356"/>
    </row>
    <row r="463" spans="15:85">
      <c r="O463" s="122">
        <v>0</v>
      </c>
      <c r="P463" s="128">
        <f t="shared" si="86"/>
        <v>0</v>
      </c>
      <c r="Q463" s="126">
        <v>0</v>
      </c>
      <c r="R463" s="699">
        <f>IF($O464=0,0,        _xll.qDateNext($O463,R$17,"M",TRUE,Currency1))</f>
        <v>0</v>
      </c>
      <c r="S463" s="699">
        <f>IF($O464=0,0,        _xll.qDateNext($O463,S$17,"M",TRUE,Currency1))</f>
        <v>0</v>
      </c>
      <c r="T463" s="699">
        <f>IF($O464=0,0,        _xll.qDateNext($O463,T$17,"M",TRUE,Currency1))</f>
        <v>0</v>
      </c>
      <c r="U463" s="699">
        <f>IF($O464=0,0,        _xll.qDateNext($O463,U$17,"M",TRUE,Currency1))</f>
        <v>0</v>
      </c>
      <c r="V463" s="699">
        <f>IF($O464=0,0,        _xll.qDateNext($O463,V$17,"M",TRUE,Currency1))</f>
        <v>0</v>
      </c>
      <c r="W463" s="699">
        <f>IF($O464=0,0,        _xll.qDateNext($O463,W$17,"M",TRUE,Currency1))</f>
        <v>0</v>
      </c>
      <c r="X463" s="699">
        <f>IF($O464=0,0,        _xll.qDateNext($O463,X$17,"M",TRUE,Currency1))</f>
        <v>0</v>
      </c>
      <c r="Y463" s="699">
        <f>IF($O464=0,0,        _xll.qDateNext($O463,Y$17,"M",TRUE,Currency1))</f>
        <v>0</v>
      </c>
      <c r="Z463" s="703">
        <f>IF($O464=0,0,           IF(FRM,_xll.qGetFwdRate(Z$14,$O463,R463,"T",DCC_Leg1_Float),_xll.qGetFwdRate(Z$14,$O463,$O464,"T",DCC_Leg1_Float)))</f>
        <v>0</v>
      </c>
      <c r="AA463" s="703">
        <f>IF($O464=0,0,           IF(FRM,_xll.qGetFwdRate(AA$14,$O463,S463,"T",DCC_Leg1_Float),_xll.qGetFwdRate(AA$14,$O463,$O464,"T",DCC_Leg1_Float)))</f>
        <v>0</v>
      </c>
      <c r="AB463" s="703">
        <f t="shared" si="87"/>
        <v>0</v>
      </c>
      <c r="AC463" s="703">
        <f>IF($O464=0,0,           IF(FRM,_xll.qGetFwdRate(AC$14,$O463,U463,"T",DCC_Leg1_Float),_xll.qGetFwdRate(AC$14,$O463,$O464,"T",DCC_Leg1_Float)))</f>
        <v>0</v>
      </c>
      <c r="AD463" s="703">
        <f t="shared" si="92"/>
        <v>0</v>
      </c>
      <c r="AE463" s="703">
        <f t="shared" si="93"/>
        <v>0</v>
      </c>
      <c r="AF463" s="703">
        <f>IF($O464=0,0,           IF(FRM,_xll.qGetFwdRate(AF$14,$O463,X463,"T",DCC_Leg1_Float),_xll.qGetFwdRate(AF$14,$O463,$O464,"T",DCC_Leg1_Float)))</f>
        <v>0</v>
      </c>
      <c r="AG463" s="703">
        <f>IF($O464=0,0,           IF(FRM,_xll.qGetFwdRate(AG$14,$O463,Y463,"T",DCC_Leg1_Float),_xll.qGetFwdRate(AG$14,$O463,$O464,"T",DCC_Leg1_Float)))</f>
        <v>0</v>
      </c>
      <c r="AH463" s="685">
        <v>0</v>
      </c>
      <c r="AI463" s="667"/>
      <c r="AJ463" s="670">
        <f>IF(O464=0,0,             IF(ISNUMBER(AI463),AI463,             IF(ISTEXT(AI463),INDEX(Z463:AG463,MATCH(AI463,$Z$17:$AG$17,0)),           IF(AH463="INT",_xll.qInterp(O464,R463:Y463,Z463:AG463),       INDEX(Z463:AG463,MATCH(AH463,$Z$17:$AG$17,0))))))</f>
        <v>0</v>
      </c>
      <c r="AK463" s="732">
        <v>20</v>
      </c>
      <c r="AL463" s="721">
        <f t="shared" si="88"/>
        <v>0</v>
      </c>
      <c r="AM463" s="284">
        <f>IF($O464,_xll.qDateYears($O463,$O464,DCC_Leg1_Fixed),0)</f>
        <v>0</v>
      </c>
      <c r="AN463" s="284">
        <f>IF($O464,_xll.qDateYears($O463,$O464,DCC_Leg1_Float),0)</f>
        <v>0</v>
      </c>
      <c r="AP463" s="350">
        <f t="shared" si="94"/>
        <v>0</v>
      </c>
      <c r="AQ463" s="375">
        <f>IF(GenType_1a="Fixed",GenRate_1a%*$AL462*AM462,          IF(GenType_1a="Float",$AL462*(_xll.qGetFwdRate($D$18,$O462,$O463,"T",DCC_Leg1_Float)%+GenRate_1a%%)*$AN462,        IF(GenType_1a="bp (Fixed)",GenRate_1a%%*$AM462*$AL462,   IF(GenType_1a="bp (Float)",GenRate_1a%%*$AL462*$AN462,0))))</f>
        <v>0</v>
      </c>
      <c r="AR463" s="561"/>
      <c r="AT463" s="341">
        <f t="shared" si="98"/>
        <v>0</v>
      </c>
      <c r="AV463" s="356"/>
      <c r="AW463" s="122">
        <v>0</v>
      </c>
      <c r="AX463" s="128">
        <f t="shared" si="89"/>
        <v>0</v>
      </c>
      <c r="AY463" s="357">
        <v>0</v>
      </c>
      <c r="AZ463" s="699">
        <f>IF($AW464=0,0,        _xll.qDateNext($AW463,AZ$17,"M",TRUE,Currency2))</f>
        <v>0</v>
      </c>
      <c r="BA463" s="699">
        <f>IF($AW464=0,0,        _xll.qDateNext($AW463,BA$17,"M",TRUE,Currency2))</f>
        <v>0</v>
      </c>
      <c r="BB463" s="699">
        <f>IF($AW464=0,0,        _xll.qDateNext($AW463,BB$17,"M",TRUE,Currency2))</f>
        <v>0</v>
      </c>
      <c r="BC463" s="699">
        <f>IF($AW464=0,0,        _xll.qDateNext($AW463,BC$17,"M",TRUE,Currency2))</f>
        <v>0</v>
      </c>
      <c r="BD463" s="699">
        <f>IF($AW464=0,0,        _xll.qDateNext($AW463,BD$17,"M",TRUE,Currency2))</f>
        <v>0</v>
      </c>
      <c r="BE463" s="699">
        <f>IF($AW464=0,0,        _xll.qDateNext($AW463,BE$17,"M",TRUE,Currency2))</f>
        <v>0</v>
      </c>
      <c r="BF463" s="699">
        <f>IF($AW464=0,0,        _xll.qDateNext($AW463,BF$17,"M",TRUE,Currency2))</f>
        <v>0</v>
      </c>
      <c r="BG463" s="699">
        <f>IF($AW464=0,0,        _xll.qDateNext($AW463,BG$17,"M",TRUE,Currency2))</f>
        <v>0</v>
      </c>
      <c r="BH463" s="703">
        <v>0</v>
      </c>
      <c r="BI463" s="703">
        <v>0</v>
      </c>
      <c r="BJ463" s="703">
        <v>0</v>
      </c>
      <c r="BK463" s="703">
        <v>0</v>
      </c>
      <c r="BL463" s="703">
        <f t="shared" si="95"/>
        <v>0</v>
      </c>
      <c r="BM463" s="703">
        <f t="shared" si="96"/>
        <v>0</v>
      </c>
      <c r="BN463" s="703">
        <v>0</v>
      </c>
      <c r="BO463" s="703">
        <v>0</v>
      </c>
      <c r="BP463" s="685">
        <v>0</v>
      </c>
      <c r="BQ463" s="667"/>
      <c r="BR463" s="670">
        <f>IF(AW464=0,0,             IF(ISNUMBER(BQ463),BQ463,             IF(ISTEXT(BQ463),INDEX(BH463:BO463,MATCH(BQ463,$BH$17:$BO$17,0)),           IF(BP463="INT",_xll.qInterp(AW464,AZ463:BG463,BH463:BO463),       INDEX(BH463:BO463,MATCH(BP463,$BH$17:$BO$17,0))))))</f>
        <v>0</v>
      </c>
      <c r="BS463" s="731">
        <f t="shared" si="90"/>
        <v>0</v>
      </c>
      <c r="BT463" s="406">
        <f t="shared" si="91"/>
        <v>0</v>
      </c>
      <c r="BU463" s="284">
        <f>IF($AW464,_xll.qDateYears($AW463,$AW464,DCC_Leg2_Fixed),0)</f>
        <v>0</v>
      </c>
      <c r="BV463" s="284">
        <f>IF($AW464,_xll.qDateYears($AW463,$AW464,DCC_Leg2_Float),0)</f>
        <v>0</v>
      </c>
      <c r="BX463" s="350">
        <f t="shared" si="97"/>
        <v>0</v>
      </c>
      <c r="BY463" s="375">
        <f>IF(GenType_2a="Fixed",GenRate_2a%*$BT462*BU462,          IF(GenType_2a="Float",$BT462*(_xll.qGetFwdRate($J$18,$AW462,$AW463,"T",DCC_Leg2_Float)%+GenRate_2a%%)*$BV462,        IF(GenType_2a="bp (Fixed)",GenRate_2a%%*$BU462*$BT462,   IF(GenType_2a="bp (Float)",GenRate_2a%%*$BT462*$BV462,0))))</f>
        <v>0</v>
      </c>
      <c r="BZ463" s="561"/>
      <c r="CB463" s="341">
        <f t="shared" si="99"/>
        <v>0</v>
      </c>
      <c r="CC463" s="563"/>
      <c r="CD463" s="356"/>
      <c r="CE463" s="341">
        <v>0</v>
      </c>
      <c r="CF463" s="563"/>
      <c r="CG463" s="356"/>
    </row>
    <row r="464" spans="15:85">
      <c r="O464" s="122">
        <v>0</v>
      </c>
      <c r="P464" s="128">
        <f t="shared" si="86"/>
        <v>0</v>
      </c>
      <c r="Q464" s="126">
        <v>0</v>
      </c>
      <c r="R464" s="699">
        <f>IF($O465=0,0,        _xll.qDateNext($O464,R$17,"M",TRUE,Currency1))</f>
        <v>0</v>
      </c>
      <c r="S464" s="699">
        <f>IF($O465=0,0,        _xll.qDateNext($O464,S$17,"M",TRUE,Currency1))</f>
        <v>0</v>
      </c>
      <c r="T464" s="699">
        <f>IF($O465=0,0,        _xll.qDateNext($O464,T$17,"M",TRUE,Currency1))</f>
        <v>0</v>
      </c>
      <c r="U464" s="699">
        <f>IF($O465=0,0,        _xll.qDateNext($O464,U$17,"M",TRUE,Currency1))</f>
        <v>0</v>
      </c>
      <c r="V464" s="699">
        <f>IF($O465=0,0,        _xll.qDateNext($O464,V$17,"M",TRUE,Currency1))</f>
        <v>0</v>
      </c>
      <c r="W464" s="699">
        <f>IF($O465=0,0,        _xll.qDateNext($O464,W$17,"M",TRUE,Currency1))</f>
        <v>0</v>
      </c>
      <c r="X464" s="699">
        <f>IF($O465=0,0,        _xll.qDateNext($O464,X$17,"M",TRUE,Currency1))</f>
        <v>0</v>
      </c>
      <c r="Y464" s="699">
        <f>IF($O465=0,0,        _xll.qDateNext($O464,Y$17,"M",TRUE,Currency1))</f>
        <v>0</v>
      </c>
      <c r="Z464" s="703">
        <f>IF($O465=0,0,           IF(FRM,_xll.qGetFwdRate(Z$14,$O464,R464,"T",DCC_Leg1_Float),_xll.qGetFwdRate(Z$14,$O464,$O465,"T",DCC_Leg1_Float)))</f>
        <v>0</v>
      </c>
      <c r="AA464" s="703">
        <f>IF($O465=0,0,           IF(FRM,_xll.qGetFwdRate(AA$14,$O464,S464,"T",DCC_Leg1_Float),_xll.qGetFwdRate(AA$14,$O464,$O465,"T",DCC_Leg1_Float)))</f>
        <v>0</v>
      </c>
      <c r="AB464" s="703">
        <f t="shared" si="87"/>
        <v>0</v>
      </c>
      <c r="AC464" s="703">
        <f>IF($O465=0,0,           IF(FRM,_xll.qGetFwdRate(AC$14,$O464,U464,"T",DCC_Leg1_Float),_xll.qGetFwdRate(AC$14,$O464,$O465,"T",DCC_Leg1_Float)))</f>
        <v>0</v>
      </c>
      <c r="AD464" s="703">
        <f t="shared" si="92"/>
        <v>0</v>
      </c>
      <c r="AE464" s="703">
        <f t="shared" si="93"/>
        <v>0</v>
      </c>
      <c r="AF464" s="703">
        <f>IF($O465=0,0,           IF(FRM,_xll.qGetFwdRate(AF$14,$O464,X464,"T",DCC_Leg1_Float),_xll.qGetFwdRate(AF$14,$O464,$O465,"T",DCC_Leg1_Float)))</f>
        <v>0</v>
      </c>
      <c r="AG464" s="703">
        <f>IF($O465=0,0,           IF(FRM,_xll.qGetFwdRate(AG$14,$O464,Y464,"T",DCC_Leg1_Float),_xll.qGetFwdRate(AG$14,$O464,$O465,"T",DCC_Leg1_Float)))</f>
        <v>0</v>
      </c>
      <c r="AH464" s="685">
        <v>0</v>
      </c>
      <c r="AI464" s="667"/>
      <c r="AJ464" s="670">
        <f>IF(O465=0,0,             IF(ISNUMBER(AI464),AI464,             IF(ISTEXT(AI464),INDEX(Z464:AG464,MATCH(AI464,$Z$17:$AG$17,0)),           IF(AH464="INT",_xll.qInterp(O465,R464:Y464,Z464:AG464),       INDEX(Z464:AG464,MATCH(AH464,$Z$17:$AG$17,0))))))</f>
        <v>0</v>
      </c>
      <c r="AK464" s="732">
        <v>20</v>
      </c>
      <c r="AL464" s="721">
        <f t="shared" si="88"/>
        <v>0</v>
      </c>
      <c r="AM464" s="284">
        <f>IF($O465,_xll.qDateYears($O464,$O465,DCC_Leg1_Fixed),0)</f>
        <v>0</v>
      </c>
      <c r="AN464" s="284">
        <f>IF($O465,_xll.qDateYears($O464,$O465,DCC_Leg1_Float),0)</f>
        <v>0</v>
      </c>
      <c r="AP464" s="350">
        <f t="shared" si="94"/>
        <v>0</v>
      </c>
      <c r="AQ464" s="375">
        <f>IF(GenType_1a="Fixed",GenRate_1a%*$AL463*AM463,          IF(GenType_1a="Float",$AL463*(_xll.qGetFwdRate($D$18,$O463,$O464,"T",DCC_Leg1_Float)%+GenRate_1a%%)*$AN463,        IF(GenType_1a="bp (Fixed)",GenRate_1a%%*$AM463*$AL463,   IF(GenType_1a="bp (Float)",GenRate_1a%%*$AL463*$AN463,0))))</f>
        <v>0</v>
      </c>
      <c r="AR464" s="561"/>
      <c r="AT464" s="341">
        <f t="shared" si="98"/>
        <v>0</v>
      </c>
      <c r="AV464" s="356"/>
      <c r="AW464" s="122">
        <v>0</v>
      </c>
      <c r="AX464" s="128">
        <f t="shared" si="89"/>
        <v>0</v>
      </c>
      <c r="AY464" s="357">
        <v>0</v>
      </c>
      <c r="AZ464" s="699">
        <f>IF($AW465=0,0,        _xll.qDateNext($AW464,AZ$17,"M",TRUE,Currency2))</f>
        <v>0</v>
      </c>
      <c r="BA464" s="699">
        <f>IF($AW465=0,0,        _xll.qDateNext($AW464,BA$17,"M",TRUE,Currency2))</f>
        <v>0</v>
      </c>
      <c r="BB464" s="699">
        <f>IF($AW465=0,0,        _xll.qDateNext($AW464,BB$17,"M",TRUE,Currency2))</f>
        <v>0</v>
      </c>
      <c r="BC464" s="699">
        <f>IF($AW465=0,0,        _xll.qDateNext($AW464,BC$17,"M",TRUE,Currency2))</f>
        <v>0</v>
      </c>
      <c r="BD464" s="699">
        <f>IF($AW465=0,0,        _xll.qDateNext($AW464,BD$17,"M",TRUE,Currency2))</f>
        <v>0</v>
      </c>
      <c r="BE464" s="699">
        <f>IF($AW465=0,0,        _xll.qDateNext($AW464,BE$17,"M",TRUE,Currency2))</f>
        <v>0</v>
      </c>
      <c r="BF464" s="699">
        <f>IF($AW465=0,0,        _xll.qDateNext($AW464,BF$17,"M",TRUE,Currency2))</f>
        <v>0</v>
      </c>
      <c r="BG464" s="699">
        <f>IF($AW465=0,0,        _xll.qDateNext($AW464,BG$17,"M",TRUE,Currency2))</f>
        <v>0</v>
      </c>
      <c r="BH464" s="703">
        <v>0</v>
      </c>
      <c r="BI464" s="703">
        <v>0</v>
      </c>
      <c r="BJ464" s="703">
        <v>0</v>
      </c>
      <c r="BK464" s="703">
        <v>0</v>
      </c>
      <c r="BL464" s="703">
        <f t="shared" si="95"/>
        <v>0</v>
      </c>
      <c r="BM464" s="703">
        <f t="shared" si="96"/>
        <v>0</v>
      </c>
      <c r="BN464" s="703">
        <v>0</v>
      </c>
      <c r="BO464" s="703">
        <v>0</v>
      </c>
      <c r="BP464" s="685">
        <v>0</v>
      </c>
      <c r="BQ464" s="667"/>
      <c r="BR464" s="670">
        <f>IF(AW465=0,0,             IF(ISNUMBER(BQ464),BQ464,             IF(ISTEXT(BQ464),INDEX(BH464:BO464,MATCH(BQ464,$BH$17:$BO$17,0)),           IF(BP464="INT",_xll.qInterp(AW465,AZ464:BG464,BH464:BO464),       INDEX(BH464:BO464,MATCH(BP464,$BH$17:$BO$17,0))))))</f>
        <v>0</v>
      </c>
      <c r="BS464" s="731">
        <f t="shared" si="90"/>
        <v>0</v>
      </c>
      <c r="BT464" s="406">
        <f t="shared" si="91"/>
        <v>0</v>
      </c>
      <c r="BU464" s="284">
        <f>IF($AW465,_xll.qDateYears($AW464,$AW465,DCC_Leg2_Fixed),0)</f>
        <v>0</v>
      </c>
      <c r="BV464" s="284">
        <f>IF($AW465,_xll.qDateYears($AW464,$AW465,DCC_Leg2_Float),0)</f>
        <v>0</v>
      </c>
      <c r="BX464" s="350">
        <f t="shared" si="97"/>
        <v>0</v>
      </c>
      <c r="BY464" s="375">
        <f>IF(GenType_2a="Fixed",GenRate_2a%*$BT463*BU463,          IF(GenType_2a="Float",$BT463*(_xll.qGetFwdRate($J$18,$AW463,$AW464,"T",DCC_Leg2_Float)%+GenRate_2a%%)*$BV463,        IF(GenType_2a="bp (Fixed)",GenRate_2a%%*$BU463*$BT463,   IF(GenType_2a="bp (Float)",GenRate_2a%%*$BT463*$BV463,0))))</f>
        <v>0</v>
      </c>
      <c r="BZ464" s="561"/>
      <c r="CB464" s="341">
        <f t="shared" si="99"/>
        <v>0</v>
      </c>
      <c r="CC464" s="563"/>
      <c r="CD464" s="356"/>
      <c r="CE464" s="341">
        <v>0</v>
      </c>
      <c r="CF464" s="563"/>
      <c r="CG464" s="356"/>
    </row>
    <row r="465" spans="15:85">
      <c r="O465" s="122">
        <v>0</v>
      </c>
      <c r="P465" s="128">
        <f t="shared" si="86"/>
        <v>0</v>
      </c>
      <c r="Q465" s="126">
        <v>0</v>
      </c>
      <c r="R465" s="699">
        <f>IF($O466=0,0,        _xll.qDateNext($O465,R$17,"M",TRUE,Currency1))</f>
        <v>0</v>
      </c>
      <c r="S465" s="699">
        <f>IF($O466=0,0,        _xll.qDateNext($O465,S$17,"M",TRUE,Currency1))</f>
        <v>0</v>
      </c>
      <c r="T465" s="699">
        <f>IF($O466=0,0,        _xll.qDateNext($O465,T$17,"M",TRUE,Currency1))</f>
        <v>0</v>
      </c>
      <c r="U465" s="699">
        <f>IF($O466=0,0,        _xll.qDateNext($O465,U$17,"M",TRUE,Currency1))</f>
        <v>0</v>
      </c>
      <c r="V465" s="699">
        <f>IF($O466=0,0,        _xll.qDateNext($O465,V$17,"M",TRUE,Currency1))</f>
        <v>0</v>
      </c>
      <c r="W465" s="699">
        <f>IF($O466=0,0,        _xll.qDateNext($O465,W$17,"M",TRUE,Currency1))</f>
        <v>0</v>
      </c>
      <c r="X465" s="699">
        <f>IF($O466=0,0,        _xll.qDateNext($O465,X$17,"M",TRUE,Currency1))</f>
        <v>0</v>
      </c>
      <c r="Y465" s="699">
        <f>IF($O466=0,0,        _xll.qDateNext($O465,Y$17,"M",TRUE,Currency1))</f>
        <v>0</v>
      </c>
      <c r="Z465" s="703">
        <f>IF($O466=0,0,           IF(FRM,_xll.qGetFwdRate(Z$14,$O465,R465,"T",DCC_Leg1_Float),_xll.qGetFwdRate(Z$14,$O465,$O466,"T",DCC_Leg1_Float)))</f>
        <v>0</v>
      </c>
      <c r="AA465" s="703">
        <f>IF($O466=0,0,           IF(FRM,_xll.qGetFwdRate(AA$14,$O465,S465,"T",DCC_Leg1_Float),_xll.qGetFwdRate(AA$14,$O465,$O466,"T",DCC_Leg1_Float)))</f>
        <v>0</v>
      </c>
      <c r="AB465" s="703">
        <f t="shared" si="87"/>
        <v>0</v>
      </c>
      <c r="AC465" s="703">
        <f>IF($O466=0,0,           IF(FRM,_xll.qGetFwdRate(AC$14,$O465,U465,"T",DCC_Leg1_Float),_xll.qGetFwdRate(AC$14,$O465,$O466,"T",DCC_Leg1_Float)))</f>
        <v>0</v>
      </c>
      <c r="AD465" s="703">
        <f t="shared" si="92"/>
        <v>0</v>
      </c>
      <c r="AE465" s="703">
        <f t="shared" si="93"/>
        <v>0</v>
      </c>
      <c r="AF465" s="703">
        <f>IF($O466=0,0,           IF(FRM,_xll.qGetFwdRate(AF$14,$O465,X465,"T",DCC_Leg1_Float),_xll.qGetFwdRate(AF$14,$O465,$O466,"T",DCC_Leg1_Float)))</f>
        <v>0</v>
      </c>
      <c r="AG465" s="703">
        <f>IF($O466=0,0,           IF(FRM,_xll.qGetFwdRate(AG$14,$O465,Y465,"T",DCC_Leg1_Float),_xll.qGetFwdRate(AG$14,$O465,$O466,"T",DCC_Leg1_Float)))</f>
        <v>0</v>
      </c>
      <c r="AH465" s="685">
        <v>0</v>
      </c>
      <c r="AI465" s="667"/>
      <c r="AJ465" s="670">
        <f>IF(O466=0,0,             IF(ISNUMBER(AI465),AI465,             IF(ISTEXT(AI465),INDEX(Z465:AG465,MATCH(AI465,$Z$17:$AG$17,0)),           IF(AH465="INT",_xll.qInterp(O466,R465:Y465,Z465:AG465),       INDEX(Z465:AG465,MATCH(AH465,$Z$17:$AG$17,0))))))</f>
        <v>0</v>
      </c>
      <c r="AK465" s="732">
        <v>20</v>
      </c>
      <c r="AL465" s="721">
        <f t="shared" si="88"/>
        <v>0</v>
      </c>
      <c r="AM465" s="284">
        <f>IF($O466,_xll.qDateYears($O465,$O466,DCC_Leg1_Fixed),0)</f>
        <v>0</v>
      </c>
      <c r="AN465" s="284">
        <f>IF($O466,_xll.qDateYears($O465,$O466,DCC_Leg1_Float),0)</f>
        <v>0</v>
      </c>
      <c r="AP465" s="350">
        <f t="shared" si="94"/>
        <v>0</v>
      </c>
      <c r="AQ465" s="375">
        <f>IF(GenType_1a="Fixed",GenRate_1a%*$AL464*AM464,          IF(GenType_1a="Float",$AL464*(_xll.qGetFwdRate($D$18,$O464,$O465,"T",DCC_Leg1_Float)%+GenRate_1a%%)*$AN464,        IF(GenType_1a="bp (Fixed)",GenRate_1a%%*$AM464*$AL464,   IF(GenType_1a="bp (Float)",GenRate_1a%%*$AL464*$AN464,0))))</f>
        <v>0</v>
      </c>
      <c r="AR465" s="561"/>
      <c r="AT465" s="341">
        <f t="shared" si="98"/>
        <v>0</v>
      </c>
      <c r="AV465" s="356"/>
      <c r="AW465" s="122">
        <v>0</v>
      </c>
      <c r="AX465" s="128">
        <f t="shared" si="89"/>
        <v>0</v>
      </c>
      <c r="AY465" s="357">
        <v>0</v>
      </c>
      <c r="AZ465" s="699">
        <f>IF($AW466=0,0,        _xll.qDateNext($AW465,AZ$17,"M",TRUE,Currency2))</f>
        <v>0</v>
      </c>
      <c r="BA465" s="699">
        <f>IF($AW466=0,0,        _xll.qDateNext($AW465,BA$17,"M",TRUE,Currency2))</f>
        <v>0</v>
      </c>
      <c r="BB465" s="699">
        <f>IF($AW466=0,0,        _xll.qDateNext($AW465,BB$17,"M",TRUE,Currency2))</f>
        <v>0</v>
      </c>
      <c r="BC465" s="699">
        <f>IF($AW466=0,0,        _xll.qDateNext($AW465,BC$17,"M",TRUE,Currency2))</f>
        <v>0</v>
      </c>
      <c r="BD465" s="699">
        <f>IF($AW466=0,0,        _xll.qDateNext($AW465,BD$17,"M",TRUE,Currency2))</f>
        <v>0</v>
      </c>
      <c r="BE465" s="699">
        <f>IF($AW466=0,0,        _xll.qDateNext($AW465,BE$17,"M",TRUE,Currency2))</f>
        <v>0</v>
      </c>
      <c r="BF465" s="699">
        <f>IF($AW466=0,0,        _xll.qDateNext($AW465,BF$17,"M",TRUE,Currency2))</f>
        <v>0</v>
      </c>
      <c r="BG465" s="699">
        <f>IF($AW466=0,0,        _xll.qDateNext($AW465,BG$17,"M",TRUE,Currency2))</f>
        <v>0</v>
      </c>
      <c r="BH465" s="703">
        <v>0</v>
      </c>
      <c r="BI465" s="703">
        <v>0</v>
      </c>
      <c r="BJ465" s="703">
        <v>0</v>
      </c>
      <c r="BK465" s="703">
        <v>0</v>
      </c>
      <c r="BL465" s="703">
        <f t="shared" si="95"/>
        <v>0</v>
      </c>
      <c r="BM465" s="703">
        <f t="shared" si="96"/>
        <v>0</v>
      </c>
      <c r="BN465" s="703">
        <v>0</v>
      </c>
      <c r="BO465" s="703">
        <v>0</v>
      </c>
      <c r="BP465" s="685">
        <v>0</v>
      </c>
      <c r="BQ465" s="667"/>
      <c r="BR465" s="670">
        <f>IF(AW466=0,0,             IF(ISNUMBER(BQ465),BQ465,             IF(ISTEXT(BQ465),INDEX(BH465:BO465,MATCH(BQ465,$BH$17:$BO$17,0)),           IF(BP465="INT",_xll.qInterp(AW466,AZ465:BG465,BH465:BO465),       INDEX(BH465:BO465,MATCH(BP465,$BH$17:$BO$17,0))))))</f>
        <v>0</v>
      </c>
      <c r="BS465" s="731">
        <f t="shared" si="90"/>
        <v>0</v>
      </c>
      <c r="BT465" s="406">
        <f t="shared" si="91"/>
        <v>0</v>
      </c>
      <c r="BU465" s="284">
        <f>IF($AW466,_xll.qDateYears($AW465,$AW466,DCC_Leg2_Fixed),0)</f>
        <v>0</v>
      </c>
      <c r="BV465" s="284">
        <f>IF($AW466,_xll.qDateYears($AW465,$AW466,DCC_Leg2_Float),0)</f>
        <v>0</v>
      </c>
      <c r="BX465" s="350">
        <f t="shared" si="97"/>
        <v>0</v>
      </c>
      <c r="BY465" s="375">
        <f>IF(GenType_2a="Fixed",GenRate_2a%*$BT464*BU464,          IF(GenType_2a="Float",$BT464*(_xll.qGetFwdRate($J$18,$AW464,$AW465,"T",DCC_Leg2_Float)%+GenRate_2a%%)*$BV464,        IF(GenType_2a="bp (Fixed)",GenRate_2a%%*$BU464*$BT464,   IF(GenType_2a="bp (Float)",GenRate_2a%%*$BT464*$BV464,0))))</f>
        <v>0</v>
      </c>
      <c r="BZ465" s="561"/>
      <c r="CB465" s="341">
        <f t="shared" si="99"/>
        <v>0</v>
      </c>
      <c r="CC465" s="563"/>
      <c r="CD465" s="356"/>
      <c r="CE465" s="341">
        <v>0</v>
      </c>
      <c r="CF465" s="563"/>
      <c r="CG465" s="356"/>
    </row>
    <row r="466" spans="15:85">
      <c r="O466" s="122">
        <v>0</v>
      </c>
      <c r="P466" s="128">
        <f t="shared" ref="P466:P516" si="100">IF(O467,O467-O466,0)</f>
        <v>0</v>
      </c>
      <c r="Q466" s="126">
        <v>0</v>
      </c>
      <c r="R466" s="699">
        <f>IF($O467=0,0,        _xll.qDateNext($O466,R$17,"M",TRUE,Currency1))</f>
        <v>0</v>
      </c>
      <c r="S466" s="699">
        <f>IF($O467=0,0,        _xll.qDateNext($O466,S$17,"M",TRUE,Currency1))</f>
        <v>0</v>
      </c>
      <c r="T466" s="699">
        <f>IF($O467=0,0,        _xll.qDateNext($O466,T$17,"M",TRUE,Currency1))</f>
        <v>0</v>
      </c>
      <c r="U466" s="699">
        <f>IF($O467=0,0,        _xll.qDateNext($O466,U$17,"M",TRUE,Currency1))</f>
        <v>0</v>
      </c>
      <c r="V466" s="699">
        <f>IF($O467=0,0,        _xll.qDateNext($O466,V$17,"M",TRUE,Currency1))</f>
        <v>0</v>
      </c>
      <c r="W466" s="699">
        <f>IF($O467=0,0,        _xll.qDateNext($O466,W$17,"M",TRUE,Currency1))</f>
        <v>0</v>
      </c>
      <c r="X466" s="699">
        <f>IF($O467=0,0,        _xll.qDateNext($O466,X$17,"M",TRUE,Currency1))</f>
        <v>0</v>
      </c>
      <c r="Y466" s="699">
        <f>IF($O467=0,0,        _xll.qDateNext($O466,Y$17,"M",TRUE,Currency1))</f>
        <v>0</v>
      </c>
      <c r="Z466" s="703">
        <f>IF($O467=0,0,           IF(FRM,_xll.qGetFwdRate(Z$14,$O466,R466,"T",DCC_Leg1_Float),_xll.qGetFwdRate(Z$14,$O466,$O467,"T",DCC_Leg1_Float)))</f>
        <v>0</v>
      </c>
      <c r="AA466" s="703">
        <f>IF($O467=0,0,           IF(FRM,_xll.qGetFwdRate(AA$14,$O466,S466,"T",DCC_Leg1_Float),_xll.qGetFwdRate(AA$14,$O466,$O467,"T",DCC_Leg1_Float)))</f>
        <v>0</v>
      </c>
      <c r="AB466" s="703">
        <f t="shared" ref="AB466:AB516" si="101">AVERAGE(AA466,AC466)</f>
        <v>0</v>
      </c>
      <c r="AC466" s="703">
        <f>IF($O467=0,0,           IF(FRM,_xll.qGetFwdRate(AC$14,$O466,U466,"T",DCC_Leg1_Float),_xll.qGetFwdRate(AC$14,$O466,$O467,"T",DCC_Leg1_Float)))</f>
        <v>0</v>
      </c>
      <c r="AD466" s="703">
        <f t="shared" si="92"/>
        <v>0</v>
      </c>
      <c r="AE466" s="703">
        <f t="shared" si="93"/>
        <v>0</v>
      </c>
      <c r="AF466" s="703">
        <f>IF($O467=0,0,           IF(FRM,_xll.qGetFwdRate(AF$14,$O466,X466,"T",DCC_Leg1_Float),_xll.qGetFwdRate(AF$14,$O466,$O467,"T",DCC_Leg1_Float)))</f>
        <v>0</v>
      </c>
      <c r="AG466" s="703">
        <f>IF($O467=0,0,           IF(FRM,_xll.qGetFwdRate(AG$14,$O466,Y466,"T",DCC_Leg1_Float),_xll.qGetFwdRate(AG$14,$O466,$O467,"T",DCC_Leg1_Float)))</f>
        <v>0</v>
      </c>
      <c r="AH466" s="685">
        <v>0</v>
      </c>
      <c r="AI466" s="667"/>
      <c r="AJ466" s="670">
        <f>IF(O467=0,0,             IF(ISNUMBER(AI466),AI466,             IF(ISTEXT(AI466),INDEX(Z466:AG466,MATCH(AI466,$Z$17:$AG$17,0)),           IF(AH466="INT",_xll.qInterp(O467,R466:Y466,Z466:AG466),       INDEX(Z466:AG466,MATCH(AH466,$Z$17:$AG$17,0))))))</f>
        <v>0</v>
      </c>
      <c r="AK466" s="732">
        <v>20</v>
      </c>
      <c r="AL466" s="721">
        <f t="shared" ref="AL466:AL516" si="102">IF(O467,AK466*1000000*$AN$11,0)</f>
        <v>0</v>
      </c>
      <c r="AM466" s="284">
        <f>IF($O467,_xll.qDateYears($O466,$O467,DCC_Leg1_Fixed),0)</f>
        <v>0</v>
      </c>
      <c r="AN466" s="284">
        <f>IF($O467,_xll.qDateYears($O466,$O467,DCC_Leg1_Float),0)</f>
        <v>0</v>
      </c>
      <c r="AP466" s="350">
        <f t="shared" si="94"/>
        <v>0</v>
      </c>
      <c r="AQ466" s="375">
        <f>IF(GenType_1a="Fixed",GenRate_1a%*$AL465*AM465,          IF(GenType_1a="Float",$AL465*(_xll.qGetFwdRate($D$18,$O465,$O466,"T",DCC_Leg1_Float)%+GenRate_1a%%)*$AN465,        IF(GenType_1a="bp (Fixed)",GenRate_1a%%*$AM465*$AL465,   IF(GenType_1a="bp (Float)",GenRate_1a%%*$AL465*$AN465,0))))</f>
        <v>0</v>
      </c>
      <c r="AR466" s="561"/>
      <c r="AT466" s="341">
        <f t="shared" si="98"/>
        <v>0</v>
      </c>
      <c r="AV466" s="356"/>
      <c r="AW466" s="122">
        <v>0</v>
      </c>
      <c r="AX466" s="128">
        <f t="shared" ref="AX466:AX516" si="103">IF(AW467,AW467-AW466,0)</f>
        <v>0</v>
      </c>
      <c r="AY466" s="357">
        <v>0</v>
      </c>
      <c r="AZ466" s="699">
        <f>IF($AW467=0,0,        _xll.qDateNext($AW466,AZ$17,"M",TRUE,Currency2))</f>
        <v>0</v>
      </c>
      <c r="BA466" s="699">
        <f>IF($AW467=0,0,        _xll.qDateNext($AW466,BA$17,"M",TRUE,Currency2))</f>
        <v>0</v>
      </c>
      <c r="BB466" s="699">
        <f>IF($AW467=0,0,        _xll.qDateNext($AW466,BB$17,"M",TRUE,Currency2))</f>
        <v>0</v>
      </c>
      <c r="BC466" s="699">
        <f>IF($AW467=0,0,        _xll.qDateNext($AW466,BC$17,"M",TRUE,Currency2))</f>
        <v>0</v>
      </c>
      <c r="BD466" s="699">
        <f>IF($AW467=0,0,        _xll.qDateNext($AW466,BD$17,"M",TRUE,Currency2))</f>
        <v>0</v>
      </c>
      <c r="BE466" s="699">
        <f>IF($AW467=0,0,        _xll.qDateNext($AW466,BE$17,"M",TRUE,Currency2))</f>
        <v>0</v>
      </c>
      <c r="BF466" s="699">
        <f>IF($AW467=0,0,        _xll.qDateNext($AW466,BF$17,"M",TRUE,Currency2))</f>
        <v>0</v>
      </c>
      <c r="BG466" s="699">
        <f>IF($AW467=0,0,        _xll.qDateNext($AW466,BG$17,"M",TRUE,Currency2))</f>
        <v>0</v>
      </c>
      <c r="BH466" s="703">
        <v>0</v>
      </c>
      <c r="BI466" s="703">
        <v>0</v>
      </c>
      <c r="BJ466" s="703">
        <v>0</v>
      </c>
      <c r="BK466" s="703">
        <v>0</v>
      </c>
      <c r="BL466" s="703">
        <f t="shared" si="95"/>
        <v>0</v>
      </c>
      <c r="BM466" s="703">
        <f t="shared" si="96"/>
        <v>0</v>
      </c>
      <c r="BN466" s="703">
        <v>0</v>
      </c>
      <c r="BO466" s="703">
        <v>0</v>
      </c>
      <c r="BP466" s="685">
        <v>0</v>
      </c>
      <c r="BQ466" s="667"/>
      <c r="BR466" s="670">
        <f>IF(AW467=0,0,             IF(ISNUMBER(BQ466),BQ466,             IF(ISTEXT(BQ466),INDEX(BH466:BO466,MATCH(BQ466,$BH$17:$BO$17,0)),           IF(BP466="INT",_xll.qInterp(AW467,AZ466:BG466,BH466:BO466),       INDEX(BH466:BO466,MATCH(BP466,$BH$17:$BO$17,0))))))</f>
        <v>0</v>
      </c>
      <c r="BS466" s="731">
        <f t="shared" ref="BS466:BS516" si="104">IF(AW467,INDEX($AK$18:$AK$516,MATCH(AW466,OFFSET($O$18,0,0,$AN$12,1)))*$F$6,0)</f>
        <v>0</v>
      </c>
      <c r="BT466" s="406">
        <f t="shared" ref="BT466:BT516" si="105">IF(AW466,BS466*1000000*$BV$11,0)</f>
        <v>0</v>
      </c>
      <c r="BU466" s="284">
        <f>IF($AW467,_xll.qDateYears($AW466,$AW467,DCC_Leg2_Fixed),0)</f>
        <v>0</v>
      </c>
      <c r="BV466" s="284">
        <f>IF($AW467,_xll.qDateYears($AW466,$AW467,DCC_Leg2_Float),0)</f>
        <v>0</v>
      </c>
      <c r="BX466" s="350">
        <f t="shared" si="97"/>
        <v>0</v>
      </c>
      <c r="BY466" s="375">
        <f>IF(GenType_2a="Fixed",GenRate_2a%*$BT465*BU465,          IF(GenType_2a="Float",$BT465*(_xll.qGetFwdRate($J$18,$AW465,$AW466,"T",DCC_Leg2_Float)%+GenRate_2a%%)*$BV465,        IF(GenType_2a="bp (Fixed)",GenRate_2a%%*$BU465*$BT465,   IF(GenType_2a="bp (Float)",GenRate_2a%%*$BT465*$BV465,0))))</f>
        <v>0</v>
      </c>
      <c r="BZ466" s="561"/>
      <c r="CB466" s="341">
        <f t="shared" si="99"/>
        <v>0</v>
      </c>
      <c r="CC466" s="563"/>
      <c r="CD466" s="356"/>
      <c r="CE466" s="341">
        <v>0</v>
      </c>
      <c r="CF466" s="563"/>
      <c r="CG466" s="356"/>
    </row>
    <row r="467" spans="15:85">
      <c r="O467" s="122">
        <v>0</v>
      </c>
      <c r="P467" s="128">
        <f t="shared" si="100"/>
        <v>0</v>
      </c>
      <c r="Q467" s="126">
        <v>0</v>
      </c>
      <c r="R467" s="699">
        <f>IF($O468=0,0,        _xll.qDateNext($O467,R$17,"M",TRUE,Currency1))</f>
        <v>0</v>
      </c>
      <c r="S467" s="699">
        <f>IF($O468=0,0,        _xll.qDateNext($O467,S$17,"M",TRUE,Currency1))</f>
        <v>0</v>
      </c>
      <c r="T467" s="699">
        <f>IF($O468=0,0,        _xll.qDateNext($O467,T$17,"M",TRUE,Currency1))</f>
        <v>0</v>
      </c>
      <c r="U467" s="699">
        <f>IF($O468=0,0,        _xll.qDateNext($O467,U$17,"M",TRUE,Currency1))</f>
        <v>0</v>
      </c>
      <c r="V467" s="699">
        <f>IF($O468=0,0,        _xll.qDateNext($O467,V$17,"M",TRUE,Currency1))</f>
        <v>0</v>
      </c>
      <c r="W467" s="699">
        <f>IF($O468=0,0,        _xll.qDateNext($O467,W$17,"M",TRUE,Currency1))</f>
        <v>0</v>
      </c>
      <c r="X467" s="699">
        <f>IF($O468=0,0,        _xll.qDateNext($O467,X$17,"M",TRUE,Currency1))</f>
        <v>0</v>
      </c>
      <c r="Y467" s="699">
        <f>IF($O468=0,0,        _xll.qDateNext($O467,Y$17,"M",TRUE,Currency1))</f>
        <v>0</v>
      </c>
      <c r="Z467" s="703">
        <f>IF($O468=0,0,           IF(FRM,_xll.qGetFwdRate(Z$14,$O467,R467,"T",DCC_Leg1_Float),_xll.qGetFwdRate(Z$14,$O467,$O468,"T",DCC_Leg1_Float)))</f>
        <v>0</v>
      </c>
      <c r="AA467" s="703">
        <f>IF($O468=0,0,           IF(FRM,_xll.qGetFwdRate(AA$14,$O467,S467,"T",DCC_Leg1_Float),_xll.qGetFwdRate(AA$14,$O467,$O468,"T",DCC_Leg1_Float)))</f>
        <v>0</v>
      </c>
      <c r="AB467" s="703">
        <f t="shared" si="101"/>
        <v>0</v>
      </c>
      <c r="AC467" s="703">
        <f>IF($O468=0,0,           IF(FRM,_xll.qGetFwdRate(AC$14,$O467,U467,"T",DCC_Leg1_Float),_xll.qGetFwdRate(AC$14,$O467,$O468,"T",DCC_Leg1_Float)))</f>
        <v>0</v>
      </c>
      <c r="AD467" s="703">
        <f t="shared" ref="AD467:AD516" si="106">(AF467-AC467)/3+AC467</f>
        <v>0</v>
      </c>
      <c r="AE467" s="703">
        <f t="shared" ref="AE467:AE516" si="107">AVERAGE(AD467,AF467)</f>
        <v>0</v>
      </c>
      <c r="AF467" s="703">
        <f>IF($O468=0,0,           IF(FRM,_xll.qGetFwdRate(AF$14,$O467,X467,"T",DCC_Leg1_Float),_xll.qGetFwdRate(AF$14,$O467,$O468,"T",DCC_Leg1_Float)))</f>
        <v>0</v>
      </c>
      <c r="AG467" s="703">
        <f>IF($O468=0,0,           IF(FRM,_xll.qGetFwdRate(AG$14,$O467,Y467,"T",DCC_Leg1_Float),_xll.qGetFwdRate(AG$14,$O467,$O468,"T",DCC_Leg1_Float)))</f>
        <v>0</v>
      </c>
      <c r="AH467" s="685">
        <v>0</v>
      </c>
      <c r="AI467" s="667"/>
      <c r="AJ467" s="670">
        <f>IF(O468=0,0,             IF(ISNUMBER(AI467),AI467,             IF(ISTEXT(AI467),INDEX(Z467:AG467,MATCH(AI467,$Z$17:$AG$17,0)),           IF(AH467="INT",_xll.qInterp(O468,R467:Y467,Z467:AG467),       INDEX(Z467:AG467,MATCH(AH467,$Z$17:$AG$17,0))))))</f>
        <v>0</v>
      </c>
      <c r="AK467" s="732">
        <v>20</v>
      </c>
      <c r="AL467" s="721">
        <f t="shared" si="102"/>
        <v>0</v>
      </c>
      <c r="AM467" s="284">
        <f>IF($O468,_xll.qDateYears($O467,$O468,DCC_Leg1_Fixed),0)</f>
        <v>0</v>
      </c>
      <c r="AN467" s="284">
        <f>IF($O468,_xll.qDateYears($O467,$O468,DCC_Leg1_Float),0)</f>
        <v>0</v>
      </c>
      <c r="AP467" s="350">
        <f t="shared" ref="AP467:AP517" si="108">IF(Principal1?,$AL466-$AL467,       0)</f>
        <v>0</v>
      </c>
      <c r="AQ467" s="375">
        <f>IF(GenType_1a="Fixed",GenRate_1a%*$AL466*AM466,          IF(GenType_1a="Float",$AL466*(_xll.qGetFwdRate($D$18,$O466,$O467,"T",DCC_Leg1_Float)%+GenRate_1a%%)*$AN466,        IF(GenType_1a="bp (Fixed)",GenRate_1a%%*$AM466*$AL466,   IF(GenType_1a="bp (Float)",GenRate_1a%%*$AL466*$AN466,0))))</f>
        <v>0</v>
      </c>
      <c r="AR467" s="561"/>
      <c r="AT467" s="341">
        <f t="shared" si="98"/>
        <v>0</v>
      </c>
      <c r="AV467" s="356"/>
      <c r="AW467" s="122">
        <v>0</v>
      </c>
      <c r="AX467" s="128">
        <f t="shared" si="103"/>
        <v>0</v>
      </c>
      <c r="AY467" s="357">
        <v>0</v>
      </c>
      <c r="AZ467" s="699">
        <f>IF($AW468=0,0,        _xll.qDateNext($AW467,AZ$17,"M",TRUE,Currency2))</f>
        <v>0</v>
      </c>
      <c r="BA467" s="699">
        <f>IF($AW468=0,0,        _xll.qDateNext($AW467,BA$17,"M",TRUE,Currency2))</f>
        <v>0</v>
      </c>
      <c r="BB467" s="699">
        <f>IF($AW468=0,0,        _xll.qDateNext($AW467,BB$17,"M",TRUE,Currency2))</f>
        <v>0</v>
      </c>
      <c r="BC467" s="699">
        <f>IF($AW468=0,0,        _xll.qDateNext($AW467,BC$17,"M",TRUE,Currency2))</f>
        <v>0</v>
      </c>
      <c r="BD467" s="699">
        <f>IF($AW468=0,0,        _xll.qDateNext($AW467,BD$17,"M",TRUE,Currency2))</f>
        <v>0</v>
      </c>
      <c r="BE467" s="699">
        <f>IF($AW468=0,0,        _xll.qDateNext($AW467,BE$17,"M",TRUE,Currency2))</f>
        <v>0</v>
      </c>
      <c r="BF467" s="699">
        <f>IF($AW468=0,0,        _xll.qDateNext($AW467,BF$17,"M",TRUE,Currency2))</f>
        <v>0</v>
      </c>
      <c r="BG467" s="699">
        <f>IF($AW468=0,0,        _xll.qDateNext($AW467,BG$17,"M",TRUE,Currency2))</f>
        <v>0</v>
      </c>
      <c r="BH467" s="703">
        <v>0</v>
      </c>
      <c r="BI467" s="703">
        <v>0</v>
      </c>
      <c r="BJ467" s="703">
        <v>0</v>
      </c>
      <c r="BK467" s="703">
        <v>0</v>
      </c>
      <c r="BL467" s="703">
        <f t="shared" ref="BL467:BL516" si="109">(BN467-BK467)/3+BK467</f>
        <v>0</v>
      </c>
      <c r="BM467" s="703">
        <f t="shared" ref="BM467:BM516" si="110">AVERAGE(BL467,BN467)</f>
        <v>0</v>
      </c>
      <c r="BN467" s="703">
        <v>0</v>
      </c>
      <c r="BO467" s="703">
        <v>0</v>
      </c>
      <c r="BP467" s="685">
        <v>0</v>
      </c>
      <c r="BQ467" s="667"/>
      <c r="BR467" s="670">
        <f>IF(AW468=0,0,             IF(ISNUMBER(BQ467),BQ467,             IF(ISTEXT(BQ467),INDEX(BH467:BO467,MATCH(BQ467,$BH$17:$BO$17,0)),           IF(BP467="INT",_xll.qInterp(AW468,AZ467:BG467,BH467:BO467),       INDEX(BH467:BO467,MATCH(BP467,$BH$17:$BO$17,0))))))</f>
        <v>0</v>
      </c>
      <c r="BS467" s="731">
        <f t="shared" si="104"/>
        <v>0</v>
      </c>
      <c r="BT467" s="406">
        <f t="shared" si="105"/>
        <v>0</v>
      </c>
      <c r="BU467" s="284">
        <f>IF($AW468,_xll.qDateYears($AW467,$AW468,DCC_Leg2_Fixed),0)</f>
        <v>0</v>
      </c>
      <c r="BV467" s="284">
        <f>IF($AW468,_xll.qDateYears($AW467,$AW468,DCC_Leg2_Float),0)</f>
        <v>0</v>
      </c>
      <c r="BX467" s="350">
        <f t="shared" ref="BX467:BX517" si="111">IF(Principal2?,$BT466-$BT467,       0)</f>
        <v>0</v>
      </c>
      <c r="BY467" s="375">
        <f>IF(GenType_2a="Fixed",GenRate_2a%*$BT466*BU466,          IF(GenType_2a="Float",$BT466*(_xll.qGetFwdRate($J$18,$AW466,$AW467,"T",DCC_Leg2_Float)%+GenRate_2a%%)*$BV466,        IF(GenType_2a="bp (Fixed)",GenRate_2a%%*$BU466*$BT466,   IF(GenType_2a="bp (Float)",GenRate_2a%%*$BT466*$BV466,0))))</f>
        <v>0</v>
      </c>
      <c r="BZ467" s="561"/>
      <c r="CB467" s="341">
        <f t="shared" si="99"/>
        <v>0</v>
      </c>
      <c r="CC467" s="563"/>
      <c r="CD467" s="356"/>
      <c r="CE467" s="341">
        <v>0</v>
      </c>
      <c r="CF467" s="563"/>
      <c r="CG467" s="356"/>
    </row>
    <row r="468" spans="15:85">
      <c r="O468" s="122">
        <v>0</v>
      </c>
      <c r="P468" s="128">
        <f t="shared" si="100"/>
        <v>0</v>
      </c>
      <c r="Q468" s="126">
        <v>0</v>
      </c>
      <c r="R468" s="699">
        <f>IF($O469=0,0,        _xll.qDateNext($O468,R$17,"M",TRUE,Currency1))</f>
        <v>0</v>
      </c>
      <c r="S468" s="699">
        <f>IF($O469=0,0,        _xll.qDateNext($O468,S$17,"M",TRUE,Currency1))</f>
        <v>0</v>
      </c>
      <c r="T468" s="699">
        <f>IF($O469=0,0,        _xll.qDateNext($O468,T$17,"M",TRUE,Currency1))</f>
        <v>0</v>
      </c>
      <c r="U468" s="699">
        <f>IF($O469=0,0,        _xll.qDateNext($O468,U$17,"M",TRUE,Currency1))</f>
        <v>0</v>
      </c>
      <c r="V468" s="699">
        <f>IF($O469=0,0,        _xll.qDateNext($O468,V$17,"M",TRUE,Currency1))</f>
        <v>0</v>
      </c>
      <c r="W468" s="699">
        <f>IF($O469=0,0,        _xll.qDateNext($O468,W$17,"M",TRUE,Currency1))</f>
        <v>0</v>
      </c>
      <c r="X468" s="699">
        <f>IF($O469=0,0,        _xll.qDateNext($O468,X$17,"M",TRUE,Currency1))</f>
        <v>0</v>
      </c>
      <c r="Y468" s="699">
        <f>IF($O469=0,0,        _xll.qDateNext($O468,Y$17,"M",TRUE,Currency1))</f>
        <v>0</v>
      </c>
      <c r="Z468" s="703">
        <f>IF($O469=0,0,           IF(FRM,_xll.qGetFwdRate(Z$14,$O468,R468,"T",DCC_Leg1_Float),_xll.qGetFwdRate(Z$14,$O468,$O469,"T",DCC_Leg1_Float)))</f>
        <v>0</v>
      </c>
      <c r="AA468" s="703">
        <f>IF($O469=0,0,           IF(FRM,_xll.qGetFwdRate(AA$14,$O468,S468,"T",DCC_Leg1_Float),_xll.qGetFwdRate(AA$14,$O468,$O469,"T",DCC_Leg1_Float)))</f>
        <v>0</v>
      </c>
      <c r="AB468" s="703">
        <f t="shared" si="101"/>
        <v>0</v>
      </c>
      <c r="AC468" s="703">
        <f>IF($O469=0,0,           IF(FRM,_xll.qGetFwdRate(AC$14,$O468,U468,"T",DCC_Leg1_Float),_xll.qGetFwdRate(AC$14,$O468,$O469,"T",DCC_Leg1_Float)))</f>
        <v>0</v>
      </c>
      <c r="AD468" s="703">
        <f t="shared" si="106"/>
        <v>0</v>
      </c>
      <c r="AE468" s="703">
        <f t="shared" si="107"/>
        <v>0</v>
      </c>
      <c r="AF468" s="703">
        <f>IF($O469=0,0,           IF(FRM,_xll.qGetFwdRate(AF$14,$O468,X468,"T",DCC_Leg1_Float),_xll.qGetFwdRate(AF$14,$O468,$O469,"T",DCC_Leg1_Float)))</f>
        <v>0</v>
      </c>
      <c r="AG468" s="703">
        <f>IF($O469=0,0,           IF(FRM,_xll.qGetFwdRate(AG$14,$O468,Y468,"T",DCC_Leg1_Float),_xll.qGetFwdRate(AG$14,$O468,$O469,"T",DCC_Leg1_Float)))</f>
        <v>0</v>
      </c>
      <c r="AH468" s="685">
        <v>0</v>
      </c>
      <c r="AI468" s="667"/>
      <c r="AJ468" s="670">
        <f>IF(O469=0,0,             IF(ISNUMBER(AI468),AI468,             IF(ISTEXT(AI468),INDEX(Z468:AG468,MATCH(AI468,$Z$17:$AG$17,0)),           IF(AH468="INT",_xll.qInterp(O469,R468:Y468,Z468:AG468),       INDEX(Z468:AG468,MATCH(AH468,$Z$17:$AG$17,0))))))</f>
        <v>0</v>
      </c>
      <c r="AK468" s="732">
        <v>20</v>
      </c>
      <c r="AL468" s="721">
        <f t="shared" si="102"/>
        <v>0</v>
      </c>
      <c r="AM468" s="284">
        <f>IF($O469,_xll.qDateYears($O468,$O469,DCC_Leg1_Fixed),0)</f>
        <v>0</v>
      </c>
      <c r="AN468" s="284">
        <f>IF($O469,_xll.qDateYears($O468,$O469,DCC_Leg1_Float),0)</f>
        <v>0</v>
      </c>
      <c r="AP468" s="350">
        <f t="shared" si="108"/>
        <v>0</v>
      </c>
      <c r="AQ468" s="375">
        <f>IF(GenType_1a="Fixed",GenRate_1a%*$AL467*AM467,          IF(GenType_1a="Float",$AL467*(_xll.qGetFwdRate($D$18,$O467,$O468,"T",DCC_Leg1_Float)%+GenRate_1a%%)*$AN467,        IF(GenType_1a="bp (Fixed)",GenRate_1a%%*$AM467*$AL467,   IF(GenType_1a="bp (Float)",GenRate_1a%%*$AL467*$AN467,0))))</f>
        <v>0</v>
      </c>
      <c r="AR468" s="561"/>
      <c r="AT468" s="341">
        <f t="shared" si="98"/>
        <v>0</v>
      </c>
      <c r="AV468" s="356"/>
      <c r="AW468" s="122">
        <v>0</v>
      </c>
      <c r="AX468" s="128">
        <f t="shared" si="103"/>
        <v>0</v>
      </c>
      <c r="AY468" s="357">
        <v>0</v>
      </c>
      <c r="AZ468" s="699">
        <f>IF($AW469=0,0,        _xll.qDateNext($AW468,AZ$17,"M",TRUE,Currency2))</f>
        <v>0</v>
      </c>
      <c r="BA468" s="699">
        <f>IF($AW469=0,0,        _xll.qDateNext($AW468,BA$17,"M",TRUE,Currency2))</f>
        <v>0</v>
      </c>
      <c r="BB468" s="699">
        <f>IF($AW469=0,0,        _xll.qDateNext($AW468,BB$17,"M",TRUE,Currency2))</f>
        <v>0</v>
      </c>
      <c r="BC468" s="699">
        <f>IF($AW469=0,0,        _xll.qDateNext($AW468,BC$17,"M",TRUE,Currency2))</f>
        <v>0</v>
      </c>
      <c r="BD468" s="699">
        <f>IF($AW469=0,0,        _xll.qDateNext($AW468,BD$17,"M",TRUE,Currency2))</f>
        <v>0</v>
      </c>
      <c r="BE468" s="699">
        <f>IF($AW469=0,0,        _xll.qDateNext($AW468,BE$17,"M",TRUE,Currency2))</f>
        <v>0</v>
      </c>
      <c r="BF468" s="699">
        <f>IF($AW469=0,0,        _xll.qDateNext($AW468,BF$17,"M",TRUE,Currency2))</f>
        <v>0</v>
      </c>
      <c r="BG468" s="699">
        <f>IF($AW469=0,0,        _xll.qDateNext($AW468,BG$17,"M",TRUE,Currency2))</f>
        <v>0</v>
      </c>
      <c r="BH468" s="703">
        <v>0</v>
      </c>
      <c r="BI468" s="703">
        <v>0</v>
      </c>
      <c r="BJ468" s="703">
        <v>0</v>
      </c>
      <c r="BK468" s="703">
        <v>0</v>
      </c>
      <c r="BL468" s="703">
        <f t="shared" si="109"/>
        <v>0</v>
      </c>
      <c r="BM468" s="703">
        <f t="shared" si="110"/>
        <v>0</v>
      </c>
      <c r="BN468" s="703">
        <v>0</v>
      </c>
      <c r="BO468" s="703">
        <v>0</v>
      </c>
      <c r="BP468" s="685">
        <v>0</v>
      </c>
      <c r="BQ468" s="667"/>
      <c r="BR468" s="670">
        <f>IF(AW469=0,0,             IF(ISNUMBER(BQ468),BQ468,             IF(ISTEXT(BQ468),INDEX(BH468:BO468,MATCH(BQ468,$BH$17:$BO$17,0)),           IF(BP468="INT",_xll.qInterp(AW469,AZ468:BG468,BH468:BO468),       INDEX(BH468:BO468,MATCH(BP468,$BH$17:$BO$17,0))))))</f>
        <v>0</v>
      </c>
      <c r="BS468" s="731">
        <f t="shared" si="104"/>
        <v>0</v>
      </c>
      <c r="BT468" s="406">
        <f t="shared" si="105"/>
        <v>0</v>
      </c>
      <c r="BU468" s="284">
        <f>IF($AW469,_xll.qDateYears($AW468,$AW469,DCC_Leg2_Fixed),0)</f>
        <v>0</v>
      </c>
      <c r="BV468" s="284">
        <f>IF($AW469,_xll.qDateYears($AW468,$AW469,DCC_Leg2_Float),0)</f>
        <v>0</v>
      </c>
      <c r="BX468" s="350">
        <f t="shared" si="111"/>
        <v>0</v>
      </c>
      <c r="BY468" s="375">
        <f>IF(GenType_2a="Fixed",GenRate_2a%*$BT467*BU467,          IF(GenType_2a="Float",$BT467*(_xll.qGetFwdRate($J$18,$AW467,$AW468,"T",DCC_Leg2_Float)%+GenRate_2a%%)*$BV467,        IF(GenType_2a="bp (Fixed)",GenRate_2a%%*$BU467*$BT467,   IF(GenType_2a="bp (Float)",GenRate_2a%%*$BT467*$BV467,0))))</f>
        <v>0</v>
      </c>
      <c r="BZ468" s="561"/>
      <c r="CB468" s="341">
        <f t="shared" si="99"/>
        <v>0</v>
      </c>
      <c r="CC468" s="563"/>
      <c r="CD468" s="356"/>
      <c r="CE468" s="341">
        <v>0</v>
      </c>
      <c r="CF468" s="563"/>
      <c r="CG468" s="356"/>
    </row>
    <row r="469" spans="15:85">
      <c r="O469" s="122">
        <v>0</v>
      </c>
      <c r="P469" s="128">
        <f t="shared" si="100"/>
        <v>0</v>
      </c>
      <c r="Q469" s="126">
        <v>0</v>
      </c>
      <c r="R469" s="699">
        <f>IF($O470=0,0,        _xll.qDateNext($O469,R$17,"M",TRUE,Currency1))</f>
        <v>0</v>
      </c>
      <c r="S469" s="699">
        <f>IF($O470=0,0,        _xll.qDateNext($O469,S$17,"M",TRUE,Currency1))</f>
        <v>0</v>
      </c>
      <c r="T469" s="699">
        <f>IF($O470=0,0,        _xll.qDateNext($O469,T$17,"M",TRUE,Currency1))</f>
        <v>0</v>
      </c>
      <c r="U469" s="699">
        <f>IF($O470=0,0,        _xll.qDateNext($O469,U$17,"M",TRUE,Currency1))</f>
        <v>0</v>
      </c>
      <c r="V469" s="699">
        <f>IF($O470=0,0,        _xll.qDateNext($O469,V$17,"M",TRUE,Currency1))</f>
        <v>0</v>
      </c>
      <c r="W469" s="699">
        <f>IF($O470=0,0,        _xll.qDateNext($O469,W$17,"M",TRUE,Currency1))</f>
        <v>0</v>
      </c>
      <c r="X469" s="699">
        <f>IF($O470=0,0,        _xll.qDateNext($O469,X$17,"M",TRUE,Currency1))</f>
        <v>0</v>
      </c>
      <c r="Y469" s="699">
        <f>IF($O470=0,0,        _xll.qDateNext($O469,Y$17,"M",TRUE,Currency1))</f>
        <v>0</v>
      </c>
      <c r="Z469" s="703">
        <f>IF($O470=0,0,           IF(FRM,_xll.qGetFwdRate(Z$14,$O469,R469,"T",DCC_Leg1_Float),_xll.qGetFwdRate(Z$14,$O469,$O470,"T",DCC_Leg1_Float)))</f>
        <v>0</v>
      </c>
      <c r="AA469" s="703">
        <f>IF($O470=0,0,           IF(FRM,_xll.qGetFwdRate(AA$14,$O469,S469,"T",DCC_Leg1_Float),_xll.qGetFwdRate(AA$14,$O469,$O470,"T",DCC_Leg1_Float)))</f>
        <v>0</v>
      </c>
      <c r="AB469" s="703">
        <f t="shared" si="101"/>
        <v>0</v>
      </c>
      <c r="AC469" s="703">
        <f>IF($O470=0,0,           IF(FRM,_xll.qGetFwdRate(AC$14,$O469,U469,"T",DCC_Leg1_Float),_xll.qGetFwdRate(AC$14,$O469,$O470,"T",DCC_Leg1_Float)))</f>
        <v>0</v>
      </c>
      <c r="AD469" s="703">
        <f t="shared" si="106"/>
        <v>0</v>
      </c>
      <c r="AE469" s="703">
        <f t="shared" si="107"/>
        <v>0</v>
      </c>
      <c r="AF469" s="703">
        <f>IF($O470=0,0,           IF(FRM,_xll.qGetFwdRate(AF$14,$O469,X469,"T",DCC_Leg1_Float),_xll.qGetFwdRate(AF$14,$O469,$O470,"T",DCC_Leg1_Float)))</f>
        <v>0</v>
      </c>
      <c r="AG469" s="703">
        <f>IF($O470=0,0,           IF(FRM,_xll.qGetFwdRate(AG$14,$O469,Y469,"T",DCC_Leg1_Float),_xll.qGetFwdRate(AG$14,$O469,$O470,"T",DCC_Leg1_Float)))</f>
        <v>0</v>
      </c>
      <c r="AH469" s="685">
        <v>0</v>
      </c>
      <c r="AI469" s="667"/>
      <c r="AJ469" s="670">
        <f>IF(O470=0,0,             IF(ISNUMBER(AI469),AI469,             IF(ISTEXT(AI469),INDEX(Z469:AG469,MATCH(AI469,$Z$17:$AG$17,0)),           IF(AH469="INT",_xll.qInterp(O470,R469:Y469,Z469:AG469),       INDEX(Z469:AG469,MATCH(AH469,$Z$17:$AG$17,0))))))</f>
        <v>0</v>
      </c>
      <c r="AK469" s="732">
        <v>20</v>
      </c>
      <c r="AL469" s="721">
        <f t="shared" si="102"/>
        <v>0</v>
      </c>
      <c r="AM469" s="284">
        <f>IF($O470,_xll.qDateYears($O469,$O470,DCC_Leg1_Fixed),0)</f>
        <v>0</v>
      </c>
      <c r="AN469" s="284">
        <f>IF($O470,_xll.qDateYears($O469,$O470,DCC_Leg1_Float),0)</f>
        <v>0</v>
      </c>
      <c r="AP469" s="350">
        <f t="shared" si="108"/>
        <v>0</v>
      </c>
      <c r="AQ469" s="375">
        <f>IF(GenType_1a="Fixed",GenRate_1a%*$AL468*AM468,          IF(GenType_1a="Float",$AL468*(_xll.qGetFwdRate($D$18,$O468,$O469,"T",DCC_Leg1_Float)%+GenRate_1a%%)*$AN468,        IF(GenType_1a="bp (Fixed)",GenRate_1a%%*$AM468*$AL468,   IF(GenType_1a="bp (Float)",GenRate_1a%%*$AL468*$AN468,0))))</f>
        <v>0</v>
      </c>
      <c r="AR469" s="561"/>
      <c r="AT469" s="341">
        <f t="shared" si="98"/>
        <v>0</v>
      </c>
      <c r="AV469" s="356"/>
      <c r="AW469" s="122">
        <v>0</v>
      </c>
      <c r="AX469" s="128">
        <f t="shared" si="103"/>
        <v>0</v>
      </c>
      <c r="AY469" s="357">
        <v>0</v>
      </c>
      <c r="AZ469" s="699">
        <f>IF($AW470=0,0,        _xll.qDateNext($AW469,AZ$17,"M",TRUE,Currency2))</f>
        <v>0</v>
      </c>
      <c r="BA469" s="699">
        <f>IF($AW470=0,0,        _xll.qDateNext($AW469,BA$17,"M",TRUE,Currency2))</f>
        <v>0</v>
      </c>
      <c r="BB469" s="699">
        <f>IF($AW470=0,0,        _xll.qDateNext($AW469,BB$17,"M",TRUE,Currency2))</f>
        <v>0</v>
      </c>
      <c r="BC469" s="699">
        <f>IF($AW470=0,0,        _xll.qDateNext($AW469,BC$17,"M",TRUE,Currency2))</f>
        <v>0</v>
      </c>
      <c r="BD469" s="699">
        <f>IF($AW470=0,0,        _xll.qDateNext($AW469,BD$17,"M",TRUE,Currency2))</f>
        <v>0</v>
      </c>
      <c r="BE469" s="699">
        <f>IF($AW470=0,0,        _xll.qDateNext($AW469,BE$17,"M",TRUE,Currency2))</f>
        <v>0</v>
      </c>
      <c r="BF469" s="699">
        <f>IF($AW470=0,0,        _xll.qDateNext($AW469,BF$17,"M",TRUE,Currency2))</f>
        <v>0</v>
      </c>
      <c r="BG469" s="699">
        <f>IF($AW470=0,0,        _xll.qDateNext($AW469,BG$17,"M",TRUE,Currency2))</f>
        <v>0</v>
      </c>
      <c r="BH469" s="703">
        <v>0</v>
      </c>
      <c r="BI469" s="703">
        <v>0</v>
      </c>
      <c r="BJ469" s="703">
        <v>0</v>
      </c>
      <c r="BK469" s="703">
        <v>0</v>
      </c>
      <c r="BL469" s="703">
        <f t="shared" si="109"/>
        <v>0</v>
      </c>
      <c r="BM469" s="703">
        <f t="shared" si="110"/>
        <v>0</v>
      </c>
      <c r="BN469" s="703">
        <v>0</v>
      </c>
      <c r="BO469" s="703">
        <v>0</v>
      </c>
      <c r="BP469" s="685">
        <v>0</v>
      </c>
      <c r="BQ469" s="667"/>
      <c r="BR469" s="670">
        <f>IF(AW470=0,0,             IF(ISNUMBER(BQ469),BQ469,             IF(ISTEXT(BQ469),INDEX(BH469:BO469,MATCH(BQ469,$BH$17:$BO$17,0)),           IF(BP469="INT",_xll.qInterp(AW470,AZ469:BG469,BH469:BO469),       INDEX(BH469:BO469,MATCH(BP469,$BH$17:$BO$17,0))))))</f>
        <v>0</v>
      </c>
      <c r="BS469" s="731">
        <f t="shared" si="104"/>
        <v>0</v>
      </c>
      <c r="BT469" s="406">
        <f t="shared" si="105"/>
        <v>0</v>
      </c>
      <c r="BU469" s="284">
        <f>IF($AW470,_xll.qDateYears($AW469,$AW470,DCC_Leg2_Fixed),0)</f>
        <v>0</v>
      </c>
      <c r="BV469" s="284">
        <f>IF($AW470,_xll.qDateYears($AW469,$AW470,DCC_Leg2_Float),0)</f>
        <v>0</v>
      </c>
      <c r="BX469" s="350">
        <f t="shared" si="111"/>
        <v>0</v>
      </c>
      <c r="BY469" s="375">
        <f>IF(GenType_2a="Fixed",GenRate_2a%*$BT468*BU468,          IF(GenType_2a="Float",$BT468*(_xll.qGetFwdRate($J$18,$AW468,$AW469,"T",DCC_Leg2_Float)%+GenRate_2a%%)*$BV468,        IF(GenType_2a="bp (Fixed)",GenRate_2a%%*$BU468*$BT468,   IF(GenType_2a="bp (Float)",GenRate_2a%%*$BT468*$BV468,0))))</f>
        <v>0</v>
      </c>
      <c r="BZ469" s="561"/>
      <c r="CB469" s="341">
        <f t="shared" si="99"/>
        <v>0</v>
      </c>
      <c r="CC469" s="563"/>
      <c r="CD469" s="356"/>
      <c r="CE469" s="341">
        <v>0</v>
      </c>
      <c r="CF469" s="563"/>
      <c r="CG469" s="356"/>
    </row>
    <row r="470" spans="15:85">
      <c r="O470" s="122">
        <v>0</v>
      </c>
      <c r="P470" s="128">
        <f t="shared" si="100"/>
        <v>0</v>
      </c>
      <c r="Q470" s="126">
        <v>0</v>
      </c>
      <c r="R470" s="699">
        <f>IF($O471=0,0,        _xll.qDateNext($O470,R$17,"M",TRUE,Currency1))</f>
        <v>0</v>
      </c>
      <c r="S470" s="699">
        <f>IF($O471=0,0,        _xll.qDateNext($O470,S$17,"M",TRUE,Currency1))</f>
        <v>0</v>
      </c>
      <c r="T470" s="699">
        <f>IF($O471=0,0,        _xll.qDateNext($O470,T$17,"M",TRUE,Currency1))</f>
        <v>0</v>
      </c>
      <c r="U470" s="699">
        <f>IF($O471=0,0,        _xll.qDateNext($O470,U$17,"M",TRUE,Currency1))</f>
        <v>0</v>
      </c>
      <c r="V470" s="699">
        <f>IF($O471=0,0,        _xll.qDateNext($O470,V$17,"M",TRUE,Currency1))</f>
        <v>0</v>
      </c>
      <c r="W470" s="699">
        <f>IF($O471=0,0,        _xll.qDateNext($O470,W$17,"M",TRUE,Currency1))</f>
        <v>0</v>
      </c>
      <c r="X470" s="699">
        <f>IF($O471=0,0,        _xll.qDateNext($O470,X$17,"M",TRUE,Currency1))</f>
        <v>0</v>
      </c>
      <c r="Y470" s="699">
        <f>IF($O471=0,0,        _xll.qDateNext($O470,Y$17,"M",TRUE,Currency1))</f>
        <v>0</v>
      </c>
      <c r="Z470" s="703">
        <f>IF($O471=0,0,           IF(FRM,_xll.qGetFwdRate(Z$14,$O470,R470,"T",DCC_Leg1_Float),_xll.qGetFwdRate(Z$14,$O470,$O471,"T",DCC_Leg1_Float)))</f>
        <v>0</v>
      </c>
      <c r="AA470" s="703">
        <f>IF($O471=0,0,           IF(FRM,_xll.qGetFwdRate(AA$14,$O470,S470,"T",DCC_Leg1_Float),_xll.qGetFwdRate(AA$14,$O470,$O471,"T",DCC_Leg1_Float)))</f>
        <v>0</v>
      </c>
      <c r="AB470" s="703">
        <f t="shared" si="101"/>
        <v>0</v>
      </c>
      <c r="AC470" s="703">
        <f>IF($O471=0,0,           IF(FRM,_xll.qGetFwdRate(AC$14,$O470,U470,"T",DCC_Leg1_Float),_xll.qGetFwdRate(AC$14,$O470,$O471,"T",DCC_Leg1_Float)))</f>
        <v>0</v>
      </c>
      <c r="AD470" s="703">
        <f t="shared" si="106"/>
        <v>0</v>
      </c>
      <c r="AE470" s="703">
        <f t="shared" si="107"/>
        <v>0</v>
      </c>
      <c r="AF470" s="703">
        <f>IF($O471=0,0,           IF(FRM,_xll.qGetFwdRate(AF$14,$O470,X470,"T",DCC_Leg1_Float),_xll.qGetFwdRate(AF$14,$O470,$O471,"T",DCC_Leg1_Float)))</f>
        <v>0</v>
      </c>
      <c r="AG470" s="703">
        <f>IF($O471=0,0,           IF(FRM,_xll.qGetFwdRate(AG$14,$O470,Y470,"T",DCC_Leg1_Float),_xll.qGetFwdRate(AG$14,$O470,$O471,"T",DCC_Leg1_Float)))</f>
        <v>0</v>
      </c>
      <c r="AH470" s="685">
        <v>0</v>
      </c>
      <c r="AI470" s="667"/>
      <c r="AJ470" s="670">
        <f>IF(O471=0,0,             IF(ISNUMBER(AI470),AI470,             IF(ISTEXT(AI470),INDEX(Z470:AG470,MATCH(AI470,$Z$17:$AG$17,0)),           IF(AH470="INT",_xll.qInterp(O471,R470:Y470,Z470:AG470),       INDEX(Z470:AG470,MATCH(AH470,$Z$17:$AG$17,0))))))</f>
        <v>0</v>
      </c>
      <c r="AK470" s="732">
        <v>20</v>
      </c>
      <c r="AL470" s="721">
        <f t="shared" si="102"/>
        <v>0</v>
      </c>
      <c r="AM470" s="284">
        <f>IF($O471,_xll.qDateYears($O470,$O471,DCC_Leg1_Fixed),0)</f>
        <v>0</v>
      </c>
      <c r="AN470" s="284">
        <f>IF($O471,_xll.qDateYears($O470,$O471,DCC_Leg1_Float),0)</f>
        <v>0</v>
      </c>
      <c r="AP470" s="350">
        <f t="shared" si="108"/>
        <v>0</v>
      </c>
      <c r="AQ470" s="375">
        <f>IF(GenType_1a="Fixed",GenRate_1a%*$AL469*AM469,          IF(GenType_1a="Float",$AL469*(_xll.qGetFwdRate($D$18,$O469,$O470,"T",DCC_Leg1_Float)%+GenRate_1a%%)*$AN469,        IF(GenType_1a="bp (Fixed)",GenRate_1a%%*$AM469*$AL469,   IF(GenType_1a="bp (Float)",GenRate_1a%%*$AL469*$AN469,0))))</f>
        <v>0</v>
      </c>
      <c r="AR470" s="561"/>
      <c r="AT470" s="341">
        <f t="shared" si="98"/>
        <v>0</v>
      </c>
      <c r="AV470" s="356"/>
      <c r="AW470" s="122">
        <v>0</v>
      </c>
      <c r="AX470" s="128">
        <f t="shared" si="103"/>
        <v>0</v>
      </c>
      <c r="AY470" s="357">
        <v>0</v>
      </c>
      <c r="AZ470" s="699">
        <f>IF($AW471=0,0,        _xll.qDateNext($AW470,AZ$17,"M",TRUE,Currency2))</f>
        <v>0</v>
      </c>
      <c r="BA470" s="699">
        <f>IF($AW471=0,0,        _xll.qDateNext($AW470,BA$17,"M",TRUE,Currency2))</f>
        <v>0</v>
      </c>
      <c r="BB470" s="699">
        <f>IF($AW471=0,0,        _xll.qDateNext($AW470,BB$17,"M",TRUE,Currency2))</f>
        <v>0</v>
      </c>
      <c r="BC470" s="699">
        <f>IF($AW471=0,0,        _xll.qDateNext($AW470,BC$17,"M",TRUE,Currency2))</f>
        <v>0</v>
      </c>
      <c r="BD470" s="699">
        <f>IF($AW471=0,0,        _xll.qDateNext($AW470,BD$17,"M",TRUE,Currency2))</f>
        <v>0</v>
      </c>
      <c r="BE470" s="699">
        <f>IF($AW471=0,0,        _xll.qDateNext($AW470,BE$17,"M",TRUE,Currency2))</f>
        <v>0</v>
      </c>
      <c r="BF470" s="699">
        <f>IF($AW471=0,0,        _xll.qDateNext($AW470,BF$17,"M",TRUE,Currency2))</f>
        <v>0</v>
      </c>
      <c r="BG470" s="699">
        <f>IF($AW471=0,0,        _xll.qDateNext($AW470,BG$17,"M",TRUE,Currency2))</f>
        <v>0</v>
      </c>
      <c r="BH470" s="703">
        <v>0</v>
      </c>
      <c r="BI470" s="703">
        <v>0</v>
      </c>
      <c r="BJ470" s="703">
        <v>0</v>
      </c>
      <c r="BK470" s="703">
        <v>0</v>
      </c>
      <c r="BL470" s="703">
        <f t="shared" si="109"/>
        <v>0</v>
      </c>
      <c r="BM470" s="703">
        <f t="shared" si="110"/>
        <v>0</v>
      </c>
      <c r="BN470" s="703">
        <v>0</v>
      </c>
      <c r="BO470" s="703">
        <v>0</v>
      </c>
      <c r="BP470" s="685">
        <v>0</v>
      </c>
      <c r="BQ470" s="667"/>
      <c r="BR470" s="670">
        <f>IF(AW471=0,0,             IF(ISNUMBER(BQ470),BQ470,             IF(ISTEXT(BQ470),INDEX(BH470:BO470,MATCH(BQ470,$BH$17:$BO$17,0)),           IF(BP470="INT",_xll.qInterp(AW471,AZ470:BG470,BH470:BO470),       INDEX(BH470:BO470,MATCH(BP470,$BH$17:$BO$17,0))))))</f>
        <v>0</v>
      </c>
      <c r="BS470" s="731">
        <f t="shared" si="104"/>
        <v>0</v>
      </c>
      <c r="BT470" s="406">
        <f t="shared" si="105"/>
        <v>0</v>
      </c>
      <c r="BU470" s="284">
        <f>IF($AW471,_xll.qDateYears($AW470,$AW471,DCC_Leg2_Fixed),0)</f>
        <v>0</v>
      </c>
      <c r="BV470" s="284">
        <f>IF($AW471,_xll.qDateYears($AW470,$AW471,DCC_Leg2_Float),0)</f>
        <v>0</v>
      </c>
      <c r="BX470" s="350">
        <f t="shared" si="111"/>
        <v>0</v>
      </c>
      <c r="BY470" s="375">
        <f>IF(GenType_2a="Fixed",GenRate_2a%*$BT469*BU469,          IF(GenType_2a="Float",$BT469*(_xll.qGetFwdRate($J$18,$AW469,$AW470,"T",DCC_Leg2_Float)%+GenRate_2a%%)*$BV469,        IF(GenType_2a="bp (Fixed)",GenRate_2a%%*$BU469*$BT469,   IF(GenType_2a="bp (Float)",GenRate_2a%%*$BT469*$BV469,0))))</f>
        <v>0</v>
      </c>
      <c r="BZ470" s="561"/>
      <c r="CB470" s="341">
        <f t="shared" si="99"/>
        <v>0</v>
      </c>
      <c r="CC470" s="563"/>
      <c r="CD470" s="356"/>
      <c r="CE470" s="341">
        <v>0</v>
      </c>
      <c r="CF470" s="563"/>
      <c r="CG470" s="356"/>
    </row>
    <row r="471" spans="15:85">
      <c r="O471" s="122">
        <v>0</v>
      </c>
      <c r="P471" s="128">
        <f t="shared" si="100"/>
        <v>0</v>
      </c>
      <c r="Q471" s="126">
        <v>0</v>
      </c>
      <c r="R471" s="699">
        <f>IF($O472=0,0,        _xll.qDateNext($O471,R$17,"M",TRUE,Currency1))</f>
        <v>0</v>
      </c>
      <c r="S471" s="699">
        <f>IF($O472=0,0,        _xll.qDateNext($O471,S$17,"M",TRUE,Currency1))</f>
        <v>0</v>
      </c>
      <c r="T471" s="699">
        <f>IF($O472=0,0,        _xll.qDateNext($O471,T$17,"M",TRUE,Currency1))</f>
        <v>0</v>
      </c>
      <c r="U471" s="699">
        <f>IF($O472=0,0,        _xll.qDateNext($O471,U$17,"M",TRUE,Currency1))</f>
        <v>0</v>
      </c>
      <c r="V471" s="699">
        <f>IF($O472=0,0,        _xll.qDateNext($O471,V$17,"M",TRUE,Currency1))</f>
        <v>0</v>
      </c>
      <c r="W471" s="699">
        <f>IF($O472=0,0,        _xll.qDateNext($O471,W$17,"M",TRUE,Currency1))</f>
        <v>0</v>
      </c>
      <c r="X471" s="699">
        <f>IF($O472=0,0,        _xll.qDateNext($O471,X$17,"M",TRUE,Currency1))</f>
        <v>0</v>
      </c>
      <c r="Y471" s="699">
        <f>IF($O472=0,0,        _xll.qDateNext($O471,Y$17,"M",TRUE,Currency1))</f>
        <v>0</v>
      </c>
      <c r="Z471" s="703">
        <f>IF($O472=0,0,           IF(FRM,_xll.qGetFwdRate(Z$14,$O471,R471,"T",DCC_Leg1_Float),_xll.qGetFwdRate(Z$14,$O471,$O472,"T",DCC_Leg1_Float)))</f>
        <v>0</v>
      </c>
      <c r="AA471" s="703">
        <f>IF($O472=0,0,           IF(FRM,_xll.qGetFwdRate(AA$14,$O471,S471,"T",DCC_Leg1_Float),_xll.qGetFwdRate(AA$14,$O471,$O472,"T",DCC_Leg1_Float)))</f>
        <v>0</v>
      </c>
      <c r="AB471" s="703">
        <f t="shared" si="101"/>
        <v>0</v>
      </c>
      <c r="AC471" s="703">
        <f>IF($O472=0,0,           IF(FRM,_xll.qGetFwdRate(AC$14,$O471,U471,"T",DCC_Leg1_Float),_xll.qGetFwdRate(AC$14,$O471,$O472,"T",DCC_Leg1_Float)))</f>
        <v>0</v>
      </c>
      <c r="AD471" s="703">
        <f t="shared" si="106"/>
        <v>0</v>
      </c>
      <c r="AE471" s="703">
        <f t="shared" si="107"/>
        <v>0</v>
      </c>
      <c r="AF471" s="703">
        <f>IF($O472=0,0,           IF(FRM,_xll.qGetFwdRate(AF$14,$O471,X471,"T",DCC_Leg1_Float),_xll.qGetFwdRate(AF$14,$O471,$O472,"T",DCC_Leg1_Float)))</f>
        <v>0</v>
      </c>
      <c r="AG471" s="703">
        <f>IF($O472=0,0,           IF(FRM,_xll.qGetFwdRate(AG$14,$O471,Y471,"T",DCC_Leg1_Float),_xll.qGetFwdRate(AG$14,$O471,$O472,"T",DCC_Leg1_Float)))</f>
        <v>0</v>
      </c>
      <c r="AH471" s="685">
        <v>0</v>
      </c>
      <c r="AI471" s="667"/>
      <c r="AJ471" s="670">
        <f>IF(O472=0,0,             IF(ISNUMBER(AI471),AI471,             IF(ISTEXT(AI471),INDEX(Z471:AG471,MATCH(AI471,$Z$17:$AG$17,0)),           IF(AH471="INT",_xll.qInterp(O472,R471:Y471,Z471:AG471),       INDEX(Z471:AG471,MATCH(AH471,$Z$17:$AG$17,0))))))</f>
        <v>0</v>
      </c>
      <c r="AK471" s="732">
        <v>20</v>
      </c>
      <c r="AL471" s="721">
        <f t="shared" si="102"/>
        <v>0</v>
      </c>
      <c r="AM471" s="284">
        <f>IF($O472,_xll.qDateYears($O471,$O472,DCC_Leg1_Fixed),0)</f>
        <v>0</v>
      </c>
      <c r="AN471" s="284">
        <f>IF($O472,_xll.qDateYears($O471,$O472,DCC_Leg1_Float),0)</f>
        <v>0</v>
      </c>
      <c r="AP471" s="350">
        <f t="shared" si="108"/>
        <v>0</v>
      </c>
      <c r="AQ471" s="375">
        <f>IF(GenType_1a="Fixed",GenRate_1a%*$AL470*AM470,          IF(GenType_1a="Float",$AL470*(_xll.qGetFwdRate($D$18,$O470,$O471,"T",DCC_Leg1_Float)%+GenRate_1a%%)*$AN470,        IF(GenType_1a="bp (Fixed)",GenRate_1a%%*$AM470*$AL470,   IF(GenType_1a="bp (Float)",GenRate_1a%%*$AL470*$AN470,0))))</f>
        <v>0</v>
      </c>
      <c r="AR471" s="561"/>
      <c r="AT471" s="341">
        <f t="shared" si="98"/>
        <v>0</v>
      </c>
      <c r="AV471" s="356"/>
      <c r="AW471" s="122">
        <v>0</v>
      </c>
      <c r="AX471" s="128">
        <f t="shared" si="103"/>
        <v>0</v>
      </c>
      <c r="AY471" s="357">
        <v>0</v>
      </c>
      <c r="AZ471" s="699">
        <f>IF($AW472=0,0,        _xll.qDateNext($AW471,AZ$17,"M",TRUE,Currency2))</f>
        <v>0</v>
      </c>
      <c r="BA471" s="699">
        <f>IF($AW472=0,0,        _xll.qDateNext($AW471,BA$17,"M",TRUE,Currency2))</f>
        <v>0</v>
      </c>
      <c r="BB471" s="699">
        <f>IF($AW472=0,0,        _xll.qDateNext($AW471,BB$17,"M",TRUE,Currency2))</f>
        <v>0</v>
      </c>
      <c r="BC471" s="699">
        <f>IF($AW472=0,0,        _xll.qDateNext($AW471,BC$17,"M",TRUE,Currency2))</f>
        <v>0</v>
      </c>
      <c r="BD471" s="699">
        <f>IF($AW472=0,0,        _xll.qDateNext($AW471,BD$17,"M",TRUE,Currency2))</f>
        <v>0</v>
      </c>
      <c r="BE471" s="699">
        <f>IF($AW472=0,0,        _xll.qDateNext($AW471,BE$17,"M",TRUE,Currency2))</f>
        <v>0</v>
      </c>
      <c r="BF471" s="699">
        <f>IF($AW472=0,0,        _xll.qDateNext($AW471,BF$17,"M",TRUE,Currency2))</f>
        <v>0</v>
      </c>
      <c r="BG471" s="699">
        <f>IF($AW472=0,0,        _xll.qDateNext($AW471,BG$17,"M",TRUE,Currency2))</f>
        <v>0</v>
      </c>
      <c r="BH471" s="703">
        <v>0</v>
      </c>
      <c r="BI471" s="703">
        <v>0</v>
      </c>
      <c r="BJ471" s="703">
        <v>0</v>
      </c>
      <c r="BK471" s="703">
        <v>0</v>
      </c>
      <c r="BL471" s="703">
        <f t="shared" si="109"/>
        <v>0</v>
      </c>
      <c r="BM471" s="703">
        <f t="shared" si="110"/>
        <v>0</v>
      </c>
      <c r="BN471" s="703">
        <v>0</v>
      </c>
      <c r="BO471" s="703">
        <v>0</v>
      </c>
      <c r="BP471" s="685">
        <v>0</v>
      </c>
      <c r="BQ471" s="667"/>
      <c r="BR471" s="670">
        <f>IF(AW472=0,0,             IF(ISNUMBER(BQ471),BQ471,             IF(ISTEXT(BQ471),INDEX(BH471:BO471,MATCH(BQ471,$BH$17:$BO$17,0)),           IF(BP471="INT",_xll.qInterp(AW472,AZ471:BG471,BH471:BO471),       INDEX(BH471:BO471,MATCH(BP471,$BH$17:$BO$17,0))))))</f>
        <v>0</v>
      </c>
      <c r="BS471" s="731">
        <f t="shared" si="104"/>
        <v>0</v>
      </c>
      <c r="BT471" s="406">
        <f t="shared" si="105"/>
        <v>0</v>
      </c>
      <c r="BU471" s="284">
        <f>IF($AW472,_xll.qDateYears($AW471,$AW472,DCC_Leg2_Fixed),0)</f>
        <v>0</v>
      </c>
      <c r="BV471" s="284">
        <f>IF($AW472,_xll.qDateYears($AW471,$AW472,DCC_Leg2_Float),0)</f>
        <v>0</v>
      </c>
      <c r="BX471" s="350">
        <f t="shared" si="111"/>
        <v>0</v>
      </c>
      <c r="BY471" s="375">
        <f>IF(GenType_2a="Fixed",GenRate_2a%*$BT470*BU470,          IF(GenType_2a="Float",$BT470*(_xll.qGetFwdRate($J$18,$AW470,$AW471,"T",DCC_Leg2_Float)%+GenRate_2a%%)*$BV470,        IF(GenType_2a="bp (Fixed)",GenRate_2a%%*$BU470*$BT470,   IF(GenType_2a="bp (Float)",GenRate_2a%%*$BT470*$BV470,0))))</f>
        <v>0</v>
      </c>
      <c r="BZ471" s="561"/>
      <c r="CB471" s="341">
        <f t="shared" si="99"/>
        <v>0</v>
      </c>
      <c r="CC471" s="563"/>
      <c r="CD471" s="356"/>
      <c r="CE471" s="341">
        <v>0</v>
      </c>
      <c r="CF471" s="563"/>
      <c r="CG471" s="356"/>
    </row>
    <row r="472" spans="15:85">
      <c r="O472" s="122">
        <v>0</v>
      </c>
      <c r="P472" s="128">
        <f t="shared" si="100"/>
        <v>0</v>
      </c>
      <c r="Q472" s="126">
        <v>0</v>
      </c>
      <c r="R472" s="699">
        <f>IF($O473=0,0,        _xll.qDateNext($O472,R$17,"M",TRUE,Currency1))</f>
        <v>0</v>
      </c>
      <c r="S472" s="699">
        <f>IF($O473=0,0,        _xll.qDateNext($O472,S$17,"M",TRUE,Currency1))</f>
        <v>0</v>
      </c>
      <c r="T472" s="699">
        <f>IF($O473=0,0,        _xll.qDateNext($O472,T$17,"M",TRUE,Currency1))</f>
        <v>0</v>
      </c>
      <c r="U472" s="699">
        <f>IF($O473=0,0,        _xll.qDateNext($O472,U$17,"M",TRUE,Currency1))</f>
        <v>0</v>
      </c>
      <c r="V472" s="699">
        <f>IF($O473=0,0,        _xll.qDateNext($O472,V$17,"M",TRUE,Currency1))</f>
        <v>0</v>
      </c>
      <c r="W472" s="699">
        <f>IF($O473=0,0,        _xll.qDateNext($O472,W$17,"M",TRUE,Currency1))</f>
        <v>0</v>
      </c>
      <c r="X472" s="699">
        <f>IF($O473=0,0,        _xll.qDateNext($O472,X$17,"M",TRUE,Currency1))</f>
        <v>0</v>
      </c>
      <c r="Y472" s="699">
        <f>IF($O473=0,0,        _xll.qDateNext($O472,Y$17,"M",TRUE,Currency1))</f>
        <v>0</v>
      </c>
      <c r="Z472" s="703">
        <f>IF($O473=0,0,           IF(FRM,_xll.qGetFwdRate(Z$14,$O472,R472,"T",DCC_Leg1_Float),_xll.qGetFwdRate(Z$14,$O472,$O473,"T",DCC_Leg1_Float)))</f>
        <v>0</v>
      </c>
      <c r="AA472" s="703">
        <f>IF($O473=0,0,           IF(FRM,_xll.qGetFwdRate(AA$14,$O472,S472,"T",DCC_Leg1_Float),_xll.qGetFwdRate(AA$14,$O472,$O473,"T",DCC_Leg1_Float)))</f>
        <v>0</v>
      </c>
      <c r="AB472" s="703">
        <f t="shared" si="101"/>
        <v>0</v>
      </c>
      <c r="AC472" s="703">
        <f>IF($O473=0,0,           IF(FRM,_xll.qGetFwdRate(AC$14,$O472,U472,"T",DCC_Leg1_Float),_xll.qGetFwdRate(AC$14,$O472,$O473,"T",DCC_Leg1_Float)))</f>
        <v>0</v>
      </c>
      <c r="AD472" s="703">
        <f t="shared" si="106"/>
        <v>0</v>
      </c>
      <c r="AE472" s="703">
        <f t="shared" si="107"/>
        <v>0</v>
      </c>
      <c r="AF472" s="703">
        <f>IF($O473=0,0,           IF(FRM,_xll.qGetFwdRate(AF$14,$O472,X472,"T",DCC_Leg1_Float),_xll.qGetFwdRate(AF$14,$O472,$O473,"T",DCC_Leg1_Float)))</f>
        <v>0</v>
      </c>
      <c r="AG472" s="703">
        <f>IF($O473=0,0,           IF(FRM,_xll.qGetFwdRate(AG$14,$O472,Y472,"T",DCC_Leg1_Float),_xll.qGetFwdRate(AG$14,$O472,$O473,"T",DCC_Leg1_Float)))</f>
        <v>0</v>
      </c>
      <c r="AH472" s="685">
        <v>0</v>
      </c>
      <c r="AI472" s="667"/>
      <c r="AJ472" s="670">
        <f>IF(O473=0,0,             IF(ISNUMBER(AI472),AI472,             IF(ISTEXT(AI472),INDEX(Z472:AG472,MATCH(AI472,$Z$17:$AG$17,0)),           IF(AH472="INT",_xll.qInterp(O473,R472:Y472,Z472:AG472),       INDEX(Z472:AG472,MATCH(AH472,$Z$17:$AG$17,0))))))</f>
        <v>0</v>
      </c>
      <c r="AK472" s="732">
        <v>20</v>
      </c>
      <c r="AL472" s="721">
        <f t="shared" si="102"/>
        <v>0</v>
      </c>
      <c r="AM472" s="284">
        <f>IF($O473,_xll.qDateYears($O472,$O473,DCC_Leg1_Fixed),0)</f>
        <v>0</v>
      </c>
      <c r="AN472" s="284">
        <f>IF($O473,_xll.qDateYears($O472,$O473,DCC_Leg1_Float),0)</f>
        <v>0</v>
      </c>
      <c r="AP472" s="350">
        <f t="shared" si="108"/>
        <v>0</v>
      </c>
      <c r="AQ472" s="375">
        <f>IF(GenType_1a="Fixed",GenRate_1a%*$AL471*AM471,          IF(GenType_1a="Float",$AL471*(_xll.qGetFwdRate($D$18,$O471,$O472,"T",DCC_Leg1_Float)%+GenRate_1a%%)*$AN471,        IF(GenType_1a="bp (Fixed)",GenRate_1a%%*$AM471*$AL471,   IF(GenType_1a="bp (Float)",GenRate_1a%%*$AL471*$AN471,0))))</f>
        <v>0</v>
      </c>
      <c r="AR472" s="561"/>
      <c r="AT472" s="341">
        <f t="shared" si="98"/>
        <v>0</v>
      </c>
      <c r="AV472" s="356"/>
      <c r="AW472" s="122">
        <v>0</v>
      </c>
      <c r="AX472" s="128">
        <f t="shared" si="103"/>
        <v>0</v>
      </c>
      <c r="AY472" s="357">
        <v>0</v>
      </c>
      <c r="AZ472" s="699">
        <f>IF($AW473=0,0,        _xll.qDateNext($AW472,AZ$17,"M",TRUE,Currency2))</f>
        <v>0</v>
      </c>
      <c r="BA472" s="699">
        <f>IF($AW473=0,0,        _xll.qDateNext($AW472,BA$17,"M",TRUE,Currency2))</f>
        <v>0</v>
      </c>
      <c r="BB472" s="699">
        <f>IF($AW473=0,0,        _xll.qDateNext($AW472,BB$17,"M",TRUE,Currency2))</f>
        <v>0</v>
      </c>
      <c r="BC472" s="699">
        <f>IF($AW473=0,0,        _xll.qDateNext($AW472,BC$17,"M",TRUE,Currency2))</f>
        <v>0</v>
      </c>
      <c r="BD472" s="699">
        <f>IF($AW473=0,0,        _xll.qDateNext($AW472,BD$17,"M",TRUE,Currency2))</f>
        <v>0</v>
      </c>
      <c r="BE472" s="699">
        <f>IF($AW473=0,0,        _xll.qDateNext($AW472,BE$17,"M",TRUE,Currency2))</f>
        <v>0</v>
      </c>
      <c r="BF472" s="699">
        <f>IF($AW473=0,0,        _xll.qDateNext($AW472,BF$17,"M",TRUE,Currency2))</f>
        <v>0</v>
      </c>
      <c r="BG472" s="699">
        <f>IF($AW473=0,0,        _xll.qDateNext($AW472,BG$17,"M",TRUE,Currency2))</f>
        <v>0</v>
      </c>
      <c r="BH472" s="703">
        <v>0</v>
      </c>
      <c r="BI472" s="703">
        <v>0</v>
      </c>
      <c r="BJ472" s="703">
        <v>0</v>
      </c>
      <c r="BK472" s="703">
        <v>0</v>
      </c>
      <c r="BL472" s="703">
        <f t="shared" si="109"/>
        <v>0</v>
      </c>
      <c r="BM472" s="703">
        <f t="shared" si="110"/>
        <v>0</v>
      </c>
      <c r="BN472" s="703">
        <v>0</v>
      </c>
      <c r="BO472" s="703">
        <v>0</v>
      </c>
      <c r="BP472" s="685">
        <v>0</v>
      </c>
      <c r="BQ472" s="667"/>
      <c r="BR472" s="670">
        <f>IF(AW473=0,0,             IF(ISNUMBER(BQ472),BQ472,             IF(ISTEXT(BQ472),INDEX(BH472:BO472,MATCH(BQ472,$BH$17:$BO$17,0)),           IF(BP472="INT",_xll.qInterp(AW473,AZ472:BG472,BH472:BO472),       INDEX(BH472:BO472,MATCH(BP472,$BH$17:$BO$17,0))))))</f>
        <v>0</v>
      </c>
      <c r="BS472" s="731">
        <f t="shared" si="104"/>
        <v>0</v>
      </c>
      <c r="BT472" s="406">
        <f t="shared" si="105"/>
        <v>0</v>
      </c>
      <c r="BU472" s="284">
        <f>IF($AW473,_xll.qDateYears($AW472,$AW473,DCC_Leg2_Fixed),0)</f>
        <v>0</v>
      </c>
      <c r="BV472" s="284">
        <f>IF($AW473,_xll.qDateYears($AW472,$AW473,DCC_Leg2_Float),0)</f>
        <v>0</v>
      </c>
      <c r="BX472" s="350">
        <f t="shared" si="111"/>
        <v>0</v>
      </c>
      <c r="BY472" s="375">
        <f>IF(GenType_2a="Fixed",GenRate_2a%*$BT471*BU471,          IF(GenType_2a="Float",$BT471*(_xll.qGetFwdRate($J$18,$AW471,$AW472,"T",DCC_Leg2_Float)%+GenRate_2a%%)*$BV471,        IF(GenType_2a="bp (Fixed)",GenRate_2a%%*$BU471*$BT471,   IF(GenType_2a="bp (Float)",GenRate_2a%%*$BT471*$BV471,0))))</f>
        <v>0</v>
      </c>
      <c r="BZ472" s="561"/>
      <c r="CB472" s="341">
        <f t="shared" si="99"/>
        <v>0</v>
      </c>
      <c r="CC472" s="563"/>
      <c r="CD472" s="356"/>
      <c r="CE472" s="341">
        <v>0</v>
      </c>
      <c r="CF472" s="563"/>
      <c r="CG472" s="356"/>
    </row>
    <row r="473" spans="15:85">
      <c r="O473" s="122">
        <v>0</v>
      </c>
      <c r="P473" s="128">
        <f t="shared" si="100"/>
        <v>0</v>
      </c>
      <c r="Q473" s="126">
        <v>0</v>
      </c>
      <c r="R473" s="699">
        <f>IF($O474=0,0,        _xll.qDateNext($O473,R$17,"M",TRUE,Currency1))</f>
        <v>0</v>
      </c>
      <c r="S473" s="699">
        <f>IF($O474=0,0,        _xll.qDateNext($O473,S$17,"M",TRUE,Currency1))</f>
        <v>0</v>
      </c>
      <c r="T473" s="699">
        <f>IF($O474=0,0,        _xll.qDateNext($O473,T$17,"M",TRUE,Currency1))</f>
        <v>0</v>
      </c>
      <c r="U473" s="699">
        <f>IF($O474=0,0,        _xll.qDateNext($O473,U$17,"M",TRUE,Currency1))</f>
        <v>0</v>
      </c>
      <c r="V473" s="699">
        <f>IF($O474=0,0,        _xll.qDateNext($O473,V$17,"M",TRUE,Currency1))</f>
        <v>0</v>
      </c>
      <c r="W473" s="699">
        <f>IF($O474=0,0,        _xll.qDateNext($O473,W$17,"M",TRUE,Currency1))</f>
        <v>0</v>
      </c>
      <c r="X473" s="699">
        <f>IF($O474=0,0,        _xll.qDateNext($O473,X$17,"M",TRUE,Currency1))</f>
        <v>0</v>
      </c>
      <c r="Y473" s="699">
        <f>IF($O474=0,0,        _xll.qDateNext($O473,Y$17,"M",TRUE,Currency1))</f>
        <v>0</v>
      </c>
      <c r="Z473" s="703">
        <f>IF($O474=0,0,           IF(FRM,_xll.qGetFwdRate(Z$14,$O473,R473,"T",DCC_Leg1_Float),_xll.qGetFwdRate(Z$14,$O473,$O474,"T",DCC_Leg1_Float)))</f>
        <v>0</v>
      </c>
      <c r="AA473" s="703">
        <f>IF($O474=0,0,           IF(FRM,_xll.qGetFwdRate(AA$14,$O473,S473,"T",DCC_Leg1_Float),_xll.qGetFwdRate(AA$14,$O473,$O474,"T",DCC_Leg1_Float)))</f>
        <v>0</v>
      </c>
      <c r="AB473" s="703">
        <f t="shared" si="101"/>
        <v>0</v>
      </c>
      <c r="AC473" s="703">
        <f>IF($O474=0,0,           IF(FRM,_xll.qGetFwdRate(AC$14,$O473,U473,"T",DCC_Leg1_Float),_xll.qGetFwdRate(AC$14,$O473,$O474,"T",DCC_Leg1_Float)))</f>
        <v>0</v>
      </c>
      <c r="AD473" s="703">
        <f t="shared" si="106"/>
        <v>0</v>
      </c>
      <c r="AE473" s="703">
        <f t="shared" si="107"/>
        <v>0</v>
      </c>
      <c r="AF473" s="703">
        <f>IF($O474=0,0,           IF(FRM,_xll.qGetFwdRate(AF$14,$O473,X473,"T",DCC_Leg1_Float),_xll.qGetFwdRate(AF$14,$O473,$O474,"T",DCC_Leg1_Float)))</f>
        <v>0</v>
      </c>
      <c r="AG473" s="703">
        <f>IF($O474=0,0,           IF(FRM,_xll.qGetFwdRate(AG$14,$O473,Y473,"T",DCC_Leg1_Float),_xll.qGetFwdRate(AG$14,$O473,$O474,"T",DCC_Leg1_Float)))</f>
        <v>0</v>
      </c>
      <c r="AH473" s="685">
        <v>0</v>
      </c>
      <c r="AI473" s="667"/>
      <c r="AJ473" s="670">
        <f>IF(O474=0,0,             IF(ISNUMBER(AI473),AI473,             IF(ISTEXT(AI473),INDEX(Z473:AG473,MATCH(AI473,$Z$17:$AG$17,0)),           IF(AH473="INT",_xll.qInterp(O474,R473:Y473,Z473:AG473),       INDEX(Z473:AG473,MATCH(AH473,$Z$17:$AG$17,0))))))</f>
        <v>0</v>
      </c>
      <c r="AK473" s="732">
        <v>20</v>
      </c>
      <c r="AL473" s="721">
        <f t="shared" si="102"/>
        <v>0</v>
      </c>
      <c r="AM473" s="284">
        <f>IF($O474,_xll.qDateYears($O473,$O474,DCC_Leg1_Fixed),0)</f>
        <v>0</v>
      </c>
      <c r="AN473" s="284">
        <f>IF($O474,_xll.qDateYears($O473,$O474,DCC_Leg1_Float),0)</f>
        <v>0</v>
      </c>
      <c r="AP473" s="350">
        <f t="shared" si="108"/>
        <v>0</v>
      </c>
      <c r="AQ473" s="375">
        <f>IF(GenType_1a="Fixed",GenRate_1a%*$AL472*AM472,          IF(GenType_1a="Float",$AL472*(_xll.qGetFwdRate($D$18,$O472,$O473,"T",DCC_Leg1_Float)%+GenRate_1a%%)*$AN472,        IF(GenType_1a="bp (Fixed)",GenRate_1a%%*$AM472*$AL472,   IF(GenType_1a="bp (Float)",GenRate_1a%%*$AL472*$AN472,0))))</f>
        <v>0</v>
      </c>
      <c r="AR473" s="561"/>
      <c r="AT473" s="341">
        <f t="shared" si="98"/>
        <v>0</v>
      </c>
      <c r="AV473" s="356"/>
      <c r="AW473" s="122">
        <v>0</v>
      </c>
      <c r="AX473" s="128">
        <f t="shared" si="103"/>
        <v>0</v>
      </c>
      <c r="AY473" s="357">
        <v>0</v>
      </c>
      <c r="AZ473" s="699">
        <f>IF($AW474=0,0,        _xll.qDateNext($AW473,AZ$17,"M",TRUE,Currency2))</f>
        <v>0</v>
      </c>
      <c r="BA473" s="699">
        <f>IF($AW474=0,0,        _xll.qDateNext($AW473,BA$17,"M",TRUE,Currency2))</f>
        <v>0</v>
      </c>
      <c r="BB473" s="699">
        <f>IF($AW474=0,0,        _xll.qDateNext($AW473,BB$17,"M",TRUE,Currency2))</f>
        <v>0</v>
      </c>
      <c r="BC473" s="699">
        <f>IF($AW474=0,0,        _xll.qDateNext($AW473,BC$17,"M",TRUE,Currency2))</f>
        <v>0</v>
      </c>
      <c r="BD473" s="699">
        <f>IF($AW474=0,0,        _xll.qDateNext($AW473,BD$17,"M",TRUE,Currency2))</f>
        <v>0</v>
      </c>
      <c r="BE473" s="699">
        <f>IF($AW474=0,0,        _xll.qDateNext($AW473,BE$17,"M",TRUE,Currency2))</f>
        <v>0</v>
      </c>
      <c r="BF473" s="699">
        <f>IF($AW474=0,0,        _xll.qDateNext($AW473,BF$17,"M",TRUE,Currency2))</f>
        <v>0</v>
      </c>
      <c r="BG473" s="699">
        <f>IF($AW474=0,0,        _xll.qDateNext($AW473,BG$17,"M",TRUE,Currency2))</f>
        <v>0</v>
      </c>
      <c r="BH473" s="703">
        <v>0</v>
      </c>
      <c r="BI473" s="703">
        <v>0</v>
      </c>
      <c r="BJ473" s="703">
        <v>0</v>
      </c>
      <c r="BK473" s="703">
        <v>0</v>
      </c>
      <c r="BL473" s="703">
        <f t="shared" si="109"/>
        <v>0</v>
      </c>
      <c r="BM473" s="703">
        <f t="shared" si="110"/>
        <v>0</v>
      </c>
      <c r="BN473" s="703">
        <v>0</v>
      </c>
      <c r="BO473" s="703">
        <v>0</v>
      </c>
      <c r="BP473" s="685">
        <v>0</v>
      </c>
      <c r="BQ473" s="667"/>
      <c r="BR473" s="670">
        <f>IF(AW474=0,0,             IF(ISNUMBER(BQ473),BQ473,             IF(ISTEXT(BQ473),INDEX(BH473:BO473,MATCH(BQ473,$BH$17:$BO$17,0)),           IF(BP473="INT",_xll.qInterp(AW474,AZ473:BG473,BH473:BO473),       INDEX(BH473:BO473,MATCH(BP473,$BH$17:$BO$17,0))))))</f>
        <v>0</v>
      </c>
      <c r="BS473" s="731">
        <f t="shared" si="104"/>
        <v>0</v>
      </c>
      <c r="BT473" s="406">
        <f t="shared" si="105"/>
        <v>0</v>
      </c>
      <c r="BU473" s="284">
        <f>IF($AW474,_xll.qDateYears($AW473,$AW474,DCC_Leg2_Fixed),0)</f>
        <v>0</v>
      </c>
      <c r="BV473" s="284">
        <f>IF($AW474,_xll.qDateYears($AW473,$AW474,DCC_Leg2_Float),0)</f>
        <v>0</v>
      </c>
      <c r="BX473" s="350">
        <f t="shared" si="111"/>
        <v>0</v>
      </c>
      <c r="BY473" s="375">
        <f>IF(GenType_2a="Fixed",GenRate_2a%*$BT472*BU472,          IF(GenType_2a="Float",$BT472*(_xll.qGetFwdRate($J$18,$AW472,$AW473,"T",DCC_Leg2_Float)%+GenRate_2a%%)*$BV472,        IF(GenType_2a="bp (Fixed)",GenRate_2a%%*$BU472*$BT472,   IF(GenType_2a="bp (Float)",GenRate_2a%%*$BT472*$BV472,0))))</f>
        <v>0</v>
      </c>
      <c r="BZ473" s="561"/>
      <c r="CB473" s="341">
        <f t="shared" si="99"/>
        <v>0</v>
      </c>
      <c r="CC473" s="563"/>
      <c r="CD473" s="356"/>
      <c r="CE473" s="341">
        <v>0</v>
      </c>
      <c r="CF473" s="563"/>
      <c r="CG473" s="356"/>
    </row>
    <row r="474" spans="15:85">
      <c r="O474" s="122">
        <v>0</v>
      </c>
      <c r="P474" s="128">
        <f t="shared" si="100"/>
        <v>0</v>
      </c>
      <c r="Q474" s="126">
        <v>0</v>
      </c>
      <c r="R474" s="699">
        <f>IF($O475=0,0,        _xll.qDateNext($O474,R$17,"M",TRUE,Currency1))</f>
        <v>0</v>
      </c>
      <c r="S474" s="699">
        <f>IF($O475=0,0,        _xll.qDateNext($O474,S$17,"M",TRUE,Currency1))</f>
        <v>0</v>
      </c>
      <c r="T474" s="699">
        <f>IF($O475=0,0,        _xll.qDateNext($O474,T$17,"M",TRUE,Currency1))</f>
        <v>0</v>
      </c>
      <c r="U474" s="699">
        <f>IF($O475=0,0,        _xll.qDateNext($O474,U$17,"M",TRUE,Currency1))</f>
        <v>0</v>
      </c>
      <c r="V474" s="699">
        <f>IF($O475=0,0,        _xll.qDateNext($O474,V$17,"M",TRUE,Currency1))</f>
        <v>0</v>
      </c>
      <c r="W474" s="699">
        <f>IF($O475=0,0,        _xll.qDateNext($O474,W$17,"M",TRUE,Currency1))</f>
        <v>0</v>
      </c>
      <c r="X474" s="699">
        <f>IF($O475=0,0,        _xll.qDateNext($O474,X$17,"M",TRUE,Currency1))</f>
        <v>0</v>
      </c>
      <c r="Y474" s="699">
        <f>IF($O475=0,0,        _xll.qDateNext($O474,Y$17,"M",TRUE,Currency1))</f>
        <v>0</v>
      </c>
      <c r="Z474" s="703">
        <f>IF($O475=0,0,           IF(FRM,_xll.qGetFwdRate(Z$14,$O474,R474,"T",DCC_Leg1_Float),_xll.qGetFwdRate(Z$14,$O474,$O475,"T",DCC_Leg1_Float)))</f>
        <v>0</v>
      </c>
      <c r="AA474" s="703">
        <f>IF($O475=0,0,           IF(FRM,_xll.qGetFwdRate(AA$14,$O474,S474,"T",DCC_Leg1_Float),_xll.qGetFwdRate(AA$14,$O474,$O475,"T",DCC_Leg1_Float)))</f>
        <v>0</v>
      </c>
      <c r="AB474" s="703">
        <f t="shared" si="101"/>
        <v>0</v>
      </c>
      <c r="AC474" s="703">
        <f>IF($O475=0,0,           IF(FRM,_xll.qGetFwdRate(AC$14,$O474,U474,"T",DCC_Leg1_Float),_xll.qGetFwdRate(AC$14,$O474,$O475,"T",DCC_Leg1_Float)))</f>
        <v>0</v>
      </c>
      <c r="AD474" s="703">
        <f t="shared" si="106"/>
        <v>0</v>
      </c>
      <c r="AE474" s="703">
        <f t="shared" si="107"/>
        <v>0</v>
      </c>
      <c r="AF474" s="703">
        <f>IF($O475=0,0,           IF(FRM,_xll.qGetFwdRate(AF$14,$O474,X474,"T",DCC_Leg1_Float),_xll.qGetFwdRate(AF$14,$O474,$O475,"T",DCC_Leg1_Float)))</f>
        <v>0</v>
      </c>
      <c r="AG474" s="703">
        <f>IF($O475=0,0,           IF(FRM,_xll.qGetFwdRate(AG$14,$O474,Y474,"T",DCC_Leg1_Float),_xll.qGetFwdRate(AG$14,$O474,$O475,"T",DCC_Leg1_Float)))</f>
        <v>0</v>
      </c>
      <c r="AH474" s="685">
        <v>0</v>
      </c>
      <c r="AI474" s="667"/>
      <c r="AJ474" s="670">
        <f>IF(O475=0,0,             IF(ISNUMBER(AI474),AI474,             IF(ISTEXT(AI474),INDEX(Z474:AG474,MATCH(AI474,$Z$17:$AG$17,0)),           IF(AH474="INT",_xll.qInterp(O475,R474:Y474,Z474:AG474),       INDEX(Z474:AG474,MATCH(AH474,$Z$17:$AG$17,0))))))</f>
        <v>0</v>
      </c>
      <c r="AK474" s="732">
        <v>20</v>
      </c>
      <c r="AL474" s="721">
        <f t="shared" si="102"/>
        <v>0</v>
      </c>
      <c r="AM474" s="284">
        <f>IF($O475,_xll.qDateYears($O474,$O475,DCC_Leg1_Fixed),0)</f>
        <v>0</v>
      </c>
      <c r="AN474" s="284">
        <f>IF($O475,_xll.qDateYears($O474,$O475,DCC_Leg1_Float),0)</f>
        <v>0</v>
      </c>
      <c r="AP474" s="350">
        <f t="shared" si="108"/>
        <v>0</v>
      </c>
      <c r="AQ474" s="375">
        <f>IF(GenType_1a="Fixed",GenRate_1a%*$AL473*AM473,          IF(GenType_1a="Float",$AL473*(_xll.qGetFwdRate($D$18,$O473,$O474,"T",DCC_Leg1_Float)%+GenRate_1a%%)*$AN473,        IF(GenType_1a="bp (Fixed)",GenRate_1a%%*$AM473*$AL473,   IF(GenType_1a="bp (Float)",GenRate_1a%%*$AL473*$AN473,0))))</f>
        <v>0</v>
      </c>
      <c r="AR474" s="561"/>
      <c r="AT474" s="341">
        <f t="shared" si="98"/>
        <v>0</v>
      </c>
      <c r="AV474" s="356"/>
      <c r="AW474" s="122">
        <v>0</v>
      </c>
      <c r="AX474" s="128">
        <f t="shared" si="103"/>
        <v>0</v>
      </c>
      <c r="AY474" s="357">
        <v>0</v>
      </c>
      <c r="AZ474" s="699">
        <f>IF($AW475=0,0,        _xll.qDateNext($AW474,AZ$17,"M",TRUE,Currency2))</f>
        <v>0</v>
      </c>
      <c r="BA474" s="699">
        <f>IF($AW475=0,0,        _xll.qDateNext($AW474,BA$17,"M",TRUE,Currency2))</f>
        <v>0</v>
      </c>
      <c r="BB474" s="699">
        <f>IF($AW475=0,0,        _xll.qDateNext($AW474,BB$17,"M",TRUE,Currency2))</f>
        <v>0</v>
      </c>
      <c r="BC474" s="699">
        <f>IF($AW475=0,0,        _xll.qDateNext($AW474,BC$17,"M",TRUE,Currency2))</f>
        <v>0</v>
      </c>
      <c r="BD474" s="699">
        <f>IF($AW475=0,0,        _xll.qDateNext($AW474,BD$17,"M",TRUE,Currency2))</f>
        <v>0</v>
      </c>
      <c r="BE474" s="699">
        <f>IF($AW475=0,0,        _xll.qDateNext($AW474,BE$17,"M",TRUE,Currency2))</f>
        <v>0</v>
      </c>
      <c r="BF474" s="699">
        <f>IF($AW475=0,0,        _xll.qDateNext($AW474,BF$17,"M",TRUE,Currency2))</f>
        <v>0</v>
      </c>
      <c r="BG474" s="699">
        <f>IF($AW475=0,0,        _xll.qDateNext($AW474,BG$17,"M",TRUE,Currency2))</f>
        <v>0</v>
      </c>
      <c r="BH474" s="703">
        <v>0</v>
      </c>
      <c r="BI474" s="703">
        <v>0</v>
      </c>
      <c r="BJ474" s="703">
        <v>0</v>
      </c>
      <c r="BK474" s="703">
        <v>0</v>
      </c>
      <c r="BL474" s="703">
        <f t="shared" si="109"/>
        <v>0</v>
      </c>
      <c r="BM474" s="703">
        <f t="shared" si="110"/>
        <v>0</v>
      </c>
      <c r="BN474" s="703">
        <v>0</v>
      </c>
      <c r="BO474" s="703">
        <v>0</v>
      </c>
      <c r="BP474" s="685">
        <v>0</v>
      </c>
      <c r="BQ474" s="667"/>
      <c r="BR474" s="670">
        <f>IF(AW475=0,0,             IF(ISNUMBER(BQ474),BQ474,             IF(ISTEXT(BQ474),INDEX(BH474:BO474,MATCH(BQ474,$BH$17:$BO$17,0)),           IF(BP474="INT",_xll.qInterp(AW475,AZ474:BG474,BH474:BO474),       INDEX(BH474:BO474,MATCH(BP474,$BH$17:$BO$17,0))))))</f>
        <v>0</v>
      </c>
      <c r="BS474" s="731">
        <f t="shared" si="104"/>
        <v>0</v>
      </c>
      <c r="BT474" s="406">
        <f t="shared" si="105"/>
        <v>0</v>
      </c>
      <c r="BU474" s="284">
        <f>IF($AW475,_xll.qDateYears($AW474,$AW475,DCC_Leg2_Fixed),0)</f>
        <v>0</v>
      </c>
      <c r="BV474" s="284">
        <f>IF($AW475,_xll.qDateYears($AW474,$AW475,DCC_Leg2_Float),0)</f>
        <v>0</v>
      </c>
      <c r="BX474" s="350">
        <f t="shared" si="111"/>
        <v>0</v>
      </c>
      <c r="BY474" s="375">
        <f>IF(GenType_2a="Fixed",GenRate_2a%*$BT473*BU473,          IF(GenType_2a="Float",$BT473*(_xll.qGetFwdRate($J$18,$AW473,$AW474,"T",DCC_Leg2_Float)%+GenRate_2a%%)*$BV473,        IF(GenType_2a="bp (Fixed)",GenRate_2a%%*$BU473*$BT473,   IF(GenType_2a="bp (Float)",GenRate_2a%%*$BT473*$BV473,0))))</f>
        <v>0</v>
      </c>
      <c r="BZ474" s="561"/>
      <c r="CB474" s="341">
        <f t="shared" si="99"/>
        <v>0</v>
      </c>
      <c r="CC474" s="563"/>
      <c r="CD474" s="356"/>
      <c r="CE474" s="341">
        <v>0</v>
      </c>
      <c r="CF474" s="563"/>
      <c r="CG474" s="356"/>
    </row>
    <row r="475" spans="15:85">
      <c r="O475" s="122">
        <v>0</v>
      </c>
      <c r="P475" s="128">
        <f t="shared" si="100"/>
        <v>0</v>
      </c>
      <c r="Q475" s="126">
        <v>0</v>
      </c>
      <c r="R475" s="699">
        <f>IF($O476=0,0,        _xll.qDateNext($O475,R$17,"M",TRUE,Currency1))</f>
        <v>0</v>
      </c>
      <c r="S475" s="699">
        <f>IF($O476=0,0,        _xll.qDateNext($O475,S$17,"M",TRUE,Currency1))</f>
        <v>0</v>
      </c>
      <c r="T475" s="699">
        <f>IF($O476=0,0,        _xll.qDateNext($O475,T$17,"M",TRUE,Currency1))</f>
        <v>0</v>
      </c>
      <c r="U475" s="699">
        <f>IF($O476=0,0,        _xll.qDateNext($O475,U$17,"M",TRUE,Currency1))</f>
        <v>0</v>
      </c>
      <c r="V475" s="699">
        <f>IF($O476=0,0,        _xll.qDateNext($O475,V$17,"M",TRUE,Currency1))</f>
        <v>0</v>
      </c>
      <c r="W475" s="699">
        <f>IF($O476=0,0,        _xll.qDateNext($O475,W$17,"M",TRUE,Currency1))</f>
        <v>0</v>
      </c>
      <c r="X475" s="699">
        <f>IF($O476=0,0,        _xll.qDateNext($O475,X$17,"M",TRUE,Currency1))</f>
        <v>0</v>
      </c>
      <c r="Y475" s="699">
        <f>IF($O476=0,0,        _xll.qDateNext($O475,Y$17,"M",TRUE,Currency1))</f>
        <v>0</v>
      </c>
      <c r="Z475" s="703">
        <f>IF($O476=0,0,           IF(FRM,_xll.qGetFwdRate(Z$14,$O475,R475,"T",DCC_Leg1_Float),_xll.qGetFwdRate(Z$14,$O475,$O476,"T",DCC_Leg1_Float)))</f>
        <v>0</v>
      </c>
      <c r="AA475" s="703">
        <f>IF($O476=0,0,           IF(FRM,_xll.qGetFwdRate(AA$14,$O475,S475,"T",DCC_Leg1_Float),_xll.qGetFwdRate(AA$14,$O475,$O476,"T",DCC_Leg1_Float)))</f>
        <v>0</v>
      </c>
      <c r="AB475" s="703">
        <f t="shared" si="101"/>
        <v>0</v>
      </c>
      <c r="AC475" s="703">
        <f>IF($O476=0,0,           IF(FRM,_xll.qGetFwdRate(AC$14,$O475,U475,"T",DCC_Leg1_Float),_xll.qGetFwdRate(AC$14,$O475,$O476,"T",DCC_Leg1_Float)))</f>
        <v>0</v>
      </c>
      <c r="AD475" s="703">
        <f t="shared" si="106"/>
        <v>0</v>
      </c>
      <c r="AE475" s="703">
        <f t="shared" si="107"/>
        <v>0</v>
      </c>
      <c r="AF475" s="703">
        <f>IF($O476=0,0,           IF(FRM,_xll.qGetFwdRate(AF$14,$O475,X475,"T",DCC_Leg1_Float),_xll.qGetFwdRate(AF$14,$O475,$O476,"T",DCC_Leg1_Float)))</f>
        <v>0</v>
      </c>
      <c r="AG475" s="703">
        <f>IF($O476=0,0,           IF(FRM,_xll.qGetFwdRate(AG$14,$O475,Y475,"T",DCC_Leg1_Float),_xll.qGetFwdRate(AG$14,$O475,$O476,"T",DCC_Leg1_Float)))</f>
        <v>0</v>
      </c>
      <c r="AH475" s="685">
        <v>0</v>
      </c>
      <c r="AI475" s="667"/>
      <c r="AJ475" s="670">
        <f>IF(O476=0,0,             IF(ISNUMBER(AI475),AI475,             IF(ISTEXT(AI475),INDEX(Z475:AG475,MATCH(AI475,$Z$17:$AG$17,0)),           IF(AH475="INT",_xll.qInterp(O476,R475:Y475,Z475:AG475),       INDEX(Z475:AG475,MATCH(AH475,$Z$17:$AG$17,0))))))</f>
        <v>0</v>
      </c>
      <c r="AK475" s="732">
        <v>20</v>
      </c>
      <c r="AL475" s="721">
        <f t="shared" si="102"/>
        <v>0</v>
      </c>
      <c r="AM475" s="284">
        <f>IF($O476,_xll.qDateYears($O475,$O476,DCC_Leg1_Fixed),0)</f>
        <v>0</v>
      </c>
      <c r="AN475" s="284">
        <f>IF($O476,_xll.qDateYears($O475,$O476,DCC_Leg1_Float),0)</f>
        <v>0</v>
      </c>
      <c r="AP475" s="350">
        <f t="shared" si="108"/>
        <v>0</v>
      </c>
      <c r="AQ475" s="375">
        <f>IF(GenType_1a="Fixed",GenRate_1a%*$AL474*AM474,          IF(GenType_1a="Float",$AL474*(_xll.qGetFwdRate($D$18,$O474,$O475,"T",DCC_Leg1_Float)%+GenRate_1a%%)*$AN474,        IF(GenType_1a="bp (Fixed)",GenRate_1a%%*$AM474*$AL474,   IF(GenType_1a="bp (Float)",GenRate_1a%%*$AL474*$AN474,0))))</f>
        <v>0</v>
      </c>
      <c r="AR475" s="561"/>
      <c r="AT475" s="341">
        <f t="shared" si="98"/>
        <v>0</v>
      </c>
      <c r="AV475" s="356"/>
      <c r="AW475" s="122">
        <v>0</v>
      </c>
      <c r="AX475" s="128">
        <f t="shared" si="103"/>
        <v>0</v>
      </c>
      <c r="AY475" s="357">
        <v>0</v>
      </c>
      <c r="AZ475" s="699">
        <f>IF($AW476=0,0,        _xll.qDateNext($AW475,AZ$17,"M",TRUE,Currency2))</f>
        <v>0</v>
      </c>
      <c r="BA475" s="699">
        <f>IF($AW476=0,0,        _xll.qDateNext($AW475,BA$17,"M",TRUE,Currency2))</f>
        <v>0</v>
      </c>
      <c r="BB475" s="699">
        <f>IF($AW476=0,0,        _xll.qDateNext($AW475,BB$17,"M",TRUE,Currency2))</f>
        <v>0</v>
      </c>
      <c r="BC475" s="699">
        <f>IF($AW476=0,0,        _xll.qDateNext($AW475,BC$17,"M",TRUE,Currency2))</f>
        <v>0</v>
      </c>
      <c r="BD475" s="699">
        <f>IF($AW476=0,0,        _xll.qDateNext($AW475,BD$17,"M",TRUE,Currency2))</f>
        <v>0</v>
      </c>
      <c r="BE475" s="699">
        <f>IF($AW476=0,0,        _xll.qDateNext($AW475,BE$17,"M",TRUE,Currency2))</f>
        <v>0</v>
      </c>
      <c r="BF475" s="699">
        <f>IF($AW476=0,0,        _xll.qDateNext($AW475,BF$17,"M",TRUE,Currency2))</f>
        <v>0</v>
      </c>
      <c r="BG475" s="699">
        <f>IF($AW476=0,0,        _xll.qDateNext($AW475,BG$17,"M",TRUE,Currency2))</f>
        <v>0</v>
      </c>
      <c r="BH475" s="703">
        <v>0</v>
      </c>
      <c r="BI475" s="703">
        <v>0</v>
      </c>
      <c r="BJ475" s="703">
        <v>0</v>
      </c>
      <c r="BK475" s="703">
        <v>0</v>
      </c>
      <c r="BL475" s="703">
        <f t="shared" si="109"/>
        <v>0</v>
      </c>
      <c r="BM475" s="703">
        <f t="shared" si="110"/>
        <v>0</v>
      </c>
      <c r="BN475" s="703">
        <v>0</v>
      </c>
      <c r="BO475" s="703">
        <v>0</v>
      </c>
      <c r="BP475" s="685">
        <v>0</v>
      </c>
      <c r="BQ475" s="667"/>
      <c r="BR475" s="670">
        <f>IF(AW476=0,0,             IF(ISNUMBER(BQ475),BQ475,             IF(ISTEXT(BQ475),INDEX(BH475:BO475,MATCH(BQ475,$BH$17:$BO$17,0)),           IF(BP475="INT",_xll.qInterp(AW476,AZ475:BG475,BH475:BO475),       INDEX(BH475:BO475,MATCH(BP475,$BH$17:$BO$17,0))))))</f>
        <v>0</v>
      </c>
      <c r="BS475" s="731">
        <f t="shared" si="104"/>
        <v>0</v>
      </c>
      <c r="BT475" s="406">
        <f t="shared" si="105"/>
        <v>0</v>
      </c>
      <c r="BU475" s="284">
        <f>IF($AW476,_xll.qDateYears($AW475,$AW476,DCC_Leg2_Fixed),0)</f>
        <v>0</v>
      </c>
      <c r="BV475" s="284">
        <f>IF($AW476,_xll.qDateYears($AW475,$AW476,DCC_Leg2_Float),0)</f>
        <v>0</v>
      </c>
      <c r="BX475" s="350">
        <f t="shared" si="111"/>
        <v>0</v>
      </c>
      <c r="BY475" s="375">
        <f>IF(GenType_2a="Fixed",GenRate_2a%*$BT474*BU474,          IF(GenType_2a="Float",$BT474*(_xll.qGetFwdRate($J$18,$AW474,$AW475,"T",DCC_Leg2_Float)%+GenRate_2a%%)*$BV474,        IF(GenType_2a="bp (Fixed)",GenRate_2a%%*$BU474*$BT474,   IF(GenType_2a="bp (Float)",GenRate_2a%%*$BT474*$BV474,0))))</f>
        <v>0</v>
      </c>
      <c r="BZ475" s="561"/>
      <c r="CB475" s="341">
        <f t="shared" si="99"/>
        <v>0</v>
      </c>
      <c r="CC475" s="563"/>
      <c r="CD475" s="356"/>
      <c r="CE475" s="341">
        <v>0</v>
      </c>
      <c r="CF475" s="563"/>
      <c r="CG475" s="356"/>
    </row>
    <row r="476" spans="15:85">
      <c r="O476" s="122">
        <v>0</v>
      </c>
      <c r="P476" s="128">
        <f t="shared" si="100"/>
        <v>0</v>
      </c>
      <c r="Q476" s="126">
        <v>0</v>
      </c>
      <c r="R476" s="699">
        <f>IF($O477=0,0,        _xll.qDateNext($O476,R$17,"M",TRUE,Currency1))</f>
        <v>0</v>
      </c>
      <c r="S476" s="699">
        <f>IF($O477=0,0,        _xll.qDateNext($O476,S$17,"M",TRUE,Currency1))</f>
        <v>0</v>
      </c>
      <c r="T476" s="699">
        <f>IF($O477=0,0,        _xll.qDateNext($O476,T$17,"M",TRUE,Currency1))</f>
        <v>0</v>
      </c>
      <c r="U476" s="699">
        <f>IF($O477=0,0,        _xll.qDateNext($O476,U$17,"M",TRUE,Currency1))</f>
        <v>0</v>
      </c>
      <c r="V476" s="699">
        <f>IF($O477=0,0,        _xll.qDateNext($O476,V$17,"M",TRUE,Currency1))</f>
        <v>0</v>
      </c>
      <c r="W476" s="699">
        <f>IF($O477=0,0,        _xll.qDateNext($O476,W$17,"M",TRUE,Currency1))</f>
        <v>0</v>
      </c>
      <c r="X476" s="699">
        <f>IF($O477=0,0,        _xll.qDateNext($O476,X$17,"M",TRUE,Currency1))</f>
        <v>0</v>
      </c>
      <c r="Y476" s="699">
        <f>IF($O477=0,0,        _xll.qDateNext($O476,Y$17,"M",TRUE,Currency1))</f>
        <v>0</v>
      </c>
      <c r="Z476" s="703">
        <f>IF($O477=0,0,           IF(FRM,_xll.qGetFwdRate(Z$14,$O476,R476,"T",DCC_Leg1_Float),_xll.qGetFwdRate(Z$14,$O476,$O477,"T",DCC_Leg1_Float)))</f>
        <v>0</v>
      </c>
      <c r="AA476" s="703">
        <f>IF($O477=0,0,           IF(FRM,_xll.qGetFwdRate(AA$14,$O476,S476,"T",DCC_Leg1_Float),_xll.qGetFwdRate(AA$14,$O476,$O477,"T",DCC_Leg1_Float)))</f>
        <v>0</v>
      </c>
      <c r="AB476" s="703">
        <f t="shared" si="101"/>
        <v>0</v>
      </c>
      <c r="AC476" s="703">
        <f>IF($O477=0,0,           IF(FRM,_xll.qGetFwdRate(AC$14,$O476,U476,"T",DCC_Leg1_Float),_xll.qGetFwdRate(AC$14,$O476,$O477,"T",DCC_Leg1_Float)))</f>
        <v>0</v>
      </c>
      <c r="AD476" s="703">
        <f t="shared" si="106"/>
        <v>0</v>
      </c>
      <c r="AE476" s="703">
        <f t="shared" si="107"/>
        <v>0</v>
      </c>
      <c r="AF476" s="703">
        <f>IF($O477=0,0,           IF(FRM,_xll.qGetFwdRate(AF$14,$O476,X476,"T",DCC_Leg1_Float),_xll.qGetFwdRate(AF$14,$O476,$O477,"T",DCC_Leg1_Float)))</f>
        <v>0</v>
      </c>
      <c r="AG476" s="703">
        <f>IF($O477=0,0,           IF(FRM,_xll.qGetFwdRate(AG$14,$O476,Y476,"T",DCC_Leg1_Float),_xll.qGetFwdRate(AG$14,$O476,$O477,"T",DCC_Leg1_Float)))</f>
        <v>0</v>
      </c>
      <c r="AH476" s="685">
        <v>0</v>
      </c>
      <c r="AI476" s="667"/>
      <c r="AJ476" s="670">
        <f>IF(O477=0,0,             IF(ISNUMBER(AI476),AI476,             IF(ISTEXT(AI476),INDEX(Z476:AG476,MATCH(AI476,$Z$17:$AG$17,0)),           IF(AH476="INT",_xll.qInterp(O477,R476:Y476,Z476:AG476),       INDEX(Z476:AG476,MATCH(AH476,$Z$17:$AG$17,0))))))</f>
        <v>0</v>
      </c>
      <c r="AK476" s="732">
        <v>20</v>
      </c>
      <c r="AL476" s="721">
        <f t="shared" si="102"/>
        <v>0</v>
      </c>
      <c r="AM476" s="284">
        <f>IF($O477,_xll.qDateYears($O476,$O477,DCC_Leg1_Fixed),0)</f>
        <v>0</v>
      </c>
      <c r="AN476" s="284">
        <f>IF($O477,_xll.qDateYears($O476,$O477,DCC_Leg1_Float),0)</f>
        <v>0</v>
      </c>
      <c r="AP476" s="350">
        <f t="shared" si="108"/>
        <v>0</v>
      </c>
      <c r="AQ476" s="375">
        <f>IF(GenType_1a="Fixed",GenRate_1a%*$AL475*AM475,          IF(GenType_1a="Float",$AL475*(_xll.qGetFwdRate($D$18,$O475,$O476,"T",DCC_Leg1_Float)%+GenRate_1a%%)*$AN475,        IF(GenType_1a="bp (Fixed)",GenRate_1a%%*$AM475*$AL475,   IF(GenType_1a="bp (Float)",GenRate_1a%%*$AL475*$AN475,0))))</f>
        <v>0</v>
      </c>
      <c r="AR476" s="561"/>
      <c r="AT476" s="341">
        <f t="shared" si="98"/>
        <v>0</v>
      </c>
      <c r="AV476" s="356"/>
      <c r="AW476" s="122">
        <v>0</v>
      </c>
      <c r="AX476" s="128">
        <f t="shared" si="103"/>
        <v>0</v>
      </c>
      <c r="AY476" s="357">
        <v>0</v>
      </c>
      <c r="AZ476" s="699">
        <f>IF($AW477=0,0,        _xll.qDateNext($AW476,AZ$17,"M",TRUE,Currency2))</f>
        <v>0</v>
      </c>
      <c r="BA476" s="699">
        <f>IF($AW477=0,0,        _xll.qDateNext($AW476,BA$17,"M",TRUE,Currency2))</f>
        <v>0</v>
      </c>
      <c r="BB476" s="699">
        <f>IF($AW477=0,0,        _xll.qDateNext($AW476,BB$17,"M",TRUE,Currency2))</f>
        <v>0</v>
      </c>
      <c r="BC476" s="699">
        <f>IF($AW477=0,0,        _xll.qDateNext($AW476,BC$17,"M",TRUE,Currency2))</f>
        <v>0</v>
      </c>
      <c r="BD476" s="699">
        <f>IF($AW477=0,0,        _xll.qDateNext($AW476,BD$17,"M",TRUE,Currency2))</f>
        <v>0</v>
      </c>
      <c r="BE476" s="699">
        <f>IF($AW477=0,0,        _xll.qDateNext($AW476,BE$17,"M",TRUE,Currency2))</f>
        <v>0</v>
      </c>
      <c r="BF476" s="699">
        <f>IF($AW477=0,0,        _xll.qDateNext($AW476,BF$17,"M",TRUE,Currency2))</f>
        <v>0</v>
      </c>
      <c r="BG476" s="699">
        <f>IF($AW477=0,0,        _xll.qDateNext($AW476,BG$17,"M",TRUE,Currency2))</f>
        <v>0</v>
      </c>
      <c r="BH476" s="703">
        <v>0</v>
      </c>
      <c r="BI476" s="703">
        <v>0</v>
      </c>
      <c r="BJ476" s="703">
        <v>0</v>
      </c>
      <c r="BK476" s="703">
        <v>0</v>
      </c>
      <c r="BL476" s="703">
        <f t="shared" si="109"/>
        <v>0</v>
      </c>
      <c r="BM476" s="703">
        <f t="shared" si="110"/>
        <v>0</v>
      </c>
      <c r="BN476" s="703">
        <v>0</v>
      </c>
      <c r="BO476" s="703">
        <v>0</v>
      </c>
      <c r="BP476" s="685">
        <v>0</v>
      </c>
      <c r="BQ476" s="667"/>
      <c r="BR476" s="670">
        <f>IF(AW477=0,0,             IF(ISNUMBER(BQ476),BQ476,             IF(ISTEXT(BQ476),INDEX(BH476:BO476,MATCH(BQ476,$BH$17:$BO$17,0)),           IF(BP476="INT",_xll.qInterp(AW477,AZ476:BG476,BH476:BO476),       INDEX(BH476:BO476,MATCH(BP476,$BH$17:$BO$17,0))))))</f>
        <v>0</v>
      </c>
      <c r="BS476" s="731">
        <f t="shared" si="104"/>
        <v>0</v>
      </c>
      <c r="BT476" s="406">
        <f t="shared" si="105"/>
        <v>0</v>
      </c>
      <c r="BU476" s="284">
        <f>IF($AW477,_xll.qDateYears($AW476,$AW477,DCC_Leg2_Fixed),0)</f>
        <v>0</v>
      </c>
      <c r="BV476" s="284">
        <f>IF($AW477,_xll.qDateYears($AW476,$AW477,DCC_Leg2_Float),0)</f>
        <v>0</v>
      </c>
      <c r="BX476" s="350">
        <f t="shared" si="111"/>
        <v>0</v>
      </c>
      <c r="BY476" s="375">
        <f>IF(GenType_2a="Fixed",GenRate_2a%*$BT475*BU475,          IF(GenType_2a="Float",$BT475*(_xll.qGetFwdRate($J$18,$AW475,$AW476,"T",DCC_Leg2_Float)%+GenRate_2a%%)*$BV475,        IF(GenType_2a="bp (Fixed)",GenRate_2a%%*$BU475*$BT475,   IF(GenType_2a="bp (Float)",GenRate_2a%%*$BT475*$BV475,0))))</f>
        <v>0</v>
      </c>
      <c r="BZ476" s="561"/>
      <c r="CB476" s="341">
        <f t="shared" si="99"/>
        <v>0</v>
      </c>
      <c r="CC476" s="563"/>
      <c r="CD476" s="356"/>
      <c r="CE476" s="341">
        <v>0</v>
      </c>
      <c r="CF476" s="563"/>
      <c r="CG476" s="356"/>
    </row>
    <row r="477" spans="15:85">
      <c r="O477" s="122">
        <v>0</v>
      </c>
      <c r="P477" s="128">
        <f t="shared" si="100"/>
        <v>0</v>
      </c>
      <c r="Q477" s="126">
        <v>0</v>
      </c>
      <c r="R477" s="699">
        <f>IF($O478=0,0,        _xll.qDateNext($O477,R$17,"M",TRUE,Currency1))</f>
        <v>0</v>
      </c>
      <c r="S477" s="699">
        <f>IF($O478=0,0,        _xll.qDateNext($O477,S$17,"M",TRUE,Currency1))</f>
        <v>0</v>
      </c>
      <c r="T477" s="699">
        <f>IF($O478=0,0,        _xll.qDateNext($O477,T$17,"M",TRUE,Currency1))</f>
        <v>0</v>
      </c>
      <c r="U477" s="699">
        <f>IF($O478=0,0,        _xll.qDateNext($O477,U$17,"M",TRUE,Currency1))</f>
        <v>0</v>
      </c>
      <c r="V477" s="699">
        <f>IF($O478=0,0,        _xll.qDateNext($O477,V$17,"M",TRUE,Currency1))</f>
        <v>0</v>
      </c>
      <c r="W477" s="699">
        <f>IF($O478=0,0,        _xll.qDateNext($O477,W$17,"M",TRUE,Currency1))</f>
        <v>0</v>
      </c>
      <c r="X477" s="699">
        <f>IF($O478=0,0,        _xll.qDateNext($O477,X$17,"M",TRUE,Currency1))</f>
        <v>0</v>
      </c>
      <c r="Y477" s="699">
        <f>IF($O478=0,0,        _xll.qDateNext($O477,Y$17,"M",TRUE,Currency1))</f>
        <v>0</v>
      </c>
      <c r="Z477" s="703">
        <f>IF($O478=0,0,           IF(FRM,_xll.qGetFwdRate(Z$14,$O477,R477,"T",DCC_Leg1_Float),_xll.qGetFwdRate(Z$14,$O477,$O478,"T",DCC_Leg1_Float)))</f>
        <v>0</v>
      </c>
      <c r="AA477" s="703">
        <f>IF($O478=0,0,           IF(FRM,_xll.qGetFwdRate(AA$14,$O477,S477,"T",DCC_Leg1_Float),_xll.qGetFwdRate(AA$14,$O477,$O478,"T",DCC_Leg1_Float)))</f>
        <v>0</v>
      </c>
      <c r="AB477" s="703">
        <f t="shared" si="101"/>
        <v>0</v>
      </c>
      <c r="AC477" s="703">
        <f>IF($O478=0,0,           IF(FRM,_xll.qGetFwdRate(AC$14,$O477,U477,"T",DCC_Leg1_Float),_xll.qGetFwdRate(AC$14,$O477,$O478,"T",DCC_Leg1_Float)))</f>
        <v>0</v>
      </c>
      <c r="AD477" s="703">
        <f t="shared" si="106"/>
        <v>0</v>
      </c>
      <c r="AE477" s="703">
        <f t="shared" si="107"/>
        <v>0</v>
      </c>
      <c r="AF477" s="703">
        <f>IF($O478=0,0,           IF(FRM,_xll.qGetFwdRate(AF$14,$O477,X477,"T",DCC_Leg1_Float),_xll.qGetFwdRate(AF$14,$O477,$O478,"T",DCC_Leg1_Float)))</f>
        <v>0</v>
      </c>
      <c r="AG477" s="703">
        <f>IF($O478=0,0,           IF(FRM,_xll.qGetFwdRate(AG$14,$O477,Y477,"T",DCC_Leg1_Float),_xll.qGetFwdRate(AG$14,$O477,$O478,"T",DCC_Leg1_Float)))</f>
        <v>0</v>
      </c>
      <c r="AH477" s="685">
        <v>0</v>
      </c>
      <c r="AI477" s="667"/>
      <c r="AJ477" s="670">
        <f>IF(O478=0,0,             IF(ISNUMBER(AI477),AI477,             IF(ISTEXT(AI477),INDEX(Z477:AG477,MATCH(AI477,$Z$17:$AG$17,0)),           IF(AH477="INT",_xll.qInterp(O478,R477:Y477,Z477:AG477),       INDEX(Z477:AG477,MATCH(AH477,$Z$17:$AG$17,0))))))</f>
        <v>0</v>
      </c>
      <c r="AK477" s="732">
        <v>20</v>
      </c>
      <c r="AL477" s="721">
        <f t="shared" si="102"/>
        <v>0</v>
      </c>
      <c r="AM477" s="284">
        <f>IF($O478,_xll.qDateYears($O477,$O478,DCC_Leg1_Fixed),0)</f>
        <v>0</v>
      </c>
      <c r="AN477" s="284">
        <f>IF($O478,_xll.qDateYears($O477,$O478,DCC_Leg1_Float),0)</f>
        <v>0</v>
      </c>
      <c r="AP477" s="350">
        <f t="shared" si="108"/>
        <v>0</v>
      </c>
      <c r="AQ477" s="375">
        <f>IF(GenType_1a="Fixed",GenRate_1a%*$AL476*AM476,          IF(GenType_1a="Float",$AL476*(_xll.qGetFwdRate($D$18,$O476,$O477,"T",DCC_Leg1_Float)%+GenRate_1a%%)*$AN476,        IF(GenType_1a="bp (Fixed)",GenRate_1a%%*$AM476*$AL476,   IF(GenType_1a="bp (Float)",GenRate_1a%%*$AL476*$AN476,0))))</f>
        <v>0</v>
      </c>
      <c r="AR477" s="561"/>
      <c r="AT477" s="341">
        <f t="shared" si="98"/>
        <v>0</v>
      </c>
      <c r="AV477" s="356"/>
      <c r="AW477" s="122">
        <v>0</v>
      </c>
      <c r="AX477" s="128">
        <f t="shared" si="103"/>
        <v>0</v>
      </c>
      <c r="AY477" s="357">
        <v>0</v>
      </c>
      <c r="AZ477" s="699">
        <f>IF($AW478=0,0,        _xll.qDateNext($AW477,AZ$17,"M",TRUE,Currency2))</f>
        <v>0</v>
      </c>
      <c r="BA477" s="699">
        <f>IF($AW478=0,0,        _xll.qDateNext($AW477,BA$17,"M",TRUE,Currency2))</f>
        <v>0</v>
      </c>
      <c r="BB477" s="699">
        <f>IF($AW478=0,0,        _xll.qDateNext($AW477,BB$17,"M",TRUE,Currency2))</f>
        <v>0</v>
      </c>
      <c r="BC477" s="699">
        <f>IF($AW478=0,0,        _xll.qDateNext($AW477,BC$17,"M",TRUE,Currency2))</f>
        <v>0</v>
      </c>
      <c r="BD477" s="699">
        <f>IF($AW478=0,0,        _xll.qDateNext($AW477,BD$17,"M",TRUE,Currency2))</f>
        <v>0</v>
      </c>
      <c r="BE477" s="699">
        <f>IF($AW478=0,0,        _xll.qDateNext($AW477,BE$17,"M",TRUE,Currency2))</f>
        <v>0</v>
      </c>
      <c r="BF477" s="699">
        <f>IF($AW478=0,0,        _xll.qDateNext($AW477,BF$17,"M",TRUE,Currency2))</f>
        <v>0</v>
      </c>
      <c r="BG477" s="699">
        <f>IF($AW478=0,0,        _xll.qDateNext($AW477,BG$17,"M",TRUE,Currency2))</f>
        <v>0</v>
      </c>
      <c r="BH477" s="703">
        <v>0</v>
      </c>
      <c r="BI477" s="703">
        <v>0</v>
      </c>
      <c r="BJ477" s="703">
        <v>0</v>
      </c>
      <c r="BK477" s="703">
        <v>0</v>
      </c>
      <c r="BL477" s="703">
        <f t="shared" si="109"/>
        <v>0</v>
      </c>
      <c r="BM477" s="703">
        <f t="shared" si="110"/>
        <v>0</v>
      </c>
      <c r="BN477" s="703">
        <v>0</v>
      </c>
      <c r="BO477" s="703">
        <v>0</v>
      </c>
      <c r="BP477" s="685">
        <v>0</v>
      </c>
      <c r="BQ477" s="667"/>
      <c r="BR477" s="670">
        <f>IF(AW478=0,0,             IF(ISNUMBER(BQ477),BQ477,             IF(ISTEXT(BQ477),INDEX(BH477:BO477,MATCH(BQ477,$BH$17:$BO$17,0)),           IF(BP477="INT",_xll.qInterp(AW478,AZ477:BG477,BH477:BO477),       INDEX(BH477:BO477,MATCH(BP477,$BH$17:$BO$17,0))))))</f>
        <v>0</v>
      </c>
      <c r="BS477" s="731">
        <f t="shared" si="104"/>
        <v>0</v>
      </c>
      <c r="BT477" s="406">
        <f t="shared" si="105"/>
        <v>0</v>
      </c>
      <c r="BU477" s="284">
        <f>IF($AW478,_xll.qDateYears($AW477,$AW478,DCC_Leg2_Fixed),0)</f>
        <v>0</v>
      </c>
      <c r="BV477" s="284">
        <f>IF($AW478,_xll.qDateYears($AW477,$AW478,DCC_Leg2_Float),0)</f>
        <v>0</v>
      </c>
      <c r="BX477" s="350">
        <f t="shared" si="111"/>
        <v>0</v>
      </c>
      <c r="BY477" s="375">
        <f>IF(GenType_2a="Fixed",GenRate_2a%*$BT476*BU476,          IF(GenType_2a="Float",$BT476*(_xll.qGetFwdRate($J$18,$AW476,$AW477,"T",DCC_Leg2_Float)%+GenRate_2a%%)*$BV476,        IF(GenType_2a="bp (Fixed)",GenRate_2a%%*$BU476*$BT476,   IF(GenType_2a="bp (Float)",GenRate_2a%%*$BT476*$BV476,0))))</f>
        <v>0</v>
      </c>
      <c r="BZ477" s="561"/>
      <c r="CB477" s="341">
        <f t="shared" si="99"/>
        <v>0</v>
      </c>
      <c r="CC477" s="563"/>
      <c r="CD477" s="356"/>
      <c r="CE477" s="341">
        <v>0</v>
      </c>
      <c r="CF477" s="563"/>
      <c r="CG477" s="356"/>
    </row>
    <row r="478" spans="15:85">
      <c r="O478" s="122">
        <v>0</v>
      </c>
      <c r="P478" s="128">
        <f t="shared" si="100"/>
        <v>0</v>
      </c>
      <c r="Q478" s="126">
        <v>0</v>
      </c>
      <c r="R478" s="699">
        <f>IF($O479=0,0,        _xll.qDateNext($O478,R$17,"M",TRUE,Currency1))</f>
        <v>0</v>
      </c>
      <c r="S478" s="699">
        <f>IF($O479=0,0,        _xll.qDateNext($O478,S$17,"M",TRUE,Currency1))</f>
        <v>0</v>
      </c>
      <c r="T478" s="699">
        <f>IF($O479=0,0,        _xll.qDateNext($O478,T$17,"M",TRUE,Currency1))</f>
        <v>0</v>
      </c>
      <c r="U478" s="699">
        <f>IF($O479=0,0,        _xll.qDateNext($O478,U$17,"M",TRUE,Currency1))</f>
        <v>0</v>
      </c>
      <c r="V478" s="699">
        <f>IF($O479=0,0,        _xll.qDateNext($O478,V$17,"M",TRUE,Currency1))</f>
        <v>0</v>
      </c>
      <c r="W478" s="699">
        <f>IF($O479=0,0,        _xll.qDateNext($O478,W$17,"M",TRUE,Currency1))</f>
        <v>0</v>
      </c>
      <c r="X478" s="699">
        <f>IF($O479=0,0,        _xll.qDateNext($O478,X$17,"M",TRUE,Currency1))</f>
        <v>0</v>
      </c>
      <c r="Y478" s="699">
        <f>IF($O479=0,0,        _xll.qDateNext($O478,Y$17,"M",TRUE,Currency1))</f>
        <v>0</v>
      </c>
      <c r="Z478" s="703">
        <f>IF($O479=0,0,           IF(FRM,_xll.qGetFwdRate(Z$14,$O478,R478,"T",DCC_Leg1_Float),_xll.qGetFwdRate(Z$14,$O478,$O479,"T",DCC_Leg1_Float)))</f>
        <v>0</v>
      </c>
      <c r="AA478" s="703">
        <f>IF($O479=0,0,           IF(FRM,_xll.qGetFwdRate(AA$14,$O478,S478,"T",DCC_Leg1_Float),_xll.qGetFwdRate(AA$14,$O478,$O479,"T",DCC_Leg1_Float)))</f>
        <v>0</v>
      </c>
      <c r="AB478" s="703">
        <f t="shared" si="101"/>
        <v>0</v>
      </c>
      <c r="AC478" s="703">
        <f>IF($O479=0,0,           IF(FRM,_xll.qGetFwdRate(AC$14,$O478,U478,"T",DCC_Leg1_Float),_xll.qGetFwdRate(AC$14,$O478,$O479,"T",DCC_Leg1_Float)))</f>
        <v>0</v>
      </c>
      <c r="AD478" s="703">
        <f t="shared" si="106"/>
        <v>0</v>
      </c>
      <c r="AE478" s="703">
        <f t="shared" si="107"/>
        <v>0</v>
      </c>
      <c r="AF478" s="703">
        <f>IF($O479=0,0,           IF(FRM,_xll.qGetFwdRate(AF$14,$O478,X478,"T",DCC_Leg1_Float),_xll.qGetFwdRate(AF$14,$O478,$O479,"T",DCC_Leg1_Float)))</f>
        <v>0</v>
      </c>
      <c r="AG478" s="703">
        <f>IF($O479=0,0,           IF(FRM,_xll.qGetFwdRate(AG$14,$O478,Y478,"T",DCC_Leg1_Float),_xll.qGetFwdRate(AG$14,$O478,$O479,"T",DCC_Leg1_Float)))</f>
        <v>0</v>
      </c>
      <c r="AH478" s="685">
        <v>0</v>
      </c>
      <c r="AI478" s="667"/>
      <c r="AJ478" s="670">
        <f>IF(O479=0,0,             IF(ISNUMBER(AI478),AI478,             IF(ISTEXT(AI478),INDEX(Z478:AG478,MATCH(AI478,$Z$17:$AG$17,0)),           IF(AH478="INT",_xll.qInterp(O479,R478:Y478,Z478:AG478),       INDEX(Z478:AG478,MATCH(AH478,$Z$17:$AG$17,0))))))</f>
        <v>0</v>
      </c>
      <c r="AK478" s="732">
        <v>20</v>
      </c>
      <c r="AL478" s="721">
        <f t="shared" si="102"/>
        <v>0</v>
      </c>
      <c r="AM478" s="284">
        <f>IF($O479,_xll.qDateYears($O478,$O479,DCC_Leg1_Fixed),0)</f>
        <v>0</v>
      </c>
      <c r="AN478" s="284">
        <f>IF($O479,_xll.qDateYears($O478,$O479,DCC_Leg1_Float),0)</f>
        <v>0</v>
      </c>
      <c r="AP478" s="350">
        <f t="shared" si="108"/>
        <v>0</v>
      </c>
      <c r="AQ478" s="375">
        <f>IF(GenType_1a="Fixed",GenRate_1a%*$AL477*AM477,          IF(GenType_1a="Float",$AL477*(_xll.qGetFwdRate($D$18,$O477,$O478,"T",DCC_Leg1_Float)%+GenRate_1a%%)*$AN477,        IF(GenType_1a="bp (Fixed)",GenRate_1a%%*$AM477*$AL477,   IF(GenType_1a="bp (Float)",GenRate_1a%%*$AL477*$AN477,0))))</f>
        <v>0</v>
      </c>
      <c r="AR478" s="561"/>
      <c r="AT478" s="341">
        <f t="shared" si="98"/>
        <v>0</v>
      </c>
      <c r="AV478" s="356"/>
      <c r="AW478" s="122">
        <v>0</v>
      </c>
      <c r="AX478" s="128">
        <f t="shared" si="103"/>
        <v>0</v>
      </c>
      <c r="AY478" s="357">
        <v>0</v>
      </c>
      <c r="AZ478" s="699">
        <f>IF($AW479=0,0,        _xll.qDateNext($AW478,AZ$17,"M",TRUE,Currency2))</f>
        <v>0</v>
      </c>
      <c r="BA478" s="699">
        <f>IF($AW479=0,0,        _xll.qDateNext($AW478,BA$17,"M",TRUE,Currency2))</f>
        <v>0</v>
      </c>
      <c r="BB478" s="699">
        <f>IF($AW479=0,0,        _xll.qDateNext($AW478,BB$17,"M",TRUE,Currency2))</f>
        <v>0</v>
      </c>
      <c r="BC478" s="699">
        <f>IF($AW479=0,0,        _xll.qDateNext($AW478,BC$17,"M",TRUE,Currency2))</f>
        <v>0</v>
      </c>
      <c r="BD478" s="699">
        <f>IF($AW479=0,0,        _xll.qDateNext($AW478,BD$17,"M",TRUE,Currency2))</f>
        <v>0</v>
      </c>
      <c r="BE478" s="699">
        <f>IF($AW479=0,0,        _xll.qDateNext($AW478,BE$17,"M",TRUE,Currency2))</f>
        <v>0</v>
      </c>
      <c r="BF478" s="699">
        <f>IF($AW479=0,0,        _xll.qDateNext($AW478,BF$17,"M",TRUE,Currency2))</f>
        <v>0</v>
      </c>
      <c r="BG478" s="699">
        <f>IF($AW479=0,0,        _xll.qDateNext($AW478,BG$17,"M",TRUE,Currency2))</f>
        <v>0</v>
      </c>
      <c r="BH478" s="703">
        <v>0</v>
      </c>
      <c r="BI478" s="703">
        <v>0</v>
      </c>
      <c r="BJ478" s="703">
        <v>0</v>
      </c>
      <c r="BK478" s="703">
        <v>0</v>
      </c>
      <c r="BL478" s="703">
        <f t="shared" si="109"/>
        <v>0</v>
      </c>
      <c r="BM478" s="703">
        <f t="shared" si="110"/>
        <v>0</v>
      </c>
      <c r="BN478" s="703">
        <v>0</v>
      </c>
      <c r="BO478" s="703">
        <v>0</v>
      </c>
      <c r="BP478" s="685">
        <v>0</v>
      </c>
      <c r="BQ478" s="667"/>
      <c r="BR478" s="670">
        <f>IF(AW479=0,0,             IF(ISNUMBER(BQ478),BQ478,             IF(ISTEXT(BQ478),INDEX(BH478:BO478,MATCH(BQ478,$BH$17:$BO$17,0)),           IF(BP478="INT",_xll.qInterp(AW479,AZ478:BG478,BH478:BO478),       INDEX(BH478:BO478,MATCH(BP478,$BH$17:$BO$17,0))))))</f>
        <v>0</v>
      </c>
      <c r="BS478" s="731">
        <f t="shared" si="104"/>
        <v>0</v>
      </c>
      <c r="BT478" s="406">
        <f t="shared" si="105"/>
        <v>0</v>
      </c>
      <c r="BU478" s="284">
        <f>IF($AW479,_xll.qDateYears($AW478,$AW479,DCC_Leg2_Fixed),0)</f>
        <v>0</v>
      </c>
      <c r="BV478" s="284">
        <f>IF($AW479,_xll.qDateYears($AW478,$AW479,DCC_Leg2_Float),0)</f>
        <v>0</v>
      </c>
      <c r="BX478" s="350">
        <f t="shared" si="111"/>
        <v>0</v>
      </c>
      <c r="BY478" s="375">
        <f>IF(GenType_2a="Fixed",GenRate_2a%*$BT477*BU477,          IF(GenType_2a="Float",$BT477*(_xll.qGetFwdRate($J$18,$AW477,$AW478,"T",DCC_Leg2_Float)%+GenRate_2a%%)*$BV477,        IF(GenType_2a="bp (Fixed)",GenRate_2a%%*$BU477*$BT477,   IF(GenType_2a="bp (Float)",GenRate_2a%%*$BT477*$BV477,0))))</f>
        <v>0</v>
      </c>
      <c r="BZ478" s="561"/>
      <c r="CB478" s="341">
        <f t="shared" si="99"/>
        <v>0</v>
      </c>
      <c r="CC478" s="563"/>
      <c r="CD478" s="356"/>
      <c r="CE478" s="341">
        <v>0</v>
      </c>
      <c r="CF478" s="563"/>
      <c r="CG478" s="356"/>
    </row>
    <row r="479" spans="15:85">
      <c r="O479" s="122">
        <v>0</v>
      </c>
      <c r="P479" s="128">
        <f t="shared" si="100"/>
        <v>0</v>
      </c>
      <c r="Q479" s="126">
        <v>0</v>
      </c>
      <c r="R479" s="699">
        <f>IF($O480=0,0,        _xll.qDateNext($O479,R$17,"M",TRUE,Currency1))</f>
        <v>0</v>
      </c>
      <c r="S479" s="699">
        <f>IF($O480=0,0,        _xll.qDateNext($O479,S$17,"M",TRUE,Currency1))</f>
        <v>0</v>
      </c>
      <c r="T479" s="699">
        <f>IF($O480=0,0,        _xll.qDateNext($O479,T$17,"M",TRUE,Currency1))</f>
        <v>0</v>
      </c>
      <c r="U479" s="699">
        <f>IF($O480=0,0,        _xll.qDateNext($O479,U$17,"M",TRUE,Currency1))</f>
        <v>0</v>
      </c>
      <c r="V479" s="699">
        <f>IF($O480=0,0,        _xll.qDateNext($O479,V$17,"M",TRUE,Currency1))</f>
        <v>0</v>
      </c>
      <c r="W479" s="699">
        <f>IF($O480=0,0,        _xll.qDateNext($O479,W$17,"M",TRUE,Currency1))</f>
        <v>0</v>
      </c>
      <c r="X479" s="699">
        <f>IF($O480=0,0,        _xll.qDateNext($O479,X$17,"M",TRUE,Currency1))</f>
        <v>0</v>
      </c>
      <c r="Y479" s="699">
        <f>IF($O480=0,0,        _xll.qDateNext($O479,Y$17,"M",TRUE,Currency1))</f>
        <v>0</v>
      </c>
      <c r="Z479" s="703">
        <f>IF($O480=0,0,           IF(FRM,_xll.qGetFwdRate(Z$14,$O479,R479,"T",DCC_Leg1_Float),_xll.qGetFwdRate(Z$14,$O479,$O480,"T",DCC_Leg1_Float)))</f>
        <v>0</v>
      </c>
      <c r="AA479" s="703">
        <f>IF($O480=0,0,           IF(FRM,_xll.qGetFwdRate(AA$14,$O479,S479,"T",DCC_Leg1_Float),_xll.qGetFwdRate(AA$14,$O479,$O480,"T",DCC_Leg1_Float)))</f>
        <v>0</v>
      </c>
      <c r="AB479" s="703">
        <f t="shared" si="101"/>
        <v>0</v>
      </c>
      <c r="AC479" s="703">
        <f>IF($O480=0,0,           IF(FRM,_xll.qGetFwdRate(AC$14,$O479,U479,"T",DCC_Leg1_Float),_xll.qGetFwdRate(AC$14,$O479,$O480,"T",DCC_Leg1_Float)))</f>
        <v>0</v>
      </c>
      <c r="AD479" s="703">
        <f t="shared" si="106"/>
        <v>0</v>
      </c>
      <c r="AE479" s="703">
        <f t="shared" si="107"/>
        <v>0</v>
      </c>
      <c r="AF479" s="703">
        <f>IF($O480=0,0,           IF(FRM,_xll.qGetFwdRate(AF$14,$O479,X479,"T",DCC_Leg1_Float),_xll.qGetFwdRate(AF$14,$O479,$O480,"T",DCC_Leg1_Float)))</f>
        <v>0</v>
      </c>
      <c r="AG479" s="703">
        <f>IF($O480=0,0,           IF(FRM,_xll.qGetFwdRate(AG$14,$O479,Y479,"T",DCC_Leg1_Float),_xll.qGetFwdRate(AG$14,$O479,$O480,"T",DCC_Leg1_Float)))</f>
        <v>0</v>
      </c>
      <c r="AH479" s="685">
        <v>0</v>
      </c>
      <c r="AI479" s="667"/>
      <c r="AJ479" s="670">
        <f>IF(O480=0,0,             IF(ISNUMBER(AI479),AI479,             IF(ISTEXT(AI479),INDEX(Z479:AG479,MATCH(AI479,$Z$17:$AG$17,0)),           IF(AH479="INT",_xll.qInterp(O480,R479:Y479,Z479:AG479),       INDEX(Z479:AG479,MATCH(AH479,$Z$17:$AG$17,0))))))</f>
        <v>0</v>
      </c>
      <c r="AK479" s="732">
        <v>20</v>
      </c>
      <c r="AL479" s="721">
        <f t="shared" si="102"/>
        <v>0</v>
      </c>
      <c r="AM479" s="284">
        <f>IF($O480,_xll.qDateYears($O479,$O480,DCC_Leg1_Fixed),0)</f>
        <v>0</v>
      </c>
      <c r="AN479" s="284">
        <f>IF($O480,_xll.qDateYears($O479,$O480,DCC_Leg1_Float),0)</f>
        <v>0</v>
      </c>
      <c r="AP479" s="350">
        <f t="shared" si="108"/>
        <v>0</v>
      </c>
      <c r="AQ479" s="375">
        <f>IF(GenType_1a="Fixed",GenRate_1a%*$AL478*AM478,          IF(GenType_1a="Float",$AL478*(_xll.qGetFwdRate($D$18,$O478,$O479,"T",DCC_Leg1_Float)%+GenRate_1a%%)*$AN478,        IF(GenType_1a="bp (Fixed)",GenRate_1a%%*$AM478*$AL478,   IF(GenType_1a="bp (Float)",GenRate_1a%%*$AL478*$AN478,0))))</f>
        <v>0</v>
      </c>
      <c r="AR479" s="561"/>
      <c r="AT479" s="341">
        <f t="shared" si="98"/>
        <v>0</v>
      </c>
      <c r="AV479" s="356"/>
      <c r="AW479" s="122">
        <v>0</v>
      </c>
      <c r="AX479" s="128">
        <f t="shared" si="103"/>
        <v>0</v>
      </c>
      <c r="AY479" s="357">
        <v>0</v>
      </c>
      <c r="AZ479" s="699">
        <f>IF($AW480=0,0,        _xll.qDateNext($AW479,AZ$17,"M",TRUE,Currency2))</f>
        <v>0</v>
      </c>
      <c r="BA479" s="699">
        <f>IF($AW480=0,0,        _xll.qDateNext($AW479,BA$17,"M",TRUE,Currency2))</f>
        <v>0</v>
      </c>
      <c r="BB479" s="699">
        <f>IF($AW480=0,0,        _xll.qDateNext($AW479,BB$17,"M",TRUE,Currency2))</f>
        <v>0</v>
      </c>
      <c r="BC479" s="699">
        <f>IF($AW480=0,0,        _xll.qDateNext($AW479,BC$17,"M",TRUE,Currency2))</f>
        <v>0</v>
      </c>
      <c r="BD479" s="699">
        <f>IF($AW480=0,0,        _xll.qDateNext($AW479,BD$17,"M",TRUE,Currency2))</f>
        <v>0</v>
      </c>
      <c r="BE479" s="699">
        <f>IF($AW480=0,0,        _xll.qDateNext($AW479,BE$17,"M",TRUE,Currency2))</f>
        <v>0</v>
      </c>
      <c r="BF479" s="699">
        <f>IF($AW480=0,0,        _xll.qDateNext($AW479,BF$17,"M",TRUE,Currency2))</f>
        <v>0</v>
      </c>
      <c r="BG479" s="699">
        <f>IF($AW480=0,0,        _xll.qDateNext($AW479,BG$17,"M",TRUE,Currency2))</f>
        <v>0</v>
      </c>
      <c r="BH479" s="703">
        <v>0</v>
      </c>
      <c r="BI479" s="703">
        <v>0</v>
      </c>
      <c r="BJ479" s="703">
        <v>0</v>
      </c>
      <c r="BK479" s="703">
        <v>0</v>
      </c>
      <c r="BL479" s="703">
        <f t="shared" si="109"/>
        <v>0</v>
      </c>
      <c r="BM479" s="703">
        <f t="shared" si="110"/>
        <v>0</v>
      </c>
      <c r="BN479" s="703">
        <v>0</v>
      </c>
      <c r="BO479" s="703">
        <v>0</v>
      </c>
      <c r="BP479" s="685">
        <v>0</v>
      </c>
      <c r="BQ479" s="667"/>
      <c r="BR479" s="670">
        <f>IF(AW480=0,0,             IF(ISNUMBER(BQ479),BQ479,             IF(ISTEXT(BQ479),INDEX(BH479:BO479,MATCH(BQ479,$BH$17:$BO$17,0)),           IF(BP479="INT",_xll.qInterp(AW480,AZ479:BG479,BH479:BO479),       INDEX(BH479:BO479,MATCH(BP479,$BH$17:$BO$17,0))))))</f>
        <v>0</v>
      </c>
      <c r="BS479" s="731">
        <f t="shared" si="104"/>
        <v>0</v>
      </c>
      <c r="BT479" s="406">
        <f t="shared" si="105"/>
        <v>0</v>
      </c>
      <c r="BU479" s="284">
        <f>IF($AW480,_xll.qDateYears($AW479,$AW480,DCC_Leg2_Fixed),0)</f>
        <v>0</v>
      </c>
      <c r="BV479" s="284">
        <f>IF($AW480,_xll.qDateYears($AW479,$AW480,DCC_Leg2_Float),0)</f>
        <v>0</v>
      </c>
      <c r="BX479" s="350">
        <f t="shared" si="111"/>
        <v>0</v>
      </c>
      <c r="BY479" s="375">
        <f>IF(GenType_2a="Fixed",GenRate_2a%*$BT478*BU478,          IF(GenType_2a="Float",$BT478*(_xll.qGetFwdRate($J$18,$AW478,$AW479,"T",DCC_Leg2_Float)%+GenRate_2a%%)*$BV478,        IF(GenType_2a="bp (Fixed)",GenRate_2a%%*$BU478*$BT478,   IF(GenType_2a="bp (Float)",GenRate_2a%%*$BT478*$BV478,0))))</f>
        <v>0</v>
      </c>
      <c r="BZ479" s="561"/>
      <c r="CB479" s="341">
        <f t="shared" si="99"/>
        <v>0</v>
      </c>
      <c r="CC479" s="563"/>
      <c r="CD479" s="356"/>
      <c r="CE479" s="341">
        <v>0</v>
      </c>
      <c r="CF479" s="563"/>
      <c r="CG479" s="356"/>
    </row>
    <row r="480" spans="15:85">
      <c r="O480" s="122">
        <v>0</v>
      </c>
      <c r="P480" s="128">
        <f t="shared" si="100"/>
        <v>0</v>
      </c>
      <c r="Q480" s="126">
        <v>0</v>
      </c>
      <c r="R480" s="699">
        <f>IF($O481=0,0,        _xll.qDateNext($O480,R$17,"M",TRUE,Currency1))</f>
        <v>0</v>
      </c>
      <c r="S480" s="699">
        <f>IF($O481=0,0,        _xll.qDateNext($O480,S$17,"M",TRUE,Currency1))</f>
        <v>0</v>
      </c>
      <c r="T480" s="699">
        <f>IF($O481=0,0,        _xll.qDateNext($O480,T$17,"M",TRUE,Currency1))</f>
        <v>0</v>
      </c>
      <c r="U480" s="699">
        <f>IF($O481=0,0,        _xll.qDateNext($O480,U$17,"M",TRUE,Currency1))</f>
        <v>0</v>
      </c>
      <c r="V480" s="699">
        <f>IF($O481=0,0,        _xll.qDateNext($O480,V$17,"M",TRUE,Currency1))</f>
        <v>0</v>
      </c>
      <c r="W480" s="699">
        <f>IF($O481=0,0,        _xll.qDateNext($O480,W$17,"M",TRUE,Currency1))</f>
        <v>0</v>
      </c>
      <c r="X480" s="699">
        <f>IF($O481=0,0,        _xll.qDateNext($O480,X$17,"M",TRUE,Currency1))</f>
        <v>0</v>
      </c>
      <c r="Y480" s="699">
        <f>IF($O481=0,0,        _xll.qDateNext($O480,Y$17,"M",TRUE,Currency1))</f>
        <v>0</v>
      </c>
      <c r="Z480" s="703">
        <f>IF($O481=0,0,           IF(FRM,_xll.qGetFwdRate(Z$14,$O480,R480,"T",DCC_Leg1_Float),_xll.qGetFwdRate(Z$14,$O480,$O481,"T",DCC_Leg1_Float)))</f>
        <v>0</v>
      </c>
      <c r="AA480" s="703">
        <f>IF($O481=0,0,           IF(FRM,_xll.qGetFwdRate(AA$14,$O480,S480,"T",DCC_Leg1_Float),_xll.qGetFwdRate(AA$14,$O480,$O481,"T",DCC_Leg1_Float)))</f>
        <v>0</v>
      </c>
      <c r="AB480" s="703">
        <f t="shared" si="101"/>
        <v>0</v>
      </c>
      <c r="AC480" s="703">
        <f>IF($O481=0,0,           IF(FRM,_xll.qGetFwdRate(AC$14,$O480,U480,"T",DCC_Leg1_Float),_xll.qGetFwdRate(AC$14,$O480,$O481,"T",DCC_Leg1_Float)))</f>
        <v>0</v>
      </c>
      <c r="AD480" s="703">
        <f t="shared" si="106"/>
        <v>0</v>
      </c>
      <c r="AE480" s="703">
        <f t="shared" si="107"/>
        <v>0</v>
      </c>
      <c r="AF480" s="703">
        <f>IF($O481=0,0,           IF(FRM,_xll.qGetFwdRate(AF$14,$O480,X480,"T",DCC_Leg1_Float),_xll.qGetFwdRate(AF$14,$O480,$O481,"T",DCC_Leg1_Float)))</f>
        <v>0</v>
      </c>
      <c r="AG480" s="703">
        <f>IF($O481=0,0,           IF(FRM,_xll.qGetFwdRate(AG$14,$O480,Y480,"T",DCC_Leg1_Float),_xll.qGetFwdRate(AG$14,$O480,$O481,"T",DCC_Leg1_Float)))</f>
        <v>0</v>
      </c>
      <c r="AH480" s="685">
        <v>0</v>
      </c>
      <c r="AI480" s="667"/>
      <c r="AJ480" s="670">
        <f>IF(O481=0,0,             IF(ISNUMBER(AI480),AI480,             IF(ISTEXT(AI480),INDEX(Z480:AG480,MATCH(AI480,$Z$17:$AG$17,0)),           IF(AH480="INT",_xll.qInterp(O481,R480:Y480,Z480:AG480),       INDEX(Z480:AG480,MATCH(AH480,$Z$17:$AG$17,0))))))</f>
        <v>0</v>
      </c>
      <c r="AK480" s="732">
        <v>20</v>
      </c>
      <c r="AL480" s="721">
        <f t="shared" si="102"/>
        <v>0</v>
      </c>
      <c r="AM480" s="284">
        <f>IF($O481,_xll.qDateYears($O480,$O481,DCC_Leg1_Fixed),0)</f>
        <v>0</v>
      </c>
      <c r="AN480" s="284">
        <f>IF($O481,_xll.qDateYears($O480,$O481,DCC_Leg1_Float),0)</f>
        <v>0</v>
      </c>
      <c r="AP480" s="350">
        <f t="shared" si="108"/>
        <v>0</v>
      </c>
      <c r="AQ480" s="375">
        <f>IF(GenType_1a="Fixed",GenRate_1a%*$AL479*AM479,          IF(GenType_1a="Float",$AL479*(_xll.qGetFwdRate($D$18,$O479,$O480,"T",DCC_Leg1_Float)%+GenRate_1a%%)*$AN479,        IF(GenType_1a="bp (Fixed)",GenRate_1a%%*$AM479*$AL479,   IF(GenType_1a="bp (Float)",GenRate_1a%%*$AL479*$AN479,0))))</f>
        <v>0</v>
      </c>
      <c r="AR480" s="561"/>
      <c r="AT480" s="341">
        <f t="shared" si="98"/>
        <v>0</v>
      </c>
      <c r="AV480" s="356"/>
      <c r="AW480" s="122">
        <v>0</v>
      </c>
      <c r="AX480" s="128">
        <f t="shared" si="103"/>
        <v>0</v>
      </c>
      <c r="AY480" s="357">
        <v>0</v>
      </c>
      <c r="AZ480" s="699">
        <f>IF($AW481=0,0,        _xll.qDateNext($AW480,AZ$17,"M",TRUE,Currency2))</f>
        <v>0</v>
      </c>
      <c r="BA480" s="699">
        <f>IF($AW481=0,0,        _xll.qDateNext($AW480,BA$17,"M",TRUE,Currency2))</f>
        <v>0</v>
      </c>
      <c r="BB480" s="699">
        <f>IF($AW481=0,0,        _xll.qDateNext($AW480,BB$17,"M",TRUE,Currency2))</f>
        <v>0</v>
      </c>
      <c r="BC480" s="699">
        <f>IF($AW481=0,0,        _xll.qDateNext($AW480,BC$17,"M",TRUE,Currency2))</f>
        <v>0</v>
      </c>
      <c r="BD480" s="699">
        <f>IF($AW481=0,0,        _xll.qDateNext($AW480,BD$17,"M",TRUE,Currency2))</f>
        <v>0</v>
      </c>
      <c r="BE480" s="699">
        <f>IF($AW481=0,0,        _xll.qDateNext($AW480,BE$17,"M",TRUE,Currency2))</f>
        <v>0</v>
      </c>
      <c r="BF480" s="699">
        <f>IF($AW481=0,0,        _xll.qDateNext($AW480,BF$17,"M",TRUE,Currency2))</f>
        <v>0</v>
      </c>
      <c r="BG480" s="699">
        <f>IF($AW481=0,0,        _xll.qDateNext($AW480,BG$17,"M",TRUE,Currency2))</f>
        <v>0</v>
      </c>
      <c r="BH480" s="703">
        <v>0</v>
      </c>
      <c r="BI480" s="703">
        <v>0</v>
      </c>
      <c r="BJ480" s="703">
        <v>0</v>
      </c>
      <c r="BK480" s="703">
        <v>0</v>
      </c>
      <c r="BL480" s="703">
        <f t="shared" si="109"/>
        <v>0</v>
      </c>
      <c r="BM480" s="703">
        <f t="shared" si="110"/>
        <v>0</v>
      </c>
      <c r="BN480" s="703">
        <v>0</v>
      </c>
      <c r="BO480" s="703">
        <v>0</v>
      </c>
      <c r="BP480" s="685">
        <v>0</v>
      </c>
      <c r="BQ480" s="667"/>
      <c r="BR480" s="670">
        <f>IF(AW481=0,0,             IF(ISNUMBER(BQ480),BQ480,             IF(ISTEXT(BQ480),INDEX(BH480:BO480,MATCH(BQ480,$BH$17:$BO$17,0)),           IF(BP480="INT",_xll.qInterp(AW481,AZ480:BG480,BH480:BO480),       INDEX(BH480:BO480,MATCH(BP480,$BH$17:$BO$17,0))))))</f>
        <v>0</v>
      </c>
      <c r="BS480" s="731">
        <f t="shared" si="104"/>
        <v>0</v>
      </c>
      <c r="BT480" s="406">
        <f t="shared" si="105"/>
        <v>0</v>
      </c>
      <c r="BU480" s="284">
        <f>IF($AW481,_xll.qDateYears($AW480,$AW481,DCC_Leg2_Fixed),0)</f>
        <v>0</v>
      </c>
      <c r="BV480" s="284">
        <f>IF($AW481,_xll.qDateYears($AW480,$AW481,DCC_Leg2_Float),0)</f>
        <v>0</v>
      </c>
      <c r="BX480" s="350">
        <f t="shared" si="111"/>
        <v>0</v>
      </c>
      <c r="BY480" s="375">
        <f>IF(GenType_2a="Fixed",GenRate_2a%*$BT479*BU479,          IF(GenType_2a="Float",$BT479*(_xll.qGetFwdRate($J$18,$AW479,$AW480,"T",DCC_Leg2_Float)%+GenRate_2a%%)*$BV479,        IF(GenType_2a="bp (Fixed)",GenRate_2a%%*$BU479*$BT479,   IF(GenType_2a="bp (Float)",GenRate_2a%%*$BT479*$BV479,0))))</f>
        <v>0</v>
      </c>
      <c r="BZ480" s="561"/>
      <c r="CB480" s="341">
        <f t="shared" si="99"/>
        <v>0</v>
      </c>
      <c r="CC480" s="563"/>
      <c r="CD480" s="356"/>
      <c r="CE480" s="341">
        <v>0</v>
      </c>
      <c r="CF480" s="563"/>
      <c r="CG480" s="356"/>
    </row>
    <row r="481" spans="15:85">
      <c r="O481" s="122">
        <v>0</v>
      </c>
      <c r="P481" s="128">
        <f t="shared" si="100"/>
        <v>0</v>
      </c>
      <c r="Q481" s="126">
        <v>0</v>
      </c>
      <c r="R481" s="699">
        <f>IF($O482=0,0,        _xll.qDateNext($O481,R$17,"M",TRUE,Currency1))</f>
        <v>0</v>
      </c>
      <c r="S481" s="699">
        <f>IF($O482=0,0,        _xll.qDateNext($O481,S$17,"M",TRUE,Currency1))</f>
        <v>0</v>
      </c>
      <c r="T481" s="699">
        <f>IF($O482=0,0,        _xll.qDateNext($O481,T$17,"M",TRUE,Currency1))</f>
        <v>0</v>
      </c>
      <c r="U481" s="699">
        <f>IF($O482=0,0,        _xll.qDateNext($O481,U$17,"M",TRUE,Currency1))</f>
        <v>0</v>
      </c>
      <c r="V481" s="699">
        <f>IF($O482=0,0,        _xll.qDateNext($O481,V$17,"M",TRUE,Currency1))</f>
        <v>0</v>
      </c>
      <c r="W481" s="699">
        <f>IF($O482=0,0,        _xll.qDateNext($O481,W$17,"M",TRUE,Currency1))</f>
        <v>0</v>
      </c>
      <c r="X481" s="699">
        <f>IF($O482=0,0,        _xll.qDateNext($O481,X$17,"M",TRUE,Currency1))</f>
        <v>0</v>
      </c>
      <c r="Y481" s="699">
        <f>IF($O482=0,0,        _xll.qDateNext($O481,Y$17,"M",TRUE,Currency1))</f>
        <v>0</v>
      </c>
      <c r="Z481" s="703">
        <f>IF($O482=0,0,           IF(FRM,_xll.qGetFwdRate(Z$14,$O481,R481,"T",DCC_Leg1_Float),_xll.qGetFwdRate(Z$14,$O481,$O482,"T",DCC_Leg1_Float)))</f>
        <v>0</v>
      </c>
      <c r="AA481" s="703">
        <f>IF($O482=0,0,           IF(FRM,_xll.qGetFwdRate(AA$14,$O481,S481,"T",DCC_Leg1_Float),_xll.qGetFwdRate(AA$14,$O481,$O482,"T",DCC_Leg1_Float)))</f>
        <v>0</v>
      </c>
      <c r="AB481" s="703">
        <f t="shared" si="101"/>
        <v>0</v>
      </c>
      <c r="AC481" s="703">
        <f>IF($O482=0,0,           IF(FRM,_xll.qGetFwdRate(AC$14,$O481,U481,"T",DCC_Leg1_Float),_xll.qGetFwdRate(AC$14,$O481,$O482,"T",DCC_Leg1_Float)))</f>
        <v>0</v>
      </c>
      <c r="AD481" s="703">
        <f t="shared" si="106"/>
        <v>0</v>
      </c>
      <c r="AE481" s="703">
        <f t="shared" si="107"/>
        <v>0</v>
      </c>
      <c r="AF481" s="703">
        <f>IF($O482=0,0,           IF(FRM,_xll.qGetFwdRate(AF$14,$O481,X481,"T",DCC_Leg1_Float),_xll.qGetFwdRate(AF$14,$O481,$O482,"T",DCC_Leg1_Float)))</f>
        <v>0</v>
      </c>
      <c r="AG481" s="703">
        <f>IF($O482=0,0,           IF(FRM,_xll.qGetFwdRate(AG$14,$O481,Y481,"T",DCC_Leg1_Float),_xll.qGetFwdRate(AG$14,$O481,$O482,"T",DCC_Leg1_Float)))</f>
        <v>0</v>
      </c>
      <c r="AH481" s="685">
        <v>0</v>
      </c>
      <c r="AI481" s="667"/>
      <c r="AJ481" s="670">
        <f>IF(O482=0,0,             IF(ISNUMBER(AI481),AI481,             IF(ISTEXT(AI481),INDEX(Z481:AG481,MATCH(AI481,$Z$17:$AG$17,0)),           IF(AH481="INT",_xll.qInterp(O482,R481:Y481,Z481:AG481),       INDEX(Z481:AG481,MATCH(AH481,$Z$17:$AG$17,0))))))</f>
        <v>0</v>
      </c>
      <c r="AK481" s="732">
        <v>20</v>
      </c>
      <c r="AL481" s="721">
        <f t="shared" si="102"/>
        <v>0</v>
      </c>
      <c r="AM481" s="284">
        <f>IF($O482,_xll.qDateYears($O481,$O482,DCC_Leg1_Fixed),0)</f>
        <v>0</v>
      </c>
      <c r="AN481" s="284">
        <f>IF($O482,_xll.qDateYears($O481,$O482,DCC_Leg1_Float),0)</f>
        <v>0</v>
      </c>
      <c r="AP481" s="350">
        <f t="shared" si="108"/>
        <v>0</v>
      </c>
      <c r="AQ481" s="375">
        <f>IF(GenType_1a="Fixed",GenRate_1a%*$AL480*AM480,          IF(GenType_1a="Float",$AL480*(_xll.qGetFwdRate($D$18,$O480,$O481,"T",DCC_Leg1_Float)%+GenRate_1a%%)*$AN480,        IF(GenType_1a="bp (Fixed)",GenRate_1a%%*$AM480*$AL480,   IF(GenType_1a="bp (Float)",GenRate_1a%%*$AL480*$AN480,0))))</f>
        <v>0</v>
      </c>
      <c r="AR481" s="561"/>
      <c r="AT481" s="341">
        <f t="shared" si="98"/>
        <v>0</v>
      </c>
      <c r="AV481" s="356"/>
      <c r="AW481" s="122">
        <v>0</v>
      </c>
      <c r="AX481" s="128">
        <f t="shared" si="103"/>
        <v>0</v>
      </c>
      <c r="AY481" s="357">
        <v>0</v>
      </c>
      <c r="AZ481" s="699">
        <f>IF($AW482=0,0,        _xll.qDateNext($AW481,AZ$17,"M",TRUE,Currency2))</f>
        <v>0</v>
      </c>
      <c r="BA481" s="699">
        <f>IF($AW482=0,0,        _xll.qDateNext($AW481,BA$17,"M",TRUE,Currency2))</f>
        <v>0</v>
      </c>
      <c r="BB481" s="699">
        <f>IF($AW482=0,0,        _xll.qDateNext($AW481,BB$17,"M",TRUE,Currency2))</f>
        <v>0</v>
      </c>
      <c r="BC481" s="699">
        <f>IF($AW482=0,0,        _xll.qDateNext($AW481,BC$17,"M",TRUE,Currency2))</f>
        <v>0</v>
      </c>
      <c r="BD481" s="699">
        <f>IF($AW482=0,0,        _xll.qDateNext($AW481,BD$17,"M",TRUE,Currency2))</f>
        <v>0</v>
      </c>
      <c r="BE481" s="699">
        <f>IF($AW482=0,0,        _xll.qDateNext($AW481,BE$17,"M",TRUE,Currency2))</f>
        <v>0</v>
      </c>
      <c r="BF481" s="699">
        <f>IF($AW482=0,0,        _xll.qDateNext($AW481,BF$17,"M",TRUE,Currency2))</f>
        <v>0</v>
      </c>
      <c r="BG481" s="699">
        <f>IF($AW482=0,0,        _xll.qDateNext($AW481,BG$17,"M",TRUE,Currency2))</f>
        <v>0</v>
      </c>
      <c r="BH481" s="703">
        <v>0</v>
      </c>
      <c r="BI481" s="703">
        <v>0</v>
      </c>
      <c r="BJ481" s="703">
        <v>0</v>
      </c>
      <c r="BK481" s="703">
        <v>0</v>
      </c>
      <c r="BL481" s="703">
        <f t="shared" si="109"/>
        <v>0</v>
      </c>
      <c r="BM481" s="703">
        <f t="shared" si="110"/>
        <v>0</v>
      </c>
      <c r="BN481" s="703">
        <v>0</v>
      </c>
      <c r="BO481" s="703">
        <v>0</v>
      </c>
      <c r="BP481" s="685">
        <v>0</v>
      </c>
      <c r="BQ481" s="667"/>
      <c r="BR481" s="670">
        <f>IF(AW482=0,0,             IF(ISNUMBER(BQ481),BQ481,             IF(ISTEXT(BQ481),INDEX(BH481:BO481,MATCH(BQ481,$BH$17:$BO$17,0)),           IF(BP481="INT",_xll.qInterp(AW482,AZ481:BG481,BH481:BO481),       INDEX(BH481:BO481,MATCH(BP481,$BH$17:$BO$17,0))))))</f>
        <v>0</v>
      </c>
      <c r="BS481" s="731">
        <f t="shared" si="104"/>
        <v>0</v>
      </c>
      <c r="BT481" s="406">
        <f t="shared" si="105"/>
        <v>0</v>
      </c>
      <c r="BU481" s="284">
        <f>IF($AW482,_xll.qDateYears($AW481,$AW482,DCC_Leg2_Fixed),0)</f>
        <v>0</v>
      </c>
      <c r="BV481" s="284">
        <f>IF($AW482,_xll.qDateYears($AW481,$AW482,DCC_Leg2_Float),0)</f>
        <v>0</v>
      </c>
      <c r="BX481" s="350">
        <f t="shared" si="111"/>
        <v>0</v>
      </c>
      <c r="BY481" s="375">
        <f>IF(GenType_2a="Fixed",GenRate_2a%*$BT480*BU480,          IF(GenType_2a="Float",$BT480*(_xll.qGetFwdRate($J$18,$AW480,$AW481,"T",DCC_Leg2_Float)%+GenRate_2a%%)*$BV480,        IF(GenType_2a="bp (Fixed)",GenRate_2a%%*$BU480*$BT480,   IF(GenType_2a="bp (Float)",GenRate_2a%%*$BT480*$BV480,0))))</f>
        <v>0</v>
      </c>
      <c r="BZ481" s="561"/>
      <c r="CB481" s="341">
        <f t="shared" si="99"/>
        <v>0</v>
      </c>
      <c r="CC481" s="563"/>
      <c r="CD481" s="356"/>
      <c r="CE481" s="341">
        <v>0</v>
      </c>
      <c r="CF481" s="563"/>
      <c r="CG481" s="356"/>
    </row>
    <row r="482" spans="15:85">
      <c r="O482" s="122">
        <v>0</v>
      </c>
      <c r="P482" s="128">
        <f t="shared" si="100"/>
        <v>0</v>
      </c>
      <c r="Q482" s="126">
        <v>0</v>
      </c>
      <c r="R482" s="699">
        <f>IF($O483=0,0,        _xll.qDateNext($O482,R$17,"M",TRUE,Currency1))</f>
        <v>0</v>
      </c>
      <c r="S482" s="699">
        <f>IF($O483=0,0,        _xll.qDateNext($O482,S$17,"M",TRUE,Currency1))</f>
        <v>0</v>
      </c>
      <c r="T482" s="699">
        <f>IF($O483=0,0,        _xll.qDateNext($O482,T$17,"M",TRUE,Currency1))</f>
        <v>0</v>
      </c>
      <c r="U482" s="699">
        <f>IF($O483=0,0,        _xll.qDateNext($O482,U$17,"M",TRUE,Currency1))</f>
        <v>0</v>
      </c>
      <c r="V482" s="699">
        <f>IF($O483=0,0,        _xll.qDateNext($O482,V$17,"M",TRUE,Currency1))</f>
        <v>0</v>
      </c>
      <c r="W482" s="699">
        <f>IF($O483=0,0,        _xll.qDateNext($O482,W$17,"M",TRUE,Currency1))</f>
        <v>0</v>
      </c>
      <c r="X482" s="699">
        <f>IF($O483=0,0,        _xll.qDateNext($O482,X$17,"M",TRUE,Currency1))</f>
        <v>0</v>
      </c>
      <c r="Y482" s="699">
        <f>IF($O483=0,0,        _xll.qDateNext($O482,Y$17,"M",TRUE,Currency1))</f>
        <v>0</v>
      </c>
      <c r="Z482" s="703">
        <f>IF($O483=0,0,           IF(FRM,_xll.qGetFwdRate(Z$14,$O482,R482,"T",DCC_Leg1_Float),_xll.qGetFwdRate(Z$14,$O482,$O483,"T",DCC_Leg1_Float)))</f>
        <v>0</v>
      </c>
      <c r="AA482" s="703">
        <f>IF($O483=0,0,           IF(FRM,_xll.qGetFwdRate(AA$14,$O482,S482,"T",DCC_Leg1_Float),_xll.qGetFwdRate(AA$14,$O482,$O483,"T",DCC_Leg1_Float)))</f>
        <v>0</v>
      </c>
      <c r="AB482" s="703">
        <f t="shared" si="101"/>
        <v>0</v>
      </c>
      <c r="AC482" s="703">
        <f>IF($O483=0,0,           IF(FRM,_xll.qGetFwdRate(AC$14,$O482,U482,"T",DCC_Leg1_Float),_xll.qGetFwdRate(AC$14,$O482,$O483,"T",DCC_Leg1_Float)))</f>
        <v>0</v>
      </c>
      <c r="AD482" s="703">
        <f t="shared" si="106"/>
        <v>0</v>
      </c>
      <c r="AE482" s="703">
        <f t="shared" si="107"/>
        <v>0</v>
      </c>
      <c r="AF482" s="703">
        <f>IF($O483=0,0,           IF(FRM,_xll.qGetFwdRate(AF$14,$O482,X482,"T",DCC_Leg1_Float),_xll.qGetFwdRate(AF$14,$O482,$O483,"T",DCC_Leg1_Float)))</f>
        <v>0</v>
      </c>
      <c r="AG482" s="703">
        <f>IF($O483=0,0,           IF(FRM,_xll.qGetFwdRate(AG$14,$O482,Y482,"T",DCC_Leg1_Float),_xll.qGetFwdRate(AG$14,$O482,$O483,"T",DCC_Leg1_Float)))</f>
        <v>0</v>
      </c>
      <c r="AH482" s="685">
        <v>0</v>
      </c>
      <c r="AI482" s="667"/>
      <c r="AJ482" s="670">
        <f>IF(O483=0,0,             IF(ISNUMBER(AI482),AI482,             IF(ISTEXT(AI482),INDEX(Z482:AG482,MATCH(AI482,$Z$17:$AG$17,0)),           IF(AH482="INT",_xll.qInterp(O483,R482:Y482,Z482:AG482),       INDEX(Z482:AG482,MATCH(AH482,$Z$17:$AG$17,0))))))</f>
        <v>0</v>
      </c>
      <c r="AK482" s="732">
        <v>20</v>
      </c>
      <c r="AL482" s="721">
        <f t="shared" si="102"/>
        <v>0</v>
      </c>
      <c r="AM482" s="284">
        <f>IF($O483,_xll.qDateYears($O482,$O483,DCC_Leg1_Fixed),0)</f>
        <v>0</v>
      </c>
      <c r="AN482" s="284">
        <f>IF($O483,_xll.qDateYears($O482,$O483,DCC_Leg1_Float),0)</f>
        <v>0</v>
      </c>
      <c r="AP482" s="350">
        <f t="shared" si="108"/>
        <v>0</v>
      </c>
      <c r="AQ482" s="375">
        <f>IF(GenType_1a="Fixed",GenRate_1a%*$AL481*AM481,          IF(GenType_1a="Float",$AL481*(_xll.qGetFwdRate($D$18,$O481,$O482,"T",DCC_Leg1_Float)%+GenRate_1a%%)*$AN481,        IF(GenType_1a="bp (Fixed)",GenRate_1a%%*$AM481*$AL481,   IF(GenType_1a="bp (Float)",GenRate_1a%%*$AL481*$AN481,0))))</f>
        <v>0</v>
      </c>
      <c r="AR482" s="561"/>
      <c r="AT482" s="341">
        <f t="shared" si="98"/>
        <v>0</v>
      </c>
      <c r="AV482" s="356"/>
      <c r="AW482" s="122">
        <v>0</v>
      </c>
      <c r="AX482" s="128">
        <f t="shared" si="103"/>
        <v>0</v>
      </c>
      <c r="AY482" s="357">
        <v>0</v>
      </c>
      <c r="AZ482" s="699">
        <f>IF($AW483=0,0,        _xll.qDateNext($AW482,AZ$17,"M",TRUE,Currency2))</f>
        <v>0</v>
      </c>
      <c r="BA482" s="699">
        <f>IF($AW483=0,0,        _xll.qDateNext($AW482,BA$17,"M",TRUE,Currency2))</f>
        <v>0</v>
      </c>
      <c r="BB482" s="699">
        <f>IF($AW483=0,0,        _xll.qDateNext($AW482,BB$17,"M",TRUE,Currency2))</f>
        <v>0</v>
      </c>
      <c r="BC482" s="699">
        <f>IF($AW483=0,0,        _xll.qDateNext($AW482,BC$17,"M",TRUE,Currency2))</f>
        <v>0</v>
      </c>
      <c r="BD482" s="699">
        <f>IF($AW483=0,0,        _xll.qDateNext($AW482,BD$17,"M",TRUE,Currency2))</f>
        <v>0</v>
      </c>
      <c r="BE482" s="699">
        <f>IF($AW483=0,0,        _xll.qDateNext($AW482,BE$17,"M",TRUE,Currency2))</f>
        <v>0</v>
      </c>
      <c r="BF482" s="699">
        <f>IF($AW483=0,0,        _xll.qDateNext($AW482,BF$17,"M",TRUE,Currency2))</f>
        <v>0</v>
      </c>
      <c r="BG482" s="699">
        <f>IF($AW483=0,0,        _xll.qDateNext($AW482,BG$17,"M",TRUE,Currency2))</f>
        <v>0</v>
      </c>
      <c r="BH482" s="703">
        <v>0</v>
      </c>
      <c r="BI482" s="703">
        <v>0</v>
      </c>
      <c r="BJ482" s="703">
        <v>0</v>
      </c>
      <c r="BK482" s="703">
        <v>0</v>
      </c>
      <c r="BL482" s="703">
        <f t="shared" si="109"/>
        <v>0</v>
      </c>
      <c r="BM482" s="703">
        <f t="shared" si="110"/>
        <v>0</v>
      </c>
      <c r="BN482" s="703">
        <v>0</v>
      </c>
      <c r="BO482" s="703">
        <v>0</v>
      </c>
      <c r="BP482" s="685">
        <v>0</v>
      </c>
      <c r="BQ482" s="667"/>
      <c r="BR482" s="670">
        <f>IF(AW483=0,0,             IF(ISNUMBER(BQ482),BQ482,             IF(ISTEXT(BQ482),INDEX(BH482:BO482,MATCH(BQ482,$BH$17:$BO$17,0)),           IF(BP482="INT",_xll.qInterp(AW483,AZ482:BG482,BH482:BO482),       INDEX(BH482:BO482,MATCH(BP482,$BH$17:$BO$17,0))))))</f>
        <v>0</v>
      </c>
      <c r="BS482" s="731">
        <f t="shared" si="104"/>
        <v>0</v>
      </c>
      <c r="BT482" s="406">
        <f t="shared" si="105"/>
        <v>0</v>
      </c>
      <c r="BU482" s="284">
        <f>IF($AW483,_xll.qDateYears($AW482,$AW483,DCC_Leg2_Fixed),0)</f>
        <v>0</v>
      </c>
      <c r="BV482" s="284">
        <f>IF($AW483,_xll.qDateYears($AW482,$AW483,DCC_Leg2_Float),0)</f>
        <v>0</v>
      </c>
      <c r="BX482" s="350">
        <f t="shared" si="111"/>
        <v>0</v>
      </c>
      <c r="BY482" s="375">
        <f>IF(GenType_2a="Fixed",GenRate_2a%*$BT481*BU481,          IF(GenType_2a="Float",$BT481*(_xll.qGetFwdRate($J$18,$AW481,$AW482,"T",DCC_Leg2_Float)%+GenRate_2a%%)*$BV481,        IF(GenType_2a="bp (Fixed)",GenRate_2a%%*$BU481*$BT481,   IF(GenType_2a="bp (Float)",GenRate_2a%%*$BT481*$BV481,0))))</f>
        <v>0</v>
      </c>
      <c r="BZ482" s="561"/>
      <c r="CB482" s="341">
        <f t="shared" si="99"/>
        <v>0</v>
      </c>
      <c r="CC482" s="563"/>
      <c r="CD482" s="356"/>
      <c r="CE482" s="341">
        <v>0</v>
      </c>
      <c r="CF482" s="563"/>
      <c r="CG482" s="356"/>
    </row>
    <row r="483" spans="15:85">
      <c r="O483" s="122">
        <v>0</v>
      </c>
      <c r="P483" s="128">
        <f t="shared" si="100"/>
        <v>0</v>
      </c>
      <c r="Q483" s="126">
        <v>0</v>
      </c>
      <c r="R483" s="699">
        <f>IF($O484=0,0,        _xll.qDateNext($O483,R$17,"M",TRUE,Currency1))</f>
        <v>0</v>
      </c>
      <c r="S483" s="699">
        <f>IF($O484=0,0,        _xll.qDateNext($O483,S$17,"M",TRUE,Currency1))</f>
        <v>0</v>
      </c>
      <c r="T483" s="699">
        <f>IF($O484=0,0,        _xll.qDateNext($O483,T$17,"M",TRUE,Currency1))</f>
        <v>0</v>
      </c>
      <c r="U483" s="699">
        <f>IF($O484=0,0,        _xll.qDateNext($O483,U$17,"M",TRUE,Currency1))</f>
        <v>0</v>
      </c>
      <c r="V483" s="699">
        <f>IF($O484=0,0,        _xll.qDateNext($O483,V$17,"M",TRUE,Currency1))</f>
        <v>0</v>
      </c>
      <c r="W483" s="699">
        <f>IF($O484=0,0,        _xll.qDateNext($O483,W$17,"M",TRUE,Currency1))</f>
        <v>0</v>
      </c>
      <c r="X483" s="699">
        <f>IF($O484=0,0,        _xll.qDateNext($O483,X$17,"M",TRUE,Currency1))</f>
        <v>0</v>
      </c>
      <c r="Y483" s="699">
        <f>IF($O484=0,0,        _xll.qDateNext($O483,Y$17,"M",TRUE,Currency1))</f>
        <v>0</v>
      </c>
      <c r="Z483" s="703">
        <f>IF($O484=0,0,           IF(FRM,_xll.qGetFwdRate(Z$14,$O483,R483,"T",DCC_Leg1_Float),_xll.qGetFwdRate(Z$14,$O483,$O484,"T",DCC_Leg1_Float)))</f>
        <v>0</v>
      </c>
      <c r="AA483" s="703">
        <f>IF($O484=0,0,           IF(FRM,_xll.qGetFwdRate(AA$14,$O483,S483,"T",DCC_Leg1_Float),_xll.qGetFwdRate(AA$14,$O483,$O484,"T",DCC_Leg1_Float)))</f>
        <v>0</v>
      </c>
      <c r="AB483" s="703">
        <f t="shared" si="101"/>
        <v>0</v>
      </c>
      <c r="AC483" s="703">
        <f>IF($O484=0,0,           IF(FRM,_xll.qGetFwdRate(AC$14,$O483,U483,"T",DCC_Leg1_Float),_xll.qGetFwdRate(AC$14,$O483,$O484,"T",DCC_Leg1_Float)))</f>
        <v>0</v>
      </c>
      <c r="AD483" s="703">
        <f t="shared" si="106"/>
        <v>0</v>
      </c>
      <c r="AE483" s="703">
        <f t="shared" si="107"/>
        <v>0</v>
      </c>
      <c r="AF483" s="703">
        <f>IF($O484=0,0,           IF(FRM,_xll.qGetFwdRate(AF$14,$O483,X483,"T",DCC_Leg1_Float),_xll.qGetFwdRate(AF$14,$O483,$O484,"T",DCC_Leg1_Float)))</f>
        <v>0</v>
      </c>
      <c r="AG483" s="703">
        <f>IF($O484=0,0,           IF(FRM,_xll.qGetFwdRate(AG$14,$O483,Y483,"T",DCC_Leg1_Float),_xll.qGetFwdRate(AG$14,$O483,$O484,"T",DCC_Leg1_Float)))</f>
        <v>0</v>
      </c>
      <c r="AH483" s="685">
        <v>0</v>
      </c>
      <c r="AI483" s="667"/>
      <c r="AJ483" s="670">
        <f>IF(O484=0,0,             IF(ISNUMBER(AI483),AI483,             IF(ISTEXT(AI483),INDEX(Z483:AG483,MATCH(AI483,$Z$17:$AG$17,0)),           IF(AH483="INT",_xll.qInterp(O484,R483:Y483,Z483:AG483),       INDEX(Z483:AG483,MATCH(AH483,$Z$17:$AG$17,0))))))</f>
        <v>0</v>
      </c>
      <c r="AK483" s="732">
        <v>20</v>
      </c>
      <c r="AL483" s="721">
        <f t="shared" si="102"/>
        <v>0</v>
      </c>
      <c r="AM483" s="284">
        <f>IF($O484,_xll.qDateYears($O483,$O484,DCC_Leg1_Fixed),0)</f>
        <v>0</v>
      </c>
      <c r="AN483" s="284">
        <f>IF($O484,_xll.qDateYears($O483,$O484,DCC_Leg1_Float),0)</f>
        <v>0</v>
      </c>
      <c r="AP483" s="350">
        <f t="shared" si="108"/>
        <v>0</v>
      </c>
      <c r="AQ483" s="375">
        <f>IF(GenType_1a="Fixed",GenRate_1a%*$AL482*AM482,          IF(GenType_1a="Float",$AL482*(_xll.qGetFwdRate($D$18,$O482,$O483,"T",DCC_Leg1_Float)%+GenRate_1a%%)*$AN482,        IF(GenType_1a="bp (Fixed)",GenRate_1a%%*$AM482*$AL482,   IF(GenType_1a="bp (Float)",GenRate_1a%%*$AL482*$AN482,0))))</f>
        <v>0</v>
      </c>
      <c r="AR483" s="561"/>
      <c r="AT483" s="341">
        <f t="shared" si="98"/>
        <v>0</v>
      </c>
      <c r="AV483" s="356"/>
      <c r="AW483" s="122">
        <v>0</v>
      </c>
      <c r="AX483" s="128">
        <f t="shared" si="103"/>
        <v>0</v>
      </c>
      <c r="AY483" s="357">
        <v>0</v>
      </c>
      <c r="AZ483" s="699">
        <f>IF($AW484=0,0,        _xll.qDateNext($AW483,AZ$17,"M",TRUE,Currency2))</f>
        <v>0</v>
      </c>
      <c r="BA483" s="699">
        <f>IF($AW484=0,0,        _xll.qDateNext($AW483,BA$17,"M",TRUE,Currency2))</f>
        <v>0</v>
      </c>
      <c r="BB483" s="699">
        <f>IF($AW484=0,0,        _xll.qDateNext($AW483,BB$17,"M",TRUE,Currency2))</f>
        <v>0</v>
      </c>
      <c r="BC483" s="699">
        <f>IF($AW484=0,0,        _xll.qDateNext($AW483,BC$17,"M",TRUE,Currency2))</f>
        <v>0</v>
      </c>
      <c r="BD483" s="699">
        <f>IF($AW484=0,0,        _xll.qDateNext($AW483,BD$17,"M",TRUE,Currency2))</f>
        <v>0</v>
      </c>
      <c r="BE483" s="699">
        <f>IF($AW484=0,0,        _xll.qDateNext($AW483,BE$17,"M",TRUE,Currency2))</f>
        <v>0</v>
      </c>
      <c r="BF483" s="699">
        <f>IF($AW484=0,0,        _xll.qDateNext($AW483,BF$17,"M",TRUE,Currency2))</f>
        <v>0</v>
      </c>
      <c r="BG483" s="699">
        <f>IF($AW484=0,0,        _xll.qDateNext($AW483,BG$17,"M",TRUE,Currency2))</f>
        <v>0</v>
      </c>
      <c r="BH483" s="703">
        <v>0</v>
      </c>
      <c r="BI483" s="703">
        <v>0</v>
      </c>
      <c r="BJ483" s="703">
        <v>0</v>
      </c>
      <c r="BK483" s="703">
        <v>0</v>
      </c>
      <c r="BL483" s="703">
        <f t="shared" si="109"/>
        <v>0</v>
      </c>
      <c r="BM483" s="703">
        <f t="shared" si="110"/>
        <v>0</v>
      </c>
      <c r="BN483" s="703">
        <v>0</v>
      </c>
      <c r="BO483" s="703">
        <v>0</v>
      </c>
      <c r="BP483" s="685">
        <v>0</v>
      </c>
      <c r="BQ483" s="667"/>
      <c r="BR483" s="670">
        <f>IF(AW484=0,0,             IF(ISNUMBER(BQ483),BQ483,             IF(ISTEXT(BQ483),INDEX(BH483:BO483,MATCH(BQ483,$BH$17:$BO$17,0)),           IF(BP483="INT",_xll.qInterp(AW484,AZ483:BG483,BH483:BO483),       INDEX(BH483:BO483,MATCH(BP483,$BH$17:$BO$17,0))))))</f>
        <v>0</v>
      </c>
      <c r="BS483" s="731">
        <f t="shared" si="104"/>
        <v>0</v>
      </c>
      <c r="BT483" s="406">
        <f t="shared" si="105"/>
        <v>0</v>
      </c>
      <c r="BU483" s="284">
        <f>IF($AW484,_xll.qDateYears($AW483,$AW484,DCC_Leg2_Fixed),0)</f>
        <v>0</v>
      </c>
      <c r="BV483" s="284">
        <f>IF($AW484,_xll.qDateYears($AW483,$AW484,DCC_Leg2_Float),0)</f>
        <v>0</v>
      </c>
      <c r="BX483" s="350">
        <f t="shared" si="111"/>
        <v>0</v>
      </c>
      <c r="BY483" s="375">
        <f>IF(GenType_2a="Fixed",GenRate_2a%*$BT482*BU482,          IF(GenType_2a="Float",$BT482*(_xll.qGetFwdRate($J$18,$AW482,$AW483,"T",DCC_Leg2_Float)%+GenRate_2a%%)*$BV482,        IF(GenType_2a="bp (Fixed)",GenRate_2a%%*$BU482*$BT482,   IF(GenType_2a="bp (Float)",GenRate_2a%%*$BT482*$BV482,0))))</f>
        <v>0</v>
      </c>
      <c r="BZ483" s="561"/>
      <c r="CB483" s="341">
        <f t="shared" si="99"/>
        <v>0</v>
      </c>
      <c r="CC483" s="563"/>
      <c r="CD483" s="356"/>
      <c r="CE483" s="341">
        <v>0</v>
      </c>
      <c r="CF483" s="563"/>
      <c r="CG483" s="356"/>
    </row>
    <row r="484" spans="15:85">
      <c r="O484" s="122">
        <v>0</v>
      </c>
      <c r="P484" s="128">
        <f t="shared" si="100"/>
        <v>0</v>
      </c>
      <c r="Q484" s="126">
        <v>0</v>
      </c>
      <c r="R484" s="699">
        <f>IF($O485=0,0,        _xll.qDateNext($O484,R$17,"M",TRUE,Currency1))</f>
        <v>0</v>
      </c>
      <c r="S484" s="699">
        <f>IF($O485=0,0,        _xll.qDateNext($O484,S$17,"M",TRUE,Currency1))</f>
        <v>0</v>
      </c>
      <c r="T484" s="699">
        <f>IF($O485=0,0,        _xll.qDateNext($O484,T$17,"M",TRUE,Currency1))</f>
        <v>0</v>
      </c>
      <c r="U484" s="699">
        <f>IF($O485=0,0,        _xll.qDateNext($O484,U$17,"M",TRUE,Currency1))</f>
        <v>0</v>
      </c>
      <c r="V484" s="699">
        <f>IF($O485=0,0,        _xll.qDateNext($O484,V$17,"M",TRUE,Currency1))</f>
        <v>0</v>
      </c>
      <c r="W484" s="699">
        <f>IF($O485=0,0,        _xll.qDateNext($O484,W$17,"M",TRUE,Currency1))</f>
        <v>0</v>
      </c>
      <c r="X484" s="699">
        <f>IF($O485=0,0,        _xll.qDateNext($O484,X$17,"M",TRUE,Currency1))</f>
        <v>0</v>
      </c>
      <c r="Y484" s="699">
        <f>IF($O485=0,0,        _xll.qDateNext($O484,Y$17,"M",TRUE,Currency1))</f>
        <v>0</v>
      </c>
      <c r="Z484" s="703">
        <f>IF($O485=0,0,           IF(FRM,_xll.qGetFwdRate(Z$14,$O484,R484,"T",DCC_Leg1_Float),_xll.qGetFwdRate(Z$14,$O484,$O485,"T",DCC_Leg1_Float)))</f>
        <v>0</v>
      </c>
      <c r="AA484" s="703">
        <f>IF($O485=0,0,           IF(FRM,_xll.qGetFwdRate(AA$14,$O484,S484,"T",DCC_Leg1_Float),_xll.qGetFwdRate(AA$14,$O484,$O485,"T",DCC_Leg1_Float)))</f>
        <v>0</v>
      </c>
      <c r="AB484" s="703">
        <f t="shared" si="101"/>
        <v>0</v>
      </c>
      <c r="AC484" s="703">
        <f>IF($O485=0,0,           IF(FRM,_xll.qGetFwdRate(AC$14,$O484,U484,"T",DCC_Leg1_Float),_xll.qGetFwdRate(AC$14,$O484,$O485,"T",DCC_Leg1_Float)))</f>
        <v>0</v>
      </c>
      <c r="AD484" s="703">
        <f t="shared" si="106"/>
        <v>0</v>
      </c>
      <c r="AE484" s="703">
        <f t="shared" si="107"/>
        <v>0</v>
      </c>
      <c r="AF484" s="703">
        <f>IF($O485=0,0,           IF(FRM,_xll.qGetFwdRate(AF$14,$O484,X484,"T",DCC_Leg1_Float),_xll.qGetFwdRate(AF$14,$O484,$O485,"T",DCC_Leg1_Float)))</f>
        <v>0</v>
      </c>
      <c r="AG484" s="703">
        <f>IF($O485=0,0,           IF(FRM,_xll.qGetFwdRate(AG$14,$O484,Y484,"T",DCC_Leg1_Float),_xll.qGetFwdRate(AG$14,$O484,$O485,"T",DCC_Leg1_Float)))</f>
        <v>0</v>
      </c>
      <c r="AH484" s="685">
        <v>0</v>
      </c>
      <c r="AI484" s="667"/>
      <c r="AJ484" s="670">
        <f>IF(O485=0,0,             IF(ISNUMBER(AI484),AI484,             IF(ISTEXT(AI484),INDEX(Z484:AG484,MATCH(AI484,$Z$17:$AG$17,0)),           IF(AH484="INT",_xll.qInterp(O485,R484:Y484,Z484:AG484),       INDEX(Z484:AG484,MATCH(AH484,$Z$17:$AG$17,0))))))</f>
        <v>0</v>
      </c>
      <c r="AK484" s="732">
        <v>20</v>
      </c>
      <c r="AL484" s="721">
        <f t="shared" si="102"/>
        <v>0</v>
      </c>
      <c r="AM484" s="284">
        <f>IF($O485,_xll.qDateYears($O484,$O485,DCC_Leg1_Fixed),0)</f>
        <v>0</v>
      </c>
      <c r="AN484" s="284">
        <f>IF($O485,_xll.qDateYears($O484,$O485,DCC_Leg1_Float),0)</f>
        <v>0</v>
      </c>
      <c r="AP484" s="350">
        <f t="shared" si="108"/>
        <v>0</v>
      </c>
      <c r="AQ484" s="375">
        <f>IF(GenType_1a="Fixed",GenRate_1a%*$AL483*AM483,          IF(GenType_1a="Float",$AL483*(_xll.qGetFwdRate($D$18,$O483,$O484,"T",DCC_Leg1_Float)%+GenRate_1a%%)*$AN483,        IF(GenType_1a="bp (Fixed)",GenRate_1a%%*$AM483*$AL483,   IF(GenType_1a="bp (Float)",GenRate_1a%%*$AL483*$AN483,0))))</f>
        <v>0</v>
      </c>
      <c r="AR484" s="561"/>
      <c r="AT484" s="341">
        <f t="shared" si="98"/>
        <v>0</v>
      </c>
      <c r="AV484" s="356"/>
      <c r="AW484" s="122">
        <v>0</v>
      </c>
      <c r="AX484" s="128">
        <f t="shared" si="103"/>
        <v>0</v>
      </c>
      <c r="AY484" s="357">
        <v>0</v>
      </c>
      <c r="AZ484" s="699">
        <f>IF($AW485=0,0,        _xll.qDateNext($AW484,AZ$17,"M",TRUE,Currency2))</f>
        <v>0</v>
      </c>
      <c r="BA484" s="699">
        <f>IF($AW485=0,0,        _xll.qDateNext($AW484,BA$17,"M",TRUE,Currency2))</f>
        <v>0</v>
      </c>
      <c r="BB484" s="699">
        <f>IF($AW485=0,0,        _xll.qDateNext($AW484,BB$17,"M",TRUE,Currency2))</f>
        <v>0</v>
      </c>
      <c r="BC484" s="699">
        <f>IF($AW485=0,0,        _xll.qDateNext($AW484,BC$17,"M",TRUE,Currency2))</f>
        <v>0</v>
      </c>
      <c r="BD484" s="699">
        <f>IF($AW485=0,0,        _xll.qDateNext($AW484,BD$17,"M",TRUE,Currency2))</f>
        <v>0</v>
      </c>
      <c r="BE484" s="699">
        <f>IF($AW485=0,0,        _xll.qDateNext($AW484,BE$17,"M",TRUE,Currency2))</f>
        <v>0</v>
      </c>
      <c r="BF484" s="699">
        <f>IF($AW485=0,0,        _xll.qDateNext($AW484,BF$17,"M",TRUE,Currency2))</f>
        <v>0</v>
      </c>
      <c r="BG484" s="699">
        <f>IF($AW485=0,0,        _xll.qDateNext($AW484,BG$17,"M",TRUE,Currency2))</f>
        <v>0</v>
      </c>
      <c r="BH484" s="703">
        <v>0</v>
      </c>
      <c r="BI484" s="703">
        <v>0</v>
      </c>
      <c r="BJ484" s="703">
        <v>0</v>
      </c>
      <c r="BK484" s="703">
        <v>0</v>
      </c>
      <c r="BL484" s="703">
        <f t="shared" si="109"/>
        <v>0</v>
      </c>
      <c r="BM484" s="703">
        <f t="shared" si="110"/>
        <v>0</v>
      </c>
      <c r="BN484" s="703">
        <v>0</v>
      </c>
      <c r="BO484" s="703">
        <v>0</v>
      </c>
      <c r="BP484" s="685">
        <v>0</v>
      </c>
      <c r="BQ484" s="667"/>
      <c r="BR484" s="670">
        <f>IF(AW485=0,0,             IF(ISNUMBER(BQ484),BQ484,             IF(ISTEXT(BQ484),INDEX(BH484:BO484,MATCH(BQ484,$BH$17:$BO$17,0)),           IF(BP484="INT",_xll.qInterp(AW485,AZ484:BG484,BH484:BO484),       INDEX(BH484:BO484,MATCH(BP484,$BH$17:$BO$17,0))))))</f>
        <v>0</v>
      </c>
      <c r="BS484" s="731">
        <f t="shared" si="104"/>
        <v>0</v>
      </c>
      <c r="BT484" s="406">
        <f t="shared" si="105"/>
        <v>0</v>
      </c>
      <c r="BU484" s="284">
        <f>IF($AW485,_xll.qDateYears($AW484,$AW485,DCC_Leg2_Fixed),0)</f>
        <v>0</v>
      </c>
      <c r="BV484" s="284">
        <f>IF($AW485,_xll.qDateYears($AW484,$AW485,DCC_Leg2_Float),0)</f>
        <v>0</v>
      </c>
      <c r="BX484" s="350">
        <f t="shared" si="111"/>
        <v>0</v>
      </c>
      <c r="BY484" s="375">
        <f>IF(GenType_2a="Fixed",GenRate_2a%*$BT483*BU483,          IF(GenType_2a="Float",$BT483*(_xll.qGetFwdRate($J$18,$AW483,$AW484,"T",DCC_Leg2_Float)%+GenRate_2a%%)*$BV483,        IF(GenType_2a="bp (Fixed)",GenRate_2a%%*$BU483*$BT483,   IF(GenType_2a="bp (Float)",GenRate_2a%%*$BT483*$BV483,0))))</f>
        <v>0</v>
      </c>
      <c r="BZ484" s="561"/>
      <c r="CB484" s="341">
        <f t="shared" si="99"/>
        <v>0</v>
      </c>
      <c r="CC484" s="563"/>
      <c r="CD484" s="356"/>
      <c r="CE484" s="341">
        <v>0</v>
      </c>
      <c r="CF484" s="563"/>
      <c r="CG484" s="356"/>
    </row>
    <row r="485" spans="15:85">
      <c r="O485" s="122">
        <v>0</v>
      </c>
      <c r="P485" s="128">
        <f t="shared" si="100"/>
        <v>0</v>
      </c>
      <c r="Q485" s="126">
        <v>0</v>
      </c>
      <c r="R485" s="699">
        <f>IF($O486=0,0,        _xll.qDateNext($O485,R$17,"M",TRUE,Currency1))</f>
        <v>0</v>
      </c>
      <c r="S485" s="699">
        <f>IF($O486=0,0,        _xll.qDateNext($O485,S$17,"M",TRUE,Currency1))</f>
        <v>0</v>
      </c>
      <c r="T485" s="699">
        <f>IF($O486=0,0,        _xll.qDateNext($O485,T$17,"M",TRUE,Currency1))</f>
        <v>0</v>
      </c>
      <c r="U485" s="699">
        <f>IF($O486=0,0,        _xll.qDateNext($O485,U$17,"M",TRUE,Currency1))</f>
        <v>0</v>
      </c>
      <c r="V485" s="699">
        <f>IF($O486=0,0,        _xll.qDateNext($O485,V$17,"M",TRUE,Currency1))</f>
        <v>0</v>
      </c>
      <c r="W485" s="699">
        <f>IF($O486=0,0,        _xll.qDateNext($O485,W$17,"M",TRUE,Currency1))</f>
        <v>0</v>
      </c>
      <c r="X485" s="699">
        <f>IF($O486=0,0,        _xll.qDateNext($O485,X$17,"M",TRUE,Currency1))</f>
        <v>0</v>
      </c>
      <c r="Y485" s="699">
        <f>IF($O486=0,0,        _xll.qDateNext($O485,Y$17,"M",TRUE,Currency1))</f>
        <v>0</v>
      </c>
      <c r="Z485" s="703">
        <f>IF($O486=0,0,           IF(FRM,_xll.qGetFwdRate(Z$14,$O485,R485,"T",DCC_Leg1_Float),_xll.qGetFwdRate(Z$14,$O485,$O486,"T",DCC_Leg1_Float)))</f>
        <v>0</v>
      </c>
      <c r="AA485" s="703">
        <f>IF($O486=0,0,           IF(FRM,_xll.qGetFwdRate(AA$14,$O485,S485,"T",DCC_Leg1_Float),_xll.qGetFwdRate(AA$14,$O485,$O486,"T",DCC_Leg1_Float)))</f>
        <v>0</v>
      </c>
      <c r="AB485" s="703">
        <f t="shared" si="101"/>
        <v>0</v>
      </c>
      <c r="AC485" s="703">
        <f>IF($O486=0,0,           IF(FRM,_xll.qGetFwdRate(AC$14,$O485,U485,"T",DCC_Leg1_Float),_xll.qGetFwdRate(AC$14,$O485,$O486,"T",DCC_Leg1_Float)))</f>
        <v>0</v>
      </c>
      <c r="AD485" s="703">
        <f t="shared" si="106"/>
        <v>0</v>
      </c>
      <c r="AE485" s="703">
        <f t="shared" si="107"/>
        <v>0</v>
      </c>
      <c r="AF485" s="703">
        <f>IF($O486=0,0,           IF(FRM,_xll.qGetFwdRate(AF$14,$O485,X485,"T",DCC_Leg1_Float),_xll.qGetFwdRate(AF$14,$O485,$O486,"T",DCC_Leg1_Float)))</f>
        <v>0</v>
      </c>
      <c r="AG485" s="703">
        <f>IF($O486=0,0,           IF(FRM,_xll.qGetFwdRate(AG$14,$O485,Y485,"T",DCC_Leg1_Float),_xll.qGetFwdRate(AG$14,$O485,$O486,"T",DCC_Leg1_Float)))</f>
        <v>0</v>
      </c>
      <c r="AH485" s="685">
        <v>0</v>
      </c>
      <c r="AI485" s="667"/>
      <c r="AJ485" s="670">
        <f>IF(O486=0,0,             IF(ISNUMBER(AI485),AI485,             IF(ISTEXT(AI485),INDEX(Z485:AG485,MATCH(AI485,$Z$17:$AG$17,0)),           IF(AH485="INT",_xll.qInterp(O486,R485:Y485,Z485:AG485),       INDEX(Z485:AG485,MATCH(AH485,$Z$17:$AG$17,0))))))</f>
        <v>0</v>
      </c>
      <c r="AK485" s="732">
        <v>20</v>
      </c>
      <c r="AL485" s="721">
        <f t="shared" si="102"/>
        <v>0</v>
      </c>
      <c r="AM485" s="284">
        <f>IF($O486,_xll.qDateYears($O485,$O486,DCC_Leg1_Fixed),0)</f>
        <v>0</v>
      </c>
      <c r="AN485" s="284">
        <f>IF($O486,_xll.qDateYears($O485,$O486,DCC_Leg1_Float),0)</f>
        <v>0</v>
      </c>
      <c r="AP485" s="350">
        <f t="shared" si="108"/>
        <v>0</v>
      </c>
      <c r="AQ485" s="375">
        <f>IF(GenType_1a="Fixed",GenRate_1a%*$AL484*AM484,          IF(GenType_1a="Float",$AL484*(_xll.qGetFwdRate($D$18,$O484,$O485,"T",DCC_Leg1_Float)%+GenRate_1a%%)*$AN484,        IF(GenType_1a="bp (Fixed)",GenRate_1a%%*$AM484*$AL484,   IF(GenType_1a="bp (Float)",GenRate_1a%%*$AL484*$AN484,0))))</f>
        <v>0</v>
      </c>
      <c r="AR485" s="561"/>
      <c r="AT485" s="341">
        <f t="shared" si="98"/>
        <v>0</v>
      </c>
      <c r="AV485" s="356"/>
      <c r="AW485" s="122">
        <v>0</v>
      </c>
      <c r="AX485" s="128">
        <f t="shared" si="103"/>
        <v>0</v>
      </c>
      <c r="AY485" s="357">
        <v>0</v>
      </c>
      <c r="AZ485" s="699">
        <f>IF($AW486=0,0,        _xll.qDateNext($AW485,AZ$17,"M",TRUE,Currency2))</f>
        <v>0</v>
      </c>
      <c r="BA485" s="699">
        <f>IF($AW486=0,0,        _xll.qDateNext($AW485,BA$17,"M",TRUE,Currency2))</f>
        <v>0</v>
      </c>
      <c r="BB485" s="699">
        <f>IF($AW486=0,0,        _xll.qDateNext($AW485,BB$17,"M",TRUE,Currency2))</f>
        <v>0</v>
      </c>
      <c r="BC485" s="699">
        <f>IF($AW486=0,0,        _xll.qDateNext($AW485,BC$17,"M",TRUE,Currency2))</f>
        <v>0</v>
      </c>
      <c r="BD485" s="699">
        <f>IF($AW486=0,0,        _xll.qDateNext($AW485,BD$17,"M",TRUE,Currency2))</f>
        <v>0</v>
      </c>
      <c r="BE485" s="699">
        <f>IF($AW486=0,0,        _xll.qDateNext($AW485,BE$17,"M",TRUE,Currency2))</f>
        <v>0</v>
      </c>
      <c r="BF485" s="699">
        <f>IF($AW486=0,0,        _xll.qDateNext($AW485,BF$17,"M",TRUE,Currency2))</f>
        <v>0</v>
      </c>
      <c r="BG485" s="699">
        <f>IF($AW486=0,0,        _xll.qDateNext($AW485,BG$17,"M",TRUE,Currency2))</f>
        <v>0</v>
      </c>
      <c r="BH485" s="703">
        <v>0</v>
      </c>
      <c r="BI485" s="703">
        <v>0</v>
      </c>
      <c r="BJ485" s="703">
        <v>0</v>
      </c>
      <c r="BK485" s="703">
        <v>0</v>
      </c>
      <c r="BL485" s="703">
        <f t="shared" si="109"/>
        <v>0</v>
      </c>
      <c r="BM485" s="703">
        <f t="shared" si="110"/>
        <v>0</v>
      </c>
      <c r="BN485" s="703">
        <v>0</v>
      </c>
      <c r="BO485" s="703">
        <v>0</v>
      </c>
      <c r="BP485" s="685">
        <v>0</v>
      </c>
      <c r="BQ485" s="667"/>
      <c r="BR485" s="670">
        <f>IF(AW486=0,0,             IF(ISNUMBER(BQ485),BQ485,             IF(ISTEXT(BQ485),INDEX(BH485:BO485,MATCH(BQ485,$BH$17:$BO$17,0)),           IF(BP485="INT",_xll.qInterp(AW486,AZ485:BG485,BH485:BO485),       INDEX(BH485:BO485,MATCH(BP485,$BH$17:$BO$17,0))))))</f>
        <v>0</v>
      </c>
      <c r="BS485" s="731">
        <f t="shared" si="104"/>
        <v>0</v>
      </c>
      <c r="BT485" s="406">
        <f t="shared" si="105"/>
        <v>0</v>
      </c>
      <c r="BU485" s="284">
        <f>IF($AW486,_xll.qDateYears($AW485,$AW486,DCC_Leg2_Fixed),0)</f>
        <v>0</v>
      </c>
      <c r="BV485" s="284">
        <f>IF($AW486,_xll.qDateYears($AW485,$AW486,DCC_Leg2_Float),0)</f>
        <v>0</v>
      </c>
      <c r="BX485" s="350">
        <f t="shared" si="111"/>
        <v>0</v>
      </c>
      <c r="BY485" s="375">
        <f>IF(GenType_2a="Fixed",GenRate_2a%*$BT484*BU484,          IF(GenType_2a="Float",$BT484*(_xll.qGetFwdRate($J$18,$AW484,$AW485,"T",DCC_Leg2_Float)%+GenRate_2a%%)*$BV484,        IF(GenType_2a="bp (Fixed)",GenRate_2a%%*$BU484*$BT484,   IF(GenType_2a="bp (Float)",GenRate_2a%%*$BT484*$BV484,0))))</f>
        <v>0</v>
      </c>
      <c r="BZ485" s="561"/>
      <c r="CB485" s="341">
        <f t="shared" si="99"/>
        <v>0</v>
      </c>
      <c r="CC485" s="563"/>
      <c r="CD485" s="356"/>
      <c r="CE485" s="341">
        <v>0</v>
      </c>
      <c r="CF485" s="563"/>
      <c r="CG485" s="356"/>
    </row>
    <row r="486" spans="15:85">
      <c r="O486" s="122">
        <v>0</v>
      </c>
      <c r="P486" s="128">
        <f t="shared" si="100"/>
        <v>0</v>
      </c>
      <c r="Q486" s="126">
        <v>0</v>
      </c>
      <c r="R486" s="699">
        <f>IF($O487=0,0,        _xll.qDateNext($O486,R$17,"M",TRUE,Currency1))</f>
        <v>0</v>
      </c>
      <c r="S486" s="699">
        <f>IF($O487=0,0,        _xll.qDateNext($O486,S$17,"M",TRUE,Currency1))</f>
        <v>0</v>
      </c>
      <c r="T486" s="699">
        <f>IF($O487=0,0,        _xll.qDateNext($O486,T$17,"M",TRUE,Currency1))</f>
        <v>0</v>
      </c>
      <c r="U486" s="699">
        <f>IF($O487=0,0,        _xll.qDateNext($O486,U$17,"M",TRUE,Currency1))</f>
        <v>0</v>
      </c>
      <c r="V486" s="699">
        <f>IF($O487=0,0,        _xll.qDateNext($O486,V$17,"M",TRUE,Currency1))</f>
        <v>0</v>
      </c>
      <c r="W486" s="699">
        <f>IF($O487=0,0,        _xll.qDateNext($O486,W$17,"M",TRUE,Currency1))</f>
        <v>0</v>
      </c>
      <c r="X486" s="699">
        <f>IF($O487=0,0,        _xll.qDateNext($O486,X$17,"M",TRUE,Currency1))</f>
        <v>0</v>
      </c>
      <c r="Y486" s="699">
        <f>IF($O487=0,0,        _xll.qDateNext($O486,Y$17,"M",TRUE,Currency1))</f>
        <v>0</v>
      </c>
      <c r="Z486" s="703">
        <f>IF($O487=0,0,           IF(FRM,_xll.qGetFwdRate(Z$14,$O486,R486,"T",DCC_Leg1_Float),_xll.qGetFwdRate(Z$14,$O486,$O487,"T",DCC_Leg1_Float)))</f>
        <v>0</v>
      </c>
      <c r="AA486" s="703">
        <f>IF($O487=0,0,           IF(FRM,_xll.qGetFwdRate(AA$14,$O486,S486,"T",DCC_Leg1_Float),_xll.qGetFwdRate(AA$14,$O486,$O487,"T",DCC_Leg1_Float)))</f>
        <v>0</v>
      </c>
      <c r="AB486" s="703">
        <f t="shared" si="101"/>
        <v>0</v>
      </c>
      <c r="AC486" s="703">
        <f>IF($O487=0,0,           IF(FRM,_xll.qGetFwdRate(AC$14,$O486,U486,"T",DCC_Leg1_Float),_xll.qGetFwdRate(AC$14,$O486,$O487,"T",DCC_Leg1_Float)))</f>
        <v>0</v>
      </c>
      <c r="AD486" s="703">
        <f t="shared" si="106"/>
        <v>0</v>
      </c>
      <c r="AE486" s="703">
        <f t="shared" si="107"/>
        <v>0</v>
      </c>
      <c r="AF486" s="703">
        <f>IF($O487=0,0,           IF(FRM,_xll.qGetFwdRate(AF$14,$O486,X486,"T",DCC_Leg1_Float),_xll.qGetFwdRate(AF$14,$O486,$O487,"T",DCC_Leg1_Float)))</f>
        <v>0</v>
      </c>
      <c r="AG486" s="703">
        <f>IF($O487=0,0,           IF(FRM,_xll.qGetFwdRate(AG$14,$O486,Y486,"T",DCC_Leg1_Float),_xll.qGetFwdRate(AG$14,$O486,$O487,"T",DCC_Leg1_Float)))</f>
        <v>0</v>
      </c>
      <c r="AH486" s="685">
        <v>0</v>
      </c>
      <c r="AI486" s="667"/>
      <c r="AJ486" s="670">
        <f>IF(O487=0,0,             IF(ISNUMBER(AI486),AI486,             IF(ISTEXT(AI486),INDEX(Z486:AG486,MATCH(AI486,$Z$17:$AG$17,0)),           IF(AH486="INT",_xll.qInterp(O487,R486:Y486,Z486:AG486),       INDEX(Z486:AG486,MATCH(AH486,$Z$17:$AG$17,0))))))</f>
        <v>0</v>
      </c>
      <c r="AK486" s="732">
        <v>20</v>
      </c>
      <c r="AL486" s="721">
        <f t="shared" si="102"/>
        <v>0</v>
      </c>
      <c r="AM486" s="284">
        <f>IF($O487,_xll.qDateYears($O486,$O487,DCC_Leg1_Fixed),0)</f>
        <v>0</v>
      </c>
      <c r="AN486" s="284">
        <f>IF($O487,_xll.qDateYears($O486,$O487,DCC_Leg1_Float),0)</f>
        <v>0</v>
      </c>
      <c r="AP486" s="350">
        <f t="shared" si="108"/>
        <v>0</v>
      </c>
      <c r="AQ486" s="375">
        <f>IF(GenType_1a="Fixed",GenRate_1a%*$AL485*AM485,          IF(GenType_1a="Float",$AL485*(_xll.qGetFwdRate($D$18,$O485,$O486,"T",DCC_Leg1_Float)%+GenRate_1a%%)*$AN485,        IF(GenType_1a="bp (Fixed)",GenRate_1a%%*$AM485*$AL485,   IF(GenType_1a="bp (Float)",GenRate_1a%%*$AL485*$AN485,0))))</f>
        <v>0</v>
      </c>
      <c r="AR486" s="561"/>
      <c r="AT486" s="341">
        <f t="shared" si="98"/>
        <v>0</v>
      </c>
      <c r="AV486" s="356"/>
      <c r="AW486" s="122">
        <v>0</v>
      </c>
      <c r="AX486" s="128">
        <f t="shared" si="103"/>
        <v>0</v>
      </c>
      <c r="AY486" s="357">
        <v>0</v>
      </c>
      <c r="AZ486" s="699">
        <f>IF($AW487=0,0,        _xll.qDateNext($AW486,AZ$17,"M",TRUE,Currency2))</f>
        <v>0</v>
      </c>
      <c r="BA486" s="699">
        <f>IF($AW487=0,0,        _xll.qDateNext($AW486,BA$17,"M",TRUE,Currency2))</f>
        <v>0</v>
      </c>
      <c r="BB486" s="699">
        <f>IF($AW487=0,0,        _xll.qDateNext($AW486,BB$17,"M",TRUE,Currency2))</f>
        <v>0</v>
      </c>
      <c r="BC486" s="699">
        <f>IF($AW487=0,0,        _xll.qDateNext($AW486,BC$17,"M",TRUE,Currency2))</f>
        <v>0</v>
      </c>
      <c r="BD486" s="699">
        <f>IF($AW487=0,0,        _xll.qDateNext($AW486,BD$17,"M",TRUE,Currency2))</f>
        <v>0</v>
      </c>
      <c r="BE486" s="699">
        <f>IF($AW487=0,0,        _xll.qDateNext($AW486,BE$17,"M",TRUE,Currency2))</f>
        <v>0</v>
      </c>
      <c r="BF486" s="699">
        <f>IF($AW487=0,0,        _xll.qDateNext($AW486,BF$17,"M",TRUE,Currency2))</f>
        <v>0</v>
      </c>
      <c r="BG486" s="699">
        <f>IF($AW487=0,0,        _xll.qDateNext($AW486,BG$17,"M",TRUE,Currency2))</f>
        <v>0</v>
      </c>
      <c r="BH486" s="703">
        <v>0</v>
      </c>
      <c r="BI486" s="703">
        <v>0</v>
      </c>
      <c r="BJ486" s="703">
        <v>0</v>
      </c>
      <c r="BK486" s="703">
        <v>0</v>
      </c>
      <c r="BL486" s="703">
        <f t="shared" si="109"/>
        <v>0</v>
      </c>
      <c r="BM486" s="703">
        <f t="shared" si="110"/>
        <v>0</v>
      </c>
      <c r="BN486" s="703">
        <v>0</v>
      </c>
      <c r="BO486" s="703">
        <v>0</v>
      </c>
      <c r="BP486" s="685">
        <v>0</v>
      </c>
      <c r="BQ486" s="667"/>
      <c r="BR486" s="670">
        <f>IF(AW487=0,0,             IF(ISNUMBER(BQ486),BQ486,             IF(ISTEXT(BQ486),INDEX(BH486:BO486,MATCH(BQ486,$BH$17:$BO$17,0)),           IF(BP486="INT",_xll.qInterp(AW487,AZ486:BG486,BH486:BO486),       INDEX(BH486:BO486,MATCH(BP486,$BH$17:$BO$17,0))))))</f>
        <v>0</v>
      </c>
      <c r="BS486" s="731">
        <f t="shared" si="104"/>
        <v>0</v>
      </c>
      <c r="BT486" s="406">
        <f t="shared" si="105"/>
        <v>0</v>
      </c>
      <c r="BU486" s="284">
        <f>IF($AW487,_xll.qDateYears($AW486,$AW487,DCC_Leg2_Fixed),0)</f>
        <v>0</v>
      </c>
      <c r="BV486" s="284">
        <f>IF($AW487,_xll.qDateYears($AW486,$AW487,DCC_Leg2_Float),0)</f>
        <v>0</v>
      </c>
      <c r="BX486" s="350">
        <f t="shared" si="111"/>
        <v>0</v>
      </c>
      <c r="BY486" s="375">
        <f>IF(GenType_2a="Fixed",GenRate_2a%*$BT485*BU485,          IF(GenType_2a="Float",$BT485*(_xll.qGetFwdRate($J$18,$AW485,$AW486,"T",DCC_Leg2_Float)%+GenRate_2a%%)*$BV485,        IF(GenType_2a="bp (Fixed)",GenRate_2a%%*$BU485*$BT485,   IF(GenType_2a="bp (Float)",GenRate_2a%%*$BT485*$BV485,0))))</f>
        <v>0</v>
      </c>
      <c r="BZ486" s="561"/>
      <c r="CB486" s="341">
        <f t="shared" si="99"/>
        <v>0</v>
      </c>
      <c r="CC486" s="563"/>
      <c r="CD486" s="356"/>
      <c r="CE486" s="341">
        <v>0</v>
      </c>
      <c r="CF486" s="563"/>
      <c r="CG486" s="356"/>
    </row>
    <row r="487" spans="15:85">
      <c r="O487" s="122">
        <v>0</v>
      </c>
      <c r="P487" s="128">
        <f t="shared" si="100"/>
        <v>0</v>
      </c>
      <c r="Q487" s="126">
        <v>0</v>
      </c>
      <c r="R487" s="699">
        <f>IF($O488=0,0,        _xll.qDateNext($O487,R$17,"M",TRUE,Currency1))</f>
        <v>0</v>
      </c>
      <c r="S487" s="699">
        <f>IF($O488=0,0,        _xll.qDateNext($O487,S$17,"M",TRUE,Currency1))</f>
        <v>0</v>
      </c>
      <c r="T487" s="699">
        <f>IF($O488=0,0,        _xll.qDateNext($O487,T$17,"M",TRUE,Currency1))</f>
        <v>0</v>
      </c>
      <c r="U487" s="699">
        <f>IF($O488=0,0,        _xll.qDateNext($O487,U$17,"M",TRUE,Currency1))</f>
        <v>0</v>
      </c>
      <c r="V487" s="699">
        <f>IF($O488=0,0,        _xll.qDateNext($O487,V$17,"M",TRUE,Currency1))</f>
        <v>0</v>
      </c>
      <c r="W487" s="699">
        <f>IF($O488=0,0,        _xll.qDateNext($O487,W$17,"M",TRUE,Currency1))</f>
        <v>0</v>
      </c>
      <c r="X487" s="699">
        <f>IF($O488=0,0,        _xll.qDateNext($O487,X$17,"M",TRUE,Currency1))</f>
        <v>0</v>
      </c>
      <c r="Y487" s="699">
        <f>IF($O488=0,0,        _xll.qDateNext($O487,Y$17,"M",TRUE,Currency1))</f>
        <v>0</v>
      </c>
      <c r="Z487" s="703">
        <f>IF($O488=0,0,           IF(FRM,_xll.qGetFwdRate(Z$14,$O487,R487,"T",DCC_Leg1_Float),_xll.qGetFwdRate(Z$14,$O487,$O488,"T",DCC_Leg1_Float)))</f>
        <v>0</v>
      </c>
      <c r="AA487" s="703">
        <f>IF($O488=0,0,           IF(FRM,_xll.qGetFwdRate(AA$14,$O487,S487,"T",DCC_Leg1_Float),_xll.qGetFwdRate(AA$14,$O487,$O488,"T",DCC_Leg1_Float)))</f>
        <v>0</v>
      </c>
      <c r="AB487" s="703">
        <f t="shared" si="101"/>
        <v>0</v>
      </c>
      <c r="AC487" s="703">
        <f>IF($O488=0,0,           IF(FRM,_xll.qGetFwdRate(AC$14,$O487,U487,"T",DCC_Leg1_Float),_xll.qGetFwdRate(AC$14,$O487,$O488,"T",DCC_Leg1_Float)))</f>
        <v>0</v>
      </c>
      <c r="AD487" s="703">
        <f t="shared" si="106"/>
        <v>0</v>
      </c>
      <c r="AE487" s="703">
        <f t="shared" si="107"/>
        <v>0</v>
      </c>
      <c r="AF487" s="703">
        <f>IF($O488=0,0,           IF(FRM,_xll.qGetFwdRate(AF$14,$O487,X487,"T",DCC_Leg1_Float),_xll.qGetFwdRate(AF$14,$O487,$O488,"T",DCC_Leg1_Float)))</f>
        <v>0</v>
      </c>
      <c r="AG487" s="703">
        <f>IF($O488=0,0,           IF(FRM,_xll.qGetFwdRate(AG$14,$O487,Y487,"T",DCC_Leg1_Float),_xll.qGetFwdRate(AG$14,$O487,$O488,"T",DCC_Leg1_Float)))</f>
        <v>0</v>
      </c>
      <c r="AH487" s="685">
        <v>0</v>
      </c>
      <c r="AI487" s="667"/>
      <c r="AJ487" s="670">
        <f>IF(O488=0,0,             IF(ISNUMBER(AI487),AI487,             IF(ISTEXT(AI487),INDEX(Z487:AG487,MATCH(AI487,$Z$17:$AG$17,0)),           IF(AH487="INT",_xll.qInterp(O488,R487:Y487,Z487:AG487),       INDEX(Z487:AG487,MATCH(AH487,$Z$17:$AG$17,0))))))</f>
        <v>0</v>
      </c>
      <c r="AK487" s="732">
        <v>20</v>
      </c>
      <c r="AL487" s="721">
        <f t="shared" si="102"/>
        <v>0</v>
      </c>
      <c r="AM487" s="284">
        <f>IF($O488,_xll.qDateYears($O487,$O488,DCC_Leg1_Fixed),0)</f>
        <v>0</v>
      </c>
      <c r="AN487" s="284">
        <f>IF($O488,_xll.qDateYears($O487,$O488,DCC_Leg1_Float),0)</f>
        <v>0</v>
      </c>
      <c r="AP487" s="350">
        <f t="shared" si="108"/>
        <v>0</v>
      </c>
      <c r="AQ487" s="375">
        <f>IF(GenType_1a="Fixed",GenRate_1a%*$AL486*AM486,          IF(GenType_1a="Float",$AL486*(_xll.qGetFwdRate($D$18,$O486,$O487,"T",DCC_Leg1_Float)%+GenRate_1a%%)*$AN486,        IF(GenType_1a="bp (Fixed)",GenRate_1a%%*$AM486*$AL486,   IF(GenType_1a="bp (Float)",GenRate_1a%%*$AL486*$AN486,0))))</f>
        <v>0</v>
      </c>
      <c r="AR487" s="561"/>
      <c r="AT487" s="341">
        <f t="shared" si="98"/>
        <v>0</v>
      </c>
      <c r="AV487" s="356"/>
      <c r="AW487" s="122">
        <v>0</v>
      </c>
      <c r="AX487" s="128">
        <f t="shared" si="103"/>
        <v>0</v>
      </c>
      <c r="AY487" s="357">
        <v>0</v>
      </c>
      <c r="AZ487" s="699">
        <f>IF($AW488=0,0,        _xll.qDateNext($AW487,AZ$17,"M",TRUE,Currency2))</f>
        <v>0</v>
      </c>
      <c r="BA487" s="699">
        <f>IF($AW488=0,0,        _xll.qDateNext($AW487,BA$17,"M",TRUE,Currency2))</f>
        <v>0</v>
      </c>
      <c r="BB487" s="699">
        <f>IF($AW488=0,0,        _xll.qDateNext($AW487,BB$17,"M",TRUE,Currency2))</f>
        <v>0</v>
      </c>
      <c r="BC487" s="699">
        <f>IF($AW488=0,0,        _xll.qDateNext($AW487,BC$17,"M",TRUE,Currency2))</f>
        <v>0</v>
      </c>
      <c r="BD487" s="699">
        <f>IF($AW488=0,0,        _xll.qDateNext($AW487,BD$17,"M",TRUE,Currency2))</f>
        <v>0</v>
      </c>
      <c r="BE487" s="699">
        <f>IF($AW488=0,0,        _xll.qDateNext($AW487,BE$17,"M",TRUE,Currency2))</f>
        <v>0</v>
      </c>
      <c r="BF487" s="699">
        <f>IF($AW488=0,0,        _xll.qDateNext($AW487,BF$17,"M",TRUE,Currency2))</f>
        <v>0</v>
      </c>
      <c r="BG487" s="699">
        <f>IF($AW488=0,0,        _xll.qDateNext($AW487,BG$17,"M",TRUE,Currency2))</f>
        <v>0</v>
      </c>
      <c r="BH487" s="703">
        <v>0</v>
      </c>
      <c r="BI487" s="703">
        <v>0</v>
      </c>
      <c r="BJ487" s="703">
        <v>0</v>
      </c>
      <c r="BK487" s="703">
        <v>0</v>
      </c>
      <c r="BL487" s="703">
        <f t="shared" si="109"/>
        <v>0</v>
      </c>
      <c r="BM487" s="703">
        <f t="shared" si="110"/>
        <v>0</v>
      </c>
      <c r="BN487" s="703">
        <v>0</v>
      </c>
      <c r="BO487" s="703">
        <v>0</v>
      </c>
      <c r="BP487" s="685">
        <v>0</v>
      </c>
      <c r="BQ487" s="667"/>
      <c r="BR487" s="670">
        <f>IF(AW488=0,0,             IF(ISNUMBER(BQ487),BQ487,             IF(ISTEXT(BQ487),INDEX(BH487:BO487,MATCH(BQ487,$BH$17:$BO$17,0)),           IF(BP487="INT",_xll.qInterp(AW488,AZ487:BG487,BH487:BO487),       INDEX(BH487:BO487,MATCH(BP487,$BH$17:$BO$17,0))))))</f>
        <v>0</v>
      </c>
      <c r="BS487" s="731">
        <f t="shared" si="104"/>
        <v>0</v>
      </c>
      <c r="BT487" s="406">
        <f t="shared" si="105"/>
        <v>0</v>
      </c>
      <c r="BU487" s="284">
        <f>IF($AW488,_xll.qDateYears($AW487,$AW488,DCC_Leg2_Fixed),0)</f>
        <v>0</v>
      </c>
      <c r="BV487" s="284">
        <f>IF($AW488,_xll.qDateYears($AW487,$AW488,DCC_Leg2_Float),0)</f>
        <v>0</v>
      </c>
      <c r="BX487" s="350">
        <f t="shared" si="111"/>
        <v>0</v>
      </c>
      <c r="BY487" s="375">
        <f>IF(GenType_2a="Fixed",GenRate_2a%*$BT486*BU486,          IF(GenType_2a="Float",$BT486*(_xll.qGetFwdRate($J$18,$AW486,$AW487,"T",DCC_Leg2_Float)%+GenRate_2a%%)*$BV486,        IF(GenType_2a="bp (Fixed)",GenRate_2a%%*$BU486*$BT486,   IF(GenType_2a="bp (Float)",GenRate_2a%%*$BT486*$BV486,0))))</f>
        <v>0</v>
      </c>
      <c r="BZ487" s="561"/>
      <c r="CB487" s="341">
        <f t="shared" si="99"/>
        <v>0</v>
      </c>
      <c r="CC487" s="563"/>
      <c r="CD487" s="356"/>
      <c r="CE487" s="341">
        <v>0</v>
      </c>
      <c r="CF487" s="563"/>
      <c r="CG487" s="356"/>
    </row>
    <row r="488" spans="15:85">
      <c r="O488" s="122">
        <v>0</v>
      </c>
      <c r="P488" s="128">
        <f t="shared" si="100"/>
        <v>0</v>
      </c>
      <c r="Q488" s="126">
        <v>0</v>
      </c>
      <c r="R488" s="699">
        <f>IF($O489=0,0,        _xll.qDateNext($O488,R$17,"M",TRUE,Currency1))</f>
        <v>0</v>
      </c>
      <c r="S488" s="699">
        <f>IF($O489=0,0,        _xll.qDateNext($O488,S$17,"M",TRUE,Currency1))</f>
        <v>0</v>
      </c>
      <c r="T488" s="699">
        <f>IF($O489=0,0,        _xll.qDateNext($O488,T$17,"M",TRUE,Currency1))</f>
        <v>0</v>
      </c>
      <c r="U488" s="699">
        <f>IF($O489=0,0,        _xll.qDateNext($O488,U$17,"M",TRUE,Currency1))</f>
        <v>0</v>
      </c>
      <c r="V488" s="699">
        <f>IF($O489=0,0,        _xll.qDateNext($O488,V$17,"M",TRUE,Currency1))</f>
        <v>0</v>
      </c>
      <c r="W488" s="699">
        <f>IF($O489=0,0,        _xll.qDateNext($O488,W$17,"M",TRUE,Currency1))</f>
        <v>0</v>
      </c>
      <c r="X488" s="699">
        <f>IF($O489=0,0,        _xll.qDateNext($O488,X$17,"M",TRUE,Currency1))</f>
        <v>0</v>
      </c>
      <c r="Y488" s="699">
        <f>IF($O489=0,0,        _xll.qDateNext($O488,Y$17,"M",TRUE,Currency1))</f>
        <v>0</v>
      </c>
      <c r="Z488" s="703">
        <f>IF($O489=0,0,           IF(FRM,_xll.qGetFwdRate(Z$14,$O488,R488,"T",DCC_Leg1_Float),_xll.qGetFwdRate(Z$14,$O488,$O489,"T",DCC_Leg1_Float)))</f>
        <v>0</v>
      </c>
      <c r="AA488" s="703">
        <f>IF($O489=0,0,           IF(FRM,_xll.qGetFwdRate(AA$14,$O488,S488,"T",DCC_Leg1_Float),_xll.qGetFwdRate(AA$14,$O488,$O489,"T",DCC_Leg1_Float)))</f>
        <v>0</v>
      </c>
      <c r="AB488" s="703">
        <f t="shared" si="101"/>
        <v>0</v>
      </c>
      <c r="AC488" s="703">
        <f>IF($O489=0,0,           IF(FRM,_xll.qGetFwdRate(AC$14,$O488,U488,"T",DCC_Leg1_Float),_xll.qGetFwdRate(AC$14,$O488,$O489,"T",DCC_Leg1_Float)))</f>
        <v>0</v>
      </c>
      <c r="AD488" s="703">
        <f t="shared" si="106"/>
        <v>0</v>
      </c>
      <c r="AE488" s="703">
        <f t="shared" si="107"/>
        <v>0</v>
      </c>
      <c r="AF488" s="703">
        <f>IF($O489=0,0,           IF(FRM,_xll.qGetFwdRate(AF$14,$O488,X488,"T",DCC_Leg1_Float),_xll.qGetFwdRate(AF$14,$O488,$O489,"T",DCC_Leg1_Float)))</f>
        <v>0</v>
      </c>
      <c r="AG488" s="703">
        <f>IF($O489=0,0,           IF(FRM,_xll.qGetFwdRate(AG$14,$O488,Y488,"T",DCC_Leg1_Float),_xll.qGetFwdRate(AG$14,$O488,$O489,"T",DCC_Leg1_Float)))</f>
        <v>0</v>
      </c>
      <c r="AH488" s="685">
        <v>0</v>
      </c>
      <c r="AI488" s="667"/>
      <c r="AJ488" s="670">
        <f>IF(O489=0,0,             IF(ISNUMBER(AI488),AI488,             IF(ISTEXT(AI488),INDEX(Z488:AG488,MATCH(AI488,$Z$17:$AG$17,0)),           IF(AH488="INT",_xll.qInterp(O489,R488:Y488,Z488:AG488),       INDEX(Z488:AG488,MATCH(AH488,$Z$17:$AG$17,0))))))</f>
        <v>0</v>
      </c>
      <c r="AK488" s="732">
        <v>20</v>
      </c>
      <c r="AL488" s="721">
        <f t="shared" si="102"/>
        <v>0</v>
      </c>
      <c r="AM488" s="284">
        <f>IF($O489,_xll.qDateYears($O488,$O489,DCC_Leg1_Fixed),0)</f>
        <v>0</v>
      </c>
      <c r="AN488" s="284">
        <f>IF($O489,_xll.qDateYears($O488,$O489,DCC_Leg1_Float),0)</f>
        <v>0</v>
      </c>
      <c r="AP488" s="350">
        <f t="shared" si="108"/>
        <v>0</v>
      </c>
      <c r="AQ488" s="375">
        <f>IF(GenType_1a="Fixed",GenRate_1a%*$AL487*AM487,          IF(GenType_1a="Float",$AL487*(_xll.qGetFwdRate($D$18,$O487,$O488,"T",DCC_Leg1_Float)%+GenRate_1a%%)*$AN487,        IF(GenType_1a="bp (Fixed)",GenRate_1a%%*$AM487*$AL487,   IF(GenType_1a="bp (Float)",GenRate_1a%%*$AL487*$AN487,0))))</f>
        <v>0</v>
      </c>
      <c r="AR488" s="561"/>
      <c r="AT488" s="341">
        <f t="shared" ref="AT488:AT517" si="112">SUM(AP488:AR488)</f>
        <v>0</v>
      </c>
      <c r="AV488" s="356"/>
      <c r="AW488" s="122">
        <v>0</v>
      </c>
      <c r="AX488" s="128">
        <f t="shared" si="103"/>
        <v>0</v>
      </c>
      <c r="AY488" s="357">
        <v>0</v>
      </c>
      <c r="AZ488" s="699">
        <f>IF($AW489=0,0,        _xll.qDateNext($AW488,AZ$17,"M",TRUE,Currency2))</f>
        <v>0</v>
      </c>
      <c r="BA488" s="699">
        <f>IF($AW489=0,0,        _xll.qDateNext($AW488,BA$17,"M",TRUE,Currency2))</f>
        <v>0</v>
      </c>
      <c r="BB488" s="699">
        <f>IF($AW489=0,0,        _xll.qDateNext($AW488,BB$17,"M",TRUE,Currency2))</f>
        <v>0</v>
      </c>
      <c r="BC488" s="699">
        <f>IF($AW489=0,0,        _xll.qDateNext($AW488,BC$17,"M",TRUE,Currency2))</f>
        <v>0</v>
      </c>
      <c r="BD488" s="699">
        <f>IF($AW489=0,0,        _xll.qDateNext($AW488,BD$17,"M",TRUE,Currency2))</f>
        <v>0</v>
      </c>
      <c r="BE488" s="699">
        <f>IF($AW489=0,0,        _xll.qDateNext($AW488,BE$17,"M",TRUE,Currency2))</f>
        <v>0</v>
      </c>
      <c r="BF488" s="699">
        <f>IF($AW489=0,0,        _xll.qDateNext($AW488,BF$17,"M",TRUE,Currency2))</f>
        <v>0</v>
      </c>
      <c r="BG488" s="699">
        <f>IF($AW489=0,0,        _xll.qDateNext($AW488,BG$17,"M",TRUE,Currency2))</f>
        <v>0</v>
      </c>
      <c r="BH488" s="703">
        <v>0</v>
      </c>
      <c r="BI488" s="703">
        <v>0</v>
      </c>
      <c r="BJ488" s="703">
        <v>0</v>
      </c>
      <c r="BK488" s="703">
        <v>0</v>
      </c>
      <c r="BL488" s="703">
        <f t="shared" si="109"/>
        <v>0</v>
      </c>
      <c r="BM488" s="703">
        <f t="shared" si="110"/>
        <v>0</v>
      </c>
      <c r="BN488" s="703">
        <v>0</v>
      </c>
      <c r="BO488" s="703">
        <v>0</v>
      </c>
      <c r="BP488" s="685">
        <v>0</v>
      </c>
      <c r="BQ488" s="667"/>
      <c r="BR488" s="670">
        <f>IF(AW489=0,0,             IF(ISNUMBER(BQ488),BQ488,             IF(ISTEXT(BQ488),INDEX(BH488:BO488,MATCH(BQ488,$BH$17:$BO$17,0)),           IF(BP488="INT",_xll.qInterp(AW489,AZ488:BG488,BH488:BO488),       INDEX(BH488:BO488,MATCH(BP488,$BH$17:$BO$17,0))))))</f>
        <v>0</v>
      </c>
      <c r="BS488" s="731">
        <f t="shared" si="104"/>
        <v>0</v>
      </c>
      <c r="BT488" s="406">
        <f t="shared" si="105"/>
        <v>0</v>
      </c>
      <c r="BU488" s="284">
        <f>IF($AW489,_xll.qDateYears($AW488,$AW489,DCC_Leg2_Fixed),0)</f>
        <v>0</v>
      </c>
      <c r="BV488" s="284">
        <f>IF($AW489,_xll.qDateYears($AW488,$AW489,DCC_Leg2_Float),0)</f>
        <v>0</v>
      </c>
      <c r="BX488" s="350">
        <f t="shared" si="111"/>
        <v>0</v>
      </c>
      <c r="BY488" s="375">
        <f>IF(GenType_2a="Fixed",GenRate_2a%*$BT487*BU487,          IF(GenType_2a="Float",$BT487*(_xll.qGetFwdRate($J$18,$AW487,$AW488,"T",DCC_Leg2_Float)%+GenRate_2a%%)*$BV487,        IF(GenType_2a="bp (Fixed)",GenRate_2a%%*$BU487*$BT487,   IF(GenType_2a="bp (Float)",GenRate_2a%%*$BT487*$BV487,0))))</f>
        <v>0</v>
      </c>
      <c r="BZ488" s="561"/>
      <c r="CB488" s="341">
        <f t="shared" si="99"/>
        <v>0</v>
      </c>
      <c r="CC488" s="563"/>
      <c r="CD488" s="356"/>
      <c r="CE488" s="341">
        <v>0</v>
      </c>
      <c r="CF488" s="563"/>
      <c r="CG488" s="356"/>
    </row>
    <row r="489" spans="15:85">
      <c r="O489" s="122">
        <v>0</v>
      </c>
      <c r="P489" s="128">
        <f t="shared" si="100"/>
        <v>0</v>
      </c>
      <c r="Q489" s="126">
        <v>0</v>
      </c>
      <c r="R489" s="699">
        <f>IF($O490=0,0,        _xll.qDateNext($O489,R$17,"M",TRUE,Currency1))</f>
        <v>0</v>
      </c>
      <c r="S489" s="699">
        <f>IF($O490=0,0,        _xll.qDateNext($O489,S$17,"M",TRUE,Currency1))</f>
        <v>0</v>
      </c>
      <c r="T489" s="699">
        <f>IF($O490=0,0,        _xll.qDateNext($O489,T$17,"M",TRUE,Currency1))</f>
        <v>0</v>
      </c>
      <c r="U489" s="699">
        <f>IF($O490=0,0,        _xll.qDateNext($O489,U$17,"M",TRUE,Currency1))</f>
        <v>0</v>
      </c>
      <c r="V489" s="699">
        <f>IF($O490=0,0,        _xll.qDateNext($O489,V$17,"M",TRUE,Currency1))</f>
        <v>0</v>
      </c>
      <c r="W489" s="699">
        <f>IF($O490=0,0,        _xll.qDateNext($O489,W$17,"M",TRUE,Currency1))</f>
        <v>0</v>
      </c>
      <c r="X489" s="699">
        <f>IF($O490=0,0,        _xll.qDateNext($O489,X$17,"M",TRUE,Currency1))</f>
        <v>0</v>
      </c>
      <c r="Y489" s="699">
        <f>IF($O490=0,0,        _xll.qDateNext($O489,Y$17,"M",TRUE,Currency1))</f>
        <v>0</v>
      </c>
      <c r="Z489" s="703">
        <f>IF($O490=0,0,           IF(FRM,_xll.qGetFwdRate(Z$14,$O489,R489,"T",DCC_Leg1_Float),_xll.qGetFwdRate(Z$14,$O489,$O490,"T",DCC_Leg1_Float)))</f>
        <v>0</v>
      </c>
      <c r="AA489" s="703">
        <f>IF($O490=0,0,           IF(FRM,_xll.qGetFwdRate(AA$14,$O489,S489,"T",DCC_Leg1_Float),_xll.qGetFwdRate(AA$14,$O489,$O490,"T",DCC_Leg1_Float)))</f>
        <v>0</v>
      </c>
      <c r="AB489" s="703">
        <f t="shared" si="101"/>
        <v>0</v>
      </c>
      <c r="AC489" s="703">
        <f>IF($O490=0,0,           IF(FRM,_xll.qGetFwdRate(AC$14,$O489,U489,"T",DCC_Leg1_Float),_xll.qGetFwdRate(AC$14,$O489,$O490,"T",DCC_Leg1_Float)))</f>
        <v>0</v>
      </c>
      <c r="AD489" s="703">
        <f t="shared" si="106"/>
        <v>0</v>
      </c>
      <c r="AE489" s="703">
        <f t="shared" si="107"/>
        <v>0</v>
      </c>
      <c r="AF489" s="703">
        <f>IF($O490=0,0,           IF(FRM,_xll.qGetFwdRate(AF$14,$O489,X489,"T",DCC_Leg1_Float),_xll.qGetFwdRate(AF$14,$O489,$O490,"T",DCC_Leg1_Float)))</f>
        <v>0</v>
      </c>
      <c r="AG489" s="703">
        <f>IF($O490=0,0,           IF(FRM,_xll.qGetFwdRate(AG$14,$O489,Y489,"T",DCC_Leg1_Float),_xll.qGetFwdRate(AG$14,$O489,$O490,"T",DCC_Leg1_Float)))</f>
        <v>0</v>
      </c>
      <c r="AH489" s="685">
        <v>0</v>
      </c>
      <c r="AI489" s="667"/>
      <c r="AJ489" s="670">
        <f>IF(O490=0,0,             IF(ISNUMBER(AI489),AI489,             IF(ISTEXT(AI489),INDEX(Z489:AG489,MATCH(AI489,$Z$17:$AG$17,0)),           IF(AH489="INT",_xll.qInterp(O490,R489:Y489,Z489:AG489),       INDEX(Z489:AG489,MATCH(AH489,$Z$17:$AG$17,0))))))</f>
        <v>0</v>
      </c>
      <c r="AK489" s="732">
        <v>20</v>
      </c>
      <c r="AL489" s="721">
        <f t="shared" si="102"/>
        <v>0</v>
      </c>
      <c r="AM489" s="284">
        <f>IF($O490,_xll.qDateYears($O489,$O490,DCC_Leg1_Fixed),0)</f>
        <v>0</v>
      </c>
      <c r="AN489" s="284">
        <f>IF($O490,_xll.qDateYears($O489,$O490,DCC_Leg1_Float),0)</f>
        <v>0</v>
      </c>
      <c r="AP489" s="350">
        <f t="shared" si="108"/>
        <v>0</v>
      </c>
      <c r="AQ489" s="375">
        <f>IF(GenType_1a="Fixed",GenRate_1a%*$AL488*AM488,          IF(GenType_1a="Float",$AL488*(_xll.qGetFwdRate($D$18,$O488,$O489,"T",DCC_Leg1_Float)%+GenRate_1a%%)*$AN488,        IF(GenType_1a="bp (Fixed)",GenRate_1a%%*$AM488*$AL488,   IF(GenType_1a="bp (Float)",GenRate_1a%%*$AL488*$AN488,0))))</f>
        <v>0</v>
      </c>
      <c r="AR489" s="561"/>
      <c r="AT489" s="341">
        <f t="shared" si="112"/>
        <v>0</v>
      </c>
      <c r="AV489" s="356"/>
      <c r="AW489" s="122">
        <v>0</v>
      </c>
      <c r="AX489" s="128">
        <f t="shared" si="103"/>
        <v>0</v>
      </c>
      <c r="AY489" s="357">
        <v>0</v>
      </c>
      <c r="AZ489" s="699">
        <f>IF($AW490=0,0,        _xll.qDateNext($AW489,AZ$17,"M",TRUE,Currency2))</f>
        <v>0</v>
      </c>
      <c r="BA489" s="699">
        <f>IF($AW490=0,0,        _xll.qDateNext($AW489,BA$17,"M",TRUE,Currency2))</f>
        <v>0</v>
      </c>
      <c r="BB489" s="699">
        <f>IF($AW490=0,0,        _xll.qDateNext($AW489,BB$17,"M",TRUE,Currency2))</f>
        <v>0</v>
      </c>
      <c r="BC489" s="699">
        <f>IF($AW490=0,0,        _xll.qDateNext($AW489,BC$17,"M",TRUE,Currency2))</f>
        <v>0</v>
      </c>
      <c r="BD489" s="699">
        <f>IF($AW490=0,0,        _xll.qDateNext($AW489,BD$17,"M",TRUE,Currency2))</f>
        <v>0</v>
      </c>
      <c r="BE489" s="699">
        <f>IF($AW490=0,0,        _xll.qDateNext($AW489,BE$17,"M",TRUE,Currency2))</f>
        <v>0</v>
      </c>
      <c r="BF489" s="699">
        <f>IF($AW490=0,0,        _xll.qDateNext($AW489,BF$17,"M",TRUE,Currency2))</f>
        <v>0</v>
      </c>
      <c r="BG489" s="699">
        <f>IF($AW490=0,0,        _xll.qDateNext($AW489,BG$17,"M",TRUE,Currency2))</f>
        <v>0</v>
      </c>
      <c r="BH489" s="703">
        <v>0</v>
      </c>
      <c r="BI489" s="703">
        <v>0</v>
      </c>
      <c r="BJ489" s="703">
        <v>0</v>
      </c>
      <c r="BK489" s="703">
        <v>0</v>
      </c>
      <c r="BL489" s="703">
        <f t="shared" si="109"/>
        <v>0</v>
      </c>
      <c r="BM489" s="703">
        <f t="shared" si="110"/>
        <v>0</v>
      </c>
      <c r="BN489" s="703">
        <v>0</v>
      </c>
      <c r="BO489" s="703">
        <v>0</v>
      </c>
      <c r="BP489" s="685">
        <v>0</v>
      </c>
      <c r="BQ489" s="667"/>
      <c r="BR489" s="670">
        <f>IF(AW490=0,0,             IF(ISNUMBER(BQ489),BQ489,             IF(ISTEXT(BQ489),INDEX(BH489:BO489,MATCH(BQ489,$BH$17:$BO$17,0)),           IF(BP489="INT",_xll.qInterp(AW490,AZ489:BG489,BH489:BO489),       INDEX(BH489:BO489,MATCH(BP489,$BH$17:$BO$17,0))))))</f>
        <v>0</v>
      </c>
      <c r="BS489" s="731">
        <f t="shared" si="104"/>
        <v>0</v>
      </c>
      <c r="BT489" s="406">
        <f t="shared" si="105"/>
        <v>0</v>
      </c>
      <c r="BU489" s="284">
        <f>IF($AW490,_xll.qDateYears($AW489,$AW490,DCC_Leg2_Fixed),0)</f>
        <v>0</v>
      </c>
      <c r="BV489" s="284">
        <f>IF($AW490,_xll.qDateYears($AW489,$AW490,DCC_Leg2_Float),0)</f>
        <v>0</v>
      </c>
      <c r="BX489" s="350">
        <f t="shared" si="111"/>
        <v>0</v>
      </c>
      <c r="BY489" s="375">
        <f>IF(GenType_2a="Fixed",GenRate_2a%*$BT488*BU488,          IF(GenType_2a="Float",$BT488*(_xll.qGetFwdRate($J$18,$AW488,$AW489,"T",DCC_Leg2_Float)%+GenRate_2a%%)*$BV488,        IF(GenType_2a="bp (Fixed)",GenRate_2a%%*$BU488*$BT488,   IF(GenType_2a="bp (Float)",GenRate_2a%%*$BT488*$BV488,0))))</f>
        <v>0</v>
      </c>
      <c r="BZ489" s="561"/>
      <c r="CB489" s="341">
        <f t="shared" ref="CB489:CB517" si="113">SUM(BX489:BZ489)</f>
        <v>0</v>
      </c>
      <c r="CC489" s="563"/>
      <c r="CD489" s="356"/>
      <c r="CE489" s="341">
        <v>0</v>
      </c>
      <c r="CF489" s="563"/>
      <c r="CG489" s="356"/>
    </row>
    <row r="490" spans="15:85">
      <c r="O490" s="122">
        <v>0</v>
      </c>
      <c r="P490" s="128">
        <f t="shared" si="100"/>
        <v>0</v>
      </c>
      <c r="Q490" s="126">
        <v>0</v>
      </c>
      <c r="R490" s="699">
        <f>IF($O491=0,0,        _xll.qDateNext($O490,R$17,"M",TRUE,Currency1))</f>
        <v>0</v>
      </c>
      <c r="S490" s="699">
        <f>IF($O491=0,0,        _xll.qDateNext($O490,S$17,"M",TRUE,Currency1))</f>
        <v>0</v>
      </c>
      <c r="T490" s="699">
        <f>IF($O491=0,0,        _xll.qDateNext($O490,T$17,"M",TRUE,Currency1))</f>
        <v>0</v>
      </c>
      <c r="U490" s="699">
        <f>IF($O491=0,0,        _xll.qDateNext($O490,U$17,"M",TRUE,Currency1))</f>
        <v>0</v>
      </c>
      <c r="V490" s="699">
        <f>IF($O491=0,0,        _xll.qDateNext($O490,V$17,"M",TRUE,Currency1))</f>
        <v>0</v>
      </c>
      <c r="W490" s="699">
        <f>IF($O491=0,0,        _xll.qDateNext($O490,W$17,"M",TRUE,Currency1))</f>
        <v>0</v>
      </c>
      <c r="X490" s="699">
        <f>IF($O491=0,0,        _xll.qDateNext($O490,X$17,"M",TRUE,Currency1))</f>
        <v>0</v>
      </c>
      <c r="Y490" s="699">
        <f>IF($O491=0,0,        _xll.qDateNext($O490,Y$17,"M",TRUE,Currency1))</f>
        <v>0</v>
      </c>
      <c r="Z490" s="703">
        <f>IF($O491=0,0,           IF(FRM,_xll.qGetFwdRate(Z$14,$O490,R490,"T",DCC_Leg1_Float),_xll.qGetFwdRate(Z$14,$O490,$O491,"T",DCC_Leg1_Float)))</f>
        <v>0</v>
      </c>
      <c r="AA490" s="703">
        <f>IF($O491=0,0,           IF(FRM,_xll.qGetFwdRate(AA$14,$O490,S490,"T",DCC_Leg1_Float),_xll.qGetFwdRate(AA$14,$O490,$O491,"T",DCC_Leg1_Float)))</f>
        <v>0</v>
      </c>
      <c r="AB490" s="703">
        <f t="shared" si="101"/>
        <v>0</v>
      </c>
      <c r="AC490" s="703">
        <f>IF($O491=0,0,           IF(FRM,_xll.qGetFwdRate(AC$14,$O490,U490,"T",DCC_Leg1_Float),_xll.qGetFwdRate(AC$14,$O490,$O491,"T",DCC_Leg1_Float)))</f>
        <v>0</v>
      </c>
      <c r="AD490" s="703">
        <f t="shared" si="106"/>
        <v>0</v>
      </c>
      <c r="AE490" s="703">
        <f t="shared" si="107"/>
        <v>0</v>
      </c>
      <c r="AF490" s="703">
        <f>IF($O491=0,0,           IF(FRM,_xll.qGetFwdRate(AF$14,$O490,X490,"T",DCC_Leg1_Float),_xll.qGetFwdRate(AF$14,$O490,$O491,"T",DCC_Leg1_Float)))</f>
        <v>0</v>
      </c>
      <c r="AG490" s="703">
        <f>IF($O491=0,0,           IF(FRM,_xll.qGetFwdRate(AG$14,$O490,Y490,"T",DCC_Leg1_Float),_xll.qGetFwdRate(AG$14,$O490,$O491,"T",DCC_Leg1_Float)))</f>
        <v>0</v>
      </c>
      <c r="AH490" s="685">
        <v>0</v>
      </c>
      <c r="AI490" s="667"/>
      <c r="AJ490" s="670">
        <f>IF(O491=0,0,             IF(ISNUMBER(AI490),AI490,             IF(ISTEXT(AI490),INDEX(Z490:AG490,MATCH(AI490,$Z$17:$AG$17,0)),           IF(AH490="INT",_xll.qInterp(O491,R490:Y490,Z490:AG490),       INDEX(Z490:AG490,MATCH(AH490,$Z$17:$AG$17,0))))))</f>
        <v>0</v>
      </c>
      <c r="AK490" s="732">
        <v>20</v>
      </c>
      <c r="AL490" s="721">
        <f t="shared" si="102"/>
        <v>0</v>
      </c>
      <c r="AM490" s="284">
        <f>IF($O491,_xll.qDateYears($O490,$O491,DCC_Leg1_Fixed),0)</f>
        <v>0</v>
      </c>
      <c r="AN490" s="284">
        <f>IF($O491,_xll.qDateYears($O490,$O491,DCC_Leg1_Float),0)</f>
        <v>0</v>
      </c>
      <c r="AP490" s="350">
        <f t="shared" si="108"/>
        <v>0</v>
      </c>
      <c r="AQ490" s="375">
        <f>IF(GenType_1a="Fixed",GenRate_1a%*$AL489*AM489,          IF(GenType_1a="Float",$AL489*(_xll.qGetFwdRate($D$18,$O489,$O490,"T",DCC_Leg1_Float)%+GenRate_1a%%)*$AN489,        IF(GenType_1a="bp (Fixed)",GenRate_1a%%*$AM489*$AL489,   IF(GenType_1a="bp (Float)",GenRate_1a%%*$AL489*$AN489,0))))</f>
        <v>0</v>
      </c>
      <c r="AR490" s="561"/>
      <c r="AT490" s="341">
        <f t="shared" si="112"/>
        <v>0</v>
      </c>
      <c r="AV490" s="356"/>
      <c r="AW490" s="122">
        <v>0</v>
      </c>
      <c r="AX490" s="128">
        <f t="shared" si="103"/>
        <v>0</v>
      </c>
      <c r="AY490" s="357">
        <v>0</v>
      </c>
      <c r="AZ490" s="699">
        <f>IF($AW491=0,0,        _xll.qDateNext($AW490,AZ$17,"M",TRUE,Currency2))</f>
        <v>0</v>
      </c>
      <c r="BA490" s="699">
        <f>IF($AW491=0,0,        _xll.qDateNext($AW490,BA$17,"M",TRUE,Currency2))</f>
        <v>0</v>
      </c>
      <c r="BB490" s="699">
        <f>IF($AW491=0,0,        _xll.qDateNext($AW490,BB$17,"M",TRUE,Currency2))</f>
        <v>0</v>
      </c>
      <c r="BC490" s="699">
        <f>IF($AW491=0,0,        _xll.qDateNext($AW490,BC$17,"M",TRUE,Currency2))</f>
        <v>0</v>
      </c>
      <c r="BD490" s="699">
        <f>IF($AW491=0,0,        _xll.qDateNext($AW490,BD$17,"M",TRUE,Currency2))</f>
        <v>0</v>
      </c>
      <c r="BE490" s="699">
        <f>IF($AW491=0,0,        _xll.qDateNext($AW490,BE$17,"M",TRUE,Currency2))</f>
        <v>0</v>
      </c>
      <c r="BF490" s="699">
        <f>IF($AW491=0,0,        _xll.qDateNext($AW490,BF$17,"M",TRUE,Currency2))</f>
        <v>0</v>
      </c>
      <c r="BG490" s="699">
        <f>IF($AW491=0,0,        _xll.qDateNext($AW490,BG$17,"M",TRUE,Currency2))</f>
        <v>0</v>
      </c>
      <c r="BH490" s="703">
        <v>0</v>
      </c>
      <c r="BI490" s="703">
        <v>0</v>
      </c>
      <c r="BJ490" s="703">
        <v>0</v>
      </c>
      <c r="BK490" s="703">
        <v>0</v>
      </c>
      <c r="BL490" s="703">
        <f t="shared" si="109"/>
        <v>0</v>
      </c>
      <c r="BM490" s="703">
        <f t="shared" si="110"/>
        <v>0</v>
      </c>
      <c r="BN490" s="703">
        <v>0</v>
      </c>
      <c r="BO490" s="703">
        <v>0</v>
      </c>
      <c r="BP490" s="685">
        <v>0</v>
      </c>
      <c r="BQ490" s="667"/>
      <c r="BR490" s="670">
        <f>IF(AW491=0,0,             IF(ISNUMBER(BQ490),BQ490,             IF(ISTEXT(BQ490),INDEX(BH490:BO490,MATCH(BQ490,$BH$17:$BO$17,0)),           IF(BP490="INT",_xll.qInterp(AW491,AZ490:BG490,BH490:BO490),       INDEX(BH490:BO490,MATCH(BP490,$BH$17:$BO$17,0))))))</f>
        <v>0</v>
      </c>
      <c r="BS490" s="731">
        <f t="shared" si="104"/>
        <v>0</v>
      </c>
      <c r="BT490" s="406">
        <f t="shared" si="105"/>
        <v>0</v>
      </c>
      <c r="BU490" s="284">
        <f>IF($AW491,_xll.qDateYears($AW490,$AW491,DCC_Leg2_Fixed),0)</f>
        <v>0</v>
      </c>
      <c r="BV490" s="284">
        <f>IF($AW491,_xll.qDateYears($AW490,$AW491,DCC_Leg2_Float),0)</f>
        <v>0</v>
      </c>
      <c r="BX490" s="350">
        <f t="shared" si="111"/>
        <v>0</v>
      </c>
      <c r="BY490" s="375">
        <f>IF(GenType_2a="Fixed",GenRate_2a%*$BT489*BU489,          IF(GenType_2a="Float",$BT489*(_xll.qGetFwdRate($J$18,$AW489,$AW490,"T",DCC_Leg2_Float)%+GenRate_2a%%)*$BV489,        IF(GenType_2a="bp (Fixed)",GenRate_2a%%*$BU489*$BT489,   IF(GenType_2a="bp (Float)",GenRate_2a%%*$BT489*$BV489,0))))</f>
        <v>0</v>
      </c>
      <c r="BZ490" s="561"/>
      <c r="CB490" s="341">
        <f t="shared" si="113"/>
        <v>0</v>
      </c>
      <c r="CC490" s="563"/>
      <c r="CD490" s="356"/>
      <c r="CE490" s="341">
        <v>0</v>
      </c>
      <c r="CF490" s="563"/>
      <c r="CG490" s="356"/>
    </row>
    <row r="491" spans="15:85">
      <c r="O491" s="122">
        <v>0</v>
      </c>
      <c r="P491" s="128">
        <f t="shared" si="100"/>
        <v>0</v>
      </c>
      <c r="Q491" s="126">
        <v>0</v>
      </c>
      <c r="R491" s="699">
        <f>IF($O492=0,0,        _xll.qDateNext($O491,R$17,"M",TRUE,Currency1))</f>
        <v>0</v>
      </c>
      <c r="S491" s="699">
        <f>IF($O492=0,0,        _xll.qDateNext($O491,S$17,"M",TRUE,Currency1))</f>
        <v>0</v>
      </c>
      <c r="T491" s="699">
        <f>IF($O492=0,0,        _xll.qDateNext($O491,T$17,"M",TRUE,Currency1))</f>
        <v>0</v>
      </c>
      <c r="U491" s="699">
        <f>IF($O492=0,0,        _xll.qDateNext($O491,U$17,"M",TRUE,Currency1))</f>
        <v>0</v>
      </c>
      <c r="V491" s="699">
        <f>IF($O492=0,0,        _xll.qDateNext($O491,V$17,"M",TRUE,Currency1))</f>
        <v>0</v>
      </c>
      <c r="W491" s="699">
        <f>IF($O492=0,0,        _xll.qDateNext($O491,W$17,"M",TRUE,Currency1))</f>
        <v>0</v>
      </c>
      <c r="X491" s="699">
        <f>IF($O492=0,0,        _xll.qDateNext($O491,X$17,"M",TRUE,Currency1))</f>
        <v>0</v>
      </c>
      <c r="Y491" s="699">
        <f>IF($O492=0,0,        _xll.qDateNext($O491,Y$17,"M",TRUE,Currency1))</f>
        <v>0</v>
      </c>
      <c r="Z491" s="703">
        <f>IF($O492=0,0,           IF(FRM,_xll.qGetFwdRate(Z$14,$O491,R491,"T",DCC_Leg1_Float),_xll.qGetFwdRate(Z$14,$O491,$O492,"T",DCC_Leg1_Float)))</f>
        <v>0</v>
      </c>
      <c r="AA491" s="703">
        <f>IF($O492=0,0,           IF(FRM,_xll.qGetFwdRate(AA$14,$O491,S491,"T",DCC_Leg1_Float),_xll.qGetFwdRate(AA$14,$O491,$O492,"T",DCC_Leg1_Float)))</f>
        <v>0</v>
      </c>
      <c r="AB491" s="703">
        <f t="shared" si="101"/>
        <v>0</v>
      </c>
      <c r="AC491" s="703">
        <f>IF($O492=0,0,           IF(FRM,_xll.qGetFwdRate(AC$14,$O491,U491,"T",DCC_Leg1_Float),_xll.qGetFwdRate(AC$14,$O491,$O492,"T",DCC_Leg1_Float)))</f>
        <v>0</v>
      </c>
      <c r="AD491" s="703">
        <f t="shared" si="106"/>
        <v>0</v>
      </c>
      <c r="AE491" s="703">
        <f t="shared" si="107"/>
        <v>0</v>
      </c>
      <c r="AF491" s="703">
        <f>IF($O492=0,0,           IF(FRM,_xll.qGetFwdRate(AF$14,$O491,X491,"T",DCC_Leg1_Float),_xll.qGetFwdRate(AF$14,$O491,$O492,"T",DCC_Leg1_Float)))</f>
        <v>0</v>
      </c>
      <c r="AG491" s="703">
        <f>IF($O492=0,0,           IF(FRM,_xll.qGetFwdRate(AG$14,$O491,Y491,"T",DCC_Leg1_Float),_xll.qGetFwdRate(AG$14,$O491,$O492,"T",DCC_Leg1_Float)))</f>
        <v>0</v>
      </c>
      <c r="AH491" s="685">
        <v>0</v>
      </c>
      <c r="AI491" s="667"/>
      <c r="AJ491" s="670">
        <f>IF(O492=0,0,             IF(ISNUMBER(AI491),AI491,             IF(ISTEXT(AI491),INDEX(Z491:AG491,MATCH(AI491,$Z$17:$AG$17,0)),           IF(AH491="INT",_xll.qInterp(O492,R491:Y491,Z491:AG491),       INDEX(Z491:AG491,MATCH(AH491,$Z$17:$AG$17,0))))))</f>
        <v>0</v>
      </c>
      <c r="AK491" s="732">
        <v>20</v>
      </c>
      <c r="AL491" s="721">
        <f t="shared" si="102"/>
        <v>0</v>
      </c>
      <c r="AM491" s="284">
        <f>IF($O492,_xll.qDateYears($O491,$O492,DCC_Leg1_Fixed),0)</f>
        <v>0</v>
      </c>
      <c r="AN491" s="284">
        <f>IF($O492,_xll.qDateYears($O491,$O492,DCC_Leg1_Float),0)</f>
        <v>0</v>
      </c>
      <c r="AP491" s="350">
        <f t="shared" si="108"/>
        <v>0</v>
      </c>
      <c r="AQ491" s="375">
        <f>IF(GenType_1a="Fixed",GenRate_1a%*$AL490*AM490,          IF(GenType_1a="Float",$AL490*(_xll.qGetFwdRate($D$18,$O490,$O491,"T",DCC_Leg1_Float)%+GenRate_1a%%)*$AN490,        IF(GenType_1a="bp (Fixed)",GenRate_1a%%*$AM490*$AL490,   IF(GenType_1a="bp (Float)",GenRate_1a%%*$AL490*$AN490,0))))</f>
        <v>0</v>
      </c>
      <c r="AR491" s="561"/>
      <c r="AT491" s="341">
        <f t="shared" si="112"/>
        <v>0</v>
      </c>
      <c r="AV491" s="356"/>
      <c r="AW491" s="122">
        <v>0</v>
      </c>
      <c r="AX491" s="128">
        <f t="shared" si="103"/>
        <v>0</v>
      </c>
      <c r="AY491" s="357">
        <v>0</v>
      </c>
      <c r="AZ491" s="699">
        <f>IF($AW492=0,0,        _xll.qDateNext($AW491,AZ$17,"M",TRUE,Currency2))</f>
        <v>0</v>
      </c>
      <c r="BA491" s="699">
        <f>IF($AW492=0,0,        _xll.qDateNext($AW491,BA$17,"M",TRUE,Currency2))</f>
        <v>0</v>
      </c>
      <c r="BB491" s="699">
        <f>IF($AW492=0,0,        _xll.qDateNext($AW491,BB$17,"M",TRUE,Currency2))</f>
        <v>0</v>
      </c>
      <c r="BC491" s="699">
        <f>IF($AW492=0,0,        _xll.qDateNext($AW491,BC$17,"M",TRUE,Currency2))</f>
        <v>0</v>
      </c>
      <c r="BD491" s="699">
        <f>IF($AW492=0,0,        _xll.qDateNext($AW491,BD$17,"M",TRUE,Currency2))</f>
        <v>0</v>
      </c>
      <c r="BE491" s="699">
        <f>IF($AW492=0,0,        _xll.qDateNext($AW491,BE$17,"M",TRUE,Currency2))</f>
        <v>0</v>
      </c>
      <c r="BF491" s="699">
        <f>IF($AW492=0,0,        _xll.qDateNext($AW491,BF$17,"M",TRUE,Currency2))</f>
        <v>0</v>
      </c>
      <c r="BG491" s="699">
        <f>IF($AW492=0,0,        _xll.qDateNext($AW491,BG$17,"M",TRUE,Currency2))</f>
        <v>0</v>
      </c>
      <c r="BH491" s="703">
        <v>0</v>
      </c>
      <c r="BI491" s="703">
        <v>0</v>
      </c>
      <c r="BJ491" s="703">
        <v>0</v>
      </c>
      <c r="BK491" s="703">
        <v>0</v>
      </c>
      <c r="BL491" s="703">
        <f t="shared" si="109"/>
        <v>0</v>
      </c>
      <c r="BM491" s="703">
        <f t="shared" si="110"/>
        <v>0</v>
      </c>
      <c r="BN491" s="703">
        <v>0</v>
      </c>
      <c r="BO491" s="703">
        <v>0</v>
      </c>
      <c r="BP491" s="685">
        <v>0</v>
      </c>
      <c r="BQ491" s="667"/>
      <c r="BR491" s="670">
        <f>IF(AW492=0,0,             IF(ISNUMBER(BQ491),BQ491,             IF(ISTEXT(BQ491),INDEX(BH491:BO491,MATCH(BQ491,$BH$17:$BO$17,0)),           IF(BP491="INT",_xll.qInterp(AW492,AZ491:BG491,BH491:BO491),       INDEX(BH491:BO491,MATCH(BP491,$BH$17:$BO$17,0))))))</f>
        <v>0</v>
      </c>
      <c r="BS491" s="731">
        <f t="shared" si="104"/>
        <v>0</v>
      </c>
      <c r="BT491" s="406">
        <f t="shared" si="105"/>
        <v>0</v>
      </c>
      <c r="BU491" s="284">
        <f>IF($AW492,_xll.qDateYears($AW491,$AW492,DCC_Leg2_Fixed),0)</f>
        <v>0</v>
      </c>
      <c r="BV491" s="284">
        <f>IF($AW492,_xll.qDateYears($AW491,$AW492,DCC_Leg2_Float),0)</f>
        <v>0</v>
      </c>
      <c r="BX491" s="350">
        <f t="shared" si="111"/>
        <v>0</v>
      </c>
      <c r="BY491" s="375">
        <f>IF(GenType_2a="Fixed",GenRate_2a%*$BT490*BU490,          IF(GenType_2a="Float",$BT490*(_xll.qGetFwdRate($J$18,$AW490,$AW491,"T",DCC_Leg2_Float)%+GenRate_2a%%)*$BV490,        IF(GenType_2a="bp (Fixed)",GenRate_2a%%*$BU490*$BT490,   IF(GenType_2a="bp (Float)",GenRate_2a%%*$BT490*$BV490,0))))</f>
        <v>0</v>
      </c>
      <c r="BZ491" s="561"/>
      <c r="CB491" s="341">
        <f t="shared" si="113"/>
        <v>0</v>
      </c>
      <c r="CC491" s="563"/>
      <c r="CD491" s="356"/>
      <c r="CE491" s="341">
        <v>0</v>
      </c>
      <c r="CF491" s="563"/>
      <c r="CG491" s="356"/>
    </row>
    <row r="492" spans="15:85">
      <c r="O492" s="122">
        <v>0</v>
      </c>
      <c r="P492" s="128">
        <f t="shared" si="100"/>
        <v>0</v>
      </c>
      <c r="Q492" s="126">
        <v>0</v>
      </c>
      <c r="R492" s="699">
        <f>IF($O493=0,0,        _xll.qDateNext($O492,R$17,"M",TRUE,Currency1))</f>
        <v>0</v>
      </c>
      <c r="S492" s="699">
        <f>IF($O493=0,0,        _xll.qDateNext($O492,S$17,"M",TRUE,Currency1))</f>
        <v>0</v>
      </c>
      <c r="T492" s="699">
        <f>IF($O493=0,0,        _xll.qDateNext($O492,T$17,"M",TRUE,Currency1))</f>
        <v>0</v>
      </c>
      <c r="U492" s="699">
        <f>IF($O493=0,0,        _xll.qDateNext($O492,U$17,"M",TRUE,Currency1))</f>
        <v>0</v>
      </c>
      <c r="V492" s="699">
        <f>IF($O493=0,0,        _xll.qDateNext($O492,V$17,"M",TRUE,Currency1))</f>
        <v>0</v>
      </c>
      <c r="W492" s="699">
        <f>IF($O493=0,0,        _xll.qDateNext($O492,W$17,"M",TRUE,Currency1))</f>
        <v>0</v>
      </c>
      <c r="X492" s="699">
        <f>IF($O493=0,0,        _xll.qDateNext($O492,X$17,"M",TRUE,Currency1))</f>
        <v>0</v>
      </c>
      <c r="Y492" s="699">
        <f>IF($O493=0,0,        _xll.qDateNext($O492,Y$17,"M",TRUE,Currency1))</f>
        <v>0</v>
      </c>
      <c r="Z492" s="703">
        <f>IF($O493=0,0,           IF(FRM,_xll.qGetFwdRate(Z$14,$O492,R492,"T",DCC_Leg1_Float),_xll.qGetFwdRate(Z$14,$O492,$O493,"T",DCC_Leg1_Float)))</f>
        <v>0</v>
      </c>
      <c r="AA492" s="703">
        <f>IF($O493=0,0,           IF(FRM,_xll.qGetFwdRate(AA$14,$O492,S492,"T",DCC_Leg1_Float),_xll.qGetFwdRate(AA$14,$O492,$O493,"T",DCC_Leg1_Float)))</f>
        <v>0</v>
      </c>
      <c r="AB492" s="703">
        <f t="shared" si="101"/>
        <v>0</v>
      </c>
      <c r="AC492" s="703">
        <f>IF($O493=0,0,           IF(FRM,_xll.qGetFwdRate(AC$14,$O492,U492,"T",DCC_Leg1_Float),_xll.qGetFwdRate(AC$14,$O492,$O493,"T",DCC_Leg1_Float)))</f>
        <v>0</v>
      </c>
      <c r="AD492" s="703">
        <f t="shared" si="106"/>
        <v>0</v>
      </c>
      <c r="AE492" s="703">
        <f t="shared" si="107"/>
        <v>0</v>
      </c>
      <c r="AF492" s="703">
        <f>IF($O493=0,0,           IF(FRM,_xll.qGetFwdRate(AF$14,$O492,X492,"T",DCC_Leg1_Float),_xll.qGetFwdRate(AF$14,$O492,$O493,"T",DCC_Leg1_Float)))</f>
        <v>0</v>
      </c>
      <c r="AG492" s="703">
        <f>IF($O493=0,0,           IF(FRM,_xll.qGetFwdRate(AG$14,$O492,Y492,"T",DCC_Leg1_Float),_xll.qGetFwdRate(AG$14,$O492,$O493,"T",DCC_Leg1_Float)))</f>
        <v>0</v>
      </c>
      <c r="AH492" s="685">
        <v>0</v>
      </c>
      <c r="AI492" s="667"/>
      <c r="AJ492" s="670">
        <f>IF(O493=0,0,             IF(ISNUMBER(AI492),AI492,             IF(ISTEXT(AI492),INDEX(Z492:AG492,MATCH(AI492,$Z$17:$AG$17,0)),           IF(AH492="INT",_xll.qInterp(O493,R492:Y492,Z492:AG492),       INDEX(Z492:AG492,MATCH(AH492,$Z$17:$AG$17,0))))))</f>
        <v>0</v>
      </c>
      <c r="AK492" s="732">
        <v>20</v>
      </c>
      <c r="AL492" s="721">
        <f t="shared" si="102"/>
        <v>0</v>
      </c>
      <c r="AM492" s="284">
        <f>IF($O493,_xll.qDateYears($O492,$O493,DCC_Leg1_Fixed),0)</f>
        <v>0</v>
      </c>
      <c r="AN492" s="284">
        <f>IF($O493,_xll.qDateYears($O492,$O493,DCC_Leg1_Float),0)</f>
        <v>0</v>
      </c>
      <c r="AP492" s="350">
        <f t="shared" si="108"/>
        <v>0</v>
      </c>
      <c r="AQ492" s="375">
        <f>IF(GenType_1a="Fixed",GenRate_1a%*$AL491*AM491,          IF(GenType_1a="Float",$AL491*(_xll.qGetFwdRate($D$18,$O491,$O492,"T",DCC_Leg1_Float)%+GenRate_1a%%)*$AN491,        IF(GenType_1a="bp (Fixed)",GenRate_1a%%*$AM491*$AL491,   IF(GenType_1a="bp (Float)",GenRate_1a%%*$AL491*$AN491,0))))</f>
        <v>0</v>
      </c>
      <c r="AR492" s="561"/>
      <c r="AT492" s="341">
        <f t="shared" si="112"/>
        <v>0</v>
      </c>
      <c r="AV492" s="356"/>
      <c r="AW492" s="122">
        <v>0</v>
      </c>
      <c r="AX492" s="128">
        <f t="shared" si="103"/>
        <v>0</v>
      </c>
      <c r="AY492" s="357">
        <v>0</v>
      </c>
      <c r="AZ492" s="699">
        <f>IF($AW493=0,0,        _xll.qDateNext($AW492,AZ$17,"M",TRUE,Currency2))</f>
        <v>0</v>
      </c>
      <c r="BA492" s="699">
        <f>IF($AW493=0,0,        _xll.qDateNext($AW492,BA$17,"M",TRUE,Currency2))</f>
        <v>0</v>
      </c>
      <c r="BB492" s="699">
        <f>IF($AW493=0,0,        _xll.qDateNext($AW492,BB$17,"M",TRUE,Currency2))</f>
        <v>0</v>
      </c>
      <c r="BC492" s="699">
        <f>IF($AW493=0,0,        _xll.qDateNext($AW492,BC$17,"M",TRUE,Currency2))</f>
        <v>0</v>
      </c>
      <c r="BD492" s="699">
        <f>IF($AW493=0,0,        _xll.qDateNext($AW492,BD$17,"M",TRUE,Currency2))</f>
        <v>0</v>
      </c>
      <c r="BE492" s="699">
        <f>IF($AW493=0,0,        _xll.qDateNext($AW492,BE$17,"M",TRUE,Currency2))</f>
        <v>0</v>
      </c>
      <c r="BF492" s="699">
        <f>IF($AW493=0,0,        _xll.qDateNext($AW492,BF$17,"M",TRUE,Currency2))</f>
        <v>0</v>
      </c>
      <c r="BG492" s="699">
        <f>IF($AW493=0,0,        _xll.qDateNext($AW492,BG$17,"M",TRUE,Currency2))</f>
        <v>0</v>
      </c>
      <c r="BH492" s="703">
        <v>0</v>
      </c>
      <c r="BI492" s="703">
        <v>0</v>
      </c>
      <c r="BJ492" s="703">
        <v>0</v>
      </c>
      <c r="BK492" s="703">
        <v>0</v>
      </c>
      <c r="BL492" s="703">
        <f t="shared" si="109"/>
        <v>0</v>
      </c>
      <c r="BM492" s="703">
        <f t="shared" si="110"/>
        <v>0</v>
      </c>
      <c r="BN492" s="703">
        <v>0</v>
      </c>
      <c r="BO492" s="703">
        <v>0</v>
      </c>
      <c r="BP492" s="685">
        <v>0</v>
      </c>
      <c r="BQ492" s="667"/>
      <c r="BR492" s="670">
        <f>IF(AW493=0,0,             IF(ISNUMBER(BQ492),BQ492,             IF(ISTEXT(BQ492),INDEX(BH492:BO492,MATCH(BQ492,$BH$17:$BO$17,0)),           IF(BP492="INT",_xll.qInterp(AW493,AZ492:BG492,BH492:BO492),       INDEX(BH492:BO492,MATCH(BP492,$BH$17:$BO$17,0))))))</f>
        <v>0</v>
      </c>
      <c r="BS492" s="731">
        <f t="shared" si="104"/>
        <v>0</v>
      </c>
      <c r="BT492" s="406">
        <f t="shared" si="105"/>
        <v>0</v>
      </c>
      <c r="BU492" s="284">
        <f>IF($AW493,_xll.qDateYears($AW492,$AW493,DCC_Leg2_Fixed),0)</f>
        <v>0</v>
      </c>
      <c r="BV492" s="284">
        <f>IF($AW493,_xll.qDateYears($AW492,$AW493,DCC_Leg2_Float),0)</f>
        <v>0</v>
      </c>
      <c r="BX492" s="350">
        <f t="shared" si="111"/>
        <v>0</v>
      </c>
      <c r="BY492" s="375">
        <f>IF(GenType_2a="Fixed",GenRate_2a%*$BT491*BU491,          IF(GenType_2a="Float",$BT491*(_xll.qGetFwdRate($J$18,$AW491,$AW492,"T",DCC_Leg2_Float)%+GenRate_2a%%)*$BV491,        IF(GenType_2a="bp (Fixed)",GenRate_2a%%*$BU491*$BT491,   IF(GenType_2a="bp (Float)",GenRate_2a%%*$BT491*$BV491,0))))</f>
        <v>0</v>
      </c>
      <c r="BZ492" s="561"/>
      <c r="CB492" s="341">
        <f t="shared" si="113"/>
        <v>0</v>
      </c>
      <c r="CC492" s="563"/>
      <c r="CD492" s="356"/>
      <c r="CE492" s="341">
        <v>0</v>
      </c>
      <c r="CF492" s="563"/>
      <c r="CG492" s="356"/>
    </row>
    <row r="493" spans="15:85">
      <c r="O493" s="122">
        <v>0</v>
      </c>
      <c r="P493" s="128">
        <f t="shared" si="100"/>
        <v>0</v>
      </c>
      <c r="Q493" s="126">
        <v>0</v>
      </c>
      <c r="R493" s="699">
        <f>IF($O494=0,0,        _xll.qDateNext($O493,R$17,"M",TRUE,Currency1))</f>
        <v>0</v>
      </c>
      <c r="S493" s="699">
        <f>IF($O494=0,0,        _xll.qDateNext($O493,S$17,"M",TRUE,Currency1))</f>
        <v>0</v>
      </c>
      <c r="T493" s="699">
        <f>IF($O494=0,0,        _xll.qDateNext($O493,T$17,"M",TRUE,Currency1))</f>
        <v>0</v>
      </c>
      <c r="U493" s="699">
        <f>IF($O494=0,0,        _xll.qDateNext($O493,U$17,"M",TRUE,Currency1))</f>
        <v>0</v>
      </c>
      <c r="V493" s="699">
        <f>IF($O494=0,0,        _xll.qDateNext($O493,V$17,"M",TRUE,Currency1))</f>
        <v>0</v>
      </c>
      <c r="W493" s="699">
        <f>IF($O494=0,0,        _xll.qDateNext($O493,W$17,"M",TRUE,Currency1))</f>
        <v>0</v>
      </c>
      <c r="X493" s="699">
        <f>IF($O494=0,0,        _xll.qDateNext($O493,X$17,"M",TRUE,Currency1))</f>
        <v>0</v>
      </c>
      <c r="Y493" s="699">
        <f>IF($O494=0,0,        _xll.qDateNext($O493,Y$17,"M",TRUE,Currency1))</f>
        <v>0</v>
      </c>
      <c r="Z493" s="703">
        <f>IF($O494=0,0,           IF(FRM,_xll.qGetFwdRate(Z$14,$O493,R493,"T",DCC_Leg1_Float),_xll.qGetFwdRate(Z$14,$O493,$O494,"T",DCC_Leg1_Float)))</f>
        <v>0</v>
      </c>
      <c r="AA493" s="703">
        <f>IF($O494=0,0,           IF(FRM,_xll.qGetFwdRate(AA$14,$O493,S493,"T",DCC_Leg1_Float),_xll.qGetFwdRate(AA$14,$O493,$O494,"T",DCC_Leg1_Float)))</f>
        <v>0</v>
      </c>
      <c r="AB493" s="703">
        <f t="shared" si="101"/>
        <v>0</v>
      </c>
      <c r="AC493" s="703">
        <f>IF($O494=0,0,           IF(FRM,_xll.qGetFwdRate(AC$14,$O493,U493,"T",DCC_Leg1_Float),_xll.qGetFwdRate(AC$14,$O493,$O494,"T",DCC_Leg1_Float)))</f>
        <v>0</v>
      </c>
      <c r="AD493" s="703">
        <f t="shared" si="106"/>
        <v>0</v>
      </c>
      <c r="AE493" s="703">
        <f t="shared" si="107"/>
        <v>0</v>
      </c>
      <c r="AF493" s="703">
        <f>IF($O494=0,0,           IF(FRM,_xll.qGetFwdRate(AF$14,$O493,X493,"T",DCC_Leg1_Float),_xll.qGetFwdRate(AF$14,$O493,$O494,"T",DCC_Leg1_Float)))</f>
        <v>0</v>
      </c>
      <c r="AG493" s="703">
        <f>IF($O494=0,0,           IF(FRM,_xll.qGetFwdRate(AG$14,$O493,Y493,"T",DCC_Leg1_Float),_xll.qGetFwdRate(AG$14,$O493,$O494,"T",DCC_Leg1_Float)))</f>
        <v>0</v>
      </c>
      <c r="AH493" s="685">
        <v>0</v>
      </c>
      <c r="AI493" s="667"/>
      <c r="AJ493" s="670">
        <f>IF(O494=0,0,             IF(ISNUMBER(AI493),AI493,             IF(ISTEXT(AI493),INDEX(Z493:AG493,MATCH(AI493,$Z$17:$AG$17,0)),           IF(AH493="INT",_xll.qInterp(O494,R493:Y493,Z493:AG493),       INDEX(Z493:AG493,MATCH(AH493,$Z$17:$AG$17,0))))))</f>
        <v>0</v>
      </c>
      <c r="AK493" s="732">
        <v>20</v>
      </c>
      <c r="AL493" s="721">
        <f t="shared" si="102"/>
        <v>0</v>
      </c>
      <c r="AM493" s="284">
        <f>IF($O494,_xll.qDateYears($O493,$O494,DCC_Leg1_Fixed),0)</f>
        <v>0</v>
      </c>
      <c r="AN493" s="284">
        <f>IF($O494,_xll.qDateYears($O493,$O494,DCC_Leg1_Float),0)</f>
        <v>0</v>
      </c>
      <c r="AP493" s="350">
        <f t="shared" si="108"/>
        <v>0</v>
      </c>
      <c r="AQ493" s="375">
        <f>IF(GenType_1a="Fixed",GenRate_1a%*$AL492*AM492,          IF(GenType_1a="Float",$AL492*(_xll.qGetFwdRate($D$18,$O492,$O493,"T",DCC_Leg1_Float)%+GenRate_1a%%)*$AN492,        IF(GenType_1a="bp (Fixed)",GenRate_1a%%*$AM492*$AL492,   IF(GenType_1a="bp (Float)",GenRate_1a%%*$AL492*$AN492,0))))</f>
        <v>0</v>
      </c>
      <c r="AR493" s="561"/>
      <c r="AT493" s="341">
        <f t="shared" si="112"/>
        <v>0</v>
      </c>
      <c r="AV493" s="356"/>
      <c r="AW493" s="122">
        <v>0</v>
      </c>
      <c r="AX493" s="128">
        <f t="shared" si="103"/>
        <v>0</v>
      </c>
      <c r="AY493" s="357">
        <v>0</v>
      </c>
      <c r="AZ493" s="699">
        <f>IF($AW494=0,0,        _xll.qDateNext($AW493,AZ$17,"M",TRUE,Currency2))</f>
        <v>0</v>
      </c>
      <c r="BA493" s="699">
        <f>IF($AW494=0,0,        _xll.qDateNext($AW493,BA$17,"M",TRUE,Currency2))</f>
        <v>0</v>
      </c>
      <c r="BB493" s="699">
        <f>IF($AW494=0,0,        _xll.qDateNext($AW493,BB$17,"M",TRUE,Currency2))</f>
        <v>0</v>
      </c>
      <c r="BC493" s="699">
        <f>IF($AW494=0,0,        _xll.qDateNext($AW493,BC$17,"M",TRUE,Currency2))</f>
        <v>0</v>
      </c>
      <c r="BD493" s="699">
        <f>IF($AW494=0,0,        _xll.qDateNext($AW493,BD$17,"M",TRUE,Currency2))</f>
        <v>0</v>
      </c>
      <c r="BE493" s="699">
        <f>IF($AW494=0,0,        _xll.qDateNext($AW493,BE$17,"M",TRUE,Currency2))</f>
        <v>0</v>
      </c>
      <c r="BF493" s="699">
        <f>IF($AW494=0,0,        _xll.qDateNext($AW493,BF$17,"M",TRUE,Currency2))</f>
        <v>0</v>
      </c>
      <c r="BG493" s="699">
        <f>IF($AW494=0,0,        _xll.qDateNext($AW493,BG$17,"M",TRUE,Currency2))</f>
        <v>0</v>
      </c>
      <c r="BH493" s="703">
        <v>0</v>
      </c>
      <c r="BI493" s="703">
        <v>0</v>
      </c>
      <c r="BJ493" s="703">
        <v>0</v>
      </c>
      <c r="BK493" s="703">
        <v>0</v>
      </c>
      <c r="BL493" s="703">
        <f t="shared" si="109"/>
        <v>0</v>
      </c>
      <c r="BM493" s="703">
        <f t="shared" si="110"/>
        <v>0</v>
      </c>
      <c r="BN493" s="703">
        <v>0</v>
      </c>
      <c r="BO493" s="703">
        <v>0</v>
      </c>
      <c r="BP493" s="685">
        <v>0</v>
      </c>
      <c r="BQ493" s="667"/>
      <c r="BR493" s="670">
        <f>IF(AW494=0,0,             IF(ISNUMBER(BQ493),BQ493,             IF(ISTEXT(BQ493),INDEX(BH493:BO493,MATCH(BQ493,$BH$17:$BO$17,0)),           IF(BP493="INT",_xll.qInterp(AW494,AZ493:BG493,BH493:BO493),       INDEX(BH493:BO493,MATCH(BP493,$BH$17:$BO$17,0))))))</f>
        <v>0</v>
      </c>
      <c r="BS493" s="731">
        <f t="shared" si="104"/>
        <v>0</v>
      </c>
      <c r="BT493" s="406">
        <f t="shared" si="105"/>
        <v>0</v>
      </c>
      <c r="BU493" s="284">
        <f>IF($AW494,_xll.qDateYears($AW493,$AW494,DCC_Leg2_Fixed),0)</f>
        <v>0</v>
      </c>
      <c r="BV493" s="284">
        <f>IF($AW494,_xll.qDateYears($AW493,$AW494,DCC_Leg2_Float),0)</f>
        <v>0</v>
      </c>
      <c r="BX493" s="350">
        <f t="shared" si="111"/>
        <v>0</v>
      </c>
      <c r="BY493" s="375">
        <f>IF(GenType_2a="Fixed",GenRate_2a%*$BT492*BU492,          IF(GenType_2a="Float",$BT492*(_xll.qGetFwdRate($J$18,$AW492,$AW493,"T",DCC_Leg2_Float)%+GenRate_2a%%)*$BV492,        IF(GenType_2a="bp (Fixed)",GenRate_2a%%*$BU492*$BT492,   IF(GenType_2a="bp (Float)",GenRate_2a%%*$BT492*$BV492,0))))</f>
        <v>0</v>
      </c>
      <c r="BZ493" s="561"/>
      <c r="CB493" s="341">
        <f t="shared" si="113"/>
        <v>0</v>
      </c>
      <c r="CC493" s="563"/>
      <c r="CD493" s="356"/>
      <c r="CE493" s="341">
        <v>0</v>
      </c>
      <c r="CF493" s="563"/>
      <c r="CG493" s="356"/>
    </row>
    <row r="494" spans="15:85">
      <c r="O494" s="122">
        <v>0</v>
      </c>
      <c r="P494" s="128">
        <f t="shared" si="100"/>
        <v>0</v>
      </c>
      <c r="Q494" s="126">
        <v>0</v>
      </c>
      <c r="R494" s="699">
        <f>IF($O495=0,0,        _xll.qDateNext($O494,R$17,"M",TRUE,Currency1))</f>
        <v>0</v>
      </c>
      <c r="S494" s="699">
        <f>IF($O495=0,0,        _xll.qDateNext($O494,S$17,"M",TRUE,Currency1))</f>
        <v>0</v>
      </c>
      <c r="T494" s="699">
        <f>IF($O495=0,0,        _xll.qDateNext($O494,T$17,"M",TRUE,Currency1))</f>
        <v>0</v>
      </c>
      <c r="U494" s="699">
        <f>IF($O495=0,0,        _xll.qDateNext($O494,U$17,"M",TRUE,Currency1))</f>
        <v>0</v>
      </c>
      <c r="V494" s="699">
        <f>IF($O495=0,0,        _xll.qDateNext($O494,V$17,"M",TRUE,Currency1))</f>
        <v>0</v>
      </c>
      <c r="W494" s="699">
        <f>IF($O495=0,0,        _xll.qDateNext($O494,W$17,"M",TRUE,Currency1))</f>
        <v>0</v>
      </c>
      <c r="X494" s="699">
        <f>IF($O495=0,0,        _xll.qDateNext($O494,X$17,"M",TRUE,Currency1))</f>
        <v>0</v>
      </c>
      <c r="Y494" s="699">
        <f>IF($O495=0,0,        _xll.qDateNext($O494,Y$17,"M",TRUE,Currency1))</f>
        <v>0</v>
      </c>
      <c r="Z494" s="703">
        <f>IF($O495=0,0,           IF(FRM,_xll.qGetFwdRate(Z$14,$O494,R494,"T",DCC_Leg1_Float),_xll.qGetFwdRate(Z$14,$O494,$O495,"T",DCC_Leg1_Float)))</f>
        <v>0</v>
      </c>
      <c r="AA494" s="703">
        <f>IF($O495=0,0,           IF(FRM,_xll.qGetFwdRate(AA$14,$O494,S494,"T",DCC_Leg1_Float),_xll.qGetFwdRate(AA$14,$O494,$O495,"T",DCC_Leg1_Float)))</f>
        <v>0</v>
      </c>
      <c r="AB494" s="703">
        <f t="shared" si="101"/>
        <v>0</v>
      </c>
      <c r="AC494" s="703">
        <f>IF($O495=0,0,           IF(FRM,_xll.qGetFwdRate(AC$14,$O494,U494,"T",DCC_Leg1_Float),_xll.qGetFwdRate(AC$14,$O494,$O495,"T",DCC_Leg1_Float)))</f>
        <v>0</v>
      </c>
      <c r="AD494" s="703">
        <f t="shared" si="106"/>
        <v>0</v>
      </c>
      <c r="AE494" s="703">
        <f t="shared" si="107"/>
        <v>0</v>
      </c>
      <c r="AF494" s="703">
        <f>IF($O495=0,0,           IF(FRM,_xll.qGetFwdRate(AF$14,$O494,X494,"T",DCC_Leg1_Float),_xll.qGetFwdRate(AF$14,$O494,$O495,"T",DCC_Leg1_Float)))</f>
        <v>0</v>
      </c>
      <c r="AG494" s="703">
        <f>IF($O495=0,0,           IF(FRM,_xll.qGetFwdRate(AG$14,$O494,Y494,"T",DCC_Leg1_Float),_xll.qGetFwdRate(AG$14,$O494,$O495,"T",DCC_Leg1_Float)))</f>
        <v>0</v>
      </c>
      <c r="AH494" s="685">
        <v>0</v>
      </c>
      <c r="AI494" s="667"/>
      <c r="AJ494" s="670">
        <f>IF(O495=0,0,             IF(ISNUMBER(AI494),AI494,             IF(ISTEXT(AI494),INDEX(Z494:AG494,MATCH(AI494,$Z$17:$AG$17,0)),           IF(AH494="INT",_xll.qInterp(O495,R494:Y494,Z494:AG494),       INDEX(Z494:AG494,MATCH(AH494,$Z$17:$AG$17,0))))))</f>
        <v>0</v>
      </c>
      <c r="AK494" s="732">
        <v>20</v>
      </c>
      <c r="AL494" s="721">
        <f t="shared" si="102"/>
        <v>0</v>
      </c>
      <c r="AM494" s="284">
        <f>IF($O495,_xll.qDateYears($O494,$O495,DCC_Leg1_Fixed),0)</f>
        <v>0</v>
      </c>
      <c r="AN494" s="284">
        <f>IF($O495,_xll.qDateYears($O494,$O495,DCC_Leg1_Float),0)</f>
        <v>0</v>
      </c>
      <c r="AP494" s="350">
        <f t="shared" si="108"/>
        <v>0</v>
      </c>
      <c r="AQ494" s="375">
        <f>IF(GenType_1a="Fixed",GenRate_1a%*$AL493*AM493,          IF(GenType_1a="Float",$AL493*(_xll.qGetFwdRate($D$18,$O493,$O494,"T",DCC_Leg1_Float)%+GenRate_1a%%)*$AN493,        IF(GenType_1a="bp (Fixed)",GenRate_1a%%*$AM493*$AL493,   IF(GenType_1a="bp (Float)",GenRate_1a%%*$AL493*$AN493,0))))</f>
        <v>0</v>
      </c>
      <c r="AR494" s="561"/>
      <c r="AT494" s="341">
        <f t="shared" si="112"/>
        <v>0</v>
      </c>
      <c r="AV494" s="356"/>
      <c r="AW494" s="122">
        <v>0</v>
      </c>
      <c r="AX494" s="128">
        <f t="shared" si="103"/>
        <v>0</v>
      </c>
      <c r="AY494" s="357">
        <v>0</v>
      </c>
      <c r="AZ494" s="699">
        <f>IF($AW495=0,0,        _xll.qDateNext($AW494,AZ$17,"M",TRUE,Currency2))</f>
        <v>0</v>
      </c>
      <c r="BA494" s="699">
        <f>IF($AW495=0,0,        _xll.qDateNext($AW494,BA$17,"M",TRUE,Currency2))</f>
        <v>0</v>
      </c>
      <c r="BB494" s="699">
        <f>IF($AW495=0,0,        _xll.qDateNext($AW494,BB$17,"M",TRUE,Currency2))</f>
        <v>0</v>
      </c>
      <c r="BC494" s="699">
        <f>IF($AW495=0,0,        _xll.qDateNext($AW494,BC$17,"M",TRUE,Currency2))</f>
        <v>0</v>
      </c>
      <c r="BD494" s="699">
        <f>IF($AW495=0,0,        _xll.qDateNext($AW494,BD$17,"M",TRUE,Currency2))</f>
        <v>0</v>
      </c>
      <c r="BE494" s="699">
        <f>IF($AW495=0,0,        _xll.qDateNext($AW494,BE$17,"M",TRUE,Currency2))</f>
        <v>0</v>
      </c>
      <c r="BF494" s="699">
        <f>IF($AW495=0,0,        _xll.qDateNext($AW494,BF$17,"M",TRUE,Currency2))</f>
        <v>0</v>
      </c>
      <c r="BG494" s="699">
        <f>IF($AW495=0,0,        _xll.qDateNext($AW494,BG$17,"M",TRUE,Currency2))</f>
        <v>0</v>
      </c>
      <c r="BH494" s="703">
        <v>0</v>
      </c>
      <c r="BI494" s="703">
        <v>0</v>
      </c>
      <c r="BJ494" s="703">
        <v>0</v>
      </c>
      <c r="BK494" s="703">
        <v>0</v>
      </c>
      <c r="BL494" s="703">
        <f t="shared" si="109"/>
        <v>0</v>
      </c>
      <c r="BM494" s="703">
        <f t="shared" si="110"/>
        <v>0</v>
      </c>
      <c r="BN494" s="703">
        <v>0</v>
      </c>
      <c r="BO494" s="703">
        <v>0</v>
      </c>
      <c r="BP494" s="685">
        <v>0</v>
      </c>
      <c r="BQ494" s="667"/>
      <c r="BR494" s="670">
        <f>IF(AW495=0,0,             IF(ISNUMBER(BQ494),BQ494,             IF(ISTEXT(BQ494),INDEX(BH494:BO494,MATCH(BQ494,$BH$17:$BO$17,0)),           IF(BP494="INT",_xll.qInterp(AW495,AZ494:BG494,BH494:BO494),       INDEX(BH494:BO494,MATCH(BP494,$BH$17:$BO$17,0))))))</f>
        <v>0</v>
      </c>
      <c r="BS494" s="731">
        <f t="shared" si="104"/>
        <v>0</v>
      </c>
      <c r="BT494" s="406">
        <f t="shared" si="105"/>
        <v>0</v>
      </c>
      <c r="BU494" s="284">
        <f>IF($AW495,_xll.qDateYears($AW494,$AW495,DCC_Leg2_Fixed),0)</f>
        <v>0</v>
      </c>
      <c r="BV494" s="284">
        <f>IF($AW495,_xll.qDateYears($AW494,$AW495,DCC_Leg2_Float),0)</f>
        <v>0</v>
      </c>
      <c r="BX494" s="350">
        <f t="shared" si="111"/>
        <v>0</v>
      </c>
      <c r="BY494" s="375">
        <f>IF(GenType_2a="Fixed",GenRate_2a%*$BT493*BU493,          IF(GenType_2a="Float",$BT493*(_xll.qGetFwdRate($J$18,$AW493,$AW494,"T",DCC_Leg2_Float)%+GenRate_2a%%)*$BV493,        IF(GenType_2a="bp (Fixed)",GenRate_2a%%*$BU493*$BT493,   IF(GenType_2a="bp (Float)",GenRate_2a%%*$BT493*$BV493,0))))</f>
        <v>0</v>
      </c>
      <c r="BZ494" s="561"/>
      <c r="CB494" s="341">
        <f t="shared" si="113"/>
        <v>0</v>
      </c>
      <c r="CC494" s="563"/>
      <c r="CD494" s="356"/>
      <c r="CE494" s="341">
        <v>0</v>
      </c>
      <c r="CF494" s="563"/>
      <c r="CG494" s="356"/>
    </row>
    <row r="495" spans="15:85">
      <c r="O495" s="122">
        <v>0</v>
      </c>
      <c r="P495" s="128">
        <f t="shared" si="100"/>
        <v>0</v>
      </c>
      <c r="Q495" s="126">
        <v>0</v>
      </c>
      <c r="R495" s="699">
        <f>IF($O496=0,0,        _xll.qDateNext($O495,R$17,"M",TRUE,Currency1))</f>
        <v>0</v>
      </c>
      <c r="S495" s="699">
        <f>IF($O496=0,0,        _xll.qDateNext($O495,S$17,"M",TRUE,Currency1))</f>
        <v>0</v>
      </c>
      <c r="T495" s="699">
        <f>IF($O496=0,0,        _xll.qDateNext($O495,T$17,"M",TRUE,Currency1))</f>
        <v>0</v>
      </c>
      <c r="U495" s="699">
        <f>IF($O496=0,0,        _xll.qDateNext($O495,U$17,"M",TRUE,Currency1))</f>
        <v>0</v>
      </c>
      <c r="V495" s="699">
        <f>IF($O496=0,0,        _xll.qDateNext($O495,V$17,"M",TRUE,Currency1))</f>
        <v>0</v>
      </c>
      <c r="W495" s="699">
        <f>IF($O496=0,0,        _xll.qDateNext($O495,W$17,"M",TRUE,Currency1))</f>
        <v>0</v>
      </c>
      <c r="X495" s="699">
        <f>IF($O496=0,0,        _xll.qDateNext($O495,X$17,"M",TRUE,Currency1))</f>
        <v>0</v>
      </c>
      <c r="Y495" s="699">
        <f>IF($O496=0,0,        _xll.qDateNext($O495,Y$17,"M",TRUE,Currency1))</f>
        <v>0</v>
      </c>
      <c r="Z495" s="703">
        <f>IF($O496=0,0,           IF(FRM,_xll.qGetFwdRate(Z$14,$O495,R495,"T",DCC_Leg1_Float),_xll.qGetFwdRate(Z$14,$O495,$O496,"T",DCC_Leg1_Float)))</f>
        <v>0</v>
      </c>
      <c r="AA495" s="703">
        <f>IF($O496=0,0,           IF(FRM,_xll.qGetFwdRate(AA$14,$O495,S495,"T",DCC_Leg1_Float),_xll.qGetFwdRate(AA$14,$O495,$O496,"T",DCC_Leg1_Float)))</f>
        <v>0</v>
      </c>
      <c r="AB495" s="703">
        <f t="shared" si="101"/>
        <v>0</v>
      </c>
      <c r="AC495" s="703">
        <f>IF($O496=0,0,           IF(FRM,_xll.qGetFwdRate(AC$14,$O495,U495,"T",DCC_Leg1_Float),_xll.qGetFwdRate(AC$14,$O495,$O496,"T",DCC_Leg1_Float)))</f>
        <v>0</v>
      </c>
      <c r="AD495" s="703">
        <f t="shared" si="106"/>
        <v>0</v>
      </c>
      <c r="AE495" s="703">
        <f t="shared" si="107"/>
        <v>0</v>
      </c>
      <c r="AF495" s="703">
        <f>IF($O496=0,0,           IF(FRM,_xll.qGetFwdRate(AF$14,$O495,X495,"T",DCC_Leg1_Float),_xll.qGetFwdRate(AF$14,$O495,$O496,"T",DCC_Leg1_Float)))</f>
        <v>0</v>
      </c>
      <c r="AG495" s="703">
        <f>IF($O496=0,0,           IF(FRM,_xll.qGetFwdRate(AG$14,$O495,Y495,"T",DCC_Leg1_Float),_xll.qGetFwdRate(AG$14,$O495,$O496,"T",DCC_Leg1_Float)))</f>
        <v>0</v>
      </c>
      <c r="AH495" s="685">
        <v>0</v>
      </c>
      <c r="AI495" s="667"/>
      <c r="AJ495" s="670">
        <f>IF(O496=0,0,             IF(ISNUMBER(AI495),AI495,             IF(ISTEXT(AI495),INDEX(Z495:AG495,MATCH(AI495,$Z$17:$AG$17,0)),           IF(AH495="INT",_xll.qInterp(O496,R495:Y495,Z495:AG495),       INDEX(Z495:AG495,MATCH(AH495,$Z$17:$AG$17,0))))))</f>
        <v>0</v>
      </c>
      <c r="AK495" s="732">
        <v>20</v>
      </c>
      <c r="AL495" s="721">
        <f t="shared" si="102"/>
        <v>0</v>
      </c>
      <c r="AM495" s="284">
        <f>IF($O496,_xll.qDateYears($O495,$O496,DCC_Leg1_Fixed),0)</f>
        <v>0</v>
      </c>
      <c r="AN495" s="284">
        <f>IF($O496,_xll.qDateYears($O495,$O496,DCC_Leg1_Float),0)</f>
        <v>0</v>
      </c>
      <c r="AP495" s="350">
        <f t="shared" si="108"/>
        <v>0</v>
      </c>
      <c r="AQ495" s="375">
        <f>IF(GenType_1a="Fixed",GenRate_1a%*$AL494*AM494,          IF(GenType_1a="Float",$AL494*(_xll.qGetFwdRate($D$18,$O494,$O495,"T",DCC_Leg1_Float)%+GenRate_1a%%)*$AN494,        IF(GenType_1a="bp (Fixed)",GenRate_1a%%*$AM494*$AL494,   IF(GenType_1a="bp (Float)",GenRate_1a%%*$AL494*$AN494,0))))</f>
        <v>0</v>
      </c>
      <c r="AR495" s="561"/>
      <c r="AT495" s="341">
        <f t="shared" si="112"/>
        <v>0</v>
      </c>
      <c r="AV495" s="356"/>
      <c r="AW495" s="122">
        <v>0</v>
      </c>
      <c r="AX495" s="128">
        <f t="shared" si="103"/>
        <v>0</v>
      </c>
      <c r="AY495" s="357">
        <v>0</v>
      </c>
      <c r="AZ495" s="699">
        <f>IF($AW496=0,0,        _xll.qDateNext($AW495,AZ$17,"M",TRUE,Currency2))</f>
        <v>0</v>
      </c>
      <c r="BA495" s="699">
        <f>IF($AW496=0,0,        _xll.qDateNext($AW495,BA$17,"M",TRUE,Currency2))</f>
        <v>0</v>
      </c>
      <c r="BB495" s="699">
        <f>IF($AW496=0,0,        _xll.qDateNext($AW495,BB$17,"M",TRUE,Currency2))</f>
        <v>0</v>
      </c>
      <c r="BC495" s="699">
        <f>IF($AW496=0,0,        _xll.qDateNext($AW495,BC$17,"M",TRUE,Currency2))</f>
        <v>0</v>
      </c>
      <c r="BD495" s="699">
        <f>IF($AW496=0,0,        _xll.qDateNext($AW495,BD$17,"M",TRUE,Currency2))</f>
        <v>0</v>
      </c>
      <c r="BE495" s="699">
        <f>IF($AW496=0,0,        _xll.qDateNext($AW495,BE$17,"M",TRUE,Currency2))</f>
        <v>0</v>
      </c>
      <c r="BF495" s="699">
        <f>IF($AW496=0,0,        _xll.qDateNext($AW495,BF$17,"M",TRUE,Currency2))</f>
        <v>0</v>
      </c>
      <c r="BG495" s="699">
        <f>IF($AW496=0,0,        _xll.qDateNext($AW495,BG$17,"M",TRUE,Currency2))</f>
        <v>0</v>
      </c>
      <c r="BH495" s="703">
        <v>0</v>
      </c>
      <c r="BI495" s="703">
        <v>0</v>
      </c>
      <c r="BJ495" s="703">
        <v>0</v>
      </c>
      <c r="BK495" s="703">
        <v>0</v>
      </c>
      <c r="BL495" s="703">
        <f t="shared" si="109"/>
        <v>0</v>
      </c>
      <c r="BM495" s="703">
        <f t="shared" si="110"/>
        <v>0</v>
      </c>
      <c r="BN495" s="703">
        <v>0</v>
      </c>
      <c r="BO495" s="703">
        <v>0</v>
      </c>
      <c r="BP495" s="685">
        <v>0</v>
      </c>
      <c r="BQ495" s="667"/>
      <c r="BR495" s="670">
        <f>IF(AW496=0,0,             IF(ISNUMBER(BQ495),BQ495,             IF(ISTEXT(BQ495),INDEX(BH495:BO495,MATCH(BQ495,$BH$17:$BO$17,0)),           IF(BP495="INT",_xll.qInterp(AW496,AZ495:BG495,BH495:BO495),       INDEX(BH495:BO495,MATCH(BP495,$BH$17:$BO$17,0))))))</f>
        <v>0</v>
      </c>
      <c r="BS495" s="731">
        <f t="shared" si="104"/>
        <v>0</v>
      </c>
      <c r="BT495" s="406">
        <f t="shared" si="105"/>
        <v>0</v>
      </c>
      <c r="BU495" s="284">
        <f>IF($AW496,_xll.qDateYears($AW495,$AW496,DCC_Leg2_Fixed),0)</f>
        <v>0</v>
      </c>
      <c r="BV495" s="284">
        <f>IF($AW496,_xll.qDateYears($AW495,$AW496,DCC_Leg2_Float),0)</f>
        <v>0</v>
      </c>
      <c r="BX495" s="350">
        <f t="shared" si="111"/>
        <v>0</v>
      </c>
      <c r="BY495" s="375">
        <f>IF(GenType_2a="Fixed",GenRate_2a%*$BT494*BU494,          IF(GenType_2a="Float",$BT494*(_xll.qGetFwdRate($J$18,$AW494,$AW495,"T",DCC_Leg2_Float)%+GenRate_2a%%)*$BV494,        IF(GenType_2a="bp (Fixed)",GenRate_2a%%*$BU494*$BT494,   IF(GenType_2a="bp (Float)",GenRate_2a%%*$BT494*$BV494,0))))</f>
        <v>0</v>
      </c>
      <c r="BZ495" s="561"/>
      <c r="CB495" s="341">
        <f t="shared" si="113"/>
        <v>0</v>
      </c>
      <c r="CC495" s="563"/>
      <c r="CD495" s="356"/>
      <c r="CE495" s="341">
        <v>0</v>
      </c>
      <c r="CF495" s="563"/>
      <c r="CG495" s="356"/>
    </row>
    <row r="496" spans="15:85">
      <c r="O496" s="122">
        <v>0</v>
      </c>
      <c r="P496" s="128">
        <f t="shared" si="100"/>
        <v>0</v>
      </c>
      <c r="Q496" s="126">
        <v>0</v>
      </c>
      <c r="R496" s="699">
        <f>IF($O497=0,0,        _xll.qDateNext($O496,R$17,"M",TRUE,Currency1))</f>
        <v>0</v>
      </c>
      <c r="S496" s="699">
        <f>IF($O497=0,0,        _xll.qDateNext($O496,S$17,"M",TRUE,Currency1))</f>
        <v>0</v>
      </c>
      <c r="T496" s="699">
        <f>IF($O497=0,0,        _xll.qDateNext($O496,T$17,"M",TRUE,Currency1))</f>
        <v>0</v>
      </c>
      <c r="U496" s="699">
        <f>IF($O497=0,0,        _xll.qDateNext($O496,U$17,"M",TRUE,Currency1))</f>
        <v>0</v>
      </c>
      <c r="V496" s="699">
        <f>IF($O497=0,0,        _xll.qDateNext($O496,V$17,"M",TRUE,Currency1))</f>
        <v>0</v>
      </c>
      <c r="W496" s="699">
        <f>IF($O497=0,0,        _xll.qDateNext($O496,W$17,"M",TRUE,Currency1))</f>
        <v>0</v>
      </c>
      <c r="X496" s="699">
        <f>IF($O497=0,0,        _xll.qDateNext($O496,X$17,"M",TRUE,Currency1))</f>
        <v>0</v>
      </c>
      <c r="Y496" s="699">
        <f>IF($O497=0,0,        _xll.qDateNext($O496,Y$17,"M",TRUE,Currency1))</f>
        <v>0</v>
      </c>
      <c r="Z496" s="703">
        <f>IF($O497=0,0,           IF(FRM,_xll.qGetFwdRate(Z$14,$O496,R496,"T",DCC_Leg1_Float),_xll.qGetFwdRate(Z$14,$O496,$O497,"T",DCC_Leg1_Float)))</f>
        <v>0</v>
      </c>
      <c r="AA496" s="703">
        <f>IF($O497=0,0,           IF(FRM,_xll.qGetFwdRate(AA$14,$O496,S496,"T",DCC_Leg1_Float),_xll.qGetFwdRate(AA$14,$O496,$O497,"T",DCC_Leg1_Float)))</f>
        <v>0</v>
      </c>
      <c r="AB496" s="703">
        <f t="shared" si="101"/>
        <v>0</v>
      </c>
      <c r="AC496" s="703">
        <f>IF($O497=0,0,           IF(FRM,_xll.qGetFwdRate(AC$14,$O496,U496,"T",DCC_Leg1_Float),_xll.qGetFwdRate(AC$14,$O496,$O497,"T",DCC_Leg1_Float)))</f>
        <v>0</v>
      </c>
      <c r="AD496" s="703">
        <f t="shared" si="106"/>
        <v>0</v>
      </c>
      <c r="AE496" s="703">
        <f t="shared" si="107"/>
        <v>0</v>
      </c>
      <c r="AF496" s="703">
        <f>IF($O497=0,0,           IF(FRM,_xll.qGetFwdRate(AF$14,$O496,X496,"T",DCC_Leg1_Float),_xll.qGetFwdRate(AF$14,$O496,$O497,"T",DCC_Leg1_Float)))</f>
        <v>0</v>
      </c>
      <c r="AG496" s="703">
        <f>IF($O497=0,0,           IF(FRM,_xll.qGetFwdRate(AG$14,$O496,Y496,"T",DCC_Leg1_Float),_xll.qGetFwdRate(AG$14,$O496,$O497,"T",DCC_Leg1_Float)))</f>
        <v>0</v>
      </c>
      <c r="AH496" s="685">
        <v>0</v>
      </c>
      <c r="AI496" s="667"/>
      <c r="AJ496" s="670">
        <f>IF(O497=0,0,             IF(ISNUMBER(AI496),AI496,             IF(ISTEXT(AI496),INDEX(Z496:AG496,MATCH(AI496,$Z$17:$AG$17,0)),           IF(AH496="INT",_xll.qInterp(O497,R496:Y496,Z496:AG496),       INDEX(Z496:AG496,MATCH(AH496,$Z$17:$AG$17,0))))))</f>
        <v>0</v>
      </c>
      <c r="AK496" s="732">
        <v>20</v>
      </c>
      <c r="AL496" s="721">
        <f t="shared" si="102"/>
        <v>0</v>
      </c>
      <c r="AM496" s="284">
        <f>IF($O497,_xll.qDateYears($O496,$O497,DCC_Leg1_Fixed),0)</f>
        <v>0</v>
      </c>
      <c r="AN496" s="284">
        <f>IF($O497,_xll.qDateYears($O496,$O497,DCC_Leg1_Float),0)</f>
        <v>0</v>
      </c>
      <c r="AP496" s="350">
        <f t="shared" si="108"/>
        <v>0</v>
      </c>
      <c r="AQ496" s="375">
        <f>IF(GenType_1a="Fixed",GenRate_1a%*$AL495*AM495,          IF(GenType_1a="Float",$AL495*(_xll.qGetFwdRate($D$18,$O495,$O496,"T",DCC_Leg1_Float)%+GenRate_1a%%)*$AN495,        IF(GenType_1a="bp (Fixed)",GenRate_1a%%*$AM495*$AL495,   IF(GenType_1a="bp (Float)",GenRate_1a%%*$AL495*$AN495,0))))</f>
        <v>0</v>
      </c>
      <c r="AR496" s="561"/>
      <c r="AT496" s="341">
        <f t="shared" si="112"/>
        <v>0</v>
      </c>
      <c r="AV496" s="356"/>
      <c r="AW496" s="122">
        <v>0</v>
      </c>
      <c r="AX496" s="128">
        <f t="shared" si="103"/>
        <v>0</v>
      </c>
      <c r="AY496" s="357">
        <v>0</v>
      </c>
      <c r="AZ496" s="699">
        <f>IF($AW497=0,0,        _xll.qDateNext($AW496,AZ$17,"M",TRUE,Currency2))</f>
        <v>0</v>
      </c>
      <c r="BA496" s="699">
        <f>IF($AW497=0,0,        _xll.qDateNext($AW496,BA$17,"M",TRUE,Currency2))</f>
        <v>0</v>
      </c>
      <c r="BB496" s="699">
        <f>IF($AW497=0,0,        _xll.qDateNext($AW496,BB$17,"M",TRUE,Currency2))</f>
        <v>0</v>
      </c>
      <c r="BC496" s="699">
        <f>IF($AW497=0,0,        _xll.qDateNext($AW496,BC$17,"M",TRUE,Currency2))</f>
        <v>0</v>
      </c>
      <c r="BD496" s="699">
        <f>IF($AW497=0,0,        _xll.qDateNext($AW496,BD$17,"M",TRUE,Currency2))</f>
        <v>0</v>
      </c>
      <c r="BE496" s="699">
        <f>IF($AW497=0,0,        _xll.qDateNext($AW496,BE$17,"M",TRUE,Currency2))</f>
        <v>0</v>
      </c>
      <c r="BF496" s="699">
        <f>IF($AW497=0,0,        _xll.qDateNext($AW496,BF$17,"M",TRUE,Currency2))</f>
        <v>0</v>
      </c>
      <c r="BG496" s="699">
        <f>IF($AW497=0,0,        _xll.qDateNext($AW496,BG$17,"M",TRUE,Currency2))</f>
        <v>0</v>
      </c>
      <c r="BH496" s="703">
        <v>0</v>
      </c>
      <c r="BI496" s="703">
        <v>0</v>
      </c>
      <c r="BJ496" s="703">
        <v>0</v>
      </c>
      <c r="BK496" s="703">
        <v>0</v>
      </c>
      <c r="BL496" s="703">
        <f t="shared" si="109"/>
        <v>0</v>
      </c>
      <c r="BM496" s="703">
        <f t="shared" si="110"/>
        <v>0</v>
      </c>
      <c r="BN496" s="703">
        <v>0</v>
      </c>
      <c r="BO496" s="703">
        <v>0</v>
      </c>
      <c r="BP496" s="685">
        <v>0</v>
      </c>
      <c r="BQ496" s="667"/>
      <c r="BR496" s="670">
        <f>IF(AW497=0,0,             IF(ISNUMBER(BQ496),BQ496,             IF(ISTEXT(BQ496),INDEX(BH496:BO496,MATCH(BQ496,$BH$17:$BO$17,0)),           IF(BP496="INT",_xll.qInterp(AW497,AZ496:BG496,BH496:BO496),       INDEX(BH496:BO496,MATCH(BP496,$BH$17:$BO$17,0))))))</f>
        <v>0</v>
      </c>
      <c r="BS496" s="731">
        <f t="shared" si="104"/>
        <v>0</v>
      </c>
      <c r="BT496" s="406">
        <f t="shared" si="105"/>
        <v>0</v>
      </c>
      <c r="BU496" s="284">
        <f>IF($AW497,_xll.qDateYears($AW496,$AW497,DCC_Leg2_Fixed),0)</f>
        <v>0</v>
      </c>
      <c r="BV496" s="284">
        <f>IF($AW497,_xll.qDateYears($AW496,$AW497,DCC_Leg2_Float),0)</f>
        <v>0</v>
      </c>
      <c r="BX496" s="350">
        <f t="shared" si="111"/>
        <v>0</v>
      </c>
      <c r="BY496" s="375">
        <f>IF(GenType_2a="Fixed",GenRate_2a%*$BT495*BU495,          IF(GenType_2a="Float",$BT495*(_xll.qGetFwdRate($J$18,$AW495,$AW496,"T",DCC_Leg2_Float)%+GenRate_2a%%)*$BV495,        IF(GenType_2a="bp (Fixed)",GenRate_2a%%*$BU495*$BT495,   IF(GenType_2a="bp (Float)",GenRate_2a%%*$BT495*$BV495,0))))</f>
        <v>0</v>
      </c>
      <c r="BZ496" s="561"/>
      <c r="CB496" s="341">
        <f t="shared" si="113"/>
        <v>0</v>
      </c>
      <c r="CC496" s="563"/>
      <c r="CD496" s="356"/>
      <c r="CE496" s="341">
        <v>0</v>
      </c>
      <c r="CF496" s="563"/>
      <c r="CG496" s="356"/>
    </row>
    <row r="497" spans="15:85">
      <c r="O497" s="122">
        <v>0</v>
      </c>
      <c r="P497" s="128">
        <f t="shared" si="100"/>
        <v>0</v>
      </c>
      <c r="Q497" s="126">
        <v>0</v>
      </c>
      <c r="R497" s="699">
        <f>IF($O498=0,0,        _xll.qDateNext($O497,R$17,"M",TRUE,Currency1))</f>
        <v>0</v>
      </c>
      <c r="S497" s="699">
        <f>IF($O498=0,0,        _xll.qDateNext($O497,S$17,"M",TRUE,Currency1))</f>
        <v>0</v>
      </c>
      <c r="T497" s="699">
        <f>IF($O498=0,0,        _xll.qDateNext($O497,T$17,"M",TRUE,Currency1))</f>
        <v>0</v>
      </c>
      <c r="U497" s="699">
        <f>IF($O498=0,0,        _xll.qDateNext($O497,U$17,"M",TRUE,Currency1))</f>
        <v>0</v>
      </c>
      <c r="V497" s="699">
        <f>IF($O498=0,0,        _xll.qDateNext($O497,V$17,"M",TRUE,Currency1))</f>
        <v>0</v>
      </c>
      <c r="W497" s="699">
        <f>IF($O498=0,0,        _xll.qDateNext($O497,W$17,"M",TRUE,Currency1))</f>
        <v>0</v>
      </c>
      <c r="X497" s="699">
        <f>IF($O498=0,0,        _xll.qDateNext($O497,X$17,"M",TRUE,Currency1))</f>
        <v>0</v>
      </c>
      <c r="Y497" s="699">
        <f>IF($O498=0,0,        _xll.qDateNext($O497,Y$17,"M",TRUE,Currency1))</f>
        <v>0</v>
      </c>
      <c r="Z497" s="703">
        <f>IF($O498=0,0,           IF(FRM,_xll.qGetFwdRate(Z$14,$O497,R497,"T",DCC_Leg1_Float),_xll.qGetFwdRate(Z$14,$O497,$O498,"T",DCC_Leg1_Float)))</f>
        <v>0</v>
      </c>
      <c r="AA497" s="703">
        <f>IF($O498=0,0,           IF(FRM,_xll.qGetFwdRate(AA$14,$O497,S497,"T",DCC_Leg1_Float),_xll.qGetFwdRate(AA$14,$O497,$O498,"T",DCC_Leg1_Float)))</f>
        <v>0</v>
      </c>
      <c r="AB497" s="703">
        <f t="shared" si="101"/>
        <v>0</v>
      </c>
      <c r="AC497" s="703">
        <f>IF($O498=0,0,           IF(FRM,_xll.qGetFwdRate(AC$14,$O497,U497,"T",DCC_Leg1_Float),_xll.qGetFwdRate(AC$14,$O497,$O498,"T",DCC_Leg1_Float)))</f>
        <v>0</v>
      </c>
      <c r="AD497" s="703">
        <f t="shared" si="106"/>
        <v>0</v>
      </c>
      <c r="AE497" s="703">
        <f t="shared" si="107"/>
        <v>0</v>
      </c>
      <c r="AF497" s="703">
        <f>IF($O498=0,0,           IF(FRM,_xll.qGetFwdRate(AF$14,$O497,X497,"T",DCC_Leg1_Float),_xll.qGetFwdRate(AF$14,$O497,$O498,"T",DCC_Leg1_Float)))</f>
        <v>0</v>
      </c>
      <c r="AG497" s="703">
        <f>IF($O498=0,0,           IF(FRM,_xll.qGetFwdRate(AG$14,$O497,Y497,"T",DCC_Leg1_Float),_xll.qGetFwdRate(AG$14,$O497,$O498,"T",DCC_Leg1_Float)))</f>
        <v>0</v>
      </c>
      <c r="AH497" s="685">
        <v>0</v>
      </c>
      <c r="AI497" s="667"/>
      <c r="AJ497" s="670">
        <f>IF(O498=0,0,             IF(ISNUMBER(AI497),AI497,             IF(ISTEXT(AI497),INDEX(Z497:AG497,MATCH(AI497,$Z$17:$AG$17,0)),           IF(AH497="INT",_xll.qInterp(O498,R497:Y497,Z497:AG497),       INDEX(Z497:AG497,MATCH(AH497,$Z$17:$AG$17,0))))))</f>
        <v>0</v>
      </c>
      <c r="AK497" s="732">
        <v>20</v>
      </c>
      <c r="AL497" s="721">
        <f t="shared" si="102"/>
        <v>0</v>
      </c>
      <c r="AM497" s="284">
        <f>IF($O498,_xll.qDateYears($O497,$O498,DCC_Leg1_Fixed),0)</f>
        <v>0</v>
      </c>
      <c r="AN497" s="284">
        <f>IF($O498,_xll.qDateYears($O497,$O498,DCC_Leg1_Float),0)</f>
        <v>0</v>
      </c>
      <c r="AP497" s="350">
        <f t="shared" si="108"/>
        <v>0</v>
      </c>
      <c r="AQ497" s="375">
        <f>IF(GenType_1a="Fixed",GenRate_1a%*$AL496*AM496,          IF(GenType_1a="Float",$AL496*(_xll.qGetFwdRate($D$18,$O496,$O497,"T",DCC_Leg1_Float)%+GenRate_1a%%)*$AN496,        IF(GenType_1a="bp (Fixed)",GenRate_1a%%*$AM496*$AL496,   IF(GenType_1a="bp (Float)",GenRate_1a%%*$AL496*$AN496,0))))</f>
        <v>0</v>
      </c>
      <c r="AR497" s="561"/>
      <c r="AT497" s="341">
        <f t="shared" si="112"/>
        <v>0</v>
      </c>
      <c r="AV497" s="356"/>
      <c r="AW497" s="122">
        <v>0</v>
      </c>
      <c r="AX497" s="128">
        <f t="shared" si="103"/>
        <v>0</v>
      </c>
      <c r="AY497" s="357">
        <v>0</v>
      </c>
      <c r="AZ497" s="699">
        <f>IF($AW498=0,0,        _xll.qDateNext($AW497,AZ$17,"M",TRUE,Currency2))</f>
        <v>0</v>
      </c>
      <c r="BA497" s="699">
        <f>IF($AW498=0,0,        _xll.qDateNext($AW497,BA$17,"M",TRUE,Currency2))</f>
        <v>0</v>
      </c>
      <c r="BB497" s="699">
        <f>IF($AW498=0,0,        _xll.qDateNext($AW497,BB$17,"M",TRUE,Currency2))</f>
        <v>0</v>
      </c>
      <c r="BC497" s="699">
        <f>IF($AW498=0,0,        _xll.qDateNext($AW497,BC$17,"M",TRUE,Currency2))</f>
        <v>0</v>
      </c>
      <c r="BD497" s="699">
        <f>IF($AW498=0,0,        _xll.qDateNext($AW497,BD$17,"M",TRUE,Currency2))</f>
        <v>0</v>
      </c>
      <c r="BE497" s="699">
        <f>IF($AW498=0,0,        _xll.qDateNext($AW497,BE$17,"M",TRUE,Currency2))</f>
        <v>0</v>
      </c>
      <c r="BF497" s="699">
        <f>IF($AW498=0,0,        _xll.qDateNext($AW497,BF$17,"M",TRUE,Currency2))</f>
        <v>0</v>
      </c>
      <c r="BG497" s="699">
        <f>IF($AW498=0,0,        _xll.qDateNext($AW497,BG$17,"M",TRUE,Currency2))</f>
        <v>0</v>
      </c>
      <c r="BH497" s="703">
        <v>0</v>
      </c>
      <c r="BI497" s="703">
        <v>0</v>
      </c>
      <c r="BJ497" s="703">
        <v>0</v>
      </c>
      <c r="BK497" s="703">
        <v>0</v>
      </c>
      <c r="BL497" s="703">
        <f t="shared" si="109"/>
        <v>0</v>
      </c>
      <c r="BM497" s="703">
        <f t="shared" si="110"/>
        <v>0</v>
      </c>
      <c r="BN497" s="703">
        <v>0</v>
      </c>
      <c r="BO497" s="703">
        <v>0</v>
      </c>
      <c r="BP497" s="685">
        <v>0</v>
      </c>
      <c r="BQ497" s="667"/>
      <c r="BR497" s="670">
        <f>IF(AW498=0,0,             IF(ISNUMBER(BQ497),BQ497,             IF(ISTEXT(BQ497),INDEX(BH497:BO497,MATCH(BQ497,$BH$17:$BO$17,0)),           IF(BP497="INT",_xll.qInterp(AW498,AZ497:BG497,BH497:BO497),       INDEX(BH497:BO497,MATCH(BP497,$BH$17:$BO$17,0))))))</f>
        <v>0</v>
      </c>
      <c r="BS497" s="731">
        <f t="shared" si="104"/>
        <v>0</v>
      </c>
      <c r="BT497" s="406">
        <f t="shared" si="105"/>
        <v>0</v>
      </c>
      <c r="BU497" s="284">
        <f>IF($AW498,_xll.qDateYears($AW497,$AW498,DCC_Leg2_Fixed),0)</f>
        <v>0</v>
      </c>
      <c r="BV497" s="284">
        <f>IF($AW498,_xll.qDateYears($AW497,$AW498,DCC_Leg2_Float),0)</f>
        <v>0</v>
      </c>
      <c r="BX497" s="350">
        <f t="shared" si="111"/>
        <v>0</v>
      </c>
      <c r="BY497" s="375">
        <f>IF(GenType_2a="Fixed",GenRate_2a%*$BT496*BU496,          IF(GenType_2a="Float",$BT496*(_xll.qGetFwdRate($J$18,$AW496,$AW497,"T",DCC_Leg2_Float)%+GenRate_2a%%)*$BV496,        IF(GenType_2a="bp (Fixed)",GenRate_2a%%*$BU496*$BT496,   IF(GenType_2a="bp (Float)",GenRate_2a%%*$BT496*$BV496,0))))</f>
        <v>0</v>
      </c>
      <c r="BZ497" s="561"/>
      <c r="CB497" s="341">
        <f t="shared" si="113"/>
        <v>0</v>
      </c>
      <c r="CC497" s="563"/>
      <c r="CD497" s="356"/>
      <c r="CE497" s="341">
        <v>0</v>
      </c>
      <c r="CF497" s="563"/>
      <c r="CG497" s="356"/>
    </row>
    <row r="498" spans="15:85">
      <c r="O498" s="122">
        <v>0</v>
      </c>
      <c r="P498" s="128">
        <f t="shared" si="100"/>
        <v>0</v>
      </c>
      <c r="Q498" s="126">
        <v>0</v>
      </c>
      <c r="R498" s="699">
        <f>IF($O499=0,0,        _xll.qDateNext($O498,R$17,"M",TRUE,Currency1))</f>
        <v>0</v>
      </c>
      <c r="S498" s="699">
        <f>IF($O499=0,0,        _xll.qDateNext($O498,S$17,"M",TRUE,Currency1))</f>
        <v>0</v>
      </c>
      <c r="T498" s="699">
        <f>IF($O499=0,0,        _xll.qDateNext($O498,T$17,"M",TRUE,Currency1))</f>
        <v>0</v>
      </c>
      <c r="U498" s="699">
        <f>IF($O499=0,0,        _xll.qDateNext($O498,U$17,"M",TRUE,Currency1))</f>
        <v>0</v>
      </c>
      <c r="V498" s="699">
        <f>IF($O499=0,0,        _xll.qDateNext($O498,V$17,"M",TRUE,Currency1))</f>
        <v>0</v>
      </c>
      <c r="W498" s="699">
        <f>IF($O499=0,0,        _xll.qDateNext($O498,W$17,"M",TRUE,Currency1))</f>
        <v>0</v>
      </c>
      <c r="X498" s="699">
        <f>IF($O499=0,0,        _xll.qDateNext($O498,X$17,"M",TRUE,Currency1))</f>
        <v>0</v>
      </c>
      <c r="Y498" s="699">
        <f>IF($O499=0,0,        _xll.qDateNext($O498,Y$17,"M",TRUE,Currency1))</f>
        <v>0</v>
      </c>
      <c r="Z498" s="703">
        <f>IF($O499=0,0,           IF(FRM,_xll.qGetFwdRate(Z$14,$O498,R498,"T",DCC_Leg1_Float),_xll.qGetFwdRate(Z$14,$O498,$O499,"T",DCC_Leg1_Float)))</f>
        <v>0</v>
      </c>
      <c r="AA498" s="703">
        <f>IF($O499=0,0,           IF(FRM,_xll.qGetFwdRate(AA$14,$O498,S498,"T",DCC_Leg1_Float),_xll.qGetFwdRate(AA$14,$O498,$O499,"T",DCC_Leg1_Float)))</f>
        <v>0</v>
      </c>
      <c r="AB498" s="703">
        <f t="shared" si="101"/>
        <v>0</v>
      </c>
      <c r="AC498" s="703">
        <f>IF($O499=0,0,           IF(FRM,_xll.qGetFwdRate(AC$14,$O498,U498,"T",DCC_Leg1_Float),_xll.qGetFwdRate(AC$14,$O498,$O499,"T",DCC_Leg1_Float)))</f>
        <v>0</v>
      </c>
      <c r="AD498" s="703">
        <f t="shared" si="106"/>
        <v>0</v>
      </c>
      <c r="AE498" s="703">
        <f t="shared" si="107"/>
        <v>0</v>
      </c>
      <c r="AF498" s="703">
        <f>IF($O499=0,0,           IF(FRM,_xll.qGetFwdRate(AF$14,$O498,X498,"T",DCC_Leg1_Float),_xll.qGetFwdRate(AF$14,$O498,$O499,"T",DCC_Leg1_Float)))</f>
        <v>0</v>
      </c>
      <c r="AG498" s="703">
        <f>IF($O499=0,0,           IF(FRM,_xll.qGetFwdRate(AG$14,$O498,Y498,"T",DCC_Leg1_Float),_xll.qGetFwdRate(AG$14,$O498,$O499,"T",DCC_Leg1_Float)))</f>
        <v>0</v>
      </c>
      <c r="AH498" s="685">
        <v>0</v>
      </c>
      <c r="AI498" s="667"/>
      <c r="AJ498" s="670">
        <f>IF(O499=0,0,             IF(ISNUMBER(AI498),AI498,             IF(ISTEXT(AI498),INDEX(Z498:AG498,MATCH(AI498,$Z$17:$AG$17,0)),           IF(AH498="INT",_xll.qInterp(O499,R498:Y498,Z498:AG498),       INDEX(Z498:AG498,MATCH(AH498,$Z$17:$AG$17,0))))))</f>
        <v>0</v>
      </c>
      <c r="AK498" s="732">
        <v>20</v>
      </c>
      <c r="AL498" s="721">
        <f t="shared" si="102"/>
        <v>0</v>
      </c>
      <c r="AM498" s="284">
        <f>IF($O499,_xll.qDateYears($O498,$O499,DCC_Leg1_Fixed),0)</f>
        <v>0</v>
      </c>
      <c r="AN498" s="284">
        <f>IF($O499,_xll.qDateYears($O498,$O499,DCC_Leg1_Float),0)</f>
        <v>0</v>
      </c>
      <c r="AP498" s="350">
        <f t="shared" si="108"/>
        <v>0</v>
      </c>
      <c r="AQ498" s="375">
        <f>IF(GenType_1a="Fixed",GenRate_1a%*$AL497*AM497,          IF(GenType_1a="Float",$AL497*(_xll.qGetFwdRate($D$18,$O497,$O498,"T",DCC_Leg1_Float)%+GenRate_1a%%)*$AN497,        IF(GenType_1a="bp (Fixed)",GenRate_1a%%*$AM497*$AL497,   IF(GenType_1a="bp (Float)",GenRate_1a%%*$AL497*$AN497,0))))</f>
        <v>0</v>
      </c>
      <c r="AR498" s="561"/>
      <c r="AT498" s="341">
        <f t="shared" si="112"/>
        <v>0</v>
      </c>
      <c r="AV498" s="356"/>
      <c r="AW498" s="122">
        <v>0</v>
      </c>
      <c r="AX498" s="128">
        <f t="shared" si="103"/>
        <v>0</v>
      </c>
      <c r="AY498" s="357">
        <v>0</v>
      </c>
      <c r="AZ498" s="699">
        <f>IF($AW499=0,0,        _xll.qDateNext($AW498,AZ$17,"M",TRUE,Currency2))</f>
        <v>0</v>
      </c>
      <c r="BA498" s="699">
        <f>IF($AW499=0,0,        _xll.qDateNext($AW498,BA$17,"M",TRUE,Currency2))</f>
        <v>0</v>
      </c>
      <c r="BB498" s="699">
        <f>IF($AW499=0,0,        _xll.qDateNext($AW498,BB$17,"M",TRUE,Currency2))</f>
        <v>0</v>
      </c>
      <c r="BC498" s="699">
        <f>IF($AW499=0,0,        _xll.qDateNext($AW498,BC$17,"M",TRUE,Currency2))</f>
        <v>0</v>
      </c>
      <c r="BD498" s="699">
        <f>IF($AW499=0,0,        _xll.qDateNext($AW498,BD$17,"M",TRUE,Currency2))</f>
        <v>0</v>
      </c>
      <c r="BE498" s="699">
        <f>IF($AW499=0,0,        _xll.qDateNext($AW498,BE$17,"M",TRUE,Currency2))</f>
        <v>0</v>
      </c>
      <c r="BF498" s="699">
        <f>IF($AW499=0,0,        _xll.qDateNext($AW498,BF$17,"M",TRUE,Currency2))</f>
        <v>0</v>
      </c>
      <c r="BG498" s="699">
        <f>IF($AW499=0,0,        _xll.qDateNext($AW498,BG$17,"M",TRUE,Currency2))</f>
        <v>0</v>
      </c>
      <c r="BH498" s="703">
        <v>0</v>
      </c>
      <c r="BI498" s="703">
        <v>0</v>
      </c>
      <c r="BJ498" s="703">
        <v>0</v>
      </c>
      <c r="BK498" s="703">
        <v>0</v>
      </c>
      <c r="BL498" s="703">
        <f t="shared" si="109"/>
        <v>0</v>
      </c>
      <c r="BM498" s="703">
        <f t="shared" si="110"/>
        <v>0</v>
      </c>
      <c r="BN498" s="703">
        <v>0</v>
      </c>
      <c r="BO498" s="703">
        <v>0</v>
      </c>
      <c r="BP498" s="685">
        <v>0</v>
      </c>
      <c r="BQ498" s="667"/>
      <c r="BR498" s="670">
        <f>IF(AW499=0,0,             IF(ISNUMBER(BQ498),BQ498,             IF(ISTEXT(BQ498),INDEX(BH498:BO498,MATCH(BQ498,$BH$17:$BO$17,0)),           IF(BP498="INT",_xll.qInterp(AW499,AZ498:BG498,BH498:BO498),       INDEX(BH498:BO498,MATCH(BP498,$BH$17:$BO$17,0))))))</f>
        <v>0</v>
      </c>
      <c r="BS498" s="731">
        <f t="shared" si="104"/>
        <v>0</v>
      </c>
      <c r="BT498" s="406">
        <f t="shared" si="105"/>
        <v>0</v>
      </c>
      <c r="BU498" s="284">
        <f>IF($AW499,_xll.qDateYears($AW498,$AW499,DCC_Leg2_Fixed),0)</f>
        <v>0</v>
      </c>
      <c r="BV498" s="284">
        <f>IF($AW499,_xll.qDateYears($AW498,$AW499,DCC_Leg2_Float),0)</f>
        <v>0</v>
      </c>
      <c r="BX498" s="350">
        <f t="shared" si="111"/>
        <v>0</v>
      </c>
      <c r="BY498" s="375">
        <f>IF(GenType_2a="Fixed",GenRate_2a%*$BT497*BU497,          IF(GenType_2a="Float",$BT497*(_xll.qGetFwdRate($J$18,$AW497,$AW498,"T",DCC_Leg2_Float)%+GenRate_2a%%)*$BV497,        IF(GenType_2a="bp (Fixed)",GenRate_2a%%*$BU497*$BT497,   IF(GenType_2a="bp (Float)",GenRate_2a%%*$BT497*$BV497,0))))</f>
        <v>0</v>
      </c>
      <c r="BZ498" s="561"/>
      <c r="CB498" s="341">
        <f t="shared" si="113"/>
        <v>0</v>
      </c>
      <c r="CC498" s="563"/>
      <c r="CD498" s="356"/>
      <c r="CE498" s="341">
        <v>0</v>
      </c>
      <c r="CF498" s="563"/>
      <c r="CG498" s="356"/>
    </row>
    <row r="499" spans="15:85">
      <c r="O499" s="122">
        <v>0</v>
      </c>
      <c r="P499" s="128">
        <f t="shared" si="100"/>
        <v>0</v>
      </c>
      <c r="Q499" s="126">
        <v>0</v>
      </c>
      <c r="R499" s="699">
        <f>IF($O500=0,0,        _xll.qDateNext($O499,R$17,"M",TRUE,Currency1))</f>
        <v>0</v>
      </c>
      <c r="S499" s="699">
        <f>IF($O500=0,0,        _xll.qDateNext($O499,S$17,"M",TRUE,Currency1))</f>
        <v>0</v>
      </c>
      <c r="T499" s="699">
        <f>IF($O500=0,0,        _xll.qDateNext($O499,T$17,"M",TRUE,Currency1))</f>
        <v>0</v>
      </c>
      <c r="U499" s="699">
        <f>IF($O500=0,0,        _xll.qDateNext($O499,U$17,"M",TRUE,Currency1))</f>
        <v>0</v>
      </c>
      <c r="V499" s="699">
        <f>IF($O500=0,0,        _xll.qDateNext($O499,V$17,"M",TRUE,Currency1))</f>
        <v>0</v>
      </c>
      <c r="W499" s="699">
        <f>IF($O500=0,0,        _xll.qDateNext($O499,W$17,"M",TRUE,Currency1))</f>
        <v>0</v>
      </c>
      <c r="X499" s="699">
        <f>IF($O500=0,0,        _xll.qDateNext($O499,X$17,"M",TRUE,Currency1))</f>
        <v>0</v>
      </c>
      <c r="Y499" s="699">
        <f>IF($O500=0,0,        _xll.qDateNext($O499,Y$17,"M",TRUE,Currency1))</f>
        <v>0</v>
      </c>
      <c r="Z499" s="703">
        <f>IF($O500=0,0,           IF(FRM,_xll.qGetFwdRate(Z$14,$O499,R499,"T",DCC_Leg1_Float),_xll.qGetFwdRate(Z$14,$O499,$O500,"T",DCC_Leg1_Float)))</f>
        <v>0</v>
      </c>
      <c r="AA499" s="703">
        <f>IF($O500=0,0,           IF(FRM,_xll.qGetFwdRate(AA$14,$O499,S499,"T",DCC_Leg1_Float),_xll.qGetFwdRate(AA$14,$O499,$O500,"T",DCC_Leg1_Float)))</f>
        <v>0</v>
      </c>
      <c r="AB499" s="703">
        <f t="shared" si="101"/>
        <v>0</v>
      </c>
      <c r="AC499" s="703">
        <f>IF($O500=0,0,           IF(FRM,_xll.qGetFwdRate(AC$14,$O499,U499,"T",DCC_Leg1_Float),_xll.qGetFwdRate(AC$14,$O499,$O500,"T",DCC_Leg1_Float)))</f>
        <v>0</v>
      </c>
      <c r="AD499" s="703">
        <f t="shared" si="106"/>
        <v>0</v>
      </c>
      <c r="AE499" s="703">
        <f t="shared" si="107"/>
        <v>0</v>
      </c>
      <c r="AF499" s="703">
        <f>IF($O500=0,0,           IF(FRM,_xll.qGetFwdRate(AF$14,$O499,X499,"T",DCC_Leg1_Float),_xll.qGetFwdRate(AF$14,$O499,$O500,"T",DCC_Leg1_Float)))</f>
        <v>0</v>
      </c>
      <c r="AG499" s="703">
        <f>IF($O500=0,0,           IF(FRM,_xll.qGetFwdRate(AG$14,$O499,Y499,"T",DCC_Leg1_Float),_xll.qGetFwdRate(AG$14,$O499,$O500,"T",DCC_Leg1_Float)))</f>
        <v>0</v>
      </c>
      <c r="AH499" s="685">
        <v>0</v>
      </c>
      <c r="AI499" s="667"/>
      <c r="AJ499" s="670">
        <f>IF(O500=0,0,             IF(ISNUMBER(AI499),AI499,             IF(ISTEXT(AI499),INDEX(Z499:AG499,MATCH(AI499,$Z$17:$AG$17,0)),           IF(AH499="INT",_xll.qInterp(O500,R499:Y499,Z499:AG499),       INDEX(Z499:AG499,MATCH(AH499,$Z$17:$AG$17,0))))))</f>
        <v>0</v>
      </c>
      <c r="AK499" s="732">
        <v>20</v>
      </c>
      <c r="AL499" s="721">
        <f t="shared" si="102"/>
        <v>0</v>
      </c>
      <c r="AM499" s="284">
        <f>IF($O500,_xll.qDateYears($O499,$O500,DCC_Leg1_Fixed),0)</f>
        <v>0</v>
      </c>
      <c r="AN499" s="284">
        <f>IF($O500,_xll.qDateYears($O499,$O500,DCC_Leg1_Float),0)</f>
        <v>0</v>
      </c>
      <c r="AP499" s="350">
        <f t="shared" si="108"/>
        <v>0</v>
      </c>
      <c r="AQ499" s="375">
        <f>IF(GenType_1a="Fixed",GenRate_1a%*$AL498*AM498,          IF(GenType_1a="Float",$AL498*(_xll.qGetFwdRate($D$18,$O498,$O499,"T",DCC_Leg1_Float)%+GenRate_1a%%)*$AN498,        IF(GenType_1a="bp (Fixed)",GenRate_1a%%*$AM498*$AL498,   IF(GenType_1a="bp (Float)",GenRate_1a%%*$AL498*$AN498,0))))</f>
        <v>0</v>
      </c>
      <c r="AR499" s="561"/>
      <c r="AT499" s="341">
        <f t="shared" si="112"/>
        <v>0</v>
      </c>
      <c r="AV499" s="356"/>
      <c r="AW499" s="122">
        <v>0</v>
      </c>
      <c r="AX499" s="128">
        <f t="shared" si="103"/>
        <v>0</v>
      </c>
      <c r="AY499" s="357">
        <v>0</v>
      </c>
      <c r="AZ499" s="699">
        <f>IF($AW500=0,0,        _xll.qDateNext($AW499,AZ$17,"M",TRUE,Currency2))</f>
        <v>0</v>
      </c>
      <c r="BA499" s="699">
        <f>IF($AW500=0,0,        _xll.qDateNext($AW499,BA$17,"M",TRUE,Currency2))</f>
        <v>0</v>
      </c>
      <c r="BB499" s="699">
        <f>IF($AW500=0,0,        _xll.qDateNext($AW499,BB$17,"M",TRUE,Currency2))</f>
        <v>0</v>
      </c>
      <c r="BC499" s="699">
        <f>IF($AW500=0,0,        _xll.qDateNext($AW499,BC$17,"M",TRUE,Currency2))</f>
        <v>0</v>
      </c>
      <c r="BD499" s="699">
        <f>IF($AW500=0,0,        _xll.qDateNext($AW499,BD$17,"M",TRUE,Currency2))</f>
        <v>0</v>
      </c>
      <c r="BE499" s="699">
        <f>IF($AW500=0,0,        _xll.qDateNext($AW499,BE$17,"M",TRUE,Currency2))</f>
        <v>0</v>
      </c>
      <c r="BF499" s="699">
        <f>IF($AW500=0,0,        _xll.qDateNext($AW499,BF$17,"M",TRUE,Currency2))</f>
        <v>0</v>
      </c>
      <c r="BG499" s="699">
        <f>IF($AW500=0,0,        _xll.qDateNext($AW499,BG$17,"M",TRUE,Currency2))</f>
        <v>0</v>
      </c>
      <c r="BH499" s="703">
        <v>0</v>
      </c>
      <c r="BI499" s="703">
        <v>0</v>
      </c>
      <c r="BJ499" s="703">
        <v>0</v>
      </c>
      <c r="BK499" s="703">
        <v>0</v>
      </c>
      <c r="BL499" s="703">
        <f t="shared" si="109"/>
        <v>0</v>
      </c>
      <c r="BM499" s="703">
        <f t="shared" si="110"/>
        <v>0</v>
      </c>
      <c r="BN499" s="703">
        <v>0</v>
      </c>
      <c r="BO499" s="703">
        <v>0</v>
      </c>
      <c r="BP499" s="685">
        <v>0</v>
      </c>
      <c r="BQ499" s="667"/>
      <c r="BR499" s="670">
        <f>IF(AW500=0,0,             IF(ISNUMBER(BQ499),BQ499,             IF(ISTEXT(BQ499),INDEX(BH499:BO499,MATCH(BQ499,$BH$17:$BO$17,0)),           IF(BP499="INT",_xll.qInterp(AW500,AZ499:BG499,BH499:BO499),       INDEX(BH499:BO499,MATCH(BP499,$BH$17:$BO$17,0))))))</f>
        <v>0</v>
      </c>
      <c r="BS499" s="731">
        <f t="shared" si="104"/>
        <v>0</v>
      </c>
      <c r="BT499" s="406">
        <f t="shared" si="105"/>
        <v>0</v>
      </c>
      <c r="BU499" s="284">
        <f>IF($AW500,_xll.qDateYears($AW499,$AW500,DCC_Leg2_Fixed),0)</f>
        <v>0</v>
      </c>
      <c r="BV499" s="284">
        <f>IF($AW500,_xll.qDateYears($AW499,$AW500,DCC_Leg2_Float),0)</f>
        <v>0</v>
      </c>
      <c r="BX499" s="350">
        <f t="shared" si="111"/>
        <v>0</v>
      </c>
      <c r="BY499" s="375">
        <f>IF(GenType_2a="Fixed",GenRate_2a%*$BT498*BU498,          IF(GenType_2a="Float",$BT498*(_xll.qGetFwdRate($J$18,$AW498,$AW499,"T",DCC_Leg2_Float)%+GenRate_2a%%)*$BV498,        IF(GenType_2a="bp (Fixed)",GenRate_2a%%*$BU498*$BT498,   IF(GenType_2a="bp (Float)",GenRate_2a%%*$BT498*$BV498,0))))</f>
        <v>0</v>
      </c>
      <c r="BZ499" s="561"/>
      <c r="CB499" s="341">
        <f t="shared" si="113"/>
        <v>0</v>
      </c>
      <c r="CC499" s="563"/>
      <c r="CD499" s="356"/>
      <c r="CE499" s="341">
        <v>0</v>
      </c>
      <c r="CF499" s="563"/>
      <c r="CG499" s="356"/>
    </row>
    <row r="500" spans="15:85">
      <c r="O500" s="122">
        <v>0</v>
      </c>
      <c r="P500" s="128">
        <f t="shared" si="100"/>
        <v>0</v>
      </c>
      <c r="Q500" s="126">
        <v>0</v>
      </c>
      <c r="R500" s="699">
        <f>IF($O501=0,0,        _xll.qDateNext($O500,R$17,"M",TRUE,Currency1))</f>
        <v>0</v>
      </c>
      <c r="S500" s="699">
        <f>IF($O501=0,0,        _xll.qDateNext($O500,S$17,"M",TRUE,Currency1))</f>
        <v>0</v>
      </c>
      <c r="T500" s="699">
        <f>IF($O501=0,0,        _xll.qDateNext($O500,T$17,"M",TRUE,Currency1))</f>
        <v>0</v>
      </c>
      <c r="U500" s="699">
        <f>IF($O501=0,0,        _xll.qDateNext($O500,U$17,"M",TRUE,Currency1))</f>
        <v>0</v>
      </c>
      <c r="V500" s="699">
        <f>IF($O501=0,0,        _xll.qDateNext($O500,V$17,"M",TRUE,Currency1))</f>
        <v>0</v>
      </c>
      <c r="W500" s="699">
        <f>IF($O501=0,0,        _xll.qDateNext($O500,W$17,"M",TRUE,Currency1))</f>
        <v>0</v>
      </c>
      <c r="X500" s="699">
        <f>IF($O501=0,0,        _xll.qDateNext($O500,X$17,"M",TRUE,Currency1))</f>
        <v>0</v>
      </c>
      <c r="Y500" s="699">
        <f>IF($O501=0,0,        _xll.qDateNext($O500,Y$17,"M",TRUE,Currency1))</f>
        <v>0</v>
      </c>
      <c r="Z500" s="703">
        <f>IF($O501=0,0,           IF(FRM,_xll.qGetFwdRate(Z$14,$O500,R500,"T",DCC_Leg1_Float),_xll.qGetFwdRate(Z$14,$O500,$O501,"T",DCC_Leg1_Float)))</f>
        <v>0</v>
      </c>
      <c r="AA500" s="703">
        <f>IF($O501=0,0,           IF(FRM,_xll.qGetFwdRate(AA$14,$O500,S500,"T",DCC_Leg1_Float),_xll.qGetFwdRate(AA$14,$O500,$O501,"T",DCC_Leg1_Float)))</f>
        <v>0</v>
      </c>
      <c r="AB500" s="703">
        <f t="shared" si="101"/>
        <v>0</v>
      </c>
      <c r="AC500" s="703">
        <f>IF($O501=0,0,           IF(FRM,_xll.qGetFwdRate(AC$14,$O500,U500,"T",DCC_Leg1_Float),_xll.qGetFwdRate(AC$14,$O500,$O501,"T",DCC_Leg1_Float)))</f>
        <v>0</v>
      </c>
      <c r="AD500" s="703">
        <f t="shared" si="106"/>
        <v>0</v>
      </c>
      <c r="AE500" s="703">
        <f t="shared" si="107"/>
        <v>0</v>
      </c>
      <c r="AF500" s="703">
        <f>IF($O501=0,0,           IF(FRM,_xll.qGetFwdRate(AF$14,$O500,X500,"T",DCC_Leg1_Float),_xll.qGetFwdRate(AF$14,$O500,$O501,"T",DCC_Leg1_Float)))</f>
        <v>0</v>
      </c>
      <c r="AG500" s="703">
        <f>IF($O501=0,0,           IF(FRM,_xll.qGetFwdRate(AG$14,$O500,Y500,"T",DCC_Leg1_Float),_xll.qGetFwdRate(AG$14,$O500,$O501,"T",DCC_Leg1_Float)))</f>
        <v>0</v>
      </c>
      <c r="AH500" s="685">
        <v>0</v>
      </c>
      <c r="AI500" s="667"/>
      <c r="AJ500" s="670">
        <f>IF(O501=0,0,             IF(ISNUMBER(AI500),AI500,             IF(ISTEXT(AI500),INDEX(Z500:AG500,MATCH(AI500,$Z$17:$AG$17,0)),           IF(AH500="INT",_xll.qInterp(O501,R500:Y500,Z500:AG500),       INDEX(Z500:AG500,MATCH(AH500,$Z$17:$AG$17,0))))))</f>
        <v>0</v>
      </c>
      <c r="AK500" s="732">
        <v>20</v>
      </c>
      <c r="AL500" s="721">
        <f t="shared" si="102"/>
        <v>0</v>
      </c>
      <c r="AM500" s="284">
        <f>IF($O501,_xll.qDateYears($O500,$O501,DCC_Leg1_Fixed),0)</f>
        <v>0</v>
      </c>
      <c r="AN500" s="284">
        <f>IF($O501,_xll.qDateYears($O500,$O501,DCC_Leg1_Float),0)</f>
        <v>0</v>
      </c>
      <c r="AP500" s="350">
        <f t="shared" si="108"/>
        <v>0</v>
      </c>
      <c r="AQ500" s="375">
        <f>IF(GenType_1a="Fixed",GenRate_1a%*$AL499*AM499,          IF(GenType_1a="Float",$AL499*(_xll.qGetFwdRate($D$18,$O499,$O500,"T",DCC_Leg1_Float)%+GenRate_1a%%)*$AN499,        IF(GenType_1a="bp (Fixed)",GenRate_1a%%*$AM499*$AL499,   IF(GenType_1a="bp (Float)",GenRate_1a%%*$AL499*$AN499,0))))</f>
        <v>0</v>
      </c>
      <c r="AR500" s="561"/>
      <c r="AT500" s="341">
        <f t="shared" si="112"/>
        <v>0</v>
      </c>
      <c r="AV500" s="356"/>
      <c r="AW500" s="122">
        <v>0</v>
      </c>
      <c r="AX500" s="128">
        <f t="shared" si="103"/>
        <v>0</v>
      </c>
      <c r="AY500" s="357">
        <v>0</v>
      </c>
      <c r="AZ500" s="699">
        <f>IF($AW501=0,0,        _xll.qDateNext($AW500,AZ$17,"M",TRUE,Currency2))</f>
        <v>0</v>
      </c>
      <c r="BA500" s="699">
        <f>IF($AW501=0,0,        _xll.qDateNext($AW500,BA$17,"M",TRUE,Currency2))</f>
        <v>0</v>
      </c>
      <c r="BB500" s="699">
        <f>IF($AW501=0,0,        _xll.qDateNext($AW500,BB$17,"M",TRUE,Currency2))</f>
        <v>0</v>
      </c>
      <c r="BC500" s="699">
        <f>IF($AW501=0,0,        _xll.qDateNext($AW500,BC$17,"M",TRUE,Currency2))</f>
        <v>0</v>
      </c>
      <c r="BD500" s="699">
        <f>IF($AW501=0,0,        _xll.qDateNext($AW500,BD$17,"M",TRUE,Currency2))</f>
        <v>0</v>
      </c>
      <c r="BE500" s="699">
        <f>IF($AW501=0,0,        _xll.qDateNext($AW500,BE$17,"M",TRUE,Currency2))</f>
        <v>0</v>
      </c>
      <c r="BF500" s="699">
        <f>IF($AW501=0,0,        _xll.qDateNext($AW500,BF$17,"M",TRUE,Currency2))</f>
        <v>0</v>
      </c>
      <c r="BG500" s="699">
        <f>IF($AW501=0,0,        _xll.qDateNext($AW500,BG$17,"M",TRUE,Currency2))</f>
        <v>0</v>
      </c>
      <c r="BH500" s="703">
        <v>0</v>
      </c>
      <c r="BI500" s="703">
        <v>0</v>
      </c>
      <c r="BJ500" s="703">
        <v>0</v>
      </c>
      <c r="BK500" s="703">
        <v>0</v>
      </c>
      <c r="BL500" s="703">
        <f t="shared" si="109"/>
        <v>0</v>
      </c>
      <c r="BM500" s="703">
        <f t="shared" si="110"/>
        <v>0</v>
      </c>
      <c r="BN500" s="703">
        <v>0</v>
      </c>
      <c r="BO500" s="703">
        <v>0</v>
      </c>
      <c r="BP500" s="685">
        <v>0</v>
      </c>
      <c r="BQ500" s="667"/>
      <c r="BR500" s="670">
        <f>IF(AW501=0,0,             IF(ISNUMBER(BQ500),BQ500,             IF(ISTEXT(BQ500),INDEX(BH500:BO500,MATCH(BQ500,$BH$17:$BO$17,0)),           IF(BP500="INT",_xll.qInterp(AW501,AZ500:BG500,BH500:BO500),       INDEX(BH500:BO500,MATCH(BP500,$BH$17:$BO$17,0))))))</f>
        <v>0</v>
      </c>
      <c r="BS500" s="731">
        <f t="shared" si="104"/>
        <v>0</v>
      </c>
      <c r="BT500" s="406">
        <f t="shared" si="105"/>
        <v>0</v>
      </c>
      <c r="BU500" s="284">
        <f>IF($AW501,_xll.qDateYears($AW500,$AW501,DCC_Leg2_Fixed),0)</f>
        <v>0</v>
      </c>
      <c r="BV500" s="284">
        <f>IF($AW501,_xll.qDateYears($AW500,$AW501,DCC_Leg2_Float),0)</f>
        <v>0</v>
      </c>
      <c r="BX500" s="350">
        <f t="shared" si="111"/>
        <v>0</v>
      </c>
      <c r="BY500" s="375">
        <f>IF(GenType_2a="Fixed",GenRate_2a%*$BT499*BU499,          IF(GenType_2a="Float",$BT499*(_xll.qGetFwdRate($J$18,$AW499,$AW500,"T",DCC_Leg2_Float)%+GenRate_2a%%)*$BV499,        IF(GenType_2a="bp (Fixed)",GenRate_2a%%*$BU499*$BT499,   IF(GenType_2a="bp (Float)",GenRate_2a%%*$BT499*$BV499,0))))</f>
        <v>0</v>
      </c>
      <c r="BZ500" s="561"/>
      <c r="CB500" s="341">
        <f t="shared" si="113"/>
        <v>0</v>
      </c>
      <c r="CC500" s="563"/>
      <c r="CD500" s="356"/>
      <c r="CE500" s="341">
        <v>0</v>
      </c>
      <c r="CF500" s="563"/>
      <c r="CG500" s="356"/>
    </row>
    <row r="501" spans="15:85">
      <c r="O501" s="122">
        <v>0</v>
      </c>
      <c r="P501" s="128">
        <f t="shared" si="100"/>
        <v>0</v>
      </c>
      <c r="Q501" s="126">
        <v>0</v>
      </c>
      <c r="R501" s="699">
        <f>IF($O502=0,0,        _xll.qDateNext($O501,R$17,"M",TRUE,Currency1))</f>
        <v>0</v>
      </c>
      <c r="S501" s="699">
        <f>IF($O502=0,0,        _xll.qDateNext($O501,S$17,"M",TRUE,Currency1))</f>
        <v>0</v>
      </c>
      <c r="T501" s="699">
        <f>IF($O502=0,0,        _xll.qDateNext($O501,T$17,"M",TRUE,Currency1))</f>
        <v>0</v>
      </c>
      <c r="U501" s="699">
        <f>IF($O502=0,0,        _xll.qDateNext($O501,U$17,"M",TRUE,Currency1))</f>
        <v>0</v>
      </c>
      <c r="V501" s="699">
        <f>IF($O502=0,0,        _xll.qDateNext($O501,V$17,"M",TRUE,Currency1))</f>
        <v>0</v>
      </c>
      <c r="W501" s="699">
        <f>IF($O502=0,0,        _xll.qDateNext($O501,W$17,"M",TRUE,Currency1))</f>
        <v>0</v>
      </c>
      <c r="X501" s="699">
        <f>IF($O502=0,0,        _xll.qDateNext($O501,X$17,"M",TRUE,Currency1))</f>
        <v>0</v>
      </c>
      <c r="Y501" s="699">
        <f>IF($O502=0,0,        _xll.qDateNext($O501,Y$17,"M",TRUE,Currency1))</f>
        <v>0</v>
      </c>
      <c r="Z501" s="703">
        <f>IF($O502=0,0,           IF(FRM,_xll.qGetFwdRate(Z$14,$O501,R501,"T",DCC_Leg1_Float),_xll.qGetFwdRate(Z$14,$O501,$O502,"T",DCC_Leg1_Float)))</f>
        <v>0</v>
      </c>
      <c r="AA501" s="703">
        <f>IF($O502=0,0,           IF(FRM,_xll.qGetFwdRate(AA$14,$O501,S501,"T",DCC_Leg1_Float),_xll.qGetFwdRate(AA$14,$O501,$O502,"T",DCC_Leg1_Float)))</f>
        <v>0</v>
      </c>
      <c r="AB501" s="703">
        <f t="shared" si="101"/>
        <v>0</v>
      </c>
      <c r="AC501" s="703">
        <f>IF($O502=0,0,           IF(FRM,_xll.qGetFwdRate(AC$14,$O501,U501,"T",DCC_Leg1_Float),_xll.qGetFwdRate(AC$14,$O501,$O502,"T",DCC_Leg1_Float)))</f>
        <v>0</v>
      </c>
      <c r="AD501" s="703">
        <f t="shared" si="106"/>
        <v>0</v>
      </c>
      <c r="AE501" s="703">
        <f t="shared" si="107"/>
        <v>0</v>
      </c>
      <c r="AF501" s="703">
        <f>IF($O502=0,0,           IF(FRM,_xll.qGetFwdRate(AF$14,$O501,X501,"T",DCC_Leg1_Float),_xll.qGetFwdRate(AF$14,$O501,$O502,"T",DCC_Leg1_Float)))</f>
        <v>0</v>
      </c>
      <c r="AG501" s="703">
        <f>IF($O502=0,0,           IF(FRM,_xll.qGetFwdRate(AG$14,$O501,Y501,"T",DCC_Leg1_Float),_xll.qGetFwdRate(AG$14,$O501,$O502,"T",DCC_Leg1_Float)))</f>
        <v>0</v>
      </c>
      <c r="AH501" s="685">
        <v>0</v>
      </c>
      <c r="AI501" s="667"/>
      <c r="AJ501" s="670">
        <f>IF(O502=0,0,             IF(ISNUMBER(AI501),AI501,             IF(ISTEXT(AI501),INDEX(Z501:AG501,MATCH(AI501,$Z$17:$AG$17,0)),           IF(AH501="INT",_xll.qInterp(O502,R501:Y501,Z501:AG501),       INDEX(Z501:AG501,MATCH(AH501,$Z$17:$AG$17,0))))))</f>
        <v>0</v>
      </c>
      <c r="AK501" s="732">
        <v>20</v>
      </c>
      <c r="AL501" s="721">
        <f t="shared" si="102"/>
        <v>0</v>
      </c>
      <c r="AM501" s="284">
        <f>IF($O502,_xll.qDateYears($O501,$O502,DCC_Leg1_Fixed),0)</f>
        <v>0</v>
      </c>
      <c r="AN501" s="284">
        <f>IF($O502,_xll.qDateYears($O501,$O502,DCC_Leg1_Float),0)</f>
        <v>0</v>
      </c>
      <c r="AP501" s="350">
        <f t="shared" si="108"/>
        <v>0</v>
      </c>
      <c r="AQ501" s="375">
        <f>IF(GenType_1a="Fixed",GenRate_1a%*$AL500*AM500,          IF(GenType_1a="Float",$AL500*(_xll.qGetFwdRate($D$18,$O500,$O501,"T",DCC_Leg1_Float)%+GenRate_1a%%)*$AN500,        IF(GenType_1a="bp (Fixed)",GenRate_1a%%*$AM500*$AL500,   IF(GenType_1a="bp (Float)",GenRate_1a%%*$AL500*$AN500,0))))</f>
        <v>0</v>
      </c>
      <c r="AR501" s="561"/>
      <c r="AT501" s="341">
        <f t="shared" si="112"/>
        <v>0</v>
      </c>
      <c r="AV501" s="356"/>
      <c r="AW501" s="122">
        <v>0</v>
      </c>
      <c r="AX501" s="128">
        <f t="shared" si="103"/>
        <v>0</v>
      </c>
      <c r="AY501" s="357">
        <v>0</v>
      </c>
      <c r="AZ501" s="699">
        <f>IF($AW502=0,0,        _xll.qDateNext($AW501,AZ$17,"M",TRUE,Currency2))</f>
        <v>0</v>
      </c>
      <c r="BA501" s="699">
        <f>IF($AW502=0,0,        _xll.qDateNext($AW501,BA$17,"M",TRUE,Currency2))</f>
        <v>0</v>
      </c>
      <c r="BB501" s="699">
        <f>IF($AW502=0,0,        _xll.qDateNext($AW501,BB$17,"M",TRUE,Currency2))</f>
        <v>0</v>
      </c>
      <c r="BC501" s="699">
        <f>IF($AW502=0,0,        _xll.qDateNext($AW501,BC$17,"M",TRUE,Currency2))</f>
        <v>0</v>
      </c>
      <c r="BD501" s="699">
        <f>IF($AW502=0,0,        _xll.qDateNext($AW501,BD$17,"M",TRUE,Currency2))</f>
        <v>0</v>
      </c>
      <c r="BE501" s="699">
        <f>IF($AW502=0,0,        _xll.qDateNext($AW501,BE$17,"M",TRUE,Currency2))</f>
        <v>0</v>
      </c>
      <c r="BF501" s="699">
        <f>IF($AW502=0,0,        _xll.qDateNext($AW501,BF$17,"M",TRUE,Currency2))</f>
        <v>0</v>
      </c>
      <c r="BG501" s="699">
        <f>IF($AW502=0,0,        _xll.qDateNext($AW501,BG$17,"M",TRUE,Currency2))</f>
        <v>0</v>
      </c>
      <c r="BH501" s="703">
        <v>0</v>
      </c>
      <c r="BI501" s="703">
        <v>0</v>
      </c>
      <c r="BJ501" s="703">
        <v>0</v>
      </c>
      <c r="BK501" s="703">
        <v>0</v>
      </c>
      <c r="BL501" s="703">
        <f t="shared" si="109"/>
        <v>0</v>
      </c>
      <c r="BM501" s="703">
        <f t="shared" si="110"/>
        <v>0</v>
      </c>
      <c r="BN501" s="703">
        <v>0</v>
      </c>
      <c r="BO501" s="703">
        <v>0</v>
      </c>
      <c r="BP501" s="685">
        <v>0</v>
      </c>
      <c r="BQ501" s="667"/>
      <c r="BR501" s="670">
        <f>IF(AW502=0,0,             IF(ISNUMBER(BQ501),BQ501,             IF(ISTEXT(BQ501),INDEX(BH501:BO501,MATCH(BQ501,$BH$17:$BO$17,0)),           IF(BP501="INT",_xll.qInterp(AW502,AZ501:BG501,BH501:BO501),       INDEX(BH501:BO501,MATCH(BP501,$BH$17:$BO$17,0))))))</f>
        <v>0</v>
      </c>
      <c r="BS501" s="731">
        <f t="shared" si="104"/>
        <v>0</v>
      </c>
      <c r="BT501" s="406">
        <f t="shared" si="105"/>
        <v>0</v>
      </c>
      <c r="BU501" s="284">
        <f>IF($AW502,_xll.qDateYears($AW501,$AW502,DCC_Leg2_Fixed),0)</f>
        <v>0</v>
      </c>
      <c r="BV501" s="284">
        <f>IF($AW502,_xll.qDateYears($AW501,$AW502,DCC_Leg2_Float),0)</f>
        <v>0</v>
      </c>
      <c r="BX501" s="350">
        <f t="shared" si="111"/>
        <v>0</v>
      </c>
      <c r="BY501" s="375">
        <f>IF(GenType_2a="Fixed",GenRate_2a%*$BT500*BU500,          IF(GenType_2a="Float",$BT500*(_xll.qGetFwdRate($J$18,$AW500,$AW501,"T",DCC_Leg2_Float)%+GenRate_2a%%)*$BV500,        IF(GenType_2a="bp (Fixed)",GenRate_2a%%*$BU500*$BT500,   IF(GenType_2a="bp (Float)",GenRate_2a%%*$BT500*$BV500,0))))</f>
        <v>0</v>
      </c>
      <c r="BZ501" s="561"/>
      <c r="CB501" s="341">
        <f t="shared" si="113"/>
        <v>0</v>
      </c>
      <c r="CC501" s="563"/>
      <c r="CD501" s="356"/>
      <c r="CE501" s="341">
        <v>0</v>
      </c>
      <c r="CF501" s="563"/>
      <c r="CG501" s="356"/>
    </row>
    <row r="502" spans="15:85">
      <c r="O502" s="122">
        <v>0</v>
      </c>
      <c r="P502" s="128">
        <f t="shared" si="100"/>
        <v>0</v>
      </c>
      <c r="Q502" s="126">
        <v>0</v>
      </c>
      <c r="R502" s="699">
        <f>IF($O503=0,0,        _xll.qDateNext($O502,R$17,"M",TRUE,Currency1))</f>
        <v>0</v>
      </c>
      <c r="S502" s="699">
        <f>IF($O503=0,0,        _xll.qDateNext($O502,S$17,"M",TRUE,Currency1))</f>
        <v>0</v>
      </c>
      <c r="T502" s="699">
        <f>IF($O503=0,0,        _xll.qDateNext($O502,T$17,"M",TRUE,Currency1))</f>
        <v>0</v>
      </c>
      <c r="U502" s="699">
        <f>IF($O503=0,0,        _xll.qDateNext($O502,U$17,"M",TRUE,Currency1))</f>
        <v>0</v>
      </c>
      <c r="V502" s="699">
        <f>IF($O503=0,0,        _xll.qDateNext($O502,V$17,"M",TRUE,Currency1))</f>
        <v>0</v>
      </c>
      <c r="W502" s="699">
        <f>IF($O503=0,0,        _xll.qDateNext($O502,W$17,"M",TRUE,Currency1))</f>
        <v>0</v>
      </c>
      <c r="X502" s="699">
        <f>IF($O503=0,0,        _xll.qDateNext($O502,X$17,"M",TRUE,Currency1))</f>
        <v>0</v>
      </c>
      <c r="Y502" s="699">
        <f>IF($O503=0,0,        _xll.qDateNext($O502,Y$17,"M",TRUE,Currency1))</f>
        <v>0</v>
      </c>
      <c r="Z502" s="703">
        <f>IF($O503=0,0,           IF(FRM,_xll.qGetFwdRate(Z$14,$O502,R502,"T",DCC_Leg1_Float),_xll.qGetFwdRate(Z$14,$O502,$O503,"T",DCC_Leg1_Float)))</f>
        <v>0</v>
      </c>
      <c r="AA502" s="703">
        <f>IF($O503=0,0,           IF(FRM,_xll.qGetFwdRate(AA$14,$O502,S502,"T",DCC_Leg1_Float),_xll.qGetFwdRate(AA$14,$O502,$O503,"T",DCC_Leg1_Float)))</f>
        <v>0</v>
      </c>
      <c r="AB502" s="703">
        <f t="shared" si="101"/>
        <v>0</v>
      </c>
      <c r="AC502" s="703">
        <f>IF($O503=0,0,           IF(FRM,_xll.qGetFwdRate(AC$14,$O502,U502,"T",DCC_Leg1_Float),_xll.qGetFwdRate(AC$14,$O502,$O503,"T",DCC_Leg1_Float)))</f>
        <v>0</v>
      </c>
      <c r="AD502" s="703">
        <f t="shared" si="106"/>
        <v>0</v>
      </c>
      <c r="AE502" s="703">
        <f t="shared" si="107"/>
        <v>0</v>
      </c>
      <c r="AF502" s="703">
        <f>IF($O503=0,0,           IF(FRM,_xll.qGetFwdRate(AF$14,$O502,X502,"T",DCC_Leg1_Float),_xll.qGetFwdRate(AF$14,$O502,$O503,"T",DCC_Leg1_Float)))</f>
        <v>0</v>
      </c>
      <c r="AG502" s="703">
        <f>IF($O503=0,0,           IF(FRM,_xll.qGetFwdRate(AG$14,$O502,Y502,"T",DCC_Leg1_Float),_xll.qGetFwdRate(AG$14,$O502,$O503,"T",DCC_Leg1_Float)))</f>
        <v>0</v>
      </c>
      <c r="AH502" s="685">
        <v>0</v>
      </c>
      <c r="AI502" s="667"/>
      <c r="AJ502" s="670">
        <f>IF(O503=0,0,             IF(ISNUMBER(AI502),AI502,             IF(ISTEXT(AI502),INDEX(Z502:AG502,MATCH(AI502,$Z$17:$AG$17,0)),           IF(AH502="INT",_xll.qInterp(O503,R502:Y502,Z502:AG502),       INDEX(Z502:AG502,MATCH(AH502,$Z$17:$AG$17,0))))))</f>
        <v>0</v>
      </c>
      <c r="AK502" s="732">
        <v>20</v>
      </c>
      <c r="AL502" s="721">
        <f t="shared" si="102"/>
        <v>0</v>
      </c>
      <c r="AM502" s="284">
        <f>IF($O503,_xll.qDateYears($O502,$O503,DCC_Leg1_Fixed),0)</f>
        <v>0</v>
      </c>
      <c r="AN502" s="284">
        <f>IF($O503,_xll.qDateYears($O502,$O503,DCC_Leg1_Float),0)</f>
        <v>0</v>
      </c>
      <c r="AP502" s="350">
        <f t="shared" si="108"/>
        <v>0</v>
      </c>
      <c r="AQ502" s="375">
        <f>IF(GenType_1a="Fixed",GenRate_1a%*$AL501*AM501,          IF(GenType_1a="Float",$AL501*(_xll.qGetFwdRate($D$18,$O501,$O502,"T",DCC_Leg1_Float)%+GenRate_1a%%)*$AN501,        IF(GenType_1a="bp (Fixed)",GenRate_1a%%*$AM501*$AL501,   IF(GenType_1a="bp (Float)",GenRate_1a%%*$AL501*$AN501,0))))</f>
        <v>0</v>
      </c>
      <c r="AR502" s="561"/>
      <c r="AT502" s="341">
        <f t="shared" si="112"/>
        <v>0</v>
      </c>
      <c r="AV502" s="356"/>
      <c r="AW502" s="122">
        <v>0</v>
      </c>
      <c r="AX502" s="128">
        <f t="shared" si="103"/>
        <v>0</v>
      </c>
      <c r="AY502" s="357">
        <v>0</v>
      </c>
      <c r="AZ502" s="699">
        <f>IF($AW503=0,0,        _xll.qDateNext($AW502,AZ$17,"M",TRUE,Currency2))</f>
        <v>0</v>
      </c>
      <c r="BA502" s="699">
        <f>IF($AW503=0,0,        _xll.qDateNext($AW502,BA$17,"M",TRUE,Currency2))</f>
        <v>0</v>
      </c>
      <c r="BB502" s="699">
        <f>IF($AW503=0,0,        _xll.qDateNext($AW502,BB$17,"M",TRUE,Currency2))</f>
        <v>0</v>
      </c>
      <c r="BC502" s="699">
        <f>IF($AW503=0,0,        _xll.qDateNext($AW502,BC$17,"M",TRUE,Currency2))</f>
        <v>0</v>
      </c>
      <c r="BD502" s="699">
        <f>IF($AW503=0,0,        _xll.qDateNext($AW502,BD$17,"M",TRUE,Currency2))</f>
        <v>0</v>
      </c>
      <c r="BE502" s="699">
        <f>IF($AW503=0,0,        _xll.qDateNext($AW502,BE$17,"M",TRUE,Currency2))</f>
        <v>0</v>
      </c>
      <c r="BF502" s="699">
        <f>IF($AW503=0,0,        _xll.qDateNext($AW502,BF$17,"M",TRUE,Currency2))</f>
        <v>0</v>
      </c>
      <c r="BG502" s="699">
        <f>IF($AW503=0,0,        _xll.qDateNext($AW502,BG$17,"M",TRUE,Currency2))</f>
        <v>0</v>
      </c>
      <c r="BH502" s="703">
        <v>0</v>
      </c>
      <c r="BI502" s="703">
        <v>0</v>
      </c>
      <c r="BJ502" s="703">
        <v>0</v>
      </c>
      <c r="BK502" s="703">
        <v>0</v>
      </c>
      <c r="BL502" s="703">
        <f t="shared" si="109"/>
        <v>0</v>
      </c>
      <c r="BM502" s="703">
        <f t="shared" si="110"/>
        <v>0</v>
      </c>
      <c r="BN502" s="703">
        <v>0</v>
      </c>
      <c r="BO502" s="703">
        <v>0</v>
      </c>
      <c r="BP502" s="685">
        <v>0</v>
      </c>
      <c r="BQ502" s="667"/>
      <c r="BR502" s="670">
        <f>IF(AW503=0,0,             IF(ISNUMBER(BQ502),BQ502,             IF(ISTEXT(BQ502),INDEX(BH502:BO502,MATCH(BQ502,$BH$17:$BO$17,0)),           IF(BP502="INT",_xll.qInterp(AW503,AZ502:BG502,BH502:BO502),       INDEX(BH502:BO502,MATCH(BP502,$BH$17:$BO$17,0))))))</f>
        <v>0</v>
      </c>
      <c r="BS502" s="731">
        <f t="shared" si="104"/>
        <v>0</v>
      </c>
      <c r="BT502" s="406">
        <f t="shared" si="105"/>
        <v>0</v>
      </c>
      <c r="BU502" s="284">
        <f>IF($AW503,_xll.qDateYears($AW502,$AW503,DCC_Leg2_Fixed),0)</f>
        <v>0</v>
      </c>
      <c r="BV502" s="284">
        <f>IF($AW503,_xll.qDateYears($AW502,$AW503,DCC_Leg2_Float),0)</f>
        <v>0</v>
      </c>
      <c r="BX502" s="350">
        <f t="shared" si="111"/>
        <v>0</v>
      </c>
      <c r="BY502" s="375">
        <f>IF(GenType_2a="Fixed",GenRate_2a%*$BT501*BU501,          IF(GenType_2a="Float",$BT501*(_xll.qGetFwdRate($J$18,$AW501,$AW502,"T",DCC_Leg2_Float)%+GenRate_2a%%)*$BV501,        IF(GenType_2a="bp (Fixed)",GenRate_2a%%*$BU501*$BT501,   IF(GenType_2a="bp (Float)",GenRate_2a%%*$BT501*$BV501,0))))</f>
        <v>0</v>
      </c>
      <c r="BZ502" s="561"/>
      <c r="CB502" s="341">
        <f t="shared" si="113"/>
        <v>0</v>
      </c>
      <c r="CC502" s="563"/>
      <c r="CD502" s="356"/>
      <c r="CE502" s="341">
        <v>0</v>
      </c>
      <c r="CF502" s="563"/>
      <c r="CG502" s="356"/>
    </row>
    <row r="503" spans="15:85">
      <c r="O503" s="122">
        <v>0</v>
      </c>
      <c r="P503" s="128">
        <f t="shared" si="100"/>
        <v>0</v>
      </c>
      <c r="Q503" s="126">
        <v>0</v>
      </c>
      <c r="R503" s="699">
        <f>IF($O504=0,0,        _xll.qDateNext($O503,R$17,"M",TRUE,Currency1))</f>
        <v>0</v>
      </c>
      <c r="S503" s="699">
        <f>IF($O504=0,0,        _xll.qDateNext($O503,S$17,"M",TRUE,Currency1))</f>
        <v>0</v>
      </c>
      <c r="T503" s="699">
        <f>IF($O504=0,0,        _xll.qDateNext($O503,T$17,"M",TRUE,Currency1))</f>
        <v>0</v>
      </c>
      <c r="U503" s="699">
        <f>IF($O504=0,0,        _xll.qDateNext($O503,U$17,"M",TRUE,Currency1))</f>
        <v>0</v>
      </c>
      <c r="V503" s="699">
        <f>IF($O504=0,0,        _xll.qDateNext($O503,V$17,"M",TRUE,Currency1))</f>
        <v>0</v>
      </c>
      <c r="W503" s="699">
        <f>IF($O504=0,0,        _xll.qDateNext($O503,W$17,"M",TRUE,Currency1))</f>
        <v>0</v>
      </c>
      <c r="X503" s="699">
        <f>IF($O504=0,0,        _xll.qDateNext($O503,X$17,"M",TRUE,Currency1))</f>
        <v>0</v>
      </c>
      <c r="Y503" s="699">
        <f>IF($O504=0,0,        _xll.qDateNext($O503,Y$17,"M",TRUE,Currency1))</f>
        <v>0</v>
      </c>
      <c r="Z503" s="703">
        <f>IF($O504=0,0,           IF(FRM,_xll.qGetFwdRate(Z$14,$O503,R503,"T",DCC_Leg1_Float),_xll.qGetFwdRate(Z$14,$O503,$O504,"T",DCC_Leg1_Float)))</f>
        <v>0</v>
      </c>
      <c r="AA503" s="703">
        <f>IF($O504=0,0,           IF(FRM,_xll.qGetFwdRate(AA$14,$O503,S503,"T",DCC_Leg1_Float),_xll.qGetFwdRate(AA$14,$O503,$O504,"T",DCC_Leg1_Float)))</f>
        <v>0</v>
      </c>
      <c r="AB503" s="703">
        <f t="shared" si="101"/>
        <v>0</v>
      </c>
      <c r="AC503" s="703">
        <f>IF($O504=0,0,           IF(FRM,_xll.qGetFwdRate(AC$14,$O503,U503,"T",DCC_Leg1_Float),_xll.qGetFwdRate(AC$14,$O503,$O504,"T",DCC_Leg1_Float)))</f>
        <v>0</v>
      </c>
      <c r="AD503" s="703">
        <f t="shared" si="106"/>
        <v>0</v>
      </c>
      <c r="AE503" s="703">
        <f t="shared" si="107"/>
        <v>0</v>
      </c>
      <c r="AF503" s="703">
        <f>IF($O504=0,0,           IF(FRM,_xll.qGetFwdRate(AF$14,$O503,X503,"T",DCC_Leg1_Float),_xll.qGetFwdRate(AF$14,$O503,$O504,"T",DCC_Leg1_Float)))</f>
        <v>0</v>
      </c>
      <c r="AG503" s="703">
        <f>IF($O504=0,0,           IF(FRM,_xll.qGetFwdRate(AG$14,$O503,Y503,"T",DCC_Leg1_Float),_xll.qGetFwdRate(AG$14,$O503,$O504,"T",DCC_Leg1_Float)))</f>
        <v>0</v>
      </c>
      <c r="AH503" s="685">
        <v>0</v>
      </c>
      <c r="AI503" s="667"/>
      <c r="AJ503" s="670">
        <f>IF(O504=0,0,             IF(ISNUMBER(AI503),AI503,             IF(ISTEXT(AI503),INDEX(Z503:AG503,MATCH(AI503,$Z$17:$AG$17,0)),           IF(AH503="INT",_xll.qInterp(O504,R503:Y503,Z503:AG503),       INDEX(Z503:AG503,MATCH(AH503,$Z$17:$AG$17,0))))))</f>
        <v>0</v>
      </c>
      <c r="AK503" s="732">
        <v>20</v>
      </c>
      <c r="AL503" s="721">
        <f t="shared" si="102"/>
        <v>0</v>
      </c>
      <c r="AM503" s="284">
        <f>IF($O504,_xll.qDateYears($O503,$O504,DCC_Leg1_Fixed),0)</f>
        <v>0</v>
      </c>
      <c r="AN503" s="284">
        <f>IF($O504,_xll.qDateYears($O503,$O504,DCC_Leg1_Float),0)</f>
        <v>0</v>
      </c>
      <c r="AP503" s="350">
        <f t="shared" si="108"/>
        <v>0</v>
      </c>
      <c r="AQ503" s="375">
        <f>IF(GenType_1a="Fixed",GenRate_1a%*$AL502*AM502,          IF(GenType_1a="Float",$AL502*(_xll.qGetFwdRate($D$18,$O502,$O503,"T",DCC_Leg1_Float)%+GenRate_1a%%)*$AN502,        IF(GenType_1a="bp (Fixed)",GenRate_1a%%*$AM502*$AL502,   IF(GenType_1a="bp (Float)",GenRate_1a%%*$AL502*$AN502,0))))</f>
        <v>0</v>
      </c>
      <c r="AR503" s="561"/>
      <c r="AT503" s="341">
        <f t="shared" si="112"/>
        <v>0</v>
      </c>
      <c r="AV503" s="356"/>
      <c r="AW503" s="122">
        <v>0</v>
      </c>
      <c r="AX503" s="128">
        <f t="shared" si="103"/>
        <v>0</v>
      </c>
      <c r="AY503" s="357">
        <v>0</v>
      </c>
      <c r="AZ503" s="699">
        <f>IF($AW504=0,0,        _xll.qDateNext($AW503,AZ$17,"M",TRUE,Currency2))</f>
        <v>0</v>
      </c>
      <c r="BA503" s="699">
        <f>IF($AW504=0,0,        _xll.qDateNext($AW503,BA$17,"M",TRUE,Currency2))</f>
        <v>0</v>
      </c>
      <c r="BB503" s="699">
        <f>IF($AW504=0,0,        _xll.qDateNext($AW503,BB$17,"M",TRUE,Currency2))</f>
        <v>0</v>
      </c>
      <c r="BC503" s="699">
        <f>IF($AW504=0,0,        _xll.qDateNext($AW503,BC$17,"M",TRUE,Currency2))</f>
        <v>0</v>
      </c>
      <c r="BD503" s="699">
        <f>IF($AW504=0,0,        _xll.qDateNext($AW503,BD$17,"M",TRUE,Currency2))</f>
        <v>0</v>
      </c>
      <c r="BE503" s="699">
        <f>IF($AW504=0,0,        _xll.qDateNext($AW503,BE$17,"M",TRUE,Currency2))</f>
        <v>0</v>
      </c>
      <c r="BF503" s="699">
        <f>IF($AW504=0,0,        _xll.qDateNext($AW503,BF$17,"M",TRUE,Currency2))</f>
        <v>0</v>
      </c>
      <c r="BG503" s="699">
        <f>IF($AW504=0,0,        _xll.qDateNext($AW503,BG$17,"M",TRUE,Currency2))</f>
        <v>0</v>
      </c>
      <c r="BH503" s="703">
        <v>0</v>
      </c>
      <c r="BI503" s="703">
        <v>0</v>
      </c>
      <c r="BJ503" s="703">
        <v>0</v>
      </c>
      <c r="BK503" s="703">
        <v>0</v>
      </c>
      <c r="BL503" s="703">
        <f t="shared" si="109"/>
        <v>0</v>
      </c>
      <c r="BM503" s="703">
        <f t="shared" si="110"/>
        <v>0</v>
      </c>
      <c r="BN503" s="703">
        <v>0</v>
      </c>
      <c r="BO503" s="703">
        <v>0</v>
      </c>
      <c r="BP503" s="685">
        <v>0</v>
      </c>
      <c r="BQ503" s="667"/>
      <c r="BR503" s="670">
        <f>IF(AW504=0,0,             IF(ISNUMBER(BQ503),BQ503,             IF(ISTEXT(BQ503),INDEX(BH503:BO503,MATCH(BQ503,$BH$17:$BO$17,0)),           IF(BP503="INT",_xll.qInterp(AW504,AZ503:BG503,BH503:BO503),       INDEX(BH503:BO503,MATCH(BP503,$BH$17:$BO$17,0))))))</f>
        <v>0</v>
      </c>
      <c r="BS503" s="731">
        <f t="shared" si="104"/>
        <v>0</v>
      </c>
      <c r="BT503" s="406">
        <f t="shared" si="105"/>
        <v>0</v>
      </c>
      <c r="BU503" s="284">
        <f>IF($AW504,_xll.qDateYears($AW503,$AW504,DCC_Leg2_Fixed),0)</f>
        <v>0</v>
      </c>
      <c r="BV503" s="284">
        <f>IF($AW504,_xll.qDateYears($AW503,$AW504,DCC_Leg2_Float),0)</f>
        <v>0</v>
      </c>
      <c r="BX503" s="350">
        <f t="shared" si="111"/>
        <v>0</v>
      </c>
      <c r="BY503" s="375">
        <f>IF(GenType_2a="Fixed",GenRate_2a%*$BT502*BU502,          IF(GenType_2a="Float",$BT502*(_xll.qGetFwdRate($J$18,$AW502,$AW503,"T",DCC_Leg2_Float)%+GenRate_2a%%)*$BV502,        IF(GenType_2a="bp (Fixed)",GenRate_2a%%*$BU502*$BT502,   IF(GenType_2a="bp (Float)",GenRate_2a%%*$BT502*$BV502,0))))</f>
        <v>0</v>
      </c>
      <c r="BZ503" s="561"/>
      <c r="CB503" s="341">
        <f t="shared" si="113"/>
        <v>0</v>
      </c>
      <c r="CC503" s="563"/>
      <c r="CD503" s="356"/>
      <c r="CE503" s="341">
        <v>0</v>
      </c>
      <c r="CF503" s="563"/>
      <c r="CG503" s="356"/>
    </row>
    <row r="504" spans="15:85">
      <c r="O504" s="122">
        <v>0</v>
      </c>
      <c r="P504" s="128">
        <f t="shared" si="100"/>
        <v>0</v>
      </c>
      <c r="Q504" s="126">
        <v>0</v>
      </c>
      <c r="R504" s="699">
        <f>IF($O505=0,0,        _xll.qDateNext($O504,R$17,"M",TRUE,Currency1))</f>
        <v>0</v>
      </c>
      <c r="S504" s="699">
        <f>IF($O505=0,0,        _xll.qDateNext($O504,S$17,"M",TRUE,Currency1))</f>
        <v>0</v>
      </c>
      <c r="T504" s="699">
        <f>IF($O505=0,0,        _xll.qDateNext($O504,T$17,"M",TRUE,Currency1))</f>
        <v>0</v>
      </c>
      <c r="U504" s="699">
        <f>IF($O505=0,0,        _xll.qDateNext($O504,U$17,"M",TRUE,Currency1))</f>
        <v>0</v>
      </c>
      <c r="V504" s="699">
        <f>IF($O505=0,0,        _xll.qDateNext($O504,V$17,"M",TRUE,Currency1))</f>
        <v>0</v>
      </c>
      <c r="W504" s="699">
        <f>IF($O505=0,0,        _xll.qDateNext($O504,W$17,"M",TRUE,Currency1))</f>
        <v>0</v>
      </c>
      <c r="X504" s="699">
        <f>IF($O505=0,0,        _xll.qDateNext($O504,X$17,"M",TRUE,Currency1))</f>
        <v>0</v>
      </c>
      <c r="Y504" s="699">
        <f>IF($O505=0,0,        _xll.qDateNext($O504,Y$17,"M",TRUE,Currency1))</f>
        <v>0</v>
      </c>
      <c r="Z504" s="703">
        <f>IF($O505=0,0,           IF(FRM,_xll.qGetFwdRate(Z$14,$O504,R504,"T",DCC_Leg1_Float),_xll.qGetFwdRate(Z$14,$O504,$O505,"T",DCC_Leg1_Float)))</f>
        <v>0</v>
      </c>
      <c r="AA504" s="703">
        <f>IF($O505=0,0,           IF(FRM,_xll.qGetFwdRate(AA$14,$O504,S504,"T",DCC_Leg1_Float),_xll.qGetFwdRate(AA$14,$O504,$O505,"T",DCC_Leg1_Float)))</f>
        <v>0</v>
      </c>
      <c r="AB504" s="703">
        <f t="shared" si="101"/>
        <v>0</v>
      </c>
      <c r="AC504" s="703">
        <f>IF($O505=0,0,           IF(FRM,_xll.qGetFwdRate(AC$14,$O504,U504,"T",DCC_Leg1_Float),_xll.qGetFwdRate(AC$14,$O504,$O505,"T",DCC_Leg1_Float)))</f>
        <v>0</v>
      </c>
      <c r="AD504" s="703">
        <f t="shared" si="106"/>
        <v>0</v>
      </c>
      <c r="AE504" s="703">
        <f t="shared" si="107"/>
        <v>0</v>
      </c>
      <c r="AF504" s="703">
        <f>IF($O505=0,0,           IF(FRM,_xll.qGetFwdRate(AF$14,$O504,X504,"T",DCC_Leg1_Float),_xll.qGetFwdRate(AF$14,$O504,$O505,"T",DCC_Leg1_Float)))</f>
        <v>0</v>
      </c>
      <c r="AG504" s="703">
        <f>IF($O505=0,0,           IF(FRM,_xll.qGetFwdRate(AG$14,$O504,Y504,"T",DCC_Leg1_Float),_xll.qGetFwdRate(AG$14,$O504,$O505,"T",DCC_Leg1_Float)))</f>
        <v>0</v>
      </c>
      <c r="AH504" s="685">
        <v>0</v>
      </c>
      <c r="AI504" s="667"/>
      <c r="AJ504" s="670">
        <f>IF(O505=0,0,             IF(ISNUMBER(AI504),AI504,             IF(ISTEXT(AI504),INDEX(Z504:AG504,MATCH(AI504,$Z$17:$AG$17,0)),           IF(AH504="INT",_xll.qInterp(O505,R504:Y504,Z504:AG504),       INDEX(Z504:AG504,MATCH(AH504,$Z$17:$AG$17,0))))))</f>
        <v>0</v>
      </c>
      <c r="AK504" s="732">
        <v>20</v>
      </c>
      <c r="AL504" s="721">
        <f t="shared" si="102"/>
        <v>0</v>
      </c>
      <c r="AM504" s="284">
        <f>IF($O505,_xll.qDateYears($O504,$O505,DCC_Leg1_Fixed),0)</f>
        <v>0</v>
      </c>
      <c r="AN504" s="284">
        <f>IF($O505,_xll.qDateYears($O504,$O505,DCC_Leg1_Float),0)</f>
        <v>0</v>
      </c>
      <c r="AP504" s="350">
        <f t="shared" si="108"/>
        <v>0</v>
      </c>
      <c r="AQ504" s="375">
        <f>IF(GenType_1a="Fixed",GenRate_1a%*$AL503*AM503,          IF(GenType_1a="Float",$AL503*(_xll.qGetFwdRate($D$18,$O503,$O504,"T",DCC_Leg1_Float)%+GenRate_1a%%)*$AN503,        IF(GenType_1a="bp (Fixed)",GenRate_1a%%*$AM503*$AL503,   IF(GenType_1a="bp (Float)",GenRate_1a%%*$AL503*$AN503,0))))</f>
        <v>0</v>
      </c>
      <c r="AR504" s="561"/>
      <c r="AT504" s="341">
        <f t="shared" si="112"/>
        <v>0</v>
      </c>
      <c r="AV504" s="356"/>
      <c r="AW504" s="122">
        <v>0</v>
      </c>
      <c r="AX504" s="128">
        <f t="shared" si="103"/>
        <v>0</v>
      </c>
      <c r="AY504" s="357">
        <v>0</v>
      </c>
      <c r="AZ504" s="699">
        <f>IF($AW505=0,0,        _xll.qDateNext($AW504,AZ$17,"M",TRUE,Currency2))</f>
        <v>0</v>
      </c>
      <c r="BA504" s="699">
        <f>IF($AW505=0,0,        _xll.qDateNext($AW504,BA$17,"M",TRUE,Currency2))</f>
        <v>0</v>
      </c>
      <c r="BB504" s="699">
        <f>IF($AW505=0,0,        _xll.qDateNext($AW504,BB$17,"M",TRUE,Currency2))</f>
        <v>0</v>
      </c>
      <c r="BC504" s="699">
        <f>IF($AW505=0,0,        _xll.qDateNext($AW504,BC$17,"M",TRUE,Currency2))</f>
        <v>0</v>
      </c>
      <c r="BD504" s="699">
        <f>IF($AW505=0,0,        _xll.qDateNext($AW504,BD$17,"M",TRUE,Currency2))</f>
        <v>0</v>
      </c>
      <c r="BE504" s="699">
        <f>IF($AW505=0,0,        _xll.qDateNext($AW504,BE$17,"M",TRUE,Currency2))</f>
        <v>0</v>
      </c>
      <c r="BF504" s="699">
        <f>IF($AW505=0,0,        _xll.qDateNext($AW504,BF$17,"M",TRUE,Currency2))</f>
        <v>0</v>
      </c>
      <c r="BG504" s="699">
        <f>IF($AW505=0,0,        _xll.qDateNext($AW504,BG$17,"M",TRUE,Currency2))</f>
        <v>0</v>
      </c>
      <c r="BH504" s="703">
        <v>0</v>
      </c>
      <c r="BI504" s="703">
        <v>0</v>
      </c>
      <c r="BJ504" s="703">
        <v>0</v>
      </c>
      <c r="BK504" s="703">
        <v>0</v>
      </c>
      <c r="BL504" s="703">
        <f t="shared" si="109"/>
        <v>0</v>
      </c>
      <c r="BM504" s="703">
        <f t="shared" si="110"/>
        <v>0</v>
      </c>
      <c r="BN504" s="703">
        <v>0</v>
      </c>
      <c r="BO504" s="703">
        <v>0</v>
      </c>
      <c r="BP504" s="685">
        <v>0</v>
      </c>
      <c r="BQ504" s="667"/>
      <c r="BR504" s="670">
        <f>IF(AW505=0,0,             IF(ISNUMBER(BQ504),BQ504,             IF(ISTEXT(BQ504),INDEX(BH504:BO504,MATCH(BQ504,$BH$17:$BO$17,0)),           IF(BP504="INT",_xll.qInterp(AW505,AZ504:BG504,BH504:BO504),       INDEX(BH504:BO504,MATCH(BP504,$BH$17:$BO$17,0))))))</f>
        <v>0</v>
      </c>
      <c r="BS504" s="731">
        <f t="shared" si="104"/>
        <v>0</v>
      </c>
      <c r="BT504" s="406">
        <f t="shared" si="105"/>
        <v>0</v>
      </c>
      <c r="BU504" s="284">
        <f>IF($AW505,_xll.qDateYears($AW504,$AW505,DCC_Leg2_Fixed),0)</f>
        <v>0</v>
      </c>
      <c r="BV504" s="284">
        <f>IF($AW505,_xll.qDateYears($AW504,$AW505,DCC_Leg2_Float),0)</f>
        <v>0</v>
      </c>
      <c r="BX504" s="350">
        <f t="shared" si="111"/>
        <v>0</v>
      </c>
      <c r="BY504" s="375">
        <f>IF(GenType_2a="Fixed",GenRate_2a%*$BT503*BU503,          IF(GenType_2a="Float",$BT503*(_xll.qGetFwdRate($J$18,$AW503,$AW504,"T",DCC_Leg2_Float)%+GenRate_2a%%)*$BV503,        IF(GenType_2a="bp (Fixed)",GenRate_2a%%*$BU503*$BT503,   IF(GenType_2a="bp (Float)",GenRate_2a%%*$BT503*$BV503,0))))</f>
        <v>0</v>
      </c>
      <c r="BZ504" s="561"/>
      <c r="CB504" s="341">
        <f t="shared" si="113"/>
        <v>0</v>
      </c>
      <c r="CC504" s="563"/>
      <c r="CD504" s="356"/>
      <c r="CE504" s="341">
        <v>0</v>
      </c>
      <c r="CF504" s="563"/>
      <c r="CG504" s="356"/>
    </row>
    <row r="505" spans="15:85">
      <c r="O505" s="122">
        <v>0</v>
      </c>
      <c r="P505" s="128">
        <f t="shared" si="100"/>
        <v>0</v>
      </c>
      <c r="Q505" s="126">
        <v>0</v>
      </c>
      <c r="R505" s="699">
        <f>IF($O506=0,0,        _xll.qDateNext($O505,R$17,"M",TRUE,Currency1))</f>
        <v>0</v>
      </c>
      <c r="S505" s="699">
        <f>IF($O506=0,0,        _xll.qDateNext($O505,S$17,"M",TRUE,Currency1))</f>
        <v>0</v>
      </c>
      <c r="T505" s="699">
        <f>IF($O506=0,0,        _xll.qDateNext($O505,T$17,"M",TRUE,Currency1))</f>
        <v>0</v>
      </c>
      <c r="U505" s="699">
        <f>IF($O506=0,0,        _xll.qDateNext($O505,U$17,"M",TRUE,Currency1))</f>
        <v>0</v>
      </c>
      <c r="V505" s="699">
        <f>IF($O506=0,0,        _xll.qDateNext($O505,V$17,"M",TRUE,Currency1))</f>
        <v>0</v>
      </c>
      <c r="W505" s="699">
        <f>IF($O506=0,0,        _xll.qDateNext($O505,W$17,"M",TRUE,Currency1))</f>
        <v>0</v>
      </c>
      <c r="X505" s="699">
        <f>IF($O506=0,0,        _xll.qDateNext($O505,X$17,"M",TRUE,Currency1))</f>
        <v>0</v>
      </c>
      <c r="Y505" s="699">
        <f>IF($O506=0,0,        _xll.qDateNext($O505,Y$17,"M",TRUE,Currency1))</f>
        <v>0</v>
      </c>
      <c r="Z505" s="703">
        <f>IF($O506=0,0,           IF(FRM,_xll.qGetFwdRate(Z$14,$O505,R505,"T",DCC_Leg1_Float),_xll.qGetFwdRate(Z$14,$O505,$O506,"T",DCC_Leg1_Float)))</f>
        <v>0</v>
      </c>
      <c r="AA505" s="703">
        <f>IF($O506=0,0,           IF(FRM,_xll.qGetFwdRate(AA$14,$O505,S505,"T",DCC_Leg1_Float),_xll.qGetFwdRate(AA$14,$O505,$O506,"T",DCC_Leg1_Float)))</f>
        <v>0</v>
      </c>
      <c r="AB505" s="703">
        <f t="shared" si="101"/>
        <v>0</v>
      </c>
      <c r="AC505" s="703">
        <f>IF($O506=0,0,           IF(FRM,_xll.qGetFwdRate(AC$14,$O505,U505,"T",DCC_Leg1_Float),_xll.qGetFwdRate(AC$14,$O505,$O506,"T",DCC_Leg1_Float)))</f>
        <v>0</v>
      </c>
      <c r="AD505" s="703">
        <f t="shared" si="106"/>
        <v>0</v>
      </c>
      <c r="AE505" s="703">
        <f t="shared" si="107"/>
        <v>0</v>
      </c>
      <c r="AF505" s="703">
        <f>IF($O506=0,0,           IF(FRM,_xll.qGetFwdRate(AF$14,$O505,X505,"T",DCC_Leg1_Float),_xll.qGetFwdRate(AF$14,$O505,$O506,"T",DCC_Leg1_Float)))</f>
        <v>0</v>
      </c>
      <c r="AG505" s="703">
        <f>IF($O506=0,0,           IF(FRM,_xll.qGetFwdRate(AG$14,$O505,Y505,"T",DCC_Leg1_Float),_xll.qGetFwdRate(AG$14,$O505,$O506,"T",DCC_Leg1_Float)))</f>
        <v>0</v>
      </c>
      <c r="AH505" s="685">
        <v>0</v>
      </c>
      <c r="AI505" s="667"/>
      <c r="AJ505" s="670">
        <f>IF(O506=0,0,             IF(ISNUMBER(AI505),AI505,             IF(ISTEXT(AI505),INDEX(Z505:AG505,MATCH(AI505,$Z$17:$AG$17,0)),           IF(AH505="INT",_xll.qInterp(O506,R505:Y505,Z505:AG505),       INDEX(Z505:AG505,MATCH(AH505,$Z$17:$AG$17,0))))))</f>
        <v>0</v>
      </c>
      <c r="AK505" s="732">
        <v>20</v>
      </c>
      <c r="AL505" s="721">
        <f t="shared" si="102"/>
        <v>0</v>
      </c>
      <c r="AM505" s="284">
        <f>IF($O506,_xll.qDateYears($O505,$O506,DCC_Leg1_Fixed),0)</f>
        <v>0</v>
      </c>
      <c r="AN505" s="284">
        <f>IF($O506,_xll.qDateYears($O505,$O506,DCC_Leg1_Float),0)</f>
        <v>0</v>
      </c>
      <c r="AP505" s="350">
        <f t="shared" si="108"/>
        <v>0</v>
      </c>
      <c r="AQ505" s="375">
        <f>IF(GenType_1a="Fixed",GenRate_1a%*$AL504*AM504,          IF(GenType_1a="Float",$AL504*(_xll.qGetFwdRate($D$18,$O504,$O505,"T",DCC_Leg1_Float)%+GenRate_1a%%)*$AN504,        IF(GenType_1a="bp (Fixed)",GenRate_1a%%*$AM504*$AL504,   IF(GenType_1a="bp (Float)",GenRate_1a%%*$AL504*$AN504,0))))</f>
        <v>0</v>
      </c>
      <c r="AR505" s="561"/>
      <c r="AT505" s="341">
        <f t="shared" si="112"/>
        <v>0</v>
      </c>
      <c r="AV505" s="356"/>
      <c r="AW505" s="122">
        <v>0</v>
      </c>
      <c r="AX505" s="128">
        <f t="shared" si="103"/>
        <v>0</v>
      </c>
      <c r="AY505" s="357">
        <v>0</v>
      </c>
      <c r="AZ505" s="699">
        <f>IF($AW506=0,0,        _xll.qDateNext($AW505,AZ$17,"M",TRUE,Currency2))</f>
        <v>0</v>
      </c>
      <c r="BA505" s="699">
        <f>IF($AW506=0,0,        _xll.qDateNext($AW505,BA$17,"M",TRUE,Currency2))</f>
        <v>0</v>
      </c>
      <c r="BB505" s="699">
        <f>IF($AW506=0,0,        _xll.qDateNext($AW505,BB$17,"M",TRUE,Currency2))</f>
        <v>0</v>
      </c>
      <c r="BC505" s="699">
        <f>IF($AW506=0,0,        _xll.qDateNext($AW505,BC$17,"M",TRUE,Currency2))</f>
        <v>0</v>
      </c>
      <c r="BD505" s="699">
        <f>IF($AW506=0,0,        _xll.qDateNext($AW505,BD$17,"M",TRUE,Currency2))</f>
        <v>0</v>
      </c>
      <c r="BE505" s="699">
        <f>IF($AW506=0,0,        _xll.qDateNext($AW505,BE$17,"M",TRUE,Currency2))</f>
        <v>0</v>
      </c>
      <c r="BF505" s="699">
        <f>IF($AW506=0,0,        _xll.qDateNext($AW505,BF$17,"M",TRUE,Currency2))</f>
        <v>0</v>
      </c>
      <c r="BG505" s="699">
        <f>IF($AW506=0,0,        _xll.qDateNext($AW505,BG$17,"M",TRUE,Currency2))</f>
        <v>0</v>
      </c>
      <c r="BH505" s="703">
        <v>0</v>
      </c>
      <c r="BI505" s="703">
        <v>0</v>
      </c>
      <c r="BJ505" s="703">
        <v>0</v>
      </c>
      <c r="BK505" s="703">
        <v>0</v>
      </c>
      <c r="BL505" s="703">
        <f t="shared" si="109"/>
        <v>0</v>
      </c>
      <c r="BM505" s="703">
        <f t="shared" si="110"/>
        <v>0</v>
      </c>
      <c r="BN505" s="703">
        <v>0</v>
      </c>
      <c r="BO505" s="703">
        <v>0</v>
      </c>
      <c r="BP505" s="685">
        <v>0</v>
      </c>
      <c r="BQ505" s="667"/>
      <c r="BR505" s="670">
        <f>IF(AW506=0,0,             IF(ISNUMBER(BQ505),BQ505,             IF(ISTEXT(BQ505),INDEX(BH505:BO505,MATCH(BQ505,$BH$17:$BO$17,0)),           IF(BP505="INT",_xll.qInterp(AW506,AZ505:BG505,BH505:BO505),       INDEX(BH505:BO505,MATCH(BP505,$BH$17:$BO$17,0))))))</f>
        <v>0</v>
      </c>
      <c r="BS505" s="731">
        <f t="shared" si="104"/>
        <v>0</v>
      </c>
      <c r="BT505" s="406">
        <f t="shared" si="105"/>
        <v>0</v>
      </c>
      <c r="BU505" s="284">
        <f>IF($AW506,_xll.qDateYears($AW505,$AW506,DCC_Leg2_Fixed),0)</f>
        <v>0</v>
      </c>
      <c r="BV505" s="284">
        <f>IF($AW506,_xll.qDateYears($AW505,$AW506,DCC_Leg2_Float),0)</f>
        <v>0</v>
      </c>
      <c r="BX505" s="350">
        <f t="shared" si="111"/>
        <v>0</v>
      </c>
      <c r="BY505" s="375">
        <f>IF(GenType_2a="Fixed",GenRate_2a%*$BT504*BU504,          IF(GenType_2a="Float",$BT504*(_xll.qGetFwdRate($J$18,$AW504,$AW505,"T",DCC_Leg2_Float)%+GenRate_2a%%)*$BV504,        IF(GenType_2a="bp (Fixed)",GenRate_2a%%*$BU504*$BT504,   IF(GenType_2a="bp (Float)",GenRate_2a%%*$BT504*$BV504,0))))</f>
        <v>0</v>
      </c>
      <c r="BZ505" s="561"/>
      <c r="CB505" s="341">
        <f t="shared" si="113"/>
        <v>0</v>
      </c>
      <c r="CC505" s="563"/>
      <c r="CD505" s="356"/>
      <c r="CE505" s="341">
        <v>0</v>
      </c>
      <c r="CF505" s="563"/>
      <c r="CG505" s="356"/>
    </row>
    <row r="506" spans="15:85">
      <c r="O506" s="122">
        <v>0</v>
      </c>
      <c r="P506" s="128">
        <f t="shared" si="100"/>
        <v>0</v>
      </c>
      <c r="Q506" s="126">
        <v>0</v>
      </c>
      <c r="R506" s="699">
        <f>IF($O507=0,0,        _xll.qDateNext($O506,R$17,"M",TRUE,Currency1))</f>
        <v>0</v>
      </c>
      <c r="S506" s="699">
        <f>IF($O507=0,0,        _xll.qDateNext($O506,S$17,"M",TRUE,Currency1))</f>
        <v>0</v>
      </c>
      <c r="T506" s="699">
        <f>IF($O507=0,0,        _xll.qDateNext($O506,T$17,"M",TRUE,Currency1))</f>
        <v>0</v>
      </c>
      <c r="U506" s="699">
        <f>IF($O507=0,0,        _xll.qDateNext($O506,U$17,"M",TRUE,Currency1))</f>
        <v>0</v>
      </c>
      <c r="V506" s="699">
        <f>IF($O507=0,0,        _xll.qDateNext($O506,V$17,"M",TRUE,Currency1))</f>
        <v>0</v>
      </c>
      <c r="W506" s="699">
        <f>IF($O507=0,0,        _xll.qDateNext($O506,W$17,"M",TRUE,Currency1))</f>
        <v>0</v>
      </c>
      <c r="X506" s="699">
        <f>IF($O507=0,0,        _xll.qDateNext($O506,X$17,"M",TRUE,Currency1))</f>
        <v>0</v>
      </c>
      <c r="Y506" s="699">
        <f>IF($O507=0,0,        _xll.qDateNext($O506,Y$17,"M",TRUE,Currency1))</f>
        <v>0</v>
      </c>
      <c r="Z506" s="703">
        <f>IF($O507=0,0,           IF(FRM,_xll.qGetFwdRate(Z$14,$O506,R506,"T",DCC_Leg1_Float),_xll.qGetFwdRate(Z$14,$O506,$O507,"T",DCC_Leg1_Float)))</f>
        <v>0</v>
      </c>
      <c r="AA506" s="703">
        <f>IF($O507=0,0,           IF(FRM,_xll.qGetFwdRate(AA$14,$O506,S506,"T",DCC_Leg1_Float),_xll.qGetFwdRate(AA$14,$O506,$O507,"T",DCC_Leg1_Float)))</f>
        <v>0</v>
      </c>
      <c r="AB506" s="703">
        <f t="shared" si="101"/>
        <v>0</v>
      </c>
      <c r="AC506" s="703">
        <f>IF($O507=0,0,           IF(FRM,_xll.qGetFwdRate(AC$14,$O506,U506,"T",DCC_Leg1_Float),_xll.qGetFwdRate(AC$14,$O506,$O507,"T",DCC_Leg1_Float)))</f>
        <v>0</v>
      </c>
      <c r="AD506" s="703">
        <f t="shared" si="106"/>
        <v>0</v>
      </c>
      <c r="AE506" s="703">
        <f t="shared" si="107"/>
        <v>0</v>
      </c>
      <c r="AF506" s="703">
        <f>IF($O507=0,0,           IF(FRM,_xll.qGetFwdRate(AF$14,$O506,X506,"T",DCC_Leg1_Float),_xll.qGetFwdRate(AF$14,$O506,$O507,"T",DCC_Leg1_Float)))</f>
        <v>0</v>
      </c>
      <c r="AG506" s="703">
        <f>IF($O507=0,0,           IF(FRM,_xll.qGetFwdRate(AG$14,$O506,Y506,"T",DCC_Leg1_Float),_xll.qGetFwdRate(AG$14,$O506,$O507,"T",DCC_Leg1_Float)))</f>
        <v>0</v>
      </c>
      <c r="AH506" s="685">
        <v>0</v>
      </c>
      <c r="AI506" s="667"/>
      <c r="AJ506" s="670">
        <f>IF(O507=0,0,             IF(ISNUMBER(AI506),AI506,             IF(ISTEXT(AI506),INDEX(Z506:AG506,MATCH(AI506,$Z$17:$AG$17,0)),           IF(AH506="INT",_xll.qInterp(O507,R506:Y506,Z506:AG506),       INDEX(Z506:AG506,MATCH(AH506,$Z$17:$AG$17,0))))))</f>
        <v>0</v>
      </c>
      <c r="AK506" s="732">
        <v>20</v>
      </c>
      <c r="AL506" s="721">
        <f t="shared" si="102"/>
        <v>0</v>
      </c>
      <c r="AM506" s="284">
        <f>IF($O507,_xll.qDateYears($O506,$O507,DCC_Leg1_Fixed),0)</f>
        <v>0</v>
      </c>
      <c r="AN506" s="284">
        <f>IF($O507,_xll.qDateYears($O506,$O507,DCC_Leg1_Float),0)</f>
        <v>0</v>
      </c>
      <c r="AP506" s="350">
        <f t="shared" si="108"/>
        <v>0</v>
      </c>
      <c r="AQ506" s="375">
        <f>IF(GenType_1a="Fixed",GenRate_1a%*$AL505*AM505,          IF(GenType_1a="Float",$AL505*(_xll.qGetFwdRate($D$18,$O505,$O506,"T",DCC_Leg1_Float)%+GenRate_1a%%)*$AN505,        IF(GenType_1a="bp (Fixed)",GenRate_1a%%*$AM505*$AL505,   IF(GenType_1a="bp (Float)",GenRate_1a%%*$AL505*$AN505,0))))</f>
        <v>0</v>
      </c>
      <c r="AR506" s="561"/>
      <c r="AT506" s="341">
        <f t="shared" si="112"/>
        <v>0</v>
      </c>
      <c r="AV506" s="356"/>
      <c r="AW506" s="122">
        <v>0</v>
      </c>
      <c r="AX506" s="128">
        <f t="shared" si="103"/>
        <v>0</v>
      </c>
      <c r="AY506" s="357">
        <v>0</v>
      </c>
      <c r="AZ506" s="699">
        <f>IF($AW507=0,0,        _xll.qDateNext($AW506,AZ$17,"M",TRUE,Currency2))</f>
        <v>0</v>
      </c>
      <c r="BA506" s="699">
        <f>IF($AW507=0,0,        _xll.qDateNext($AW506,BA$17,"M",TRUE,Currency2))</f>
        <v>0</v>
      </c>
      <c r="BB506" s="699">
        <f>IF($AW507=0,0,        _xll.qDateNext($AW506,BB$17,"M",TRUE,Currency2))</f>
        <v>0</v>
      </c>
      <c r="BC506" s="699">
        <f>IF($AW507=0,0,        _xll.qDateNext($AW506,BC$17,"M",TRUE,Currency2))</f>
        <v>0</v>
      </c>
      <c r="BD506" s="699">
        <f>IF($AW507=0,0,        _xll.qDateNext($AW506,BD$17,"M",TRUE,Currency2))</f>
        <v>0</v>
      </c>
      <c r="BE506" s="699">
        <f>IF($AW507=0,0,        _xll.qDateNext($AW506,BE$17,"M",TRUE,Currency2))</f>
        <v>0</v>
      </c>
      <c r="BF506" s="699">
        <f>IF($AW507=0,0,        _xll.qDateNext($AW506,BF$17,"M",TRUE,Currency2))</f>
        <v>0</v>
      </c>
      <c r="BG506" s="699">
        <f>IF($AW507=0,0,        _xll.qDateNext($AW506,BG$17,"M",TRUE,Currency2))</f>
        <v>0</v>
      </c>
      <c r="BH506" s="703">
        <v>0</v>
      </c>
      <c r="BI506" s="703">
        <v>0</v>
      </c>
      <c r="BJ506" s="703">
        <v>0</v>
      </c>
      <c r="BK506" s="703">
        <v>0</v>
      </c>
      <c r="BL506" s="703">
        <f t="shared" si="109"/>
        <v>0</v>
      </c>
      <c r="BM506" s="703">
        <f t="shared" si="110"/>
        <v>0</v>
      </c>
      <c r="BN506" s="703">
        <v>0</v>
      </c>
      <c r="BO506" s="703">
        <v>0</v>
      </c>
      <c r="BP506" s="685">
        <v>0</v>
      </c>
      <c r="BQ506" s="667"/>
      <c r="BR506" s="670">
        <f>IF(AW507=0,0,             IF(ISNUMBER(BQ506),BQ506,             IF(ISTEXT(BQ506),INDEX(BH506:BO506,MATCH(BQ506,$BH$17:$BO$17,0)),           IF(BP506="INT",_xll.qInterp(AW507,AZ506:BG506,BH506:BO506),       INDEX(BH506:BO506,MATCH(BP506,$BH$17:$BO$17,0))))))</f>
        <v>0</v>
      </c>
      <c r="BS506" s="731">
        <f t="shared" si="104"/>
        <v>0</v>
      </c>
      <c r="BT506" s="406">
        <f t="shared" si="105"/>
        <v>0</v>
      </c>
      <c r="BU506" s="284">
        <f>IF($AW507,_xll.qDateYears($AW506,$AW507,DCC_Leg2_Fixed),0)</f>
        <v>0</v>
      </c>
      <c r="BV506" s="284">
        <f>IF($AW507,_xll.qDateYears($AW506,$AW507,DCC_Leg2_Float),0)</f>
        <v>0</v>
      </c>
      <c r="BX506" s="350">
        <f t="shared" si="111"/>
        <v>0</v>
      </c>
      <c r="BY506" s="375">
        <f>IF(GenType_2a="Fixed",GenRate_2a%*$BT505*BU505,          IF(GenType_2a="Float",$BT505*(_xll.qGetFwdRate($J$18,$AW505,$AW506,"T",DCC_Leg2_Float)%+GenRate_2a%%)*$BV505,        IF(GenType_2a="bp (Fixed)",GenRate_2a%%*$BU505*$BT505,   IF(GenType_2a="bp (Float)",GenRate_2a%%*$BT505*$BV505,0))))</f>
        <v>0</v>
      </c>
      <c r="BZ506" s="561"/>
      <c r="CB506" s="341">
        <f t="shared" si="113"/>
        <v>0</v>
      </c>
      <c r="CC506" s="563"/>
      <c r="CD506" s="356"/>
      <c r="CE506" s="341">
        <v>0</v>
      </c>
      <c r="CF506" s="563"/>
      <c r="CG506" s="356"/>
    </row>
    <row r="507" spans="15:85">
      <c r="O507" s="122">
        <v>0</v>
      </c>
      <c r="P507" s="128">
        <f t="shared" si="100"/>
        <v>0</v>
      </c>
      <c r="Q507" s="126">
        <v>0</v>
      </c>
      <c r="R507" s="699">
        <f>IF($O508=0,0,        _xll.qDateNext($O507,R$17,"M",TRUE,Currency1))</f>
        <v>0</v>
      </c>
      <c r="S507" s="699">
        <f>IF($O508=0,0,        _xll.qDateNext($O507,S$17,"M",TRUE,Currency1))</f>
        <v>0</v>
      </c>
      <c r="T507" s="699">
        <f>IF($O508=0,0,        _xll.qDateNext($O507,T$17,"M",TRUE,Currency1))</f>
        <v>0</v>
      </c>
      <c r="U507" s="699">
        <f>IF($O508=0,0,        _xll.qDateNext($O507,U$17,"M",TRUE,Currency1))</f>
        <v>0</v>
      </c>
      <c r="V507" s="699">
        <f>IF($O508=0,0,        _xll.qDateNext($O507,V$17,"M",TRUE,Currency1))</f>
        <v>0</v>
      </c>
      <c r="W507" s="699">
        <f>IF($O508=0,0,        _xll.qDateNext($O507,W$17,"M",TRUE,Currency1))</f>
        <v>0</v>
      </c>
      <c r="X507" s="699">
        <f>IF($O508=0,0,        _xll.qDateNext($O507,X$17,"M",TRUE,Currency1))</f>
        <v>0</v>
      </c>
      <c r="Y507" s="699">
        <f>IF($O508=0,0,        _xll.qDateNext($O507,Y$17,"M",TRUE,Currency1))</f>
        <v>0</v>
      </c>
      <c r="Z507" s="703">
        <f>IF($O508=0,0,           IF(FRM,_xll.qGetFwdRate(Z$14,$O507,R507,"T",DCC_Leg1_Float),_xll.qGetFwdRate(Z$14,$O507,$O508,"T",DCC_Leg1_Float)))</f>
        <v>0</v>
      </c>
      <c r="AA507" s="703">
        <f>IF($O508=0,0,           IF(FRM,_xll.qGetFwdRate(AA$14,$O507,S507,"T",DCC_Leg1_Float),_xll.qGetFwdRate(AA$14,$O507,$O508,"T",DCC_Leg1_Float)))</f>
        <v>0</v>
      </c>
      <c r="AB507" s="703">
        <f t="shared" si="101"/>
        <v>0</v>
      </c>
      <c r="AC507" s="703">
        <f>IF($O508=0,0,           IF(FRM,_xll.qGetFwdRate(AC$14,$O507,U507,"T",DCC_Leg1_Float),_xll.qGetFwdRate(AC$14,$O507,$O508,"T",DCC_Leg1_Float)))</f>
        <v>0</v>
      </c>
      <c r="AD507" s="703">
        <f t="shared" si="106"/>
        <v>0</v>
      </c>
      <c r="AE507" s="703">
        <f t="shared" si="107"/>
        <v>0</v>
      </c>
      <c r="AF507" s="703">
        <f>IF($O508=0,0,           IF(FRM,_xll.qGetFwdRate(AF$14,$O507,X507,"T",DCC_Leg1_Float),_xll.qGetFwdRate(AF$14,$O507,$O508,"T",DCC_Leg1_Float)))</f>
        <v>0</v>
      </c>
      <c r="AG507" s="703">
        <f>IF($O508=0,0,           IF(FRM,_xll.qGetFwdRate(AG$14,$O507,Y507,"T",DCC_Leg1_Float),_xll.qGetFwdRate(AG$14,$O507,$O508,"T",DCC_Leg1_Float)))</f>
        <v>0</v>
      </c>
      <c r="AH507" s="685">
        <v>0</v>
      </c>
      <c r="AI507" s="667"/>
      <c r="AJ507" s="670">
        <f>IF(O508=0,0,             IF(ISNUMBER(AI507),AI507,             IF(ISTEXT(AI507),INDEX(Z507:AG507,MATCH(AI507,$Z$17:$AG$17,0)),           IF(AH507="INT",_xll.qInterp(O508,R507:Y507,Z507:AG507),       INDEX(Z507:AG507,MATCH(AH507,$Z$17:$AG$17,0))))))</f>
        <v>0</v>
      </c>
      <c r="AK507" s="732">
        <v>20</v>
      </c>
      <c r="AL507" s="721">
        <f t="shared" si="102"/>
        <v>0</v>
      </c>
      <c r="AM507" s="284">
        <f>IF($O508,_xll.qDateYears($O507,$O508,DCC_Leg1_Fixed),0)</f>
        <v>0</v>
      </c>
      <c r="AN507" s="284">
        <f>IF($O508,_xll.qDateYears($O507,$O508,DCC_Leg1_Float),0)</f>
        <v>0</v>
      </c>
      <c r="AP507" s="350">
        <f t="shared" si="108"/>
        <v>0</v>
      </c>
      <c r="AQ507" s="375">
        <f>IF(GenType_1a="Fixed",GenRate_1a%*$AL506*AM506,          IF(GenType_1a="Float",$AL506*(_xll.qGetFwdRate($D$18,$O506,$O507,"T",DCC_Leg1_Float)%+GenRate_1a%%)*$AN506,        IF(GenType_1a="bp (Fixed)",GenRate_1a%%*$AM506*$AL506,   IF(GenType_1a="bp (Float)",GenRate_1a%%*$AL506*$AN506,0))))</f>
        <v>0</v>
      </c>
      <c r="AR507" s="561"/>
      <c r="AT507" s="341">
        <f t="shared" si="112"/>
        <v>0</v>
      </c>
      <c r="AV507" s="356"/>
      <c r="AW507" s="122">
        <v>0</v>
      </c>
      <c r="AX507" s="128">
        <f t="shared" si="103"/>
        <v>0</v>
      </c>
      <c r="AY507" s="357">
        <v>0</v>
      </c>
      <c r="AZ507" s="699">
        <f>IF($AW508=0,0,        _xll.qDateNext($AW507,AZ$17,"M",TRUE,Currency2))</f>
        <v>0</v>
      </c>
      <c r="BA507" s="699">
        <f>IF($AW508=0,0,        _xll.qDateNext($AW507,BA$17,"M",TRUE,Currency2))</f>
        <v>0</v>
      </c>
      <c r="BB507" s="699">
        <f>IF($AW508=0,0,        _xll.qDateNext($AW507,BB$17,"M",TRUE,Currency2))</f>
        <v>0</v>
      </c>
      <c r="BC507" s="699">
        <f>IF($AW508=0,0,        _xll.qDateNext($AW507,BC$17,"M",TRUE,Currency2))</f>
        <v>0</v>
      </c>
      <c r="BD507" s="699">
        <f>IF($AW508=0,0,        _xll.qDateNext($AW507,BD$17,"M",TRUE,Currency2))</f>
        <v>0</v>
      </c>
      <c r="BE507" s="699">
        <f>IF($AW508=0,0,        _xll.qDateNext($AW507,BE$17,"M",TRUE,Currency2))</f>
        <v>0</v>
      </c>
      <c r="BF507" s="699">
        <f>IF($AW508=0,0,        _xll.qDateNext($AW507,BF$17,"M",TRUE,Currency2))</f>
        <v>0</v>
      </c>
      <c r="BG507" s="699">
        <f>IF($AW508=0,0,        _xll.qDateNext($AW507,BG$17,"M",TRUE,Currency2))</f>
        <v>0</v>
      </c>
      <c r="BH507" s="703">
        <v>0</v>
      </c>
      <c r="BI507" s="703">
        <v>0</v>
      </c>
      <c r="BJ507" s="703">
        <v>0</v>
      </c>
      <c r="BK507" s="703">
        <v>0</v>
      </c>
      <c r="BL507" s="703">
        <f t="shared" si="109"/>
        <v>0</v>
      </c>
      <c r="BM507" s="703">
        <f t="shared" si="110"/>
        <v>0</v>
      </c>
      <c r="BN507" s="703">
        <v>0</v>
      </c>
      <c r="BO507" s="703">
        <v>0</v>
      </c>
      <c r="BP507" s="685">
        <v>0</v>
      </c>
      <c r="BQ507" s="667"/>
      <c r="BR507" s="670">
        <f>IF(AW508=0,0,             IF(ISNUMBER(BQ507),BQ507,             IF(ISTEXT(BQ507),INDEX(BH507:BO507,MATCH(BQ507,$BH$17:$BO$17,0)),           IF(BP507="INT",_xll.qInterp(AW508,AZ507:BG507,BH507:BO507),       INDEX(BH507:BO507,MATCH(BP507,$BH$17:$BO$17,0))))))</f>
        <v>0</v>
      </c>
      <c r="BS507" s="731">
        <f t="shared" si="104"/>
        <v>0</v>
      </c>
      <c r="BT507" s="406">
        <f t="shared" si="105"/>
        <v>0</v>
      </c>
      <c r="BU507" s="284">
        <f>IF($AW508,_xll.qDateYears($AW507,$AW508,DCC_Leg2_Fixed),0)</f>
        <v>0</v>
      </c>
      <c r="BV507" s="284">
        <f>IF($AW508,_xll.qDateYears($AW507,$AW508,DCC_Leg2_Float),0)</f>
        <v>0</v>
      </c>
      <c r="BX507" s="350">
        <f t="shared" si="111"/>
        <v>0</v>
      </c>
      <c r="BY507" s="375">
        <f>IF(GenType_2a="Fixed",GenRate_2a%*$BT506*BU506,          IF(GenType_2a="Float",$BT506*(_xll.qGetFwdRate($J$18,$AW506,$AW507,"T",DCC_Leg2_Float)%+GenRate_2a%%)*$BV506,        IF(GenType_2a="bp (Fixed)",GenRate_2a%%*$BU506*$BT506,   IF(GenType_2a="bp (Float)",GenRate_2a%%*$BT506*$BV506,0))))</f>
        <v>0</v>
      </c>
      <c r="BZ507" s="561"/>
      <c r="CB507" s="341">
        <f t="shared" si="113"/>
        <v>0</v>
      </c>
      <c r="CC507" s="563"/>
      <c r="CD507" s="356"/>
      <c r="CE507" s="341">
        <v>0</v>
      </c>
      <c r="CF507" s="563"/>
      <c r="CG507" s="356"/>
    </row>
    <row r="508" spans="15:85">
      <c r="O508" s="122">
        <v>0</v>
      </c>
      <c r="P508" s="128">
        <f t="shared" si="100"/>
        <v>0</v>
      </c>
      <c r="Q508" s="126">
        <v>0</v>
      </c>
      <c r="R508" s="699">
        <f>IF($O509=0,0,        _xll.qDateNext($O508,R$17,"M",TRUE,Currency1))</f>
        <v>0</v>
      </c>
      <c r="S508" s="699">
        <f>IF($O509=0,0,        _xll.qDateNext($O508,S$17,"M",TRUE,Currency1))</f>
        <v>0</v>
      </c>
      <c r="T508" s="699">
        <f>IF($O509=0,0,        _xll.qDateNext($O508,T$17,"M",TRUE,Currency1))</f>
        <v>0</v>
      </c>
      <c r="U508" s="699">
        <f>IF($O509=0,0,        _xll.qDateNext($O508,U$17,"M",TRUE,Currency1))</f>
        <v>0</v>
      </c>
      <c r="V508" s="699">
        <f>IF($O509=0,0,        _xll.qDateNext($O508,V$17,"M",TRUE,Currency1))</f>
        <v>0</v>
      </c>
      <c r="W508" s="699">
        <f>IF($O509=0,0,        _xll.qDateNext($O508,W$17,"M",TRUE,Currency1))</f>
        <v>0</v>
      </c>
      <c r="X508" s="699">
        <f>IF($O509=0,0,        _xll.qDateNext($O508,X$17,"M",TRUE,Currency1))</f>
        <v>0</v>
      </c>
      <c r="Y508" s="699">
        <f>IF($O509=0,0,        _xll.qDateNext($O508,Y$17,"M",TRUE,Currency1))</f>
        <v>0</v>
      </c>
      <c r="Z508" s="703">
        <f>IF($O509=0,0,           IF(FRM,_xll.qGetFwdRate(Z$14,$O508,R508,"T",DCC_Leg1_Float),_xll.qGetFwdRate(Z$14,$O508,$O509,"T",DCC_Leg1_Float)))</f>
        <v>0</v>
      </c>
      <c r="AA508" s="703">
        <f>IF($O509=0,0,           IF(FRM,_xll.qGetFwdRate(AA$14,$O508,S508,"T",DCC_Leg1_Float),_xll.qGetFwdRate(AA$14,$O508,$O509,"T",DCC_Leg1_Float)))</f>
        <v>0</v>
      </c>
      <c r="AB508" s="703">
        <f t="shared" si="101"/>
        <v>0</v>
      </c>
      <c r="AC508" s="703">
        <f>IF($O509=0,0,           IF(FRM,_xll.qGetFwdRate(AC$14,$O508,U508,"T",DCC_Leg1_Float),_xll.qGetFwdRate(AC$14,$O508,$O509,"T",DCC_Leg1_Float)))</f>
        <v>0</v>
      </c>
      <c r="AD508" s="703">
        <f t="shared" si="106"/>
        <v>0</v>
      </c>
      <c r="AE508" s="703">
        <f t="shared" si="107"/>
        <v>0</v>
      </c>
      <c r="AF508" s="703">
        <f>IF($O509=0,0,           IF(FRM,_xll.qGetFwdRate(AF$14,$O508,X508,"T",DCC_Leg1_Float),_xll.qGetFwdRate(AF$14,$O508,$O509,"T",DCC_Leg1_Float)))</f>
        <v>0</v>
      </c>
      <c r="AG508" s="703">
        <f>IF($O509=0,0,           IF(FRM,_xll.qGetFwdRate(AG$14,$O508,Y508,"T",DCC_Leg1_Float),_xll.qGetFwdRate(AG$14,$O508,$O509,"T",DCC_Leg1_Float)))</f>
        <v>0</v>
      </c>
      <c r="AH508" s="685">
        <v>0</v>
      </c>
      <c r="AI508" s="667"/>
      <c r="AJ508" s="670">
        <f>IF(O509=0,0,             IF(ISNUMBER(AI508),AI508,             IF(ISTEXT(AI508),INDEX(Z508:AG508,MATCH(AI508,$Z$17:$AG$17,0)),           IF(AH508="INT",_xll.qInterp(O509,R508:Y508,Z508:AG508),       INDEX(Z508:AG508,MATCH(AH508,$Z$17:$AG$17,0))))))</f>
        <v>0</v>
      </c>
      <c r="AK508" s="732">
        <v>20</v>
      </c>
      <c r="AL508" s="721">
        <f t="shared" si="102"/>
        <v>0</v>
      </c>
      <c r="AM508" s="284">
        <f>IF($O509,_xll.qDateYears($O508,$O509,DCC_Leg1_Fixed),0)</f>
        <v>0</v>
      </c>
      <c r="AN508" s="284">
        <f>IF($O509,_xll.qDateYears($O508,$O509,DCC_Leg1_Float),0)</f>
        <v>0</v>
      </c>
      <c r="AP508" s="350">
        <f t="shared" si="108"/>
        <v>0</v>
      </c>
      <c r="AQ508" s="375">
        <f>IF(GenType_1a="Fixed",GenRate_1a%*$AL507*AM507,          IF(GenType_1a="Float",$AL507*(_xll.qGetFwdRate($D$18,$O507,$O508,"T",DCC_Leg1_Float)%+GenRate_1a%%)*$AN507,        IF(GenType_1a="bp (Fixed)",GenRate_1a%%*$AM507*$AL507,   IF(GenType_1a="bp (Float)",GenRate_1a%%*$AL507*$AN507,0))))</f>
        <v>0</v>
      </c>
      <c r="AR508" s="561"/>
      <c r="AT508" s="341">
        <f t="shared" si="112"/>
        <v>0</v>
      </c>
      <c r="AV508" s="356"/>
      <c r="AW508" s="122">
        <v>0</v>
      </c>
      <c r="AX508" s="128">
        <f t="shared" si="103"/>
        <v>0</v>
      </c>
      <c r="AY508" s="357">
        <v>0</v>
      </c>
      <c r="AZ508" s="699">
        <f>IF($AW509=0,0,        _xll.qDateNext($AW508,AZ$17,"M",TRUE,Currency2))</f>
        <v>0</v>
      </c>
      <c r="BA508" s="699">
        <f>IF($AW509=0,0,        _xll.qDateNext($AW508,BA$17,"M",TRUE,Currency2))</f>
        <v>0</v>
      </c>
      <c r="BB508" s="699">
        <f>IF($AW509=0,0,        _xll.qDateNext($AW508,BB$17,"M",TRUE,Currency2))</f>
        <v>0</v>
      </c>
      <c r="BC508" s="699">
        <f>IF($AW509=0,0,        _xll.qDateNext($AW508,BC$17,"M",TRUE,Currency2))</f>
        <v>0</v>
      </c>
      <c r="BD508" s="699">
        <f>IF($AW509=0,0,        _xll.qDateNext($AW508,BD$17,"M",TRUE,Currency2))</f>
        <v>0</v>
      </c>
      <c r="BE508" s="699">
        <f>IF($AW509=0,0,        _xll.qDateNext($AW508,BE$17,"M",TRUE,Currency2))</f>
        <v>0</v>
      </c>
      <c r="BF508" s="699">
        <f>IF($AW509=0,0,        _xll.qDateNext($AW508,BF$17,"M",TRUE,Currency2))</f>
        <v>0</v>
      </c>
      <c r="BG508" s="699">
        <f>IF($AW509=0,0,        _xll.qDateNext($AW508,BG$17,"M",TRUE,Currency2))</f>
        <v>0</v>
      </c>
      <c r="BH508" s="703">
        <v>0</v>
      </c>
      <c r="BI508" s="703">
        <v>0</v>
      </c>
      <c r="BJ508" s="703">
        <v>0</v>
      </c>
      <c r="BK508" s="703">
        <v>0</v>
      </c>
      <c r="BL508" s="703">
        <f t="shared" si="109"/>
        <v>0</v>
      </c>
      <c r="BM508" s="703">
        <f t="shared" si="110"/>
        <v>0</v>
      </c>
      <c r="BN508" s="703">
        <v>0</v>
      </c>
      <c r="BO508" s="703">
        <v>0</v>
      </c>
      <c r="BP508" s="685">
        <v>0</v>
      </c>
      <c r="BQ508" s="667"/>
      <c r="BR508" s="670">
        <f>IF(AW509=0,0,             IF(ISNUMBER(BQ508),BQ508,             IF(ISTEXT(BQ508),INDEX(BH508:BO508,MATCH(BQ508,$BH$17:$BO$17,0)),           IF(BP508="INT",_xll.qInterp(AW509,AZ508:BG508,BH508:BO508),       INDEX(BH508:BO508,MATCH(BP508,$BH$17:$BO$17,0))))))</f>
        <v>0</v>
      </c>
      <c r="BS508" s="731">
        <f t="shared" si="104"/>
        <v>0</v>
      </c>
      <c r="BT508" s="406">
        <f t="shared" si="105"/>
        <v>0</v>
      </c>
      <c r="BU508" s="284">
        <f>IF($AW509,_xll.qDateYears($AW508,$AW509,DCC_Leg2_Fixed),0)</f>
        <v>0</v>
      </c>
      <c r="BV508" s="284">
        <f>IF($AW509,_xll.qDateYears($AW508,$AW509,DCC_Leg2_Float),0)</f>
        <v>0</v>
      </c>
      <c r="BX508" s="350">
        <f t="shared" si="111"/>
        <v>0</v>
      </c>
      <c r="BY508" s="375">
        <f>IF(GenType_2a="Fixed",GenRate_2a%*$BT507*BU507,          IF(GenType_2a="Float",$BT507*(_xll.qGetFwdRate($J$18,$AW507,$AW508,"T",DCC_Leg2_Float)%+GenRate_2a%%)*$BV507,        IF(GenType_2a="bp (Fixed)",GenRate_2a%%*$BU507*$BT507,   IF(GenType_2a="bp (Float)",GenRate_2a%%*$BT507*$BV507,0))))</f>
        <v>0</v>
      </c>
      <c r="BZ508" s="561"/>
      <c r="CB508" s="341">
        <f t="shared" si="113"/>
        <v>0</v>
      </c>
      <c r="CC508" s="563"/>
      <c r="CD508" s="356"/>
      <c r="CE508" s="341">
        <v>0</v>
      </c>
      <c r="CF508" s="563"/>
      <c r="CG508" s="356"/>
    </row>
    <row r="509" spans="15:85">
      <c r="O509" s="122">
        <v>0</v>
      </c>
      <c r="P509" s="128">
        <f t="shared" si="100"/>
        <v>0</v>
      </c>
      <c r="Q509" s="126">
        <v>0</v>
      </c>
      <c r="R509" s="699">
        <f>IF($O510=0,0,        _xll.qDateNext($O509,R$17,"M",TRUE,Currency1))</f>
        <v>0</v>
      </c>
      <c r="S509" s="699">
        <f>IF($O510=0,0,        _xll.qDateNext($O509,S$17,"M",TRUE,Currency1))</f>
        <v>0</v>
      </c>
      <c r="T509" s="699">
        <f>IF($O510=0,0,        _xll.qDateNext($O509,T$17,"M",TRUE,Currency1))</f>
        <v>0</v>
      </c>
      <c r="U509" s="699">
        <f>IF($O510=0,0,        _xll.qDateNext($O509,U$17,"M",TRUE,Currency1))</f>
        <v>0</v>
      </c>
      <c r="V509" s="699">
        <f>IF($O510=0,0,        _xll.qDateNext($O509,V$17,"M",TRUE,Currency1))</f>
        <v>0</v>
      </c>
      <c r="W509" s="699">
        <f>IF($O510=0,0,        _xll.qDateNext($O509,W$17,"M",TRUE,Currency1))</f>
        <v>0</v>
      </c>
      <c r="X509" s="699">
        <f>IF($O510=0,0,        _xll.qDateNext($O509,X$17,"M",TRUE,Currency1))</f>
        <v>0</v>
      </c>
      <c r="Y509" s="699">
        <f>IF($O510=0,0,        _xll.qDateNext($O509,Y$17,"M",TRUE,Currency1))</f>
        <v>0</v>
      </c>
      <c r="Z509" s="703">
        <f>IF($O510=0,0,           IF(FRM,_xll.qGetFwdRate(Z$14,$O509,R509,"T",DCC_Leg1_Float),_xll.qGetFwdRate(Z$14,$O509,$O510,"T",DCC_Leg1_Float)))</f>
        <v>0</v>
      </c>
      <c r="AA509" s="703">
        <f>IF($O510=0,0,           IF(FRM,_xll.qGetFwdRate(AA$14,$O509,S509,"T",DCC_Leg1_Float),_xll.qGetFwdRate(AA$14,$O509,$O510,"T",DCC_Leg1_Float)))</f>
        <v>0</v>
      </c>
      <c r="AB509" s="703">
        <f t="shared" si="101"/>
        <v>0</v>
      </c>
      <c r="AC509" s="703">
        <f>IF($O510=0,0,           IF(FRM,_xll.qGetFwdRate(AC$14,$O509,U509,"T",DCC_Leg1_Float),_xll.qGetFwdRate(AC$14,$O509,$O510,"T",DCC_Leg1_Float)))</f>
        <v>0</v>
      </c>
      <c r="AD509" s="703">
        <f t="shared" si="106"/>
        <v>0</v>
      </c>
      <c r="AE509" s="703">
        <f t="shared" si="107"/>
        <v>0</v>
      </c>
      <c r="AF509" s="703">
        <f>IF($O510=0,0,           IF(FRM,_xll.qGetFwdRate(AF$14,$O509,X509,"T",DCC_Leg1_Float),_xll.qGetFwdRate(AF$14,$O509,$O510,"T",DCC_Leg1_Float)))</f>
        <v>0</v>
      </c>
      <c r="AG509" s="703">
        <f>IF($O510=0,0,           IF(FRM,_xll.qGetFwdRate(AG$14,$O509,Y509,"T",DCC_Leg1_Float),_xll.qGetFwdRate(AG$14,$O509,$O510,"T",DCC_Leg1_Float)))</f>
        <v>0</v>
      </c>
      <c r="AH509" s="685">
        <v>0</v>
      </c>
      <c r="AI509" s="667"/>
      <c r="AJ509" s="670">
        <f>IF(O510=0,0,             IF(ISNUMBER(AI509),AI509,             IF(ISTEXT(AI509),INDEX(Z509:AG509,MATCH(AI509,$Z$17:$AG$17,0)),           IF(AH509="INT",_xll.qInterp(O510,R509:Y509,Z509:AG509),       INDEX(Z509:AG509,MATCH(AH509,$Z$17:$AG$17,0))))))</f>
        <v>0</v>
      </c>
      <c r="AK509" s="732">
        <v>20</v>
      </c>
      <c r="AL509" s="721">
        <f t="shared" si="102"/>
        <v>0</v>
      </c>
      <c r="AM509" s="284">
        <f>IF($O510,_xll.qDateYears($O509,$O510,DCC_Leg1_Fixed),0)</f>
        <v>0</v>
      </c>
      <c r="AN509" s="284">
        <f>IF($O510,_xll.qDateYears($O509,$O510,DCC_Leg1_Float),0)</f>
        <v>0</v>
      </c>
      <c r="AP509" s="350">
        <f t="shared" si="108"/>
        <v>0</v>
      </c>
      <c r="AQ509" s="375">
        <f>IF(GenType_1a="Fixed",GenRate_1a%*$AL508*AM508,          IF(GenType_1a="Float",$AL508*(_xll.qGetFwdRate($D$18,$O508,$O509,"T",DCC_Leg1_Float)%+GenRate_1a%%)*$AN508,        IF(GenType_1a="bp (Fixed)",GenRate_1a%%*$AM508*$AL508,   IF(GenType_1a="bp (Float)",GenRate_1a%%*$AL508*$AN508,0))))</f>
        <v>0</v>
      </c>
      <c r="AR509" s="561"/>
      <c r="AT509" s="341">
        <f t="shared" si="112"/>
        <v>0</v>
      </c>
      <c r="AV509" s="356"/>
      <c r="AW509" s="122">
        <v>0</v>
      </c>
      <c r="AX509" s="128">
        <f t="shared" si="103"/>
        <v>0</v>
      </c>
      <c r="AY509" s="357">
        <v>0</v>
      </c>
      <c r="AZ509" s="699">
        <f>IF($AW510=0,0,        _xll.qDateNext($AW509,AZ$17,"M",TRUE,Currency2))</f>
        <v>0</v>
      </c>
      <c r="BA509" s="699">
        <f>IF($AW510=0,0,        _xll.qDateNext($AW509,BA$17,"M",TRUE,Currency2))</f>
        <v>0</v>
      </c>
      <c r="BB509" s="699">
        <f>IF($AW510=0,0,        _xll.qDateNext($AW509,BB$17,"M",TRUE,Currency2))</f>
        <v>0</v>
      </c>
      <c r="BC509" s="699">
        <f>IF($AW510=0,0,        _xll.qDateNext($AW509,BC$17,"M",TRUE,Currency2))</f>
        <v>0</v>
      </c>
      <c r="BD509" s="699">
        <f>IF($AW510=0,0,        _xll.qDateNext($AW509,BD$17,"M",TRUE,Currency2))</f>
        <v>0</v>
      </c>
      <c r="BE509" s="699">
        <f>IF($AW510=0,0,        _xll.qDateNext($AW509,BE$17,"M",TRUE,Currency2))</f>
        <v>0</v>
      </c>
      <c r="BF509" s="699">
        <f>IF($AW510=0,0,        _xll.qDateNext($AW509,BF$17,"M",TRUE,Currency2))</f>
        <v>0</v>
      </c>
      <c r="BG509" s="699">
        <f>IF($AW510=0,0,        _xll.qDateNext($AW509,BG$17,"M",TRUE,Currency2))</f>
        <v>0</v>
      </c>
      <c r="BH509" s="703">
        <v>0</v>
      </c>
      <c r="BI509" s="703">
        <v>0</v>
      </c>
      <c r="BJ509" s="703">
        <v>0</v>
      </c>
      <c r="BK509" s="703">
        <v>0</v>
      </c>
      <c r="BL509" s="703">
        <f t="shared" si="109"/>
        <v>0</v>
      </c>
      <c r="BM509" s="703">
        <f t="shared" si="110"/>
        <v>0</v>
      </c>
      <c r="BN509" s="703">
        <v>0</v>
      </c>
      <c r="BO509" s="703">
        <v>0</v>
      </c>
      <c r="BP509" s="685">
        <v>0</v>
      </c>
      <c r="BQ509" s="667"/>
      <c r="BR509" s="670">
        <f>IF(AW510=0,0,             IF(ISNUMBER(BQ509),BQ509,             IF(ISTEXT(BQ509),INDEX(BH509:BO509,MATCH(BQ509,$BH$17:$BO$17,0)),           IF(BP509="INT",_xll.qInterp(AW510,AZ509:BG509,BH509:BO509),       INDEX(BH509:BO509,MATCH(BP509,$BH$17:$BO$17,0))))))</f>
        <v>0</v>
      </c>
      <c r="BS509" s="731">
        <f t="shared" si="104"/>
        <v>0</v>
      </c>
      <c r="BT509" s="406">
        <f t="shared" si="105"/>
        <v>0</v>
      </c>
      <c r="BU509" s="284">
        <f>IF($AW510,_xll.qDateYears($AW509,$AW510,DCC_Leg2_Fixed),0)</f>
        <v>0</v>
      </c>
      <c r="BV509" s="284">
        <f>IF($AW510,_xll.qDateYears($AW509,$AW510,DCC_Leg2_Float),0)</f>
        <v>0</v>
      </c>
      <c r="BX509" s="350">
        <f t="shared" si="111"/>
        <v>0</v>
      </c>
      <c r="BY509" s="375">
        <f>IF(GenType_2a="Fixed",GenRate_2a%*$BT508*BU508,          IF(GenType_2a="Float",$BT508*(_xll.qGetFwdRate($J$18,$AW508,$AW509,"T",DCC_Leg2_Float)%+GenRate_2a%%)*$BV508,        IF(GenType_2a="bp (Fixed)",GenRate_2a%%*$BU508*$BT508,   IF(GenType_2a="bp (Float)",GenRate_2a%%*$BT508*$BV508,0))))</f>
        <v>0</v>
      </c>
      <c r="BZ509" s="561"/>
      <c r="CB509" s="341">
        <f t="shared" si="113"/>
        <v>0</v>
      </c>
      <c r="CC509" s="563"/>
      <c r="CD509" s="356"/>
      <c r="CE509" s="341">
        <v>0</v>
      </c>
      <c r="CF509" s="563"/>
      <c r="CG509" s="356"/>
    </row>
    <row r="510" spans="15:85">
      <c r="O510" s="122">
        <v>0</v>
      </c>
      <c r="P510" s="128">
        <f t="shared" si="100"/>
        <v>0</v>
      </c>
      <c r="Q510" s="126">
        <v>0</v>
      </c>
      <c r="R510" s="699">
        <f>IF($O511=0,0,        _xll.qDateNext($O510,R$17,"M",TRUE,Currency1))</f>
        <v>0</v>
      </c>
      <c r="S510" s="699">
        <f>IF($O511=0,0,        _xll.qDateNext($O510,S$17,"M",TRUE,Currency1))</f>
        <v>0</v>
      </c>
      <c r="T510" s="699">
        <f>IF($O511=0,0,        _xll.qDateNext($O510,T$17,"M",TRUE,Currency1))</f>
        <v>0</v>
      </c>
      <c r="U510" s="699">
        <f>IF($O511=0,0,        _xll.qDateNext($O510,U$17,"M",TRUE,Currency1))</f>
        <v>0</v>
      </c>
      <c r="V510" s="699">
        <f>IF($O511=0,0,        _xll.qDateNext($O510,V$17,"M",TRUE,Currency1))</f>
        <v>0</v>
      </c>
      <c r="W510" s="699">
        <f>IF($O511=0,0,        _xll.qDateNext($O510,W$17,"M",TRUE,Currency1))</f>
        <v>0</v>
      </c>
      <c r="X510" s="699">
        <f>IF($O511=0,0,        _xll.qDateNext($O510,X$17,"M",TRUE,Currency1))</f>
        <v>0</v>
      </c>
      <c r="Y510" s="699">
        <f>IF($O511=0,0,        _xll.qDateNext($O510,Y$17,"M",TRUE,Currency1))</f>
        <v>0</v>
      </c>
      <c r="Z510" s="703">
        <f>IF($O511=0,0,           IF(FRM,_xll.qGetFwdRate(Z$14,$O510,R510,"T",DCC_Leg1_Float),_xll.qGetFwdRate(Z$14,$O510,$O511,"T",DCC_Leg1_Float)))</f>
        <v>0</v>
      </c>
      <c r="AA510" s="703">
        <f>IF($O511=0,0,           IF(FRM,_xll.qGetFwdRate(AA$14,$O510,S510,"T",DCC_Leg1_Float),_xll.qGetFwdRate(AA$14,$O510,$O511,"T",DCC_Leg1_Float)))</f>
        <v>0</v>
      </c>
      <c r="AB510" s="703">
        <f t="shared" si="101"/>
        <v>0</v>
      </c>
      <c r="AC510" s="703">
        <f>IF($O511=0,0,           IF(FRM,_xll.qGetFwdRate(AC$14,$O510,U510,"T",DCC_Leg1_Float),_xll.qGetFwdRate(AC$14,$O510,$O511,"T",DCC_Leg1_Float)))</f>
        <v>0</v>
      </c>
      <c r="AD510" s="703">
        <f t="shared" si="106"/>
        <v>0</v>
      </c>
      <c r="AE510" s="703">
        <f t="shared" si="107"/>
        <v>0</v>
      </c>
      <c r="AF510" s="703">
        <f>IF($O511=0,0,           IF(FRM,_xll.qGetFwdRate(AF$14,$O510,X510,"T",DCC_Leg1_Float),_xll.qGetFwdRate(AF$14,$O510,$O511,"T",DCC_Leg1_Float)))</f>
        <v>0</v>
      </c>
      <c r="AG510" s="703">
        <f>IF($O511=0,0,           IF(FRM,_xll.qGetFwdRate(AG$14,$O510,Y510,"T",DCC_Leg1_Float),_xll.qGetFwdRate(AG$14,$O510,$O511,"T",DCC_Leg1_Float)))</f>
        <v>0</v>
      </c>
      <c r="AH510" s="685">
        <v>0</v>
      </c>
      <c r="AI510" s="667"/>
      <c r="AJ510" s="670">
        <f>IF(O511=0,0,             IF(ISNUMBER(AI510),AI510,             IF(ISTEXT(AI510),INDEX(Z510:AG510,MATCH(AI510,$Z$17:$AG$17,0)),           IF(AH510="INT",_xll.qInterp(O511,R510:Y510,Z510:AG510),       INDEX(Z510:AG510,MATCH(AH510,$Z$17:$AG$17,0))))))</f>
        <v>0</v>
      </c>
      <c r="AK510" s="732">
        <v>20</v>
      </c>
      <c r="AL510" s="721">
        <f t="shared" si="102"/>
        <v>0</v>
      </c>
      <c r="AM510" s="284">
        <f>IF($O511,_xll.qDateYears($O510,$O511,DCC_Leg1_Fixed),0)</f>
        <v>0</v>
      </c>
      <c r="AN510" s="284">
        <f>IF($O511,_xll.qDateYears($O510,$O511,DCC_Leg1_Float),0)</f>
        <v>0</v>
      </c>
      <c r="AP510" s="350">
        <f t="shared" si="108"/>
        <v>0</v>
      </c>
      <c r="AQ510" s="375">
        <f>IF(GenType_1a="Fixed",GenRate_1a%*$AL509*AM509,          IF(GenType_1a="Float",$AL509*(_xll.qGetFwdRate($D$18,$O509,$O510,"T",DCC_Leg1_Float)%+GenRate_1a%%)*$AN509,        IF(GenType_1a="bp (Fixed)",GenRate_1a%%*$AM509*$AL509,   IF(GenType_1a="bp (Float)",GenRate_1a%%*$AL509*$AN509,0))))</f>
        <v>0</v>
      </c>
      <c r="AR510" s="561"/>
      <c r="AT510" s="341">
        <f t="shared" si="112"/>
        <v>0</v>
      </c>
      <c r="AV510" s="356"/>
      <c r="AW510" s="122">
        <v>0</v>
      </c>
      <c r="AX510" s="128">
        <f t="shared" si="103"/>
        <v>0</v>
      </c>
      <c r="AY510" s="357">
        <v>0</v>
      </c>
      <c r="AZ510" s="699">
        <f>IF($AW511=0,0,        _xll.qDateNext($AW510,AZ$17,"M",TRUE,Currency2))</f>
        <v>0</v>
      </c>
      <c r="BA510" s="699">
        <f>IF($AW511=0,0,        _xll.qDateNext($AW510,BA$17,"M",TRUE,Currency2))</f>
        <v>0</v>
      </c>
      <c r="BB510" s="699">
        <f>IF($AW511=0,0,        _xll.qDateNext($AW510,BB$17,"M",TRUE,Currency2))</f>
        <v>0</v>
      </c>
      <c r="BC510" s="699">
        <f>IF($AW511=0,0,        _xll.qDateNext($AW510,BC$17,"M",TRUE,Currency2))</f>
        <v>0</v>
      </c>
      <c r="BD510" s="699">
        <f>IF($AW511=0,0,        _xll.qDateNext($AW510,BD$17,"M",TRUE,Currency2))</f>
        <v>0</v>
      </c>
      <c r="BE510" s="699">
        <f>IF($AW511=0,0,        _xll.qDateNext($AW510,BE$17,"M",TRUE,Currency2))</f>
        <v>0</v>
      </c>
      <c r="BF510" s="699">
        <f>IF($AW511=0,0,        _xll.qDateNext($AW510,BF$17,"M",TRUE,Currency2))</f>
        <v>0</v>
      </c>
      <c r="BG510" s="699">
        <f>IF($AW511=0,0,        _xll.qDateNext($AW510,BG$17,"M",TRUE,Currency2))</f>
        <v>0</v>
      </c>
      <c r="BH510" s="703">
        <v>0</v>
      </c>
      <c r="BI510" s="703">
        <v>0</v>
      </c>
      <c r="BJ510" s="703">
        <v>0</v>
      </c>
      <c r="BK510" s="703">
        <v>0</v>
      </c>
      <c r="BL510" s="703">
        <f t="shared" si="109"/>
        <v>0</v>
      </c>
      <c r="BM510" s="703">
        <f t="shared" si="110"/>
        <v>0</v>
      </c>
      <c r="BN510" s="703">
        <v>0</v>
      </c>
      <c r="BO510" s="703">
        <v>0</v>
      </c>
      <c r="BP510" s="685">
        <v>0</v>
      </c>
      <c r="BQ510" s="667"/>
      <c r="BR510" s="670">
        <f>IF(AW511=0,0,             IF(ISNUMBER(BQ510),BQ510,             IF(ISTEXT(BQ510),INDEX(BH510:BO510,MATCH(BQ510,$BH$17:$BO$17,0)),           IF(BP510="INT",_xll.qInterp(AW511,AZ510:BG510,BH510:BO510),       INDEX(BH510:BO510,MATCH(BP510,$BH$17:$BO$17,0))))))</f>
        <v>0</v>
      </c>
      <c r="BS510" s="731">
        <f t="shared" si="104"/>
        <v>0</v>
      </c>
      <c r="BT510" s="406">
        <f t="shared" si="105"/>
        <v>0</v>
      </c>
      <c r="BU510" s="284">
        <f>IF($AW511,_xll.qDateYears($AW510,$AW511,DCC_Leg2_Fixed),0)</f>
        <v>0</v>
      </c>
      <c r="BV510" s="284">
        <f>IF($AW511,_xll.qDateYears($AW510,$AW511,DCC_Leg2_Float),0)</f>
        <v>0</v>
      </c>
      <c r="BX510" s="350">
        <f t="shared" si="111"/>
        <v>0</v>
      </c>
      <c r="BY510" s="375">
        <f>IF(GenType_2a="Fixed",GenRate_2a%*$BT509*BU509,          IF(GenType_2a="Float",$BT509*(_xll.qGetFwdRate($J$18,$AW509,$AW510,"T",DCC_Leg2_Float)%+GenRate_2a%%)*$BV509,        IF(GenType_2a="bp (Fixed)",GenRate_2a%%*$BU509*$BT509,   IF(GenType_2a="bp (Float)",GenRate_2a%%*$BT509*$BV509,0))))</f>
        <v>0</v>
      </c>
      <c r="BZ510" s="561"/>
      <c r="CB510" s="341">
        <f t="shared" si="113"/>
        <v>0</v>
      </c>
      <c r="CC510" s="563"/>
      <c r="CD510" s="356"/>
      <c r="CE510" s="341">
        <v>0</v>
      </c>
      <c r="CF510" s="563"/>
      <c r="CG510" s="356"/>
    </row>
    <row r="511" spans="15:85">
      <c r="O511" s="122">
        <v>0</v>
      </c>
      <c r="P511" s="128">
        <f t="shared" si="100"/>
        <v>0</v>
      </c>
      <c r="Q511" s="126">
        <v>0</v>
      </c>
      <c r="R511" s="699">
        <f>IF($O512=0,0,        _xll.qDateNext($O511,R$17,"M",TRUE,Currency1))</f>
        <v>0</v>
      </c>
      <c r="S511" s="699">
        <f>IF($O512=0,0,        _xll.qDateNext($O511,S$17,"M",TRUE,Currency1))</f>
        <v>0</v>
      </c>
      <c r="T511" s="699">
        <f>IF($O512=0,0,        _xll.qDateNext($O511,T$17,"M",TRUE,Currency1))</f>
        <v>0</v>
      </c>
      <c r="U511" s="699">
        <f>IF($O512=0,0,        _xll.qDateNext($O511,U$17,"M",TRUE,Currency1))</f>
        <v>0</v>
      </c>
      <c r="V511" s="699">
        <f>IF($O512=0,0,        _xll.qDateNext($O511,V$17,"M",TRUE,Currency1))</f>
        <v>0</v>
      </c>
      <c r="W511" s="699">
        <f>IF($O512=0,0,        _xll.qDateNext($O511,W$17,"M",TRUE,Currency1))</f>
        <v>0</v>
      </c>
      <c r="X511" s="699">
        <f>IF($O512=0,0,        _xll.qDateNext($O511,X$17,"M",TRUE,Currency1))</f>
        <v>0</v>
      </c>
      <c r="Y511" s="699">
        <f>IF($O512=0,0,        _xll.qDateNext($O511,Y$17,"M",TRUE,Currency1))</f>
        <v>0</v>
      </c>
      <c r="Z511" s="703">
        <f>IF($O512=0,0,           IF(FRM,_xll.qGetFwdRate(Z$14,$O511,R511,"T",DCC_Leg1_Float),_xll.qGetFwdRate(Z$14,$O511,$O512,"T",DCC_Leg1_Float)))</f>
        <v>0</v>
      </c>
      <c r="AA511" s="703">
        <f>IF($O512=0,0,           IF(FRM,_xll.qGetFwdRate(AA$14,$O511,S511,"T",DCC_Leg1_Float),_xll.qGetFwdRate(AA$14,$O511,$O512,"T",DCC_Leg1_Float)))</f>
        <v>0</v>
      </c>
      <c r="AB511" s="703">
        <f t="shared" si="101"/>
        <v>0</v>
      </c>
      <c r="AC511" s="703">
        <f>IF($O512=0,0,           IF(FRM,_xll.qGetFwdRate(AC$14,$O511,U511,"T",DCC_Leg1_Float),_xll.qGetFwdRate(AC$14,$O511,$O512,"T",DCC_Leg1_Float)))</f>
        <v>0</v>
      </c>
      <c r="AD511" s="703">
        <f t="shared" si="106"/>
        <v>0</v>
      </c>
      <c r="AE511" s="703">
        <f t="shared" si="107"/>
        <v>0</v>
      </c>
      <c r="AF511" s="703">
        <f>IF($O512=0,0,           IF(FRM,_xll.qGetFwdRate(AF$14,$O511,X511,"T",DCC_Leg1_Float),_xll.qGetFwdRate(AF$14,$O511,$O512,"T",DCC_Leg1_Float)))</f>
        <v>0</v>
      </c>
      <c r="AG511" s="703">
        <f>IF($O512=0,0,           IF(FRM,_xll.qGetFwdRate(AG$14,$O511,Y511,"T",DCC_Leg1_Float),_xll.qGetFwdRate(AG$14,$O511,$O512,"T",DCC_Leg1_Float)))</f>
        <v>0</v>
      </c>
      <c r="AH511" s="685">
        <v>0</v>
      </c>
      <c r="AI511" s="667"/>
      <c r="AJ511" s="670">
        <f>IF(O512=0,0,             IF(ISNUMBER(AI511),AI511,             IF(ISTEXT(AI511),INDEX(Z511:AG511,MATCH(AI511,$Z$17:$AG$17,0)),           IF(AH511="INT",_xll.qInterp(O512,R511:Y511,Z511:AG511),       INDEX(Z511:AG511,MATCH(AH511,$Z$17:$AG$17,0))))))</f>
        <v>0</v>
      </c>
      <c r="AK511" s="732">
        <v>20</v>
      </c>
      <c r="AL511" s="721">
        <f t="shared" si="102"/>
        <v>0</v>
      </c>
      <c r="AM511" s="284">
        <f>IF($O512,_xll.qDateYears($O511,$O512,DCC_Leg1_Fixed),0)</f>
        <v>0</v>
      </c>
      <c r="AN511" s="284">
        <f>IF($O512,_xll.qDateYears($O511,$O512,DCC_Leg1_Float),0)</f>
        <v>0</v>
      </c>
      <c r="AP511" s="350">
        <f t="shared" si="108"/>
        <v>0</v>
      </c>
      <c r="AQ511" s="375">
        <f>IF(GenType_1a="Fixed",GenRate_1a%*$AL510*AM510,          IF(GenType_1a="Float",$AL510*(_xll.qGetFwdRate($D$18,$O510,$O511,"T",DCC_Leg1_Float)%+GenRate_1a%%)*$AN510,        IF(GenType_1a="bp (Fixed)",GenRate_1a%%*$AM510*$AL510,   IF(GenType_1a="bp (Float)",GenRate_1a%%*$AL510*$AN510,0))))</f>
        <v>0</v>
      </c>
      <c r="AR511" s="561"/>
      <c r="AT511" s="341">
        <f t="shared" si="112"/>
        <v>0</v>
      </c>
      <c r="AV511" s="356"/>
      <c r="AW511" s="122">
        <v>0</v>
      </c>
      <c r="AX511" s="128">
        <f t="shared" si="103"/>
        <v>0</v>
      </c>
      <c r="AY511" s="357">
        <v>0</v>
      </c>
      <c r="AZ511" s="699">
        <f>IF($AW512=0,0,        _xll.qDateNext($AW511,AZ$17,"M",TRUE,Currency2))</f>
        <v>0</v>
      </c>
      <c r="BA511" s="699">
        <f>IF($AW512=0,0,        _xll.qDateNext($AW511,BA$17,"M",TRUE,Currency2))</f>
        <v>0</v>
      </c>
      <c r="BB511" s="699">
        <f>IF($AW512=0,0,        _xll.qDateNext($AW511,BB$17,"M",TRUE,Currency2))</f>
        <v>0</v>
      </c>
      <c r="BC511" s="699">
        <f>IF($AW512=0,0,        _xll.qDateNext($AW511,BC$17,"M",TRUE,Currency2))</f>
        <v>0</v>
      </c>
      <c r="BD511" s="699">
        <f>IF($AW512=0,0,        _xll.qDateNext($AW511,BD$17,"M",TRUE,Currency2))</f>
        <v>0</v>
      </c>
      <c r="BE511" s="699">
        <f>IF($AW512=0,0,        _xll.qDateNext($AW511,BE$17,"M",TRUE,Currency2))</f>
        <v>0</v>
      </c>
      <c r="BF511" s="699">
        <f>IF($AW512=0,0,        _xll.qDateNext($AW511,BF$17,"M",TRUE,Currency2))</f>
        <v>0</v>
      </c>
      <c r="BG511" s="699">
        <f>IF($AW512=0,0,        _xll.qDateNext($AW511,BG$17,"M",TRUE,Currency2))</f>
        <v>0</v>
      </c>
      <c r="BH511" s="703">
        <v>0</v>
      </c>
      <c r="BI511" s="703">
        <v>0</v>
      </c>
      <c r="BJ511" s="703">
        <v>0</v>
      </c>
      <c r="BK511" s="703">
        <v>0</v>
      </c>
      <c r="BL511" s="703">
        <f t="shared" si="109"/>
        <v>0</v>
      </c>
      <c r="BM511" s="703">
        <f t="shared" si="110"/>
        <v>0</v>
      </c>
      <c r="BN511" s="703">
        <v>0</v>
      </c>
      <c r="BO511" s="703">
        <v>0</v>
      </c>
      <c r="BP511" s="685">
        <v>0</v>
      </c>
      <c r="BQ511" s="667"/>
      <c r="BR511" s="670">
        <f>IF(AW512=0,0,             IF(ISNUMBER(BQ511),BQ511,             IF(ISTEXT(BQ511),INDEX(BH511:BO511,MATCH(BQ511,$BH$17:$BO$17,0)),           IF(BP511="INT",_xll.qInterp(AW512,AZ511:BG511,BH511:BO511),       INDEX(BH511:BO511,MATCH(BP511,$BH$17:$BO$17,0))))))</f>
        <v>0</v>
      </c>
      <c r="BS511" s="731">
        <f t="shared" si="104"/>
        <v>0</v>
      </c>
      <c r="BT511" s="406">
        <f t="shared" si="105"/>
        <v>0</v>
      </c>
      <c r="BU511" s="284">
        <f>IF($AW512,_xll.qDateYears($AW511,$AW512,DCC_Leg2_Fixed),0)</f>
        <v>0</v>
      </c>
      <c r="BV511" s="284">
        <f>IF($AW512,_xll.qDateYears($AW511,$AW512,DCC_Leg2_Float),0)</f>
        <v>0</v>
      </c>
      <c r="BX511" s="350">
        <f t="shared" si="111"/>
        <v>0</v>
      </c>
      <c r="BY511" s="375">
        <f>IF(GenType_2a="Fixed",GenRate_2a%*$BT510*BU510,          IF(GenType_2a="Float",$BT510*(_xll.qGetFwdRate($J$18,$AW510,$AW511,"T",DCC_Leg2_Float)%+GenRate_2a%%)*$BV510,        IF(GenType_2a="bp (Fixed)",GenRate_2a%%*$BU510*$BT510,   IF(GenType_2a="bp (Float)",GenRate_2a%%*$BT510*$BV510,0))))</f>
        <v>0</v>
      </c>
      <c r="BZ511" s="561"/>
      <c r="CB511" s="341">
        <f t="shared" si="113"/>
        <v>0</v>
      </c>
      <c r="CC511" s="563"/>
      <c r="CD511" s="356"/>
      <c r="CE511" s="341">
        <v>0</v>
      </c>
      <c r="CF511" s="563"/>
      <c r="CG511" s="356"/>
    </row>
    <row r="512" spans="15:85">
      <c r="O512" s="122">
        <v>0</v>
      </c>
      <c r="P512" s="128">
        <f t="shared" si="100"/>
        <v>0</v>
      </c>
      <c r="Q512" s="126">
        <v>0</v>
      </c>
      <c r="R512" s="699">
        <f>IF($O513=0,0,        _xll.qDateNext($O512,R$17,"M",TRUE,Currency1))</f>
        <v>0</v>
      </c>
      <c r="S512" s="699">
        <f>IF($O513=0,0,        _xll.qDateNext($O512,S$17,"M",TRUE,Currency1))</f>
        <v>0</v>
      </c>
      <c r="T512" s="699">
        <f>IF($O513=0,0,        _xll.qDateNext($O512,T$17,"M",TRUE,Currency1))</f>
        <v>0</v>
      </c>
      <c r="U512" s="699">
        <f>IF($O513=0,0,        _xll.qDateNext($O512,U$17,"M",TRUE,Currency1))</f>
        <v>0</v>
      </c>
      <c r="V512" s="699">
        <f>IF($O513=0,0,        _xll.qDateNext($O512,V$17,"M",TRUE,Currency1))</f>
        <v>0</v>
      </c>
      <c r="W512" s="699">
        <f>IF($O513=0,0,        _xll.qDateNext($O512,W$17,"M",TRUE,Currency1))</f>
        <v>0</v>
      </c>
      <c r="X512" s="699">
        <f>IF($O513=0,0,        _xll.qDateNext($O512,X$17,"M",TRUE,Currency1))</f>
        <v>0</v>
      </c>
      <c r="Y512" s="699">
        <f>IF($O513=0,0,        _xll.qDateNext($O512,Y$17,"M",TRUE,Currency1))</f>
        <v>0</v>
      </c>
      <c r="Z512" s="703">
        <f>IF($O513=0,0,           IF(FRM,_xll.qGetFwdRate(Z$14,$O512,R512,"T",DCC_Leg1_Float),_xll.qGetFwdRate(Z$14,$O512,$O513,"T",DCC_Leg1_Float)))</f>
        <v>0</v>
      </c>
      <c r="AA512" s="703">
        <f>IF($O513=0,0,           IF(FRM,_xll.qGetFwdRate(AA$14,$O512,S512,"T",DCC_Leg1_Float),_xll.qGetFwdRate(AA$14,$O512,$O513,"T",DCC_Leg1_Float)))</f>
        <v>0</v>
      </c>
      <c r="AB512" s="703">
        <f t="shared" si="101"/>
        <v>0</v>
      </c>
      <c r="AC512" s="703">
        <f>IF($O513=0,0,           IF(FRM,_xll.qGetFwdRate(AC$14,$O512,U512,"T",DCC_Leg1_Float),_xll.qGetFwdRate(AC$14,$O512,$O513,"T",DCC_Leg1_Float)))</f>
        <v>0</v>
      </c>
      <c r="AD512" s="703">
        <f t="shared" si="106"/>
        <v>0</v>
      </c>
      <c r="AE512" s="703">
        <f t="shared" si="107"/>
        <v>0</v>
      </c>
      <c r="AF512" s="703">
        <f>IF($O513=0,0,           IF(FRM,_xll.qGetFwdRate(AF$14,$O512,X512,"T",DCC_Leg1_Float),_xll.qGetFwdRate(AF$14,$O512,$O513,"T",DCC_Leg1_Float)))</f>
        <v>0</v>
      </c>
      <c r="AG512" s="703">
        <f>IF($O513=0,0,           IF(FRM,_xll.qGetFwdRate(AG$14,$O512,Y512,"T",DCC_Leg1_Float),_xll.qGetFwdRate(AG$14,$O512,$O513,"T",DCC_Leg1_Float)))</f>
        <v>0</v>
      </c>
      <c r="AH512" s="685">
        <v>0</v>
      </c>
      <c r="AI512" s="667"/>
      <c r="AJ512" s="670">
        <f>IF(O513=0,0,             IF(ISNUMBER(AI512),AI512,             IF(ISTEXT(AI512),INDEX(Z512:AG512,MATCH(AI512,$Z$17:$AG$17,0)),           IF(AH512="INT",_xll.qInterp(O513,R512:Y512,Z512:AG512),       INDEX(Z512:AG512,MATCH(AH512,$Z$17:$AG$17,0))))))</f>
        <v>0</v>
      </c>
      <c r="AK512" s="732">
        <v>20</v>
      </c>
      <c r="AL512" s="721">
        <f t="shared" si="102"/>
        <v>0</v>
      </c>
      <c r="AM512" s="284">
        <f>IF($O513,_xll.qDateYears($O512,$O513,DCC_Leg1_Fixed),0)</f>
        <v>0</v>
      </c>
      <c r="AN512" s="284">
        <f>IF($O513,_xll.qDateYears($O512,$O513,DCC_Leg1_Float),0)</f>
        <v>0</v>
      </c>
      <c r="AP512" s="350">
        <f t="shared" si="108"/>
        <v>0</v>
      </c>
      <c r="AQ512" s="375">
        <f>IF(GenType_1a="Fixed",GenRate_1a%*$AL511*AM511,          IF(GenType_1a="Float",$AL511*(_xll.qGetFwdRate($D$18,$O511,$O512,"T",DCC_Leg1_Float)%+GenRate_1a%%)*$AN511,        IF(GenType_1a="bp (Fixed)",GenRate_1a%%*$AM511*$AL511,   IF(GenType_1a="bp (Float)",GenRate_1a%%*$AL511*$AN511,0))))</f>
        <v>0</v>
      </c>
      <c r="AR512" s="561"/>
      <c r="AT512" s="341">
        <f t="shared" si="112"/>
        <v>0</v>
      </c>
      <c r="AV512" s="356"/>
      <c r="AW512" s="122">
        <v>0</v>
      </c>
      <c r="AX512" s="128">
        <f t="shared" si="103"/>
        <v>0</v>
      </c>
      <c r="AY512" s="357">
        <v>0</v>
      </c>
      <c r="AZ512" s="699">
        <f>IF($AW513=0,0,        _xll.qDateNext($AW512,AZ$17,"M",TRUE,Currency2))</f>
        <v>0</v>
      </c>
      <c r="BA512" s="699">
        <f>IF($AW513=0,0,        _xll.qDateNext($AW512,BA$17,"M",TRUE,Currency2))</f>
        <v>0</v>
      </c>
      <c r="BB512" s="699">
        <f>IF($AW513=0,0,        _xll.qDateNext($AW512,BB$17,"M",TRUE,Currency2))</f>
        <v>0</v>
      </c>
      <c r="BC512" s="699">
        <f>IF($AW513=0,0,        _xll.qDateNext($AW512,BC$17,"M",TRUE,Currency2))</f>
        <v>0</v>
      </c>
      <c r="BD512" s="699">
        <f>IF($AW513=0,0,        _xll.qDateNext($AW512,BD$17,"M",TRUE,Currency2))</f>
        <v>0</v>
      </c>
      <c r="BE512" s="699">
        <f>IF($AW513=0,0,        _xll.qDateNext($AW512,BE$17,"M",TRUE,Currency2))</f>
        <v>0</v>
      </c>
      <c r="BF512" s="699">
        <f>IF($AW513=0,0,        _xll.qDateNext($AW512,BF$17,"M",TRUE,Currency2))</f>
        <v>0</v>
      </c>
      <c r="BG512" s="699">
        <f>IF($AW513=0,0,        _xll.qDateNext($AW512,BG$17,"M",TRUE,Currency2))</f>
        <v>0</v>
      </c>
      <c r="BH512" s="703">
        <v>0</v>
      </c>
      <c r="BI512" s="703">
        <v>0</v>
      </c>
      <c r="BJ512" s="703">
        <v>0</v>
      </c>
      <c r="BK512" s="703">
        <v>0</v>
      </c>
      <c r="BL512" s="703">
        <f t="shared" si="109"/>
        <v>0</v>
      </c>
      <c r="BM512" s="703">
        <f t="shared" si="110"/>
        <v>0</v>
      </c>
      <c r="BN512" s="703">
        <v>0</v>
      </c>
      <c r="BO512" s="703">
        <v>0</v>
      </c>
      <c r="BP512" s="685">
        <v>0</v>
      </c>
      <c r="BQ512" s="667"/>
      <c r="BR512" s="670">
        <f>IF(AW513=0,0,             IF(ISNUMBER(BQ512),BQ512,             IF(ISTEXT(BQ512),INDEX(BH512:BO512,MATCH(BQ512,$BH$17:$BO$17,0)),           IF(BP512="INT",_xll.qInterp(AW513,AZ512:BG512,BH512:BO512),       INDEX(BH512:BO512,MATCH(BP512,$BH$17:$BO$17,0))))))</f>
        <v>0</v>
      </c>
      <c r="BS512" s="731">
        <f t="shared" si="104"/>
        <v>0</v>
      </c>
      <c r="BT512" s="406">
        <f t="shared" si="105"/>
        <v>0</v>
      </c>
      <c r="BU512" s="284">
        <f>IF($AW513,_xll.qDateYears($AW512,$AW513,DCC_Leg2_Fixed),0)</f>
        <v>0</v>
      </c>
      <c r="BV512" s="284">
        <f>IF($AW513,_xll.qDateYears($AW512,$AW513,DCC_Leg2_Float),0)</f>
        <v>0</v>
      </c>
      <c r="BX512" s="350">
        <f t="shared" si="111"/>
        <v>0</v>
      </c>
      <c r="BY512" s="375">
        <f>IF(GenType_2a="Fixed",GenRate_2a%*$BT511*BU511,          IF(GenType_2a="Float",$BT511*(_xll.qGetFwdRate($J$18,$AW511,$AW512,"T",DCC_Leg2_Float)%+GenRate_2a%%)*$BV511,        IF(GenType_2a="bp (Fixed)",GenRate_2a%%*$BU511*$BT511,   IF(GenType_2a="bp (Float)",GenRate_2a%%*$BT511*$BV511,0))))</f>
        <v>0</v>
      </c>
      <c r="BZ512" s="561"/>
      <c r="CB512" s="341">
        <f t="shared" si="113"/>
        <v>0</v>
      </c>
      <c r="CC512" s="563"/>
      <c r="CD512" s="356"/>
      <c r="CE512" s="341">
        <v>0</v>
      </c>
      <c r="CF512" s="563"/>
      <c r="CG512" s="356"/>
    </row>
    <row r="513" spans="15:85">
      <c r="O513" s="122">
        <v>0</v>
      </c>
      <c r="P513" s="128">
        <f t="shared" si="100"/>
        <v>0</v>
      </c>
      <c r="Q513" s="126">
        <v>0</v>
      </c>
      <c r="R513" s="699">
        <f>IF($O514=0,0,        _xll.qDateNext($O513,R$17,"M",TRUE,Currency1))</f>
        <v>0</v>
      </c>
      <c r="S513" s="699">
        <f>IF($O514=0,0,        _xll.qDateNext($O513,S$17,"M",TRUE,Currency1))</f>
        <v>0</v>
      </c>
      <c r="T513" s="699">
        <f>IF($O514=0,0,        _xll.qDateNext($O513,T$17,"M",TRUE,Currency1))</f>
        <v>0</v>
      </c>
      <c r="U513" s="699">
        <f>IF($O514=0,0,        _xll.qDateNext($O513,U$17,"M",TRUE,Currency1))</f>
        <v>0</v>
      </c>
      <c r="V513" s="699">
        <f>IF($O514=0,0,        _xll.qDateNext($O513,V$17,"M",TRUE,Currency1))</f>
        <v>0</v>
      </c>
      <c r="W513" s="699">
        <f>IF($O514=0,0,        _xll.qDateNext($O513,W$17,"M",TRUE,Currency1))</f>
        <v>0</v>
      </c>
      <c r="X513" s="699">
        <f>IF($O514=0,0,        _xll.qDateNext($O513,X$17,"M",TRUE,Currency1))</f>
        <v>0</v>
      </c>
      <c r="Y513" s="699">
        <f>IF($O514=0,0,        _xll.qDateNext($O513,Y$17,"M",TRUE,Currency1))</f>
        <v>0</v>
      </c>
      <c r="Z513" s="703">
        <f>IF($O514=0,0,           IF(FRM,_xll.qGetFwdRate(Z$14,$O513,R513,"T",DCC_Leg1_Float),_xll.qGetFwdRate(Z$14,$O513,$O514,"T",DCC_Leg1_Float)))</f>
        <v>0</v>
      </c>
      <c r="AA513" s="703">
        <f>IF($O514=0,0,           IF(FRM,_xll.qGetFwdRate(AA$14,$O513,S513,"T",DCC_Leg1_Float),_xll.qGetFwdRate(AA$14,$O513,$O514,"T",DCC_Leg1_Float)))</f>
        <v>0</v>
      </c>
      <c r="AB513" s="703">
        <f t="shared" si="101"/>
        <v>0</v>
      </c>
      <c r="AC513" s="703">
        <f>IF($O514=0,0,           IF(FRM,_xll.qGetFwdRate(AC$14,$O513,U513,"T",DCC_Leg1_Float),_xll.qGetFwdRate(AC$14,$O513,$O514,"T",DCC_Leg1_Float)))</f>
        <v>0</v>
      </c>
      <c r="AD513" s="703">
        <f t="shared" si="106"/>
        <v>0</v>
      </c>
      <c r="AE513" s="703">
        <f t="shared" si="107"/>
        <v>0</v>
      </c>
      <c r="AF513" s="703">
        <f>IF($O514=0,0,           IF(FRM,_xll.qGetFwdRate(AF$14,$O513,X513,"T",DCC_Leg1_Float),_xll.qGetFwdRate(AF$14,$O513,$O514,"T",DCC_Leg1_Float)))</f>
        <v>0</v>
      </c>
      <c r="AG513" s="703">
        <f>IF($O514=0,0,           IF(FRM,_xll.qGetFwdRate(AG$14,$O513,Y513,"T",DCC_Leg1_Float),_xll.qGetFwdRate(AG$14,$O513,$O514,"T",DCC_Leg1_Float)))</f>
        <v>0</v>
      </c>
      <c r="AH513" s="685">
        <v>0</v>
      </c>
      <c r="AI513" s="667"/>
      <c r="AJ513" s="670">
        <f>IF(O514=0,0,             IF(ISNUMBER(AI513),AI513,             IF(ISTEXT(AI513),INDEX(Z513:AG513,MATCH(AI513,$Z$17:$AG$17,0)),           IF(AH513="INT",_xll.qInterp(O514,R513:Y513,Z513:AG513),       INDEX(Z513:AG513,MATCH(AH513,$Z$17:$AG$17,0))))))</f>
        <v>0</v>
      </c>
      <c r="AK513" s="732">
        <v>20</v>
      </c>
      <c r="AL513" s="721">
        <f t="shared" si="102"/>
        <v>0</v>
      </c>
      <c r="AM513" s="284">
        <f>IF($O514,_xll.qDateYears($O513,$O514,DCC_Leg1_Fixed),0)</f>
        <v>0</v>
      </c>
      <c r="AN513" s="284">
        <f>IF($O514,_xll.qDateYears($O513,$O514,DCC_Leg1_Float),0)</f>
        <v>0</v>
      </c>
      <c r="AP513" s="350">
        <f t="shared" si="108"/>
        <v>0</v>
      </c>
      <c r="AQ513" s="375">
        <f>IF(GenType_1a="Fixed",GenRate_1a%*$AL512*AM512,          IF(GenType_1a="Float",$AL512*(_xll.qGetFwdRate($D$18,$O512,$O513,"T",DCC_Leg1_Float)%+GenRate_1a%%)*$AN512,        IF(GenType_1a="bp (Fixed)",GenRate_1a%%*$AM512*$AL512,   IF(GenType_1a="bp (Float)",GenRate_1a%%*$AL512*$AN512,0))))</f>
        <v>0</v>
      </c>
      <c r="AR513" s="561"/>
      <c r="AT513" s="341">
        <f t="shared" si="112"/>
        <v>0</v>
      </c>
      <c r="AV513" s="356"/>
      <c r="AW513" s="122">
        <v>0</v>
      </c>
      <c r="AX513" s="128">
        <f t="shared" si="103"/>
        <v>0</v>
      </c>
      <c r="AY513" s="357">
        <v>0</v>
      </c>
      <c r="AZ513" s="699">
        <f>IF($AW514=0,0,        _xll.qDateNext($AW513,AZ$17,"M",TRUE,Currency2))</f>
        <v>0</v>
      </c>
      <c r="BA513" s="699">
        <f>IF($AW514=0,0,        _xll.qDateNext($AW513,BA$17,"M",TRUE,Currency2))</f>
        <v>0</v>
      </c>
      <c r="BB513" s="699">
        <f>IF($AW514=0,0,        _xll.qDateNext($AW513,BB$17,"M",TRUE,Currency2))</f>
        <v>0</v>
      </c>
      <c r="BC513" s="699">
        <f>IF($AW514=0,0,        _xll.qDateNext($AW513,BC$17,"M",TRUE,Currency2))</f>
        <v>0</v>
      </c>
      <c r="BD513" s="699">
        <f>IF($AW514=0,0,        _xll.qDateNext($AW513,BD$17,"M",TRUE,Currency2))</f>
        <v>0</v>
      </c>
      <c r="BE513" s="699">
        <f>IF($AW514=0,0,        _xll.qDateNext($AW513,BE$17,"M",TRUE,Currency2))</f>
        <v>0</v>
      </c>
      <c r="BF513" s="699">
        <f>IF($AW514=0,0,        _xll.qDateNext($AW513,BF$17,"M",TRUE,Currency2))</f>
        <v>0</v>
      </c>
      <c r="BG513" s="699">
        <f>IF($AW514=0,0,        _xll.qDateNext($AW513,BG$17,"M",TRUE,Currency2))</f>
        <v>0</v>
      </c>
      <c r="BH513" s="703">
        <v>0</v>
      </c>
      <c r="BI513" s="703">
        <v>0</v>
      </c>
      <c r="BJ513" s="703">
        <v>0</v>
      </c>
      <c r="BK513" s="703">
        <v>0</v>
      </c>
      <c r="BL513" s="703">
        <f t="shared" si="109"/>
        <v>0</v>
      </c>
      <c r="BM513" s="703">
        <f t="shared" si="110"/>
        <v>0</v>
      </c>
      <c r="BN513" s="703">
        <v>0</v>
      </c>
      <c r="BO513" s="703">
        <v>0</v>
      </c>
      <c r="BP513" s="685">
        <v>0</v>
      </c>
      <c r="BQ513" s="667"/>
      <c r="BR513" s="670">
        <f>IF(AW514=0,0,             IF(ISNUMBER(BQ513),BQ513,             IF(ISTEXT(BQ513),INDEX(BH513:BO513,MATCH(BQ513,$BH$17:$BO$17,0)),           IF(BP513="INT",_xll.qInterp(AW514,AZ513:BG513,BH513:BO513),       INDEX(BH513:BO513,MATCH(BP513,$BH$17:$BO$17,0))))))</f>
        <v>0</v>
      </c>
      <c r="BS513" s="731">
        <f t="shared" si="104"/>
        <v>0</v>
      </c>
      <c r="BT513" s="406">
        <f t="shared" si="105"/>
        <v>0</v>
      </c>
      <c r="BU513" s="284">
        <f>IF($AW514,_xll.qDateYears($AW513,$AW514,DCC_Leg2_Fixed),0)</f>
        <v>0</v>
      </c>
      <c r="BV513" s="284">
        <f>IF($AW514,_xll.qDateYears($AW513,$AW514,DCC_Leg2_Float),0)</f>
        <v>0</v>
      </c>
      <c r="BX513" s="350">
        <f t="shared" si="111"/>
        <v>0</v>
      </c>
      <c r="BY513" s="375">
        <f>IF(GenType_2a="Fixed",GenRate_2a%*$BT512*BU512,          IF(GenType_2a="Float",$BT512*(_xll.qGetFwdRate($J$18,$AW512,$AW513,"T",DCC_Leg2_Float)%+GenRate_2a%%)*$BV512,        IF(GenType_2a="bp (Fixed)",GenRate_2a%%*$BU512*$BT512,   IF(GenType_2a="bp (Float)",GenRate_2a%%*$BT512*$BV512,0))))</f>
        <v>0</v>
      </c>
      <c r="BZ513" s="561"/>
      <c r="CB513" s="341">
        <f t="shared" si="113"/>
        <v>0</v>
      </c>
      <c r="CC513" s="563"/>
      <c r="CD513" s="356"/>
      <c r="CE513" s="341">
        <v>0</v>
      </c>
      <c r="CF513" s="563"/>
      <c r="CG513" s="356"/>
    </row>
    <row r="514" spans="15:85">
      <c r="O514" s="122">
        <v>0</v>
      </c>
      <c r="P514" s="128">
        <f t="shared" si="100"/>
        <v>0</v>
      </c>
      <c r="Q514" s="126">
        <v>0</v>
      </c>
      <c r="R514" s="699">
        <f>IF($O515=0,0,        _xll.qDateNext($O514,R$17,"M",TRUE,Currency1))</f>
        <v>0</v>
      </c>
      <c r="S514" s="699">
        <f>IF($O515=0,0,        _xll.qDateNext($O514,S$17,"M",TRUE,Currency1))</f>
        <v>0</v>
      </c>
      <c r="T514" s="699">
        <f>IF($O515=0,0,        _xll.qDateNext($O514,T$17,"M",TRUE,Currency1))</f>
        <v>0</v>
      </c>
      <c r="U514" s="699">
        <f>IF($O515=0,0,        _xll.qDateNext($O514,U$17,"M",TRUE,Currency1))</f>
        <v>0</v>
      </c>
      <c r="V514" s="699">
        <f>IF($O515=0,0,        _xll.qDateNext($O514,V$17,"M",TRUE,Currency1))</f>
        <v>0</v>
      </c>
      <c r="W514" s="699">
        <f>IF($O515=0,0,        _xll.qDateNext($O514,W$17,"M",TRUE,Currency1))</f>
        <v>0</v>
      </c>
      <c r="X514" s="699">
        <f>IF($O515=0,0,        _xll.qDateNext($O514,X$17,"M",TRUE,Currency1))</f>
        <v>0</v>
      </c>
      <c r="Y514" s="699">
        <f>IF($O515=0,0,        _xll.qDateNext($O514,Y$17,"M",TRUE,Currency1))</f>
        <v>0</v>
      </c>
      <c r="Z514" s="703">
        <f>IF($O515=0,0,           IF(FRM,_xll.qGetFwdRate(Z$14,$O514,R514,"T",DCC_Leg1_Float),_xll.qGetFwdRate(Z$14,$O514,$O515,"T",DCC_Leg1_Float)))</f>
        <v>0</v>
      </c>
      <c r="AA514" s="703">
        <f>IF($O515=0,0,           IF(FRM,_xll.qGetFwdRate(AA$14,$O514,S514,"T",DCC_Leg1_Float),_xll.qGetFwdRate(AA$14,$O514,$O515,"T",DCC_Leg1_Float)))</f>
        <v>0</v>
      </c>
      <c r="AB514" s="703">
        <f t="shared" si="101"/>
        <v>0</v>
      </c>
      <c r="AC514" s="703">
        <f>IF($O515=0,0,           IF(FRM,_xll.qGetFwdRate(AC$14,$O514,U514,"T",DCC_Leg1_Float),_xll.qGetFwdRate(AC$14,$O514,$O515,"T",DCC_Leg1_Float)))</f>
        <v>0</v>
      </c>
      <c r="AD514" s="703">
        <f t="shared" si="106"/>
        <v>0</v>
      </c>
      <c r="AE514" s="703">
        <f t="shared" si="107"/>
        <v>0</v>
      </c>
      <c r="AF514" s="703">
        <f>IF($O515=0,0,           IF(FRM,_xll.qGetFwdRate(AF$14,$O514,X514,"T",DCC_Leg1_Float),_xll.qGetFwdRate(AF$14,$O514,$O515,"T",DCC_Leg1_Float)))</f>
        <v>0</v>
      </c>
      <c r="AG514" s="703">
        <f>IF($O515=0,0,           IF(FRM,_xll.qGetFwdRate(AG$14,$O514,Y514,"T",DCC_Leg1_Float),_xll.qGetFwdRate(AG$14,$O514,$O515,"T",DCC_Leg1_Float)))</f>
        <v>0</v>
      </c>
      <c r="AH514" s="685">
        <v>0</v>
      </c>
      <c r="AI514" s="667"/>
      <c r="AJ514" s="670">
        <f>IF(O515=0,0,             IF(ISNUMBER(AI514),AI514,             IF(ISTEXT(AI514),INDEX(Z514:AG514,MATCH(AI514,$Z$17:$AG$17,0)),           IF(AH514="INT",_xll.qInterp(O515,R514:Y514,Z514:AG514),       INDEX(Z514:AG514,MATCH(AH514,$Z$17:$AG$17,0))))))</f>
        <v>0</v>
      </c>
      <c r="AK514" s="732">
        <v>20</v>
      </c>
      <c r="AL514" s="721">
        <f t="shared" si="102"/>
        <v>0</v>
      </c>
      <c r="AM514" s="284">
        <f>IF($O515,_xll.qDateYears($O514,$O515,DCC_Leg1_Fixed),0)</f>
        <v>0</v>
      </c>
      <c r="AN514" s="284">
        <f>IF($O515,_xll.qDateYears($O514,$O515,DCC_Leg1_Float),0)</f>
        <v>0</v>
      </c>
      <c r="AP514" s="350">
        <f t="shared" si="108"/>
        <v>0</v>
      </c>
      <c r="AQ514" s="375">
        <f>IF(GenType_1a="Fixed",GenRate_1a%*$AL513*AM513,          IF(GenType_1a="Float",$AL513*(_xll.qGetFwdRate($D$18,$O513,$O514,"T",DCC_Leg1_Float)%+GenRate_1a%%)*$AN513,        IF(GenType_1a="bp (Fixed)",GenRate_1a%%*$AM513*$AL513,   IF(GenType_1a="bp (Float)",GenRate_1a%%*$AL513*$AN513,0))))</f>
        <v>0</v>
      </c>
      <c r="AR514" s="561"/>
      <c r="AT514" s="341">
        <f t="shared" si="112"/>
        <v>0</v>
      </c>
      <c r="AV514" s="356"/>
      <c r="AW514" s="122">
        <v>0</v>
      </c>
      <c r="AX514" s="128">
        <f t="shared" si="103"/>
        <v>0</v>
      </c>
      <c r="AY514" s="357">
        <v>0</v>
      </c>
      <c r="AZ514" s="699">
        <f>IF($AW515=0,0,        _xll.qDateNext($AW514,AZ$17,"M",TRUE,Currency2))</f>
        <v>0</v>
      </c>
      <c r="BA514" s="699">
        <f>IF($AW515=0,0,        _xll.qDateNext($AW514,BA$17,"M",TRUE,Currency2))</f>
        <v>0</v>
      </c>
      <c r="BB514" s="699">
        <f>IF($AW515=0,0,        _xll.qDateNext($AW514,BB$17,"M",TRUE,Currency2))</f>
        <v>0</v>
      </c>
      <c r="BC514" s="699">
        <f>IF($AW515=0,0,        _xll.qDateNext($AW514,BC$17,"M",TRUE,Currency2))</f>
        <v>0</v>
      </c>
      <c r="BD514" s="699">
        <f>IF($AW515=0,0,        _xll.qDateNext($AW514,BD$17,"M",TRUE,Currency2))</f>
        <v>0</v>
      </c>
      <c r="BE514" s="699">
        <f>IF($AW515=0,0,        _xll.qDateNext($AW514,BE$17,"M",TRUE,Currency2))</f>
        <v>0</v>
      </c>
      <c r="BF514" s="699">
        <f>IF($AW515=0,0,        _xll.qDateNext($AW514,BF$17,"M",TRUE,Currency2))</f>
        <v>0</v>
      </c>
      <c r="BG514" s="699">
        <f>IF($AW515=0,0,        _xll.qDateNext($AW514,BG$17,"M",TRUE,Currency2))</f>
        <v>0</v>
      </c>
      <c r="BH514" s="703">
        <v>0</v>
      </c>
      <c r="BI514" s="703">
        <v>0</v>
      </c>
      <c r="BJ514" s="703">
        <v>0</v>
      </c>
      <c r="BK514" s="703">
        <v>0</v>
      </c>
      <c r="BL514" s="703">
        <f t="shared" si="109"/>
        <v>0</v>
      </c>
      <c r="BM514" s="703">
        <f t="shared" si="110"/>
        <v>0</v>
      </c>
      <c r="BN514" s="703">
        <v>0</v>
      </c>
      <c r="BO514" s="703">
        <v>0</v>
      </c>
      <c r="BP514" s="685">
        <v>0</v>
      </c>
      <c r="BQ514" s="667"/>
      <c r="BR514" s="670">
        <f>IF(AW515=0,0,             IF(ISNUMBER(BQ514),BQ514,             IF(ISTEXT(BQ514),INDEX(BH514:BO514,MATCH(BQ514,$BH$17:$BO$17,0)),           IF(BP514="INT",_xll.qInterp(AW515,AZ514:BG514,BH514:BO514),       INDEX(BH514:BO514,MATCH(BP514,$BH$17:$BO$17,0))))))</f>
        <v>0</v>
      </c>
      <c r="BS514" s="731">
        <f t="shared" si="104"/>
        <v>0</v>
      </c>
      <c r="BT514" s="406">
        <f t="shared" si="105"/>
        <v>0</v>
      </c>
      <c r="BU514" s="284">
        <f>IF($AW515,_xll.qDateYears($AW514,$AW515,DCC_Leg2_Fixed),0)</f>
        <v>0</v>
      </c>
      <c r="BV514" s="284">
        <f>IF($AW515,_xll.qDateYears($AW514,$AW515,DCC_Leg2_Float),0)</f>
        <v>0</v>
      </c>
      <c r="BX514" s="350">
        <f t="shared" si="111"/>
        <v>0</v>
      </c>
      <c r="BY514" s="375">
        <f>IF(GenType_2a="Fixed",GenRate_2a%*$BT513*BU513,          IF(GenType_2a="Float",$BT513*(_xll.qGetFwdRate($J$18,$AW513,$AW514,"T",DCC_Leg2_Float)%+GenRate_2a%%)*$BV513,        IF(GenType_2a="bp (Fixed)",GenRate_2a%%*$BU513*$BT513,   IF(GenType_2a="bp (Float)",GenRate_2a%%*$BT513*$BV513,0))))</f>
        <v>0</v>
      </c>
      <c r="BZ514" s="561"/>
      <c r="CB514" s="341">
        <f t="shared" si="113"/>
        <v>0</v>
      </c>
      <c r="CC514" s="563"/>
      <c r="CD514" s="356"/>
      <c r="CE514" s="341">
        <v>0</v>
      </c>
      <c r="CF514" s="563"/>
      <c r="CG514" s="356"/>
    </row>
    <row r="515" spans="15:85">
      <c r="O515" s="122">
        <v>0</v>
      </c>
      <c r="P515" s="128">
        <f t="shared" si="100"/>
        <v>0</v>
      </c>
      <c r="Q515" s="126">
        <v>0</v>
      </c>
      <c r="R515" s="699">
        <f>IF($O516=0,0,        _xll.qDateNext($O515,R$17,"M",TRUE,Currency1))</f>
        <v>0</v>
      </c>
      <c r="S515" s="699">
        <f>IF($O516=0,0,        _xll.qDateNext($O515,S$17,"M",TRUE,Currency1))</f>
        <v>0</v>
      </c>
      <c r="T515" s="699">
        <f>IF($O516=0,0,        _xll.qDateNext($O515,T$17,"M",TRUE,Currency1))</f>
        <v>0</v>
      </c>
      <c r="U515" s="699">
        <f>IF($O516=0,0,        _xll.qDateNext($O515,U$17,"M",TRUE,Currency1))</f>
        <v>0</v>
      </c>
      <c r="V515" s="699">
        <f>IF($O516=0,0,        _xll.qDateNext($O515,V$17,"M",TRUE,Currency1))</f>
        <v>0</v>
      </c>
      <c r="W515" s="699">
        <f>IF($O516=0,0,        _xll.qDateNext($O515,W$17,"M",TRUE,Currency1))</f>
        <v>0</v>
      </c>
      <c r="X515" s="699">
        <f>IF($O516=0,0,        _xll.qDateNext($O515,X$17,"M",TRUE,Currency1))</f>
        <v>0</v>
      </c>
      <c r="Y515" s="699">
        <f>IF($O516=0,0,        _xll.qDateNext($O515,Y$17,"M",TRUE,Currency1))</f>
        <v>0</v>
      </c>
      <c r="Z515" s="703">
        <f>IF($O516=0,0,           IF(FRM,_xll.qGetFwdRate(Z$14,$O515,R515,"T",DCC_Leg1_Float),_xll.qGetFwdRate(Z$14,$O515,$O516,"T",DCC_Leg1_Float)))</f>
        <v>0</v>
      </c>
      <c r="AA515" s="703">
        <f>IF($O516=0,0,           IF(FRM,_xll.qGetFwdRate(AA$14,$O515,S515,"T",DCC_Leg1_Float),_xll.qGetFwdRate(AA$14,$O515,$O516,"T",DCC_Leg1_Float)))</f>
        <v>0</v>
      </c>
      <c r="AB515" s="703">
        <f t="shared" si="101"/>
        <v>0</v>
      </c>
      <c r="AC515" s="703">
        <f>IF($O516=0,0,           IF(FRM,_xll.qGetFwdRate(AC$14,$O515,U515,"T",DCC_Leg1_Float),_xll.qGetFwdRate(AC$14,$O515,$O516,"T",DCC_Leg1_Float)))</f>
        <v>0</v>
      </c>
      <c r="AD515" s="703">
        <f t="shared" si="106"/>
        <v>0</v>
      </c>
      <c r="AE515" s="703">
        <f t="shared" si="107"/>
        <v>0</v>
      </c>
      <c r="AF515" s="703">
        <f>IF($O516=0,0,           IF(FRM,_xll.qGetFwdRate(AF$14,$O515,X515,"T",DCC_Leg1_Float),_xll.qGetFwdRate(AF$14,$O515,$O516,"T",DCC_Leg1_Float)))</f>
        <v>0</v>
      </c>
      <c r="AG515" s="703">
        <f>IF($O516=0,0,           IF(FRM,_xll.qGetFwdRate(AG$14,$O515,Y515,"T",DCC_Leg1_Float),_xll.qGetFwdRate(AG$14,$O515,$O516,"T",DCC_Leg1_Float)))</f>
        <v>0</v>
      </c>
      <c r="AH515" s="685">
        <v>0</v>
      </c>
      <c r="AI515" s="667"/>
      <c r="AJ515" s="670">
        <f>IF(O516=0,0,             IF(ISNUMBER(AI515),AI515,             IF(ISTEXT(AI515),INDEX(Z515:AG515,MATCH(AI515,$Z$17:$AG$17,0)),           IF(AH515="INT",_xll.qInterp(O516,R515:Y515,Z515:AG515),       INDEX(Z515:AG515,MATCH(AH515,$Z$17:$AG$17,0))))))</f>
        <v>0</v>
      </c>
      <c r="AK515" s="732">
        <v>20</v>
      </c>
      <c r="AL515" s="721">
        <f t="shared" si="102"/>
        <v>0</v>
      </c>
      <c r="AM515" s="284">
        <f>IF($O516,_xll.qDateYears($O515,$O516,DCC_Leg1_Fixed),0)</f>
        <v>0</v>
      </c>
      <c r="AN515" s="284">
        <f>IF($O516,_xll.qDateYears($O515,$O516,DCC_Leg1_Float),0)</f>
        <v>0</v>
      </c>
      <c r="AP515" s="350">
        <f t="shared" si="108"/>
        <v>0</v>
      </c>
      <c r="AQ515" s="375">
        <f>IF(GenType_1a="Fixed",GenRate_1a%*$AL514*AM514,          IF(GenType_1a="Float",$AL514*(_xll.qGetFwdRate($D$18,$O514,$O515,"T",DCC_Leg1_Float)%+GenRate_1a%%)*$AN514,        IF(GenType_1a="bp (Fixed)",GenRate_1a%%*$AM514*$AL514,   IF(GenType_1a="bp (Float)",GenRate_1a%%*$AL514*$AN514,0))))</f>
        <v>0</v>
      </c>
      <c r="AR515" s="561"/>
      <c r="AT515" s="341">
        <f t="shared" si="112"/>
        <v>0</v>
      </c>
      <c r="AV515" s="356"/>
      <c r="AW515" s="122">
        <v>0</v>
      </c>
      <c r="AX515" s="128">
        <f t="shared" si="103"/>
        <v>0</v>
      </c>
      <c r="AY515" s="357">
        <v>0</v>
      </c>
      <c r="AZ515" s="699">
        <f>IF($AW516=0,0,        _xll.qDateNext($AW515,AZ$17,"M",TRUE,Currency2))</f>
        <v>0</v>
      </c>
      <c r="BA515" s="699">
        <f>IF($AW516=0,0,        _xll.qDateNext($AW515,BA$17,"M",TRUE,Currency2))</f>
        <v>0</v>
      </c>
      <c r="BB515" s="699">
        <f>IF($AW516=0,0,        _xll.qDateNext($AW515,BB$17,"M",TRUE,Currency2))</f>
        <v>0</v>
      </c>
      <c r="BC515" s="699">
        <f>IF($AW516=0,0,        _xll.qDateNext($AW515,BC$17,"M",TRUE,Currency2))</f>
        <v>0</v>
      </c>
      <c r="BD515" s="699">
        <f>IF($AW516=0,0,        _xll.qDateNext($AW515,BD$17,"M",TRUE,Currency2))</f>
        <v>0</v>
      </c>
      <c r="BE515" s="699">
        <f>IF($AW516=0,0,        _xll.qDateNext($AW515,BE$17,"M",TRUE,Currency2))</f>
        <v>0</v>
      </c>
      <c r="BF515" s="699">
        <f>IF($AW516=0,0,        _xll.qDateNext($AW515,BF$17,"M",TRUE,Currency2))</f>
        <v>0</v>
      </c>
      <c r="BG515" s="699">
        <f>IF($AW516=0,0,        _xll.qDateNext($AW515,BG$17,"M",TRUE,Currency2))</f>
        <v>0</v>
      </c>
      <c r="BH515" s="703">
        <v>0</v>
      </c>
      <c r="BI515" s="703">
        <v>0</v>
      </c>
      <c r="BJ515" s="703">
        <v>0</v>
      </c>
      <c r="BK515" s="703">
        <v>0</v>
      </c>
      <c r="BL515" s="703">
        <f t="shared" si="109"/>
        <v>0</v>
      </c>
      <c r="BM515" s="703">
        <f t="shared" si="110"/>
        <v>0</v>
      </c>
      <c r="BN515" s="703">
        <v>0</v>
      </c>
      <c r="BO515" s="703">
        <v>0</v>
      </c>
      <c r="BP515" s="685">
        <v>0</v>
      </c>
      <c r="BQ515" s="667"/>
      <c r="BR515" s="670">
        <f>IF(AW516=0,0,             IF(ISNUMBER(BQ515),BQ515,             IF(ISTEXT(BQ515),INDEX(BH515:BO515,MATCH(BQ515,$BH$17:$BO$17,0)),           IF(BP515="INT",_xll.qInterp(AW516,AZ515:BG515,BH515:BO515),       INDEX(BH515:BO515,MATCH(BP515,$BH$17:$BO$17,0))))))</f>
        <v>0</v>
      </c>
      <c r="BS515" s="731">
        <f t="shared" si="104"/>
        <v>0</v>
      </c>
      <c r="BT515" s="406">
        <f t="shared" si="105"/>
        <v>0</v>
      </c>
      <c r="BU515" s="284">
        <f>IF($AW516,_xll.qDateYears($AW515,$AW516,DCC_Leg2_Fixed),0)</f>
        <v>0</v>
      </c>
      <c r="BV515" s="284">
        <f>IF($AW516,_xll.qDateYears($AW515,$AW516,DCC_Leg2_Float),0)</f>
        <v>0</v>
      </c>
      <c r="BX515" s="350">
        <f t="shared" si="111"/>
        <v>0</v>
      </c>
      <c r="BY515" s="375">
        <f>IF(GenType_2a="Fixed",GenRate_2a%*$BT514*BU514,          IF(GenType_2a="Float",$BT514*(_xll.qGetFwdRate($J$18,$AW514,$AW515,"T",DCC_Leg2_Float)%+GenRate_2a%%)*$BV514,        IF(GenType_2a="bp (Fixed)",GenRate_2a%%*$BU514*$BT514,   IF(GenType_2a="bp (Float)",GenRate_2a%%*$BT514*$BV514,0))))</f>
        <v>0</v>
      </c>
      <c r="BZ515" s="561"/>
      <c r="CB515" s="341">
        <f t="shared" si="113"/>
        <v>0</v>
      </c>
      <c r="CC515" s="563"/>
      <c r="CD515" s="356"/>
      <c r="CE515" s="341">
        <v>0</v>
      </c>
      <c r="CF515" s="563"/>
      <c r="CG515" s="356"/>
    </row>
    <row r="516" spans="15:85">
      <c r="O516" s="122">
        <v>0</v>
      </c>
      <c r="P516" s="128">
        <f t="shared" si="100"/>
        <v>0</v>
      </c>
      <c r="Q516" s="126">
        <v>0</v>
      </c>
      <c r="R516" s="699">
        <f>IF($O517=0,0,        _xll.qDateNext($O516,R$17,"M",TRUE,Currency1))</f>
        <v>0</v>
      </c>
      <c r="S516" s="699">
        <f>IF($O517=0,0,        _xll.qDateNext($O516,S$17,"M",TRUE,Currency1))</f>
        <v>0</v>
      </c>
      <c r="T516" s="699">
        <f>IF($O517=0,0,        _xll.qDateNext($O516,T$17,"M",TRUE,Currency1))</f>
        <v>0</v>
      </c>
      <c r="U516" s="699">
        <f>IF($O517=0,0,        _xll.qDateNext($O516,U$17,"M",TRUE,Currency1))</f>
        <v>0</v>
      </c>
      <c r="V516" s="699">
        <f>IF($O517=0,0,        _xll.qDateNext($O516,V$17,"M",TRUE,Currency1))</f>
        <v>0</v>
      </c>
      <c r="W516" s="699">
        <f>IF($O517=0,0,        _xll.qDateNext($O516,W$17,"M",TRUE,Currency1))</f>
        <v>0</v>
      </c>
      <c r="X516" s="699">
        <f>IF($O517=0,0,        _xll.qDateNext($O516,X$17,"M",TRUE,Currency1))</f>
        <v>0</v>
      </c>
      <c r="Y516" s="699">
        <f>IF($O517=0,0,        _xll.qDateNext($O516,Y$17,"M",TRUE,Currency1))</f>
        <v>0</v>
      </c>
      <c r="Z516" s="703">
        <f>IF($O517=0,0,           IF(FRM,_xll.qGetFwdRate(Z$14,$O516,R516,"T",DCC_Leg1_Float),_xll.qGetFwdRate(Z$14,$O516,$O517,"T",DCC_Leg1_Float)))</f>
        <v>0</v>
      </c>
      <c r="AA516" s="703">
        <f>IF($O517=0,0,           IF(FRM,_xll.qGetFwdRate(AA$14,$O516,S516,"T",DCC_Leg1_Float),_xll.qGetFwdRate(AA$14,$O516,$O517,"T",DCC_Leg1_Float)))</f>
        <v>0</v>
      </c>
      <c r="AB516" s="703">
        <f t="shared" si="101"/>
        <v>0</v>
      </c>
      <c r="AC516" s="703">
        <f>IF($O517=0,0,           IF(FRM,_xll.qGetFwdRate(AC$14,$O516,U516,"T",DCC_Leg1_Float),_xll.qGetFwdRate(AC$14,$O516,$O517,"T",DCC_Leg1_Float)))</f>
        <v>0</v>
      </c>
      <c r="AD516" s="703">
        <f t="shared" si="106"/>
        <v>0</v>
      </c>
      <c r="AE516" s="703">
        <f t="shared" si="107"/>
        <v>0</v>
      </c>
      <c r="AF516" s="703">
        <f>IF($O517=0,0,           IF(FRM,_xll.qGetFwdRate(AF$14,$O516,X516,"T",DCC_Leg1_Float),_xll.qGetFwdRate(AF$14,$O516,$O517,"T",DCC_Leg1_Float)))</f>
        <v>0</v>
      </c>
      <c r="AG516" s="703">
        <f>IF($O517=0,0,           IF(FRM,_xll.qGetFwdRate(AG$14,$O516,Y516,"T",DCC_Leg1_Float),_xll.qGetFwdRate(AG$14,$O516,$O517,"T",DCC_Leg1_Float)))</f>
        <v>0</v>
      </c>
      <c r="AH516" s="685">
        <v>0</v>
      </c>
      <c r="AI516" s="667"/>
      <c r="AJ516" s="670">
        <f>IF(O517=0,0,             IF(ISNUMBER(AI516),AI516,             IF(ISTEXT(AI516),INDEX(Z516:AG516,MATCH(AI516,$Z$17:$AG$17,0)),           IF(AH516="INT",_xll.qInterp(O517,R516:Y516,Z516:AG516),       INDEX(Z516:AG516,MATCH(AH516,$Z$17:$AG$17,0))))))</f>
        <v>0</v>
      </c>
      <c r="AK516" s="732">
        <v>20</v>
      </c>
      <c r="AL516" s="721">
        <f t="shared" si="102"/>
        <v>0</v>
      </c>
      <c r="AM516" s="284">
        <f>IF($O517,_xll.qDateYears($O516,$O517,DCC_Leg1_Fixed),0)</f>
        <v>0</v>
      </c>
      <c r="AN516" s="284">
        <f>IF($O517,_xll.qDateYears($O516,$O517,DCC_Leg1_Float),0)</f>
        <v>0</v>
      </c>
      <c r="AP516" s="350">
        <f t="shared" si="108"/>
        <v>0</v>
      </c>
      <c r="AQ516" s="375">
        <f>IF(GenType_1a="Fixed",GenRate_1a%*$AL515*AM515,          IF(GenType_1a="Float",$AL515*(_xll.qGetFwdRate($D$18,$O515,$O516,"T",DCC_Leg1_Float)%+GenRate_1a%%)*$AN515,        IF(GenType_1a="bp (Fixed)",GenRate_1a%%*$AM515*$AL515,   IF(GenType_1a="bp (Float)",GenRate_1a%%*$AL515*$AN515,0))))</f>
        <v>0</v>
      </c>
      <c r="AR516" s="561"/>
      <c r="AT516" s="341">
        <f t="shared" si="112"/>
        <v>0</v>
      </c>
      <c r="AV516" s="356"/>
      <c r="AW516" s="122">
        <v>0</v>
      </c>
      <c r="AX516" s="128">
        <f t="shared" si="103"/>
        <v>0</v>
      </c>
      <c r="AY516" s="357">
        <v>0</v>
      </c>
      <c r="AZ516" s="699">
        <f>IF($AW517=0,0,        _xll.qDateNext($AW516,AZ$17,"M",TRUE,Currency2))</f>
        <v>0</v>
      </c>
      <c r="BA516" s="699">
        <f>IF($AW517=0,0,        _xll.qDateNext($AW516,BA$17,"M",TRUE,Currency2))</f>
        <v>0</v>
      </c>
      <c r="BB516" s="699">
        <f>IF($AW517=0,0,        _xll.qDateNext($AW516,BB$17,"M",TRUE,Currency2))</f>
        <v>0</v>
      </c>
      <c r="BC516" s="699">
        <f>IF($AW517=0,0,        _xll.qDateNext($AW516,BC$17,"M",TRUE,Currency2))</f>
        <v>0</v>
      </c>
      <c r="BD516" s="699">
        <f>IF($AW517=0,0,        _xll.qDateNext($AW516,BD$17,"M",TRUE,Currency2))</f>
        <v>0</v>
      </c>
      <c r="BE516" s="699">
        <f>IF($AW517=0,0,        _xll.qDateNext($AW516,BE$17,"M",TRUE,Currency2))</f>
        <v>0</v>
      </c>
      <c r="BF516" s="699">
        <f>IF($AW517=0,0,        _xll.qDateNext($AW516,BF$17,"M",TRUE,Currency2))</f>
        <v>0</v>
      </c>
      <c r="BG516" s="699">
        <f>IF($AW517=0,0,        _xll.qDateNext($AW516,BG$17,"M",TRUE,Currency2))</f>
        <v>0</v>
      </c>
      <c r="BH516" s="703">
        <v>0</v>
      </c>
      <c r="BI516" s="703">
        <v>0</v>
      </c>
      <c r="BJ516" s="703">
        <v>0</v>
      </c>
      <c r="BK516" s="703">
        <v>0</v>
      </c>
      <c r="BL516" s="703">
        <f t="shared" si="109"/>
        <v>0</v>
      </c>
      <c r="BM516" s="703">
        <f t="shared" si="110"/>
        <v>0</v>
      </c>
      <c r="BN516" s="703">
        <v>0</v>
      </c>
      <c r="BO516" s="703">
        <v>0</v>
      </c>
      <c r="BP516" s="685">
        <v>0</v>
      </c>
      <c r="BQ516" s="667"/>
      <c r="BR516" s="670">
        <f>IF(AW517=0,0,             IF(ISNUMBER(BQ516),BQ516,             IF(ISTEXT(BQ516),INDEX(BH516:BO516,MATCH(BQ516,$BH$17:$BO$17,0)),           IF(BP516="INT",_xll.qInterp(AW517,AZ516:BG516,BH516:BO516),       INDEX(BH516:BO516,MATCH(BP516,$BH$17:$BO$17,0))))))</f>
        <v>0</v>
      </c>
      <c r="BS516" s="731">
        <f t="shared" si="104"/>
        <v>0</v>
      </c>
      <c r="BT516" s="406">
        <f t="shared" si="105"/>
        <v>0</v>
      </c>
      <c r="BU516" s="284">
        <f>IF($AW517,_xll.qDateYears($AW516,$AW517,DCC_Leg2_Fixed),0)</f>
        <v>0</v>
      </c>
      <c r="BV516" s="284">
        <f>IF($AW517,_xll.qDateYears($AW516,$AW517,DCC_Leg2_Float),0)</f>
        <v>0</v>
      </c>
      <c r="BX516" s="350">
        <f t="shared" si="111"/>
        <v>0</v>
      </c>
      <c r="BY516" s="375">
        <f>IF(GenType_2a="Fixed",GenRate_2a%*$BT515*BU515,          IF(GenType_2a="Float",$BT515*(_xll.qGetFwdRate($J$18,$AW515,$AW516,"T",DCC_Leg2_Float)%+GenRate_2a%%)*$BV515,        IF(GenType_2a="bp (Fixed)",GenRate_2a%%*$BU515*$BT515,   IF(GenType_2a="bp (Float)",GenRate_2a%%*$BT515*$BV515,0))))</f>
        <v>0</v>
      </c>
      <c r="BZ516" s="561"/>
      <c r="CB516" s="341">
        <f t="shared" si="113"/>
        <v>0</v>
      </c>
      <c r="CC516" s="563"/>
      <c r="CD516" s="356"/>
      <c r="CE516" s="341">
        <v>0</v>
      </c>
      <c r="CF516" s="563"/>
      <c r="CG516" s="356"/>
    </row>
    <row r="517" spans="15:85">
      <c r="O517" s="122">
        <v>0</v>
      </c>
      <c r="Q517" s="126">
        <v>0</v>
      </c>
      <c r="AP517" s="350">
        <f t="shared" si="108"/>
        <v>0</v>
      </c>
      <c r="AQ517" s="375">
        <f>IF(GenType_1a="Fixed",GenRate_1a%*$AL516*AM516,          IF(GenType_1a="Float",$AL516*(_xll.qGetFwdRate($D$18,$O516,$O517,"T",DCC_Leg1_Float)%+GenRate_1a%%)*$AN516,        IF(GenType_1a="bp (Fixed)",GenRate_1a%%*$AM516*$AL516,   IF(GenType_1a="bp (Float)",GenRate_1a%%*$AL516*$AN516,0))))</f>
        <v>0</v>
      </c>
      <c r="AR517" s="561"/>
      <c r="AT517" s="341">
        <f t="shared" si="112"/>
        <v>0</v>
      </c>
      <c r="AV517" s="356"/>
      <c r="AW517" s="122">
        <v>0</v>
      </c>
      <c r="AY517" s="357">
        <v>0</v>
      </c>
      <c r="BX517" s="350">
        <f t="shared" si="111"/>
        <v>0</v>
      </c>
      <c r="BY517" s="375">
        <f>IF(GenType_2a="Fixed",GenRate_2a%*$BT516*BU516,          IF(GenType_2a="Float",$BT516*(_xll.qGetFwdRate($J$18,$AW516,$AW517,"T",DCC_Leg2_Float)%+GenRate_2a%%)*$BV516,        IF(GenType_2a="bp (Fixed)",GenRate_2a%%*$BU516*$BT516,   IF(GenType_2a="bp (Float)",GenRate_2a%%*$BT516*$BV516,0))))</f>
        <v>0</v>
      </c>
      <c r="BZ517" s="561"/>
      <c r="CB517" s="341">
        <f t="shared" si="113"/>
        <v>0</v>
      </c>
      <c r="CC517" s="563"/>
      <c r="CD517" s="356"/>
      <c r="CE517" s="341">
        <v>0</v>
      </c>
      <c r="CF517" s="563"/>
      <c r="CG517" s="356"/>
    </row>
  </sheetData>
  <sheetProtection sheet="1" scenarios="1" autoFilter="0" pivotTables="0"/>
  <mergeCells count="8">
    <mergeCell ref="CN8:CP8"/>
    <mergeCell ref="O11:O12"/>
    <mergeCell ref="AW11:AW12"/>
    <mergeCell ref="AI17:AJ17"/>
    <mergeCell ref="BQ17:BR17"/>
    <mergeCell ref="AU5:AV5"/>
    <mergeCell ref="AU6:AV6"/>
    <mergeCell ref="AU7:AV7"/>
  </mergeCells>
  <conditionalFormatting sqref="AK18:AK516">
    <cfRule type="expression" dxfId="7" priority="10">
      <formula>O19=0</formula>
    </cfRule>
  </conditionalFormatting>
  <conditionalFormatting sqref="BQ18:BQ516">
    <cfRule type="expression" dxfId="6" priority="3">
      <formula>AW19=0</formula>
    </cfRule>
    <cfRule type="cellIs" dxfId="5" priority="5" operator="notEqual">
      <formula>""</formula>
    </cfRule>
  </conditionalFormatting>
  <conditionalFormatting sqref="AI18:AI516">
    <cfRule type="expression" dxfId="4" priority="2" stopIfTrue="1">
      <formula>O19=0</formula>
    </cfRule>
    <cfRule type="cellIs" dxfId="3" priority="4" operator="notEqual">
      <formula>""</formula>
    </cfRule>
  </conditionalFormatting>
  <conditionalFormatting sqref="BR18:BR516">
    <cfRule type="expression" dxfId="2" priority="1">
      <formula>BP18="INT"</formula>
    </cfRule>
  </conditionalFormatting>
  <dataValidations count="7">
    <dataValidation type="list" allowBlank="1" showInputMessage="1" showErrorMessage="1" sqref="BS12 AK12">
      <formula1>"M,F,P,N,MS"</formula1>
    </dataValidation>
    <dataValidation type="list" allowBlank="1" showInputMessage="1" showErrorMessage="1" sqref="BY11 AQ11">
      <formula1>"S/S,L/S,S/L,L/L"</formula1>
    </dataValidation>
    <dataValidation type="list" allowBlank="1" showInputMessage="1" showErrorMessage="1" sqref="BY12 CN4 AQ12">
      <formula1>"TRUE,FALSE"</formula1>
    </dataValidation>
    <dataValidation type="list" allowBlank="1" showInputMessage="1" showErrorMessage="1" sqref="CB11:CB12 AT11:AT12">
      <formula1>"Act/365,Act/360,30/360"</formula1>
    </dataValidation>
    <dataValidation type="list" allowBlank="1" showInputMessage="1" showErrorMessage="1" sqref="BY14 AQ14">
      <formula1>"Fixed,Float,bp (Fixed),bp (Float),None"</formula1>
    </dataValidation>
    <dataValidation type="list" allowBlank="1" showInputMessage="1" showErrorMessage="1" sqref="Q12:AI12">
      <formula1>"AUD,USD,EUR"</formula1>
    </dataValidation>
    <dataValidation type="list" allowBlank="1" showInputMessage="1" showErrorMessage="1" sqref="P11:AI11">
      <formula1>"REC,PAY"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tTBL">
    <tabColor rgb="FF000000"/>
    <outlinePr showOutlineSymbols="0"/>
  </sheetPr>
  <dimension ref="A1:EY514"/>
  <sheetViews>
    <sheetView showGridLines="0" showRowColHeaders="0" showZeros="0" showOutlineSymbols="0" workbookViewId="0">
      <pane xSplit="3" topLeftCell="D1" activePane="topRight" state="frozen"/>
      <selection pane="topRight" activeCell="D1" sqref="D1"/>
    </sheetView>
  </sheetViews>
  <sheetFormatPr defaultRowHeight="12.75" outlineLevelCol="2"/>
  <cols>
    <col min="1" max="1" width="1.7109375" style="214" customWidth="1"/>
    <col min="2" max="2" width="7.7109375" style="214" customWidth="1"/>
    <col min="3" max="3" width="1.7109375" style="214" customWidth="1"/>
    <col min="4" max="4" width="3.7109375" customWidth="1"/>
    <col min="5" max="5" width="12.7109375" customWidth="1"/>
    <col min="6" max="6" width="8.7109375" customWidth="1"/>
    <col min="7" max="7" width="2" customWidth="1"/>
    <col min="8" max="8" width="8.7109375" customWidth="1"/>
    <col min="9" max="9" width="2.7109375" customWidth="1"/>
    <col min="10" max="10" width="3.7109375" style="153" hidden="1" customWidth="1" outlineLevel="2"/>
    <col min="11" max="11" width="5.28515625" style="470" hidden="1" customWidth="1" outlineLevel="2"/>
    <col min="12" max="17" width="5.7109375" style="153" hidden="1" customWidth="1" outlineLevel="2"/>
    <col min="18" max="18" width="5.28515625" style="155" hidden="1" customWidth="1" outlineLevel="2"/>
    <col min="19" max="19" width="4.140625" style="155" hidden="1" customWidth="1" outlineLevel="2"/>
    <col min="20" max="27" width="5.7109375" style="153" hidden="1" customWidth="1" outlineLevel="2"/>
    <col min="28" max="28" width="19.28515625" style="154" hidden="1" customWidth="1" outlineLevel="2"/>
    <col min="29" max="29" width="3.7109375" style="153" hidden="1" customWidth="1" outlineLevel="2"/>
    <col min="30" max="30" width="2.85546875" customWidth="1" collapsed="1"/>
    <col min="31" max="31" width="3.85546875" style="121" customWidth="1"/>
    <col min="32" max="32" width="3.5703125" style="463" bestFit="1" customWidth="1"/>
    <col min="33" max="33" width="5.85546875" style="463" bestFit="1" customWidth="1"/>
    <col min="34" max="34" width="1.7109375" style="463" customWidth="1"/>
    <col min="35" max="46" width="6.5703125" style="128" customWidth="1"/>
    <col min="47" max="47" width="1.7109375" style="128" customWidth="1"/>
    <col min="48" max="49" width="9.7109375" style="128" customWidth="1"/>
    <col min="56" max="56" width="3.7109375" customWidth="1"/>
    <col min="57" max="57" width="10" style="121" customWidth="1"/>
    <col min="58" max="58" width="1.7109375" style="153" hidden="1" customWidth="1" outlineLevel="2"/>
    <col min="59" max="59" width="11.140625" style="560" hidden="1" customWidth="1" outlineLevel="2"/>
    <col min="60" max="60" width="10.5703125" style="154" hidden="1" customWidth="1" outlineLevel="2"/>
    <col min="61" max="61" width="7.7109375" style="405" hidden="1" customWidth="1" outlineLevel="2"/>
    <col min="62" max="63" width="7.7109375" style="284" hidden="1" customWidth="1" outlineLevel="2"/>
    <col min="64" max="64" width="2.7109375" style="284" hidden="1" customWidth="1" outlineLevel="2"/>
    <col min="65" max="65" width="7.7109375" style="494" customWidth="1" collapsed="1"/>
    <col min="66" max="67" width="3.7109375" style="481" customWidth="1"/>
    <col min="68" max="68" width="2.7109375" style="284" hidden="1" customWidth="1" outlineLevel="2"/>
    <col min="69" max="69" width="10.42578125" style="560" hidden="1" customWidth="1" outlineLevel="2"/>
    <col min="70" max="70" width="8.5703125" style="427" hidden="1" customWidth="1" outlineLevel="2"/>
    <col min="71" max="71" width="7.7109375" style="405" hidden="1" customWidth="1" outlineLevel="2"/>
    <col min="72" max="73" width="7.7109375" style="155" hidden="1" customWidth="1" outlineLevel="2"/>
    <col min="74" max="74" width="1.7109375" style="155" hidden="1" customWidth="1" outlineLevel="2"/>
    <col min="75" max="75" width="7.7109375" style="128" customWidth="1" collapsed="1"/>
    <col min="76" max="76" width="2.7109375" style="128" customWidth="1"/>
    <col min="77" max="77" width="7.7109375" style="128" customWidth="1"/>
    <col min="78" max="79" width="3.7109375" style="128" customWidth="1"/>
    <col min="80" max="80" width="2.7109375" style="284" hidden="1" customWidth="1" outlineLevel="2"/>
    <col min="81" max="81" width="10.28515625" style="560" hidden="1" customWidth="1" outlineLevel="2"/>
    <col min="82" max="82" width="8.5703125" style="427" hidden="1" customWidth="1" outlineLevel="2"/>
    <col min="83" max="83" width="7.7109375" style="405" hidden="1" customWidth="1" outlineLevel="2"/>
    <col min="84" max="85" width="7.7109375" style="155" hidden="1" customWidth="1" outlineLevel="2"/>
    <col min="86" max="86" width="1.7109375" style="155" hidden="1" customWidth="1" outlineLevel="2"/>
    <col min="87" max="87" width="7.7109375" style="128" customWidth="1" collapsed="1"/>
    <col min="88" max="88" width="2.7109375" style="128" customWidth="1"/>
    <col min="89" max="89" width="7.7109375" style="128" customWidth="1"/>
    <col min="90" max="91" width="3.7109375" customWidth="1"/>
    <col min="92" max="92" width="2.7109375" style="284" hidden="1" customWidth="1" outlineLevel="2"/>
    <col min="93" max="93" width="10.5703125" style="560" hidden="1" customWidth="1" outlineLevel="2"/>
    <col min="94" max="94" width="8.5703125" style="427" hidden="1" customWidth="1" outlineLevel="2"/>
    <col min="95" max="95" width="7.7109375" style="405" hidden="1" customWidth="1" outlineLevel="2"/>
    <col min="96" max="97" width="7.7109375" style="155" hidden="1" customWidth="1" outlineLevel="2"/>
    <col min="98" max="98" width="1.7109375" style="155" hidden="1" customWidth="1" outlineLevel="2"/>
    <col min="99" max="99" width="7.7109375" style="128" customWidth="1" collapsed="1"/>
    <col min="100" max="100" width="2.7109375" style="128" customWidth="1"/>
    <col min="101" max="101" width="7.7109375" style="128" customWidth="1"/>
    <col min="102" max="102" width="3.7109375" style="128" customWidth="1"/>
    <col min="103" max="103" width="3.7109375" customWidth="1"/>
    <col min="104" max="104" width="2.7109375" style="284" hidden="1" customWidth="1" outlineLevel="2"/>
    <col min="105" max="105" width="10.85546875" style="560" hidden="1" customWidth="1" outlineLevel="2"/>
    <col min="106" max="106" width="8.5703125" style="427" hidden="1" customWidth="1" outlineLevel="2"/>
    <col min="107" max="107" width="7.7109375" style="405" hidden="1" customWidth="1" outlineLevel="2"/>
    <col min="108" max="109" width="7.7109375" style="155" hidden="1" customWidth="1" outlineLevel="2"/>
    <col min="110" max="110" width="1.7109375" style="155" hidden="1" customWidth="1" outlineLevel="2"/>
    <col min="111" max="111" width="7.7109375" style="128" customWidth="1" collapsed="1"/>
    <col min="112" max="112" width="2.7109375" style="128" customWidth="1"/>
    <col min="113" max="113" width="7.7109375" style="128" customWidth="1"/>
    <col min="114" max="114" width="3.7109375" style="128" customWidth="1"/>
    <col min="115" max="115" width="3.7109375" customWidth="1"/>
    <col min="116" max="116" width="2.7109375" style="284" hidden="1" customWidth="1" outlineLevel="2"/>
    <col min="117" max="117" width="10.7109375" style="560" hidden="1" customWidth="1" outlineLevel="2"/>
    <col min="118" max="118" width="8.5703125" style="427" hidden="1" customWidth="1" outlineLevel="2"/>
    <col min="119" max="119" width="7.7109375" style="405" hidden="1" customWidth="1" outlineLevel="2"/>
    <col min="120" max="121" width="7.7109375" style="155" hidden="1" customWidth="1" outlineLevel="2"/>
    <col min="122" max="122" width="1.7109375" style="155" hidden="1" customWidth="1" outlineLevel="2"/>
    <col min="123" max="123" width="7.7109375" style="128" customWidth="1" collapsed="1"/>
    <col min="124" max="124" width="2.7109375" style="128" customWidth="1"/>
    <col min="125" max="125" width="7.7109375" style="128" customWidth="1"/>
    <col min="128" max="128" width="3.7109375" customWidth="1"/>
    <col min="129" max="129" width="9.85546875" customWidth="1"/>
    <col min="130" max="130" width="6.28515625" customWidth="1"/>
    <col min="131" max="131" width="3.7109375" customWidth="1"/>
    <col min="132" max="132" width="10.28515625" customWidth="1"/>
    <col min="133" max="133" width="3.7109375" customWidth="1"/>
    <col min="134" max="134" width="9.7109375" style="122" customWidth="1"/>
    <col min="135" max="135" width="2.85546875" customWidth="1"/>
    <col min="136" max="136" width="9.7109375" style="801" customWidth="1"/>
    <col min="137" max="137" width="11.28515625" style="794" hidden="1" customWidth="1" outlineLevel="2"/>
    <col min="138" max="138" width="9.140625" style="405" hidden="1" customWidth="1" outlineLevel="2" collapsed="1"/>
    <col min="139" max="139" width="8.42578125" style="405" hidden="1" customWidth="1" outlineLevel="2"/>
    <col min="140" max="140" width="1.7109375" style="791" hidden="1" customWidth="1" outlineLevel="2"/>
    <col min="141" max="141" width="9.140625" style="405" hidden="1" customWidth="1" outlineLevel="2"/>
    <col min="142" max="142" width="8.5703125" style="405" hidden="1" customWidth="1" outlineLevel="2"/>
    <col min="143" max="143" width="2.7109375" style="153" hidden="1" customWidth="1" outlineLevel="2"/>
    <col min="144" max="144" width="5.7109375" customWidth="1" collapsed="1"/>
    <col min="145" max="146" width="8.7109375" style="481" customWidth="1"/>
    <col min="147" max="147" width="7.5703125" style="481" customWidth="1"/>
    <col min="148" max="148" width="5.7109375" customWidth="1"/>
    <col min="149" max="149" width="9.140625" style="686"/>
    <col min="150" max="150" width="12.140625" style="686" customWidth="1"/>
    <col min="154" max="155" width="9.140625" style="686"/>
  </cols>
  <sheetData>
    <row r="1" spans="5:155" ht="0.95" customHeight="1"/>
    <row r="2" spans="5:155" ht="24.95" customHeight="1">
      <c r="E2" s="46" t="s">
        <v>745</v>
      </c>
      <c r="F2" s="46"/>
      <c r="G2" s="46"/>
      <c r="H2" s="46"/>
      <c r="I2" s="46"/>
      <c r="J2" s="198" t="s">
        <v>109</v>
      </c>
      <c r="K2" s="471"/>
      <c r="L2" s="198"/>
      <c r="M2" s="198"/>
      <c r="N2" s="198"/>
      <c r="O2" s="198"/>
      <c r="P2" s="198"/>
      <c r="Q2" s="198"/>
      <c r="R2" s="337"/>
      <c r="S2" s="337"/>
      <c r="T2" s="198"/>
      <c r="U2" s="198"/>
      <c r="V2" s="198"/>
      <c r="W2" s="198"/>
      <c r="X2" s="198"/>
      <c r="Y2" s="198"/>
      <c r="Z2" s="198"/>
      <c r="AA2" s="198"/>
      <c r="AB2" s="331"/>
      <c r="AC2" s="198"/>
      <c r="AD2" s="46"/>
      <c r="AE2" s="457"/>
      <c r="AF2" s="465"/>
      <c r="AG2" s="465"/>
      <c r="AH2" s="465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BE2" s="506" t="s">
        <v>744</v>
      </c>
      <c r="BF2" s="198"/>
      <c r="BG2" s="577"/>
      <c r="BH2" s="331"/>
      <c r="BI2" s="474"/>
      <c r="BJ2" s="338"/>
      <c r="BK2" s="338"/>
      <c r="BL2" s="338"/>
      <c r="BM2" s="495"/>
      <c r="BN2" s="482"/>
      <c r="BO2" s="482"/>
      <c r="BP2" s="338"/>
      <c r="BQ2" s="577"/>
      <c r="BR2" s="478"/>
      <c r="BS2" s="474"/>
      <c r="BT2" s="337"/>
      <c r="BU2" s="337"/>
      <c r="BV2" s="337"/>
      <c r="BW2" s="47"/>
      <c r="BX2" s="47"/>
      <c r="BY2" s="47"/>
      <c r="BZ2" s="47"/>
      <c r="CA2" s="47"/>
      <c r="CB2" s="338"/>
      <c r="CC2" s="577"/>
      <c r="CD2" s="478"/>
      <c r="CE2" s="474"/>
      <c r="CF2" s="337"/>
      <c r="CG2" s="337"/>
      <c r="CH2" s="337"/>
      <c r="CI2" s="47"/>
      <c r="CJ2" s="47"/>
      <c r="CK2" s="47"/>
      <c r="CL2" s="46"/>
      <c r="CM2" s="46"/>
      <c r="CN2" s="338"/>
      <c r="CO2" s="577"/>
      <c r="CP2" s="478"/>
      <c r="CQ2" s="474"/>
      <c r="CR2" s="337"/>
      <c r="CS2" s="337"/>
      <c r="CT2" s="337"/>
      <c r="CU2" s="47"/>
      <c r="CV2" s="47"/>
      <c r="CW2" s="47"/>
      <c r="CX2" s="47"/>
      <c r="CY2" s="46"/>
      <c r="CZ2" s="338"/>
      <c r="DA2" s="577"/>
      <c r="DB2" s="478"/>
      <c r="DC2" s="474"/>
      <c r="DD2" s="337"/>
      <c r="DE2" s="337"/>
      <c r="DF2" s="337"/>
      <c r="DG2" s="47"/>
      <c r="DH2" s="47"/>
      <c r="DI2" s="47"/>
      <c r="DJ2" s="47"/>
      <c r="DK2" s="46"/>
      <c r="DL2" s="338"/>
      <c r="DM2" s="577"/>
      <c r="DN2" s="478"/>
      <c r="DO2" s="474"/>
      <c r="DP2" s="337"/>
      <c r="DQ2" s="337"/>
      <c r="DR2" s="337"/>
      <c r="DS2" s="47"/>
      <c r="DT2" s="47"/>
      <c r="DU2" s="47"/>
      <c r="DY2" s="135" t="s">
        <v>743</v>
      </c>
      <c r="DZ2" s="135"/>
      <c r="EA2" s="135"/>
      <c r="EB2" s="135"/>
      <c r="EC2" s="135"/>
      <c r="ED2" s="135"/>
      <c r="EE2" s="46"/>
      <c r="EF2" s="802"/>
      <c r="EG2" s="795"/>
      <c r="EH2" s="474"/>
      <c r="EI2" s="474"/>
      <c r="EJ2" s="792"/>
      <c r="EK2" s="474"/>
      <c r="EL2" s="474"/>
      <c r="EM2" s="198"/>
      <c r="EN2" s="46"/>
      <c r="EO2" s="482"/>
      <c r="EP2" s="482"/>
      <c r="EQ2" s="482"/>
      <c r="ER2" s="46"/>
      <c r="ES2" s="793"/>
      <c r="ET2" s="793"/>
      <c r="EU2" s="46"/>
      <c r="EV2" s="46"/>
      <c r="EW2" s="46"/>
      <c r="EX2" s="793"/>
    </row>
    <row r="4" spans="5:155">
      <c r="E4" t="s">
        <v>398</v>
      </c>
      <c r="BE4" s="507" t="s">
        <v>399</v>
      </c>
      <c r="DY4" t="s">
        <v>749</v>
      </c>
    </row>
    <row r="5" spans="5:155">
      <c r="BE5" s="507" t="s">
        <v>400</v>
      </c>
      <c r="EY5" s="126"/>
    </row>
    <row r="6" spans="5:155">
      <c r="K6" s="470" t="s">
        <v>262</v>
      </c>
      <c r="AI6" s="473" t="s">
        <v>386</v>
      </c>
      <c r="AV6" s="473" t="s">
        <v>410</v>
      </c>
    </row>
    <row r="7" spans="5:155">
      <c r="E7" t="s">
        <v>140</v>
      </c>
      <c r="F7" s="330" t="s">
        <v>258</v>
      </c>
      <c r="K7" s="470" t="s">
        <v>263</v>
      </c>
      <c r="O7" s="153" t="str">
        <f t="array" ref="O7:O12">INDIRECT(F7&amp;".ZB")</f>
        <v>EUR.ZB.DISC|[Swap Pricer 1f.xlsm]EU!$BC$51#13270</v>
      </c>
      <c r="AE7" s="473" t="s">
        <v>385</v>
      </c>
      <c r="AI7" s="402" t="str">
        <f>INDEX(L37:Q37,MATCH(F7,L17:Q17,0))</f>
        <v>2B</v>
      </c>
      <c r="AJ7" s="402" t="s">
        <v>0</v>
      </c>
      <c r="AK7" s="402" t="s">
        <v>1</v>
      </c>
      <c r="AL7" s="402" t="s">
        <v>2</v>
      </c>
      <c r="AM7" s="402" t="s">
        <v>5</v>
      </c>
      <c r="AN7" s="402" t="s">
        <v>26</v>
      </c>
      <c r="AO7" s="402" t="s">
        <v>27</v>
      </c>
      <c r="AP7" s="402" t="s">
        <v>7</v>
      </c>
      <c r="AQ7" s="402" t="s">
        <v>8</v>
      </c>
      <c r="AR7" s="402" t="s">
        <v>9</v>
      </c>
      <c r="AS7" s="402" t="s">
        <v>11</v>
      </c>
      <c r="AT7" s="402" t="s">
        <v>14</v>
      </c>
      <c r="AV7" s="524" t="s">
        <v>409</v>
      </c>
      <c r="AW7" s="524">
        <v>42260</v>
      </c>
      <c r="BE7" s="473" t="s">
        <v>403</v>
      </c>
      <c r="BF7" s="287"/>
      <c r="BG7" s="578"/>
      <c r="BH7" s="497"/>
      <c r="BI7" s="288" t="s">
        <v>396</v>
      </c>
      <c r="BJ7" s="509" t="str">
        <f t="array" ref="BJ7:BJ11">_xll.qArrayPad(TRANSPOSE(_xll.qVectorRemoveDuplicates(_xll.qVectorMake(BM9,BW9,CI9,CU9,DG9,DS9))),"")</f>
        <v>USD</v>
      </c>
      <c r="BK7" s="510" t="str">
        <f>BJ7</f>
        <v>USD</v>
      </c>
      <c r="BL7" s="499"/>
      <c r="BM7" s="500"/>
      <c r="BN7" s="501"/>
      <c r="BO7" s="503"/>
      <c r="BP7" s="288"/>
      <c r="BQ7" s="578"/>
      <c r="BR7" s="502"/>
      <c r="BS7" s="498"/>
      <c r="BT7" s="499"/>
      <c r="BU7" s="499"/>
      <c r="BV7" s="499"/>
      <c r="BW7" s="504" t="s">
        <v>404</v>
      </c>
      <c r="BX7" s="402"/>
      <c r="BY7" s="402"/>
      <c r="CA7" s="496"/>
      <c r="CB7" s="288"/>
      <c r="CC7" s="578"/>
      <c r="CD7" s="502"/>
      <c r="CE7" s="498"/>
      <c r="CF7" s="499"/>
      <c r="CG7" s="499"/>
      <c r="CH7" s="499"/>
      <c r="CI7" s="504" t="s">
        <v>404</v>
      </c>
      <c r="CJ7" s="402"/>
      <c r="CK7" s="402"/>
      <c r="CM7" s="138"/>
      <c r="CN7" s="288"/>
      <c r="CO7" s="578"/>
      <c r="CP7" s="502"/>
      <c r="CQ7" s="498"/>
      <c r="CR7" s="499"/>
      <c r="CS7" s="499"/>
      <c r="CT7" s="499"/>
      <c r="CU7" s="504" t="s">
        <v>404</v>
      </c>
      <c r="CV7" s="402"/>
      <c r="CW7" s="402"/>
      <c r="CX7" s="402"/>
      <c r="CY7" s="138"/>
      <c r="CZ7" s="288"/>
      <c r="DA7" s="578"/>
      <c r="DB7" s="502"/>
      <c r="DC7" s="498"/>
      <c r="DD7" s="499"/>
      <c r="DE7" s="499"/>
      <c r="DF7" s="499"/>
      <c r="DG7" s="504" t="s">
        <v>404</v>
      </c>
      <c r="DH7" s="402"/>
      <c r="DI7" s="402"/>
      <c r="DJ7" s="402"/>
      <c r="DK7" s="138"/>
      <c r="DL7" s="288"/>
      <c r="DM7" s="578"/>
      <c r="DN7" s="502"/>
      <c r="DO7" s="498"/>
      <c r="DP7" s="499"/>
      <c r="DQ7" s="499"/>
      <c r="DR7" s="499"/>
      <c r="DS7" s="504" t="s">
        <v>404</v>
      </c>
      <c r="DT7" s="402"/>
      <c r="DU7" s="402"/>
      <c r="DY7" t="s">
        <v>737</v>
      </c>
      <c r="DZ7" s="734" t="s">
        <v>257</v>
      </c>
      <c r="ED7" s="122" t="str">
        <f>"1 " &amp; DZ7 &amp; " = " &amp; TEXT(ES14,"0.0000") &amp; " " &amp; DZ9</f>
        <v>1 NZD = 0.7374 AUD</v>
      </c>
      <c r="EG7" s="796" t="s">
        <v>736</v>
      </c>
      <c r="EH7" s="534">
        <f>INDIRECT("Spot_"&amp;DZ7)</f>
        <v>0.78125</v>
      </c>
      <c r="EJ7" s="791" t="s">
        <v>81</v>
      </c>
      <c r="EK7" s="534">
        <f>INDIRECT("Spot_"&amp;DZ9)</f>
        <v>1.0594999999999999</v>
      </c>
      <c r="EM7" s="153" t="s">
        <v>81</v>
      </c>
      <c r="EO7" s="835" t="str">
        <f>ES7</f>
        <v>NZD/AUD</v>
      </c>
      <c r="EP7" s="835"/>
      <c r="EQ7" s="835"/>
      <c r="ES7" s="836" t="str">
        <f>DZ7&amp;"/"&amp;DZ9</f>
        <v>NZD/AUD</v>
      </c>
      <c r="ET7" s="836"/>
    </row>
    <row r="8" spans="5:155">
      <c r="K8" s="470" t="s">
        <v>6</v>
      </c>
      <c r="L8" s="153" t="s">
        <v>382</v>
      </c>
      <c r="N8" s="153" t="s">
        <v>375</v>
      </c>
      <c r="O8" s="153" t="str">
        <v>EUR.ZB.ON|[Swap Pricer 1f.xlsm]EU!$BC$52#13276</v>
      </c>
      <c r="AE8" s="131" t="s">
        <v>26</v>
      </c>
      <c r="AF8" s="467" t="str">
        <f t="array" ref="AF8:AF22">R18:R33&amp;"/"&amp;Z18:Z33</f>
        <v>A/S</v>
      </c>
      <c r="AG8" s="468" t="str">
        <f t="array" ref="AG8:AG22">IF(F14="Market",INDEX(L35:Q35,MATCH(F7,L17:Q17,0)),F14)</f>
        <v>30/360</v>
      </c>
      <c r="AH8" s="468"/>
      <c r="AI8" s="469">
        <f>_xll.qGetSwapRate($O$7,AI$7,$AE8,$R18,$AG8,$F$7,,,,,TRUE,$AB18,$Z18,,$H$14)</f>
        <v>1.9856981794338873</v>
      </c>
      <c r="AJ8" s="469">
        <f>_xll.qGetSwapRate($O$7,AJ$7,$AE8,$R18,$AG8,$F$7,,,,,TRUE,$AB18,$Z18,,$H$14)</f>
        <v>2.0660100826670216</v>
      </c>
      <c r="AK8" s="469">
        <f>_xll.qGetSwapRate($O$7,AK$7,$AE8,$R18,$AG8,$F$7,,,,,TRUE,$AB18,$Z18,,$H$14)</f>
        <v>2.1419460051685397</v>
      </c>
      <c r="AL8" s="469">
        <f>_xll.qGetSwapRate($O$7,AL$7,$AE8,$R18,$AG8,$F$7,,,,,TRUE,$AB18,$Z18,,$H$14)</f>
        <v>2.1983239903900675</v>
      </c>
      <c r="AM8" s="469">
        <f>_xll.qGetSwapRate($O$7,AM$7,$AE8,$R18,$AG8,$F$7,,,,,TRUE,$AB18,$Z18,,$H$14)</f>
        <v>2.3821615499746165</v>
      </c>
      <c r="AN8" s="469">
        <f>_xll.qGetSwapRate($O$7,AN$7,$AE8,$R18,$AG8,$F$7,,,,,TRUE,$AB18,$Z18,,$H$14)</f>
        <v>2.6449090159853457</v>
      </c>
      <c r="AO8" s="469">
        <f>_xll.qGetSwapRate($O$7,AO$7,$AE8,$R18,$AG8,$F$7,,,,,TRUE,$AB18,$Z18,,$H$14)</f>
        <v>3.0469740134472518</v>
      </c>
      <c r="AP8" s="469">
        <f>_xll.qGetSwapRate($O$7,AP$7,$AE8,$R18,$AG8,$F$7,,,,,TRUE,$AB18,$Z18,,$H$14)</f>
        <v>3.8974050566375986</v>
      </c>
      <c r="AQ8" s="469">
        <f>_xll.qGetSwapRate($O$7,AQ$7,$AE8,$R18,$AG8,$F$7,,,,,TRUE,$AB18,$Z18,,$H$14)</f>
        <v>3.7627996735789795</v>
      </c>
      <c r="AR8" s="469">
        <f>_xll.qGetSwapRate($O$7,AR$7,$AE8,$R18,$AG8,$F$7,,,,,TRUE,$AB18,$Z18,,$H$14)</f>
        <v>3.9487512118922061</v>
      </c>
      <c r="AS8" s="469">
        <f>_xll.qGetSwapRate($O$7,AS$7,$AE8,$R18,$AG8,$F$7,,,,,TRUE,$AB18,$Z18,,$H$14)</f>
        <v>4.1539191672477926</v>
      </c>
      <c r="AT8" s="469">
        <f>_xll.qGetSwapRate($O$7,AT$7,$AE8,$R18,$AG8,$F$7,,,,,TRUE,$AB18,$Z18,,$H$14)</f>
        <v>4.4953157865835154</v>
      </c>
      <c r="AV8" s="469">
        <f>_xll.qGetSwapRate($O$7,AV$7,$AE8,$R18,$AG8,$F$7,,,,,TRUE,$AB18,$Z18,,$H$14)</f>
        <v>2.858749414727066</v>
      </c>
      <c r="AW8" s="469">
        <f>_xll.qGetSwapRate($O$7,AW$7,$AE8,$R18,$AG8,$F$7,,,,,TRUE,$AB18,$Z18,,$H$14)</f>
        <v>3.8300612266893799</v>
      </c>
      <c r="BI8" s="284"/>
      <c r="BJ8" s="284" t="str">
        <v>AUD</v>
      </c>
      <c r="BK8" s="505" t="str">
        <f>IF(BJ8&lt;&gt;"",BK7&amp;"+GBP+"&amp;BJ8,BK7)</f>
        <v>USD+GBP+AUD</v>
      </c>
      <c r="BL8" s="155"/>
      <c r="BM8" s="493"/>
      <c r="BN8" s="483"/>
      <c r="BO8" s="489"/>
      <c r="BW8" s="402"/>
      <c r="CA8" s="496"/>
      <c r="CI8" s="402"/>
      <c r="CM8" s="138"/>
      <c r="CU8" s="402"/>
      <c r="CY8" s="138"/>
      <c r="DG8" s="402"/>
      <c r="DK8" s="138"/>
      <c r="DS8" s="402"/>
      <c r="DZ8" s="122"/>
      <c r="EG8" s="796" t="s">
        <v>331</v>
      </c>
      <c r="EH8" s="534" t="str">
        <f>INDIRECT("Fxcurve"&amp;DZ7)</f>
        <v>FxcurveNZD|[Swap Pricer 1f.xlsm]FX!$N$66#13198</v>
      </c>
      <c r="EJ8" s="791" t="s">
        <v>81</v>
      </c>
      <c r="EK8" s="534" t="str">
        <f>INDIRECT("Fxcurve"&amp;DZ9)</f>
        <v>FxcurveAUD|[Swap Pricer 1f.xlsm]FX!$N$63#13203</v>
      </c>
      <c r="EM8" s="153" t="s">
        <v>81</v>
      </c>
      <c r="EO8" s="835" t="s">
        <v>741</v>
      </c>
      <c r="EP8" s="835"/>
      <c r="EQ8" s="835"/>
      <c r="ES8" s="836" t="s">
        <v>740</v>
      </c>
      <c r="ET8" s="836"/>
      <c r="EV8" s="126"/>
      <c r="EW8" s="126"/>
      <c r="EX8" s="357"/>
    </row>
    <row r="9" spans="5:155">
      <c r="E9" t="s">
        <v>216</v>
      </c>
      <c r="F9" s="120" t="s">
        <v>368</v>
      </c>
      <c r="K9" s="470" t="s">
        <v>0</v>
      </c>
      <c r="L9" s="153" t="s">
        <v>380</v>
      </c>
      <c r="N9" s="153" t="s">
        <v>150</v>
      </c>
      <c r="O9" s="153" t="str">
        <v>EUR.ZB.1M|[Swap Pricer 1f.xlsm]EU!$BC$53#13275</v>
      </c>
      <c r="AE9" s="131" t="s">
        <v>27</v>
      </c>
      <c r="AF9" s="467" t="str">
        <v>A/S</v>
      </c>
      <c r="AG9" s="468" t="str">
        <v>30/360</v>
      </c>
      <c r="AH9" s="468"/>
      <c r="AI9" s="776">
        <f>_xll.qGetSwapRate($O$7,AI$7,$AE9,$R19,$AG9,$F$7,,,,,TRUE,$AB19,$Z19,,$H$14)</f>
        <v>2.3121675427797115</v>
      </c>
      <c r="AJ9" s="776">
        <f>_xll.qGetSwapRate($O$7,AJ$7,$AE9,$R19,$AG9,$F$7,,,,,TRUE,$AB19,$Z19,,$H$14)</f>
        <v>2.3710614261788745</v>
      </c>
      <c r="AK9" s="776">
        <f>_xll.qGetSwapRate($O$7,AK$7,$AE9,$R19,$AG9,$F$7,,,,,TRUE,$AB19,$Z19,,$H$14)</f>
        <v>2.428090254974645</v>
      </c>
      <c r="AL9" s="776">
        <f>_xll.qGetSwapRate($O$7,AL$7,$AE9,$R19,$AG9,$F$7,,,,,TRUE,$AB19,$Z19,,$H$14)</f>
        <v>2.4758298932205833</v>
      </c>
      <c r="AM9" s="776">
        <f>_xll.qGetSwapRate($O$7,AM$7,$AE9,$R19,$AG9,$F$7,,,,,TRUE,$AB19,$Z19,,$H$14)</f>
        <v>2.6170054070670976</v>
      </c>
      <c r="AN9" s="776">
        <f>_xll.qGetSwapRate($O$7,AN$7,$AE9,$R19,$AG9,$F$7,,,,,TRUE,$AB19,$Z19,,$H$14)</f>
        <v>2.8435864974259868</v>
      </c>
      <c r="AO9" s="776">
        <f>_xll.qGetSwapRate($O$7,AO$7,$AE9,$R19,$AG9,$F$7,,,,,TRUE,$AB19,$Z19,,$H$14)</f>
        <v>3.4646863504708101</v>
      </c>
      <c r="AP9" s="776">
        <f>_xll.qGetSwapRate($O$7,AP$7,$AE9,$R19,$AG9,$F$7,,,,,TRUE,$AB19,$Z19,,$H$14)</f>
        <v>3.8309743310502262</v>
      </c>
      <c r="AQ9" s="776">
        <f>_xll.qGetSwapRate($O$7,AQ$7,$AE9,$R19,$AG9,$F$7,,,,,TRUE,$AB19,$Z19,,$H$14)</f>
        <v>3.8540147099085194</v>
      </c>
      <c r="AR9" s="776">
        <f>_xll.qGetSwapRate($O$7,AR$7,$AE9,$R19,$AG9,$F$7,,,,,TRUE,$AB19,$Z19,,$H$14)</f>
        <v>4.0123734246022442</v>
      </c>
      <c r="AS9" s="776">
        <f>_xll.qGetSwapRate($O$7,AS$7,$AE9,$R19,$AG9,$F$7,,,,,TRUE,$AB19,$Z19,,$H$14)</f>
        <v>4.2122215255895732</v>
      </c>
      <c r="AT9" s="776">
        <f>_xll.qGetSwapRate($O$7,AT$7,$AE9,$R19,$AG9,$F$7,,,,,TRUE,$AB19,$Z19,,$H$14)</f>
        <v>4.5855692879407144</v>
      </c>
      <c r="AU9" s="370"/>
      <c r="AV9" s="776">
        <f>_xll.qGetSwapRate($O$7,AV$7,$AE9,$R19,$AG9,$F$7,,,,,TRUE,$AB19,$Z19,,$H$14)</f>
        <v>3.134881528366301</v>
      </c>
      <c r="AW9" s="776">
        <f>_xll.qGetSwapRate($O$7,AW$7,$AE9,$R19,$AG9,$F$7,,,,,TRUE,$AB19,$Z19,,$H$14)</f>
        <v>3.9116095788085259</v>
      </c>
      <c r="BE9" s="131" t="s">
        <v>330</v>
      </c>
      <c r="BG9" s="578" t="s">
        <v>393</v>
      </c>
      <c r="BH9" s="497" t="str">
        <f>IF(BM9&lt;&gt;BW9,"XCS","IRS")</f>
        <v>XCS</v>
      </c>
      <c r="BI9" s="284"/>
      <c r="BJ9" s="284" t="str">
        <v>EUR</v>
      </c>
      <c r="BK9" s="505" t="str">
        <f t="shared" ref="BK9:BK11" si="0">IF(BJ9&lt;&gt;"",BK8&amp;"+"&amp;BJ9,BK8)</f>
        <v>USD+GBP+AUD+EUR</v>
      </c>
      <c r="BL9" s="155"/>
      <c r="BM9" s="519" t="s">
        <v>259</v>
      </c>
      <c r="BO9" s="490"/>
      <c r="BQ9" s="560" t="s">
        <v>397</v>
      </c>
      <c r="BR9" s="458" t="b">
        <f>BW9&lt;&gt;""</f>
        <v>1</v>
      </c>
      <c r="BW9" s="519" t="s">
        <v>142</v>
      </c>
      <c r="CA9" s="496"/>
      <c r="CC9" s="560" t="s">
        <v>397</v>
      </c>
      <c r="CD9" s="458" t="b">
        <f>CI9&lt;&gt;""</f>
        <v>1</v>
      </c>
      <c r="CI9" s="519" t="s">
        <v>258</v>
      </c>
      <c r="CM9" s="138"/>
      <c r="CO9" s="560" t="s">
        <v>397</v>
      </c>
      <c r="CP9" s="458" t="b">
        <f>CU9&lt;&gt;""</f>
        <v>1</v>
      </c>
      <c r="CU9" s="519" t="s">
        <v>256</v>
      </c>
      <c r="CY9" s="138"/>
      <c r="DA9" s="560" t="s">
        <v>397</v>
      </c>
      <c r="DB9" s="458" t="b">
        <f>DG9&lt;&gt;""</f>
        <v>1</v>
      </c>
      <c r="DG9" s="519" t="s">
        <v>257</v>
      </c>
      <c r="DK9" s="138"/>
      <c r="DM9" s="560" t="s">
        <v>397</v>
      </c>
      <c r="DN9" s="458" t="b">
        <f>DS9&lt;&gt;""</f>
        <v>1</v>
      </c>
      <c r="DS9" s="519" t="s">
        <v>259</v>
      </c>
      <c r="DY9" t="s">
        <v>738</v>
      </c>
      <c r="DZ9" s="734" t="s">
        <v>142</v>
      </c>
      <c r="EE9" s="790"/>
      <c r="EG9" s="796" t="s">
        <v>748</v>
      </c>
      <c r="EH9" s="534" t="str">
        <f>INDIRECT(DZ7&amp;".ZBX.DISC")</f>
        <v>NZD.ZBX.DISC|[Swap Pricer 1f.xlsm]NZ!$BC$50#13271</v>
      </c>
      <c r="EJ9" s="791" t="s">
        <v>81</v>
      </c>
      <c r="EK9" s="534" t="str">
        <f>INDIRECT(DZ9&amp;".ZBX.DISC")</f>
        <v>AUD.ZBX.DISC|[Swap Pricer 1f.xlsm]AU!$BG$59#13288</v>
      </c>
      <c r="EM9" s="153" t="s">
        <v>81</v>
      </c>
      <c r="EW9" s="126"/>
      <c r="EX9" s="798"/>
    </row>
    <row r="10" spans="5:155">
      <c r="K10" s="470" t="s">
        <v>2</v>
      </c>
      <c r="L10" s="153" t="s">
        <v>378</v>
      </c>
      <c r="N10" s="153" t="s">
        <v>369</v>
      </c>
      <c r="O10" s="153" t="str">
        <v>EUR.ZB.DISC|[Swap Pricer 1f.xlsm]EU!$BC$51#13270</v>
      </c>
      <c r="AE10" s="131" t="s">
        <v>7</v>
      </c>
      <c r="AF10" s="467" t="str">
        <v>A/S</v>
      </c>
      <c r="AG10" s="468" t="str">
        <v>30/360</v>
      </c>
      <c r="AH10" s="468"/>
      <c r="AI10" s="469">
        <f>_xll.qGetSwapRate($O$7,AI$7,$AE10,$R20,$AG10,$F$7,,,,,TRUE,$AB20,$Z20,,$H$14)</f>
        <v>2.5502111856828917</v>
      </c>
      <c r="AJ10" s="469">
        <f>_xll.qGetSwapRate($O$7,AJ$7,$AE10,$R20,$AG10,$F$7,,,,,TRUE,$AB20,$Z20,,$H$14)</f>
        <v>2.5999280450915867</v>
      </c>
      <c r="AK10" s="469">
        <f>_xll.qGetSwapRate($O$7,AK$7,$AE10,$R20,$AG10,$F$7,,,,,TRUE,$AB20,$Z20,,$H$14)</f>
        <v>2.6583383247734438</v>
      </c>
      <c r="AL10" s="469">
        <f>_xll.qGetSwapRate($O$7,AL$7,$AE10,$R20,$AG10,$F$7,,,,,TRUE,$AB20,$Z20,,$H$14)</f>
        <v>2.7123828714159055</v>
      </c>
      <c r="AM10" s="469">
        <f>_xll.qGetSwapRate($O$7,AM$7,$AE10,$R20,$AG10,$F$7,,,,,TRUE,$AB20,$Z20,,$H$14)</f>
        <v>2.8763575035796731</v>
      </c>
      <c r="AN10" s="469">
        <f>_xll.qGetSwapRate($O$7,AN$7,$AE10,$R20,$AG10,$F$7,,,,,TRUE,$AB20,$Z20,,$H$14)</f>
        <v>3.1830147257437105</v>
      </c>
      <c r="AO10" s="469">
        <f>_xll.qGetSwapRate($O$7,AO$7,$AE10,$R20,$AG10,$F$7,,,,,TRUE,$AB20,$Z20,,$H$14)</f>
        <v>3.5598665481768585</v>
      </c>
      <c r="AP10" s="469">
        <f>_xll.qGetSwapRate($O$7,AP$7,$AE10,$R20,$AG10,$F$7,,,,,TRUE,$AB20,$Z20,,$H$14)</f>
        <v>3.868782395160046</v>
      </c>
      <c r="AQ10" s="469">
        <f>_xll.qGetSwapRate($O$7,AQ$7,$AE10,$R20,$AG10,$F$7,,,,,TRUE,$AB20,$Z20,,$H$14)</f>
        <v>3.9259796821988471</v>
      </c>
      <c r="AR10" s="469">
        <f>_xll.qGetSwapRate($O$7,AR$7,$AE10,$R20,$AG10,$F$7,,,,,TRUE,$AB20,$Z20,,$H$14)</f>
        <v>4.0576958696413676</v>
      </c>
      <c r="AS10" s="469">
        <f>_xll.qGetSwapRate($O$7,AS$7,$AE10,$R20,$AG10,$F$7,,,,,TRUE,$AB20,$Z20,,$H$14)</f>
        <v>4.2579183093912825</v>
      </c>
      <c r="AT10" s="469">
        <f>_xll.qGetSwapRate($O$7,AT$7,$AE10,$R20,$AG10,$F$7,,,,,TRUE,$AB20,$Z20,,$H$14)</f>
        <v>4.5677687754909613</v>
      </c>
      <c r="AV10" s="469">
        <f>_xll.qGetSwapRate($O$7,AV$7,$AE10,$R20,$AG10,$F$7,,,,,TRUE,$AB20,$Z20,,$H$14)</f>
        <v>3.3763058430347694</v>
      </c>
      <c r="AW10" s="469">
        <f>_xll.qGetSwapRate($O$7,AW$7,$AE10,$R20,$AG10,$F$7,,,,,TRUE,$AB20,$Z20,,$H$14)</f>
        <v>3.9747108283535808</v>
      </c>
      <c r="BE10" s="131" t="s">
        <v>268</v>
      </c>
      <c r="BI10" s="284"/>
      <c r="BJ10" s="284" t="str">
        <v>GBP</v>
      </c>
      <c r="BK10" s="505" t="str">
        <f t="shared" si="0"/>
        <v>USD+GBP+AUD+EUR+GBP</v>
      </c>
      <c r="BL10" s="155"/>
      <c r="BM10" s="519" t="s">
        <v>387</v>
      </c>
      <c r="BO10" s="490"/>
      <c r="BQ10" s="560" t="s">
        <v>402</v>
      </c>
      <c r="BR10" s="458" t="str">
        <f>IF(BW9&lt;&gt;$BM$9,BW9&amp;".ZBX.DISC",BW9&amp;".ZB.DISC")</f>
        <v>AUD.ZBX.DISC</v>
      </c>
      <c r="BW10" s="519" t="s">
        <v>387</v>
      </c>
      <c r="CA10" s="496"/>
      <c r="CC10" s="560" t="s">
        <v>402</v>
      </c>
      <c r="CD10" s="458" t="str">
        <f>IF(CI9&lt;&gt;$BM$9,CI9&amp;".ZBX.DISC",CI9&amp;".ZB.DISC")</f>
        <v>EUR.ZBX.DISC</v>
      </c>
      <c r="CI10" s="519" t="s">
        <v>387</v>
      </c>
      <c r="CM10" s="138"/>
      <c r="CO10" s="560" t="s">
        <v>402</v>
      </c>
      <c r="CP10" s="458" t="str">
        <f>IF(CU9&lt;&gt;$BM$9,CU9&amp;".ZBX.DISC",CU9&amp;".ZB.DISC")</f>
        <v>GBP.ZBX.DISC</v>
      </c>
      <c r="CU10" s="519" t="s">
        <v>387</v>
      </c>
      <c r="CY10" s="138"/>
      <c r="DA10" s="560" t="s">
        <v>402</v>
      </c>
      <c r="DB10" s="458" t="str">
        <f>IF(DG9&lt;&gt;$BM$9,DG9&amp;".ZBX.DISC",DG9&amp;".ZB.DISC")</f>
        <v>NZD.ZBX.DISC</v>
      </c>
      <c r="DG10" s="519" t="s">
        <v>387</v>
      </c>
      <c r="DK10" s="138"/>
      <c r="DM10" s="560" t="s">
        <v>402</v>
      </c>
      <c r="DN10" s="458" t="str">
        <f>IF(DS9&lt;&gt;$BM$9,DS9&amp;".ZBX.DISC",DS9&amp;".ZB.DISC")</f>
        <v>USD.ZB.DISC</v>
      </c>
      <c r="DS10" s="519" t="s">
        <v>387</v>
      </c>
      <c r="ED10" s="122" t="s">
        <v>396</v>
      </c>
      <c r="EO10" s="481" t="s">
        <v>716</v>
      </c>
      <c r="EP10" s="481" t="s">
        <v>739</v>
      </c>
      <c r="ES10" s="195" t="s">
        <v>716</v>
      </c>
      <c r="ET10" s="195" t="s">
        <v>739</v>
      </c>
    </row>
    <row r="11" spans="5:155">
      <c r="F11" s="194" t="s">
        <v>145</v>
      </c>
      <c r="G11" s="194"/>
      <c r="H11" s="194" t="s">
        <v>376</v>
      </c>
      <c r="K11" s="470" t="s">
        <v>5</v>
      </c>
      <c r="L11" s="153" t="s">
        <v>379</v>
      </c>
      <c r="N11" s="153" t="s">
        <v>371</v>
      </c>
      <c r="O11" s="153" t="str">
        <v>EUR.ZB.6M|[Swap Pricer 1f.xlsm]EU!$BC$55#13273</v>
      </c>
      <c r="AE11" s="131" t="s">
        <v>8</v>
      </c>
      <c r="AF11" s="467" t="str">
        <v>A/S</v>
      </c>
      <c r="AG11" s="468" t="str">
        <v>30/360</v>
      </c>
      <c r="AH11" s="468"/>
      <c r="AI11" s="776">
        <f>_xll.qGetSwapRate($O$7,AI$7,$AE11,$R21,$AG11,$F$7,,,,,TRUE,$AB21,$Z21,,$H$14)</f>
        <v>2.8721895603847076</v>
      </c>
      <c r="AJ11" s="776">
        <f>_xll.qGetSwapRate($O$7,AJ$7,$AE11,$R21,$AG11,$F$7,,,,,TRUE,$AB21,$Z21,,$H$14)</f>
        <v>2.9162382647830274</v>
      </c>
      <c r="AK11" s="776">
        <f>_xll.qGetSwapRate($O$7,AK$7,$AE11,$R21,$AG11,$F$7,,,,,TRUE,$AB21,$Z21,,$H$14)</f>
        <v>2.9601288382412996</v>
      </c>
      <c r="AL11" s="776">
        <f>_xll.qGetSwapRate($O$7,AL$7,$AE11,$R21,$AG11,$F$7,,,,,TRUE,$AB21,$Z21,,$H$14)</f>
        <v>2.9989063969255825</v>
      </c>
      <c r="AM11" s="776">
        <f>_xll.qGetSwapRate($O$7,AM$7,$AE11,$R21,$AG11,$F$7,,,,,TRUE,$AB21,$Z21,,$H$14)</f>
        <v>3.1160492511576923</v>
      </c>
      <c r="AN11" s="776">
        <f>_xll.qGetSwapRate($O$7,AN$7,$AE11,$R21,$AG11,$F$7,,,,,TRUE,$AB21,$Z21,,$H$14)</f>
        <v>3.3197944739899121</v>
      </c>
      <c r="AO11" s="776">
        <f>_xll.qGetSwapRate($O$7,AO$7,$AE11,$R21,$AG11,$F$7,,,,,TRUE,$AB21,$Z21,,$H$14)</f>
        <v>3.6517582651770595</v>
      </c>
      <c r="AP11" s="776">
        <f>_xll.qGetSwapRate($O$7,AP$7,$AE11,$R21,$AG11,$F$7,,,,,TRUE,$AB21,$Z21,,$H$14)</f>
        <v>3.9182608317892935</v>
      </c>
      <c r="AQ11" s="776">
        <f>_xll.qGetSwapRate($O$7,AQ$7,$AE11,$R21,$AG11,$F$7,,,,,TRUE,$AB21,$Z21,,$H$14)</f>
        <v>3.9796488217271166</v>
      </c>
      <c r="AR11" s="776">
        <f>_xll.qGetSwapRate($O$7,AR$7,$AE11,$R21,$AG11,$F$7,,,,,TRUE,$AB21,$Z21,,$H$14)</f>
        <v>4.1083630394478519</v>
      </c>
      <c r="AS11" s="776">
        <f>_xll.qGetSwapRate($O$7,AS$7,$AE11,$R21,$AG11,$F$7,,,,,TRUE,$AB21,$Z21,,$H$14)</f>
        <v>4.3135294911552053</v>
      </c>
      <c r="AT11" s="776">
        <f>_xll.qGetSwapRate($O$7,AT$7,$AE11,$R21,$AG11,$F$7,,,,,TRUE,$AB21,$Z21,,$H$14)</f>
        <v>4.5923402926423229</v>
      </c>
      <c r="AU11" s="370"/>
      <c r="AV11" s="776">
        <f>_xll.qGetSwapRate($O$7,AV$7,$AE11,$R21,$AG11,$F$7,,,,,TRUE,$AB21,$Z21,,$H$14)</f>
        <v>3.492343687091723</v>
      </c>
      <c r="AW11" s="776">
        <f>_xll.qGetSwapRate($O$7,AW$7,$AE11,$R21,$AG11,$F$7,,,,,TRUE,$AB21,$Z21,,$H$14)</f>
        <v>4.0254489702101397</v>
      </c>
      <c r="BE11" s="131" t="s">
        <v>390</v>
      </c>
      <c r="BG11" s="154"/>
      <c r="BH11" s="458"/>
      <c r="BI11" s="284"/>
      <c r="BJ11" s="284" t="str">
        <v>NZD</v>
      </c>
      <c r="BK11" s="505" t="str">
        <f t="shared" si="0"/>
        <v>USD+GBP+AUD+EUR+GBP+NZD</v>
      </c>
      <c r="BL11" s="155"/>
      <c r="BM11" s="519" t="s">
        <v>2</v>
      </c>
      <c r="BO11" s="490"/>
      <c r="BW11" s="519" t="s">
        <v>2</v>
      </c>
      <c r="CA11" s="496"/>
      <c r="CI11" s="519" t="s">
        <v>2</v>
      </c>
      <c r="CM11" s="138"/>
      <c r="CU11" s="519" t="s">
        <v>2</v>
      </c>
      <c r="CY11" s="138"/>
      <c r="DG11" s="519" t="s">
        <v>2</v>
      </c>
      <c r="DK11" s="138"/>
      <c r="DS11" s="519" t="s">
        <v>2</v>
      </c>
      <c r="ED11" s="122" t="str">
        <f>IF(AND(DZ7&lt;&gt;"USD",DZ9&lt;&gt;"USD"),DZ7&amp;"+"&amp;DZ9&amp;"/NYC",IF(DZ7&lt;&gt;"USD",DZ7,IF(DZ9&lt;&gt;"USD",DZ9,"USD"))&amp;"/NYC")</f>
        <v>NZD+AUD/NYC</v>
      </c>
      <c r="EH11" s="837" t="str">
        <f>DZ7&amp;" FX Rate"</f>
        <v>NZD FX Rate</v>
      </c>
      <c r="EI11" s="837"/>
      <c r="EK11" s="837" t="str">
        <f>DZ9&amp;" FX Rate"</f>
        <v>AUD FX Rate</v>
      </c>
      <c r="EL11" s="837"/>
      <c r="EO11" s="481" t="s">
        <v>746</v>
      </c>
      <c r="EP11" s="481" t="s">
        <v>747</v>
      </c>
      <c r="EQ11" s="481" t="s">
        <v>742</v>
      </c>
      <c r="ES11" s="195" t="s">
        <v>746</v>
      </c>
      <c r="ET11" s="195" t="s">
        <v>747</v>
      </c>
    </row>
    <row r="12" spans="5:155">
      <c r="E12" t="s">
        <v>144</v>
      </c>
      <c r="F12" s="330" t="s">
        <v>716</v>
      </c>
      <c r="H12" s="330" t="s">
        <v>716</v>
      </c>
      <c r="K12" s="470" t="s">
        <v>26</v>
      </c>
      <c r="L12" s="153" t="s">
        <v>381</v>
      </c>
      <c r="N12" s="153" t="s">
        <v>370</v>
      </c>
      <c r="O12" s="153" t="str">
        <v>EUR.ZB.1Y|[Swap Pricer 1f.xlsm]EU!$BC$56#13289</v>
      </c>
      <c r="AE12" s="131" t="s">
        <v>9</v>
      </c>
      <c r="AF12" s="467" t="str">
        <v>A/S</v>
      </c>
      <c r="AG12" s="468" t="str">
        <v>30/360</v>
      </c>
      <c r="AH12" s="468"/>
      <c r="AI12" s="469">
        <f>_xll.qGetSwapRate($O$7,AI$7,$AE12,$R22,$AG12,$F$7,,,,,TRUE,$AB22,$Z22,,$H$14)</f>
        <v>3.0382322614361224</v>
      </c>
      <c r="AJ12" s="469">
        <f>_xll.qGetSwapRate($O$7,AJ$7,$AE12,$R22,$AG12,$F$7,,,,,TRUE,$AB22,$Z22,,$H$14)</f>
        <v>3.0772642978566789</v>
      </c>
      <c r="AK12" s="469">
        <f>_xll.qGetSwapRate($O$7,AK$7,$AE12,$R22,$AG12,$F$7,,,,,TRUE,$AB22,$Z22,,$H$14)</f>
        <v>3.1166056762545207</v>
      </c>
      <c r="AL12" s="469">
        <f>_xll.qGetSwapRate($O$7,AL$7,$AE12,$R22,$AG12,$F$7,,,,,TRUE,$AB22,$Z22,,$H$14)</f>
        <v>3.1510909128307096</v>
      </c>
      <c r="AM12" s="469">
        <f>_xll.qGetSwapRate($O$7,AM$7,$AE12,$R22,$AG12,$F$7,,,,,TRUE,$AB22,$Z22,,$H$14)</f>
        <v>3.2558688824770976</v>
      </c>
      <c r="AN12" s="469">
        <f>_xll.qGetSwapRate($O$7,AN$7,$AE12,$R22,$AG12,$F$7,,,,,TRUE,$AB22,$Z22,,$H$14)</f>
        <v>3.4366644409416049</v>
      </c>
      <c r="AO12" s="469">
        <f>_xll.qGetSwapRate($O$7,AO$7,$AE12,$R22,$AG12,$F$7,,,,,TRUE,$AB22,$Z22,,$H$14)</f>
        <v>3.7307829557611734</v>
      </c>
      <c r="AP12" s="469">
        <f>_xll.qGetSwapRate($O$7,AP$7,$AE12,$R22,$AG12,$F$7,,,,,TRUE,$AB22,$Z22,,$H$14)</f>
        <v>3.9618029123804548</v>
      </c>
      <c r="AQ12" s="469">
        <f>_xll.qGetSwapRate($O$7,AQ$7,$AE12,$R22,$AG12,$F$7,,,,,TRUE,$AB22,$Z22,,$H$14)</f>
        <v>4.0337995276063054</v>
      </c>
      <c r="AR12" s="469">
        <f>_xll.qGetSwapRate($O$7,AR$7,$AE12,$R22,$AG12,$F$7,,,,,TRUE,$AB22,$Z22,,$H$14)</f>
        <v>4.1537162890292061</v>
      </c>
      <c r="AS12" s="469">
        <f>_xll.qGetSwapRate($O$7,AS$7,$AE12,$R22,$AG12,$F$7,,,,,TRUE,$AB22,$Z22,,$H$14)</f>
        <v>4.3805647495650515</v>
      </c>
      <c r="AT12" s="469">
        <f>_xll.qGetSwapRate($O$7,AT$7,$AE12,$R22,$AG12,$F$7,,,,,TRUE,$AB22,$Z22,,$H$14)</f>
        <v>4.6328527342085213</v>
      </c>
      <c r="AV12" s="469">
        <f>_xll.qGetSwapRate($O$7,AV$7,$AE12,$R22,$AG12,$F$7,,,,,TRUE,$AB22,$Z22,,$H$14)</f>
        <v>3.5902195210308885</v>
      </c>
      <c r="AW12" s="469">
        <f>_xll.qGetSwapRate($O$7,AW$7,$AE12,$R22,$AG12,$F$7,,,,,TRUE,$AB22,$Z22,,$H$14)</f>
        <v>4.0771397491510797</v>
      </c>
      <c r="BE12" s="131"/>
      <c r="BO12" s="490"/>
      <c r="BW12" s="494"/>
      <c r="CA12" s="496"/>
      <c r="CI12" s="494"/>
      <c r="CM12" s="138"/>
      <c r="CU12" s="494"/>
      <c r="CY12" s="138"/>
      <c r="DG12" s="494"/>
      <c r="DK12" s="138"/>
      <c r="DS12" s="494"/>
      <c r="EH12" s="405" t="s">
        <v>716</v>
      </c>
      <c r="EI12" s="405" t="s">
        <v>739</v>
      </c>
      <c r="EK12" s="405" t="s">
        <v>716</v>
      </c>
      <c r="EL12" s="405" t="s">
        <v>739</v>
      </c>
    </row>
    <row r="13" spans="5:155">
      <c r="AE13" s="131" t="s">
        <v>10</v>
      </c>
      <c r="AF13" s="467" t="str">
        <v>A/S</v>
      </c>
      <c r="AG13" s="468" t="str">
        <v>30/360</v>
      </c>
      <c r="AH13" s="468"/>
      <c r="AI13" s="776">
        <f>_xll.qGetSwapRate($O$7,AI$7,$AE13,$R23,$AG13,$F$7,,,,,TRUE,$AB23,$Z23,,$H$14)</f>
        <v>3.1771650981394535</v>
      </c>
      <c r="AJ13" s="776">
        <f>_xll.qGetSwapRate($O$7,AJ$7,$AE13,$R23,$AG13,$F$7,,,,,TRUE,$AB23,$Z23,,$H$14)</f>
        <v>3.212647656909088</v>
      </c>
      <c r="AK13" s="776">
        <f>_xll.qGetSwapRate($O$7,AK$7,$AE13,$R23,$AG13,$F$7,,,,,TRUE,$AB23,$Z23,,$H$14)</f>
        <v>3.2468156164564688</v>
      </c>
      <c r="AL13" s="776">
        <f>_xll.qGetSwapRate($O$7,AL$7,$AE13,$R23,$AG13,$F$7,,,,,TRUE,$AB23,$Z23,,$H$14)</f>
        <v>3.278162098130343</v>
      </c>
      <c r="AM13" s="776">
        <f>_xll.qGetSwapRate($O$7,AM$7,$AE13,$R23,$AG13,$F$7,,,,,TRUE,$AB23,$Z23,,$H$14)</f>
        <v>3.3720234496621577</v>
      </c>
      <c r="AN13" s="776">
        <f>_xll.qGetSwapRate($O$7,AN$7,$AE13,$R23,$AG13,$F$7,,,,,TRUE,$AB23,$Z23,,$H$14)</f>
        <v>3.5339766006492837</v>
      </c>
      <c r="AO13" s="776">
        <f>_xll.qGetSwapRate($O$7,AO$7,$AE13,$R23,$AG13,$F$7,,,,,TRUE,$AB23,$Z23,,$H$14)</f>
        <v>3.7946918148995508</v>
      </c>
      <c r="AP13" s="776">
        <f>_xll.qGetSwapRate($O$7,AP$7,$AE13,$R23,$AG13,$F$7,,,,,TRUE,$AB23,$Z23,,$H$14)</f>
        <v>4.0087501841738584</v>
      </c>
      <c r="AQ13" s="776">
        <f>_xll.qGetSwapRate($O$7,AQ$7,$AE13,$R23,$AG13,$F$7,,,,,TRUE,$AB23,$Z23,,$H$14)</f>
        <v>4.0819991772630893</v>
      </c>
      <c r="AR13" s="776">
        <f>_xll.qGetSwapRate($O$7,AR$7,$AE13,$R23,$AG13,$F$7,,,,,TRUE,$AB23,$Z23,,$H$14)</f>
        <v>4.2048631820464619</v>
      </c>
      <c r="AS13" s="776">
        <f>_xll.qGetSwapRate($O$7,AS$7,$AE13,$R23,$AG13,$F$7,,,,,TRUE,$AB23,$Z23,,$H$14)</f>
        <v>4.4027832621561593</v>
      </c>
      <c r="AT13" s="776">
        <f>_xll.qGetSwapRate($O$7,AT$7,$AE13,$R23,$AG13,$F$7,,,,,TRUE,$AB23,$Z23,,$H$14)</f>
        <v>4.5668310303689132</v>
      </c>
      <c r="AU13" s="370"/>
      <c r="AV13" s="776">
        <f>_xll.qGetSwapRate($O$7,AV$7,$AE13,$R23,$AG13,$F$7,,,,,TRUE,$AB23,$Z23,,$H$14)</f>
        <v>3.6711561561774437</v>
      </c>
      <c r="AW13" s="776">
        <f>_xll.qGetSwapRate($O$7,AW$7,$AE13,$R23,$AG13,$F$7,,,,,TRUE,$AB23,$Z23,,$H$14)</f>
        <v>4.1256889505765209</v>
      </c>
      <c r="BG13" s="560" t="str">
        <f t="array" ref="BG13:BI13">BM9</f>
        <v>USD</v>
      </c>
      <c r="BH13" s="154" t="str">
        <v>USD</v>
      </c>
      <c r="BI13" s="405" t="str">
        <v>USD</v>
      </c>
      <c r="BJ13" s="284" t="str">
        <f>IF(BM10="Floating",uFloatDCC(BM9),BM10)</f>
        <v>Act/360</v>
      </c>
      <c r="BK13" s="284" t="s">
        <v>391</v>
      </c>
      <c r="BO13" s="490"/>
      <c r="BQ13" s="560" t="str">
        <f t="array" ref="BQ13:BS13">BW9</f>
        <v>AUD</v>
      </c>
      <c r="BR13" s="427" t="str">
        <v>AUD</v>
      </c>
      <c r="BS13" s="405" t="str">
        <v>AUD</v>
      </c>
      <c r="BT13" s="284" t="str">
        <f>IF(BW10="Floating",uFloatDCC(BW9),BW10)</f>
        <v>Act/365</v>
      </c>
      <c r="BU13" s="155" t="s">
        <v>391</v>
      </c>
      <c r="BW13" s="494"/>
      <c r="CA13" s="496"/>
      <c r="CC13" s="560" t="str">
        <f t="array" ref="CC13:CE13">CI9</f>
        <v>EUR</v>
      </c>
      <c r="CD13" s="427" t="str">
        <v>EUR</v>
      </c>
      <c r="CE13" s="405" t="str">
        <v>EUR</v>
      </c>
      <c r="CF13" s="284" t="str">
        <f>IF(CI10="Floating",uFloatDCC(CI9),CI10)</f>
        <v>Act/360</v>
      </c>
      <c r="CG13" s="155" t="s">
        <v>391</v>
      </c>
      <c r="CI13" s="494"/>
      <c r="CM13" s="138"/>
      <c r="CO13" s="560" t="str">
        <f t="array" ref="CO13:CQ13">CU9</f>
        <v>GBP</v>
      </c>
      <c r="CP13" s="427" t="str">
        <v>GBP</v>
      </c>
      <c r="CQ13" s="405" t="str">
        <v>GBP</v>
      </c>
      <c r="CR13" s="284" t="str">
        <f>IF(CU10="Floating",uFloatDCC(CU9),CU10)</f>
        <v>Act/365</v>
      </c>
      <c r="CS13" s="155" t="s">
        <v>391</v>
      </c>
      <c r="CU13" s="494"/>
      <c r="CY13" s="138"/>
      <c r="DA13" s="560" t="str">
        <f t="array" ref="DA13:DC13">DG9</f>
        <v>NZD</v>
      </c>
      <c r="DB13" s="427" t="str">
        <v>NZD</v>
      </c>
      <c r="DC13" s="405" t="str">
        <v>NZD</v>
      </c>
      <c r="DD13" s="284" t="str">
        <f>IF(DG10="Floating",uFloatDCC(DG9),DG10)</f>
        <v>Act/365</v>
      </c>
      <c r="DE13" s="155" t="s">
        <v>391</v>
      </c>
      <c r="DG13" s="494"/>
      <c r="DK13" s="138"/>
      <c r="DM13" s="560" t="str">
        <f t="array" ref="DM13:DO13">DS9</f>
        <v>USD</v>
      </c>
      <c r="DN13" s="427" t="str">
        <v>USD</v>
      </c>
      <c r="DO13" s="405" t="str">
        <v>USD</v>
      </c>
      <c r="DP13" s="284" t="str">
        <f>IF(DS10="Floating",uFloatDCC(DS9),DS10)</f>
        <v>Act/360</v>
      </c>
      <c r="DQ13" s="155" t="s">
        <v>391</v>
      </c>
      <c r="DS13" s="494"/>
      <c r="ED13" s="580" t="s">
        <v>725</v>
      </c>
      <c r="EE13" s="215"/>
      <c r="EF13" s="803">
        <f>Today</f>
        <v>40680</v>
      </c>
      <c r="EG13" s="804"/>
      <c r="EH13" s="512"/>
      <c r="EI13" s="512"/>
      <c r="EJ13" s="799"/>
      <c r="EK13" s="512"/>
      <c r="EL13" s="512"/>
      <c r="EM13" s="215"/>
      <c r="EN13" s="215"/>
      <c r="EO13" s="805"/>
      <c r="EP13" s="805"/>
      <c r="EQ13" s="805"/>
      <c r="ER13" s="215"/>
      <c r="ES13" s="800"/>
      <c r="ET13" s="800"/>
    </row>
    <row r="14" spans="5:155">
      <c r="E14" t="s">
        <v>377</v>
      </c>
      <c r="F14" s="330" t="s">
        <v>716</v>
      </c>
      <c r="H14" t="str">
        <f>uFloatDCC(F7)</f>
        <v>Act/360</v>
      </c>
      <c r="AE14" s="131" t="s">
        <v>11</v>
      </c>
      <c r="AF14" s="467" t="str">
        <v>A/S</v>
      </c>
      <c r="AG14" s="468" t="str">
        <v>30/360</v>
      </c>
      <c r="AH14" s="468"/>
      <c r="AI14" s="469">
        <f>_xll.qGetSwapRate($O$7,AI$7,$AE14,$R24,$AG14,$F$7,,,,,TRUE,$AB24,$Z24,,$H$14)</f>
        <v>3.2931184492091514</v>
      </c>
      <c r="AJ14" s="469">
        <f>_xll.qGetSwapRate($O$7,AJ$7,$AE14,$R24,$AG14,$F$7,,,,,TRUE,$AB24,$Z24,,$H$14)</f>
        <v>3.3241321657440683</v>
      </c>
      <c r="AK14" s="469">
        <f>_xll.qGetSwapRate($O$7,AK$7,$AE14,$R24,$AG14,$F$7,,,,,TRUE,$AB24,$Z24,,$H$14)</f>
        <v>3.3551305495558967</v>
      </c>
      <c r="AL14" s="469">
        <f>_xll.qGetSwapRate($O$7,AL$7,$AE14,$R24,$AG14,$F$7,,,,,TRUE,$AB24,$Z24,,$H$14)</f>
        <v>3.3833678168204</v>
      </c>
      <c r="AM14" s="469">
        <f>_xll.qGetSwapRate($O$7,AM$7,$AE14,$R24,$AG14,$F$7,,,,,TRUE,$AB24,$Z24,,$H$14)</f>
        <v>3.4681671696074825</v>
      </c>
      <c r="AN14" s="469">
        <f>_xll.qGetSwapRate($O$7,AN$7,$AE14,$R24,$AG14,$F$7,,,,,TRUE,$AB24,$Z24,,$H$14)</f>
        <v>3.612797590508217</v>
      </c>
      <c r="AO14" s="469">
        <f>_xll.qGetSwapRate($O$7,AO$7,$AE14,$R24,$AG14,$F$7,,,,,TRUE,$AB24,$Z24,,$H$14)</f>
        <v>3.8553605398991295</v>
      </c>
      <c r="AP14" s="469">
        <f>_xll.qGetSwapRate($O$7,AP$7,$AE14,$R24,$AG14,$F$7,,,,,TRUE,$AB24,$Z24,,$H$14)</f>
        <v>4.0524008651596466</v>
      </c>
      <c r="AQ14" s="469">
        <f>_xll.qGetSwapRate($O$7,AQ$7,$AE14,$R24,$AG14,$F$7,,,,,TRUE,$AB24,$Z24,,$H$14)</f>
        <v>4.1339580182231703</v>
      </c>
      <c r="AR14" s="469">
        <f>_xll.qGetSwapRate($O$7,AR$7,$AE14,$R24,$AG14,$F$7,,,,,TRUE,$AB24,$Z24,,$H$14)</f>
        <v>4.2643402615993127</v>
      </c>
      <c r="AS14" s="469">
        <f>_xll.qGetSwapRate($O$7,AS$7,$AE14,$R24,$AG14,$F$7,,,,,TRUE,$AB24,$Z24,,$H$14)</f>
        <v>4.4365659467623475</v>
      </c>
      <c r="AT14" s="469">
        <f>_xll.qGetSwapRate($O$7,AT$7,$AE14,$R24,$AG14,$F$7,,,,,TRUE,$AB24,$Z24,,$H$14)</f>
        <v>4.5244299969312358</v>
      </c>
      <c r="AV14" s="469">
        <f>_xll.qGetSwapRate($O$7,AV$7,$AE14,$R24,$AG14,$F$7,,,,,TRUE,$AB24,$Z24,,$H$14)</f>
        <v>3.7393004103776493</v>
      </c>
      <c r="AW14" s="469">
        <f>_xll.qGetSwapRate($O$7,AW$7,$AE14,$R24,$AG14,$F$7,,,,,TRUE,$AB24,$Z24,,$H$14)</f>
        <v>4.1795699083811151</v>
      </c>
      <c r="BE14" s="131"/>
      <c r="BG14" s="579" t="s">
        <v>250</v>
      </c>
      <c r="BH14" s="480" t="s">
        <v>171</v>
      </c>
      <c r="BI14" s="475" t="s">
        <v>153</v>
      </c>
      <c r="BJ14" s="476" t="s">
        <v>171</v>
      </c>
      <c r="BK14" s="476" t="s">
        <v>388</v>
      </c>
      <c r="BL14" s="447"/>
      <c r="BM14" s="493"/>
      <c r="BO14" s="490"/>
      <c r="BP14" s="476"/>
      <c r="BQ14" s="579" t="s">
        <v>250</v>
      </c>
      <c r="BR14" s="479" t="s">
        <v>171</v>
      </c>
      <c r="BS14" s="475" t="s">
        <v>153</v>
      </c>
      <c r="BT14" s="464" t="s">
        <v>171</v>
      </c>
      <c r="BU14" s="464" t="s">
        <v>388</v>
      </c>
      <c r="BW14" s="493"/>
      <c r="CA14" s="496"/>
      <c r="CB14" s="476"/>
      <c r="CC14" s="579" t="s">
        <v>250</v>
      </c>
      <c r="CD14" s="479" t="s">
        <v>171</v>
      </c>
      <c r="CE14" s="475" t="s">
        <v>153</v>
      </c>
      <c r="CF14" s="464" t="s">
        <v>171</v>
      </c>
      <c r="CG14" s="464" t="s">
        <v>388</v>
      </c>
      <c r="CI14" s="493"/>
      <c r="CM14" s="138"/>
      <c r="CN14" s="476"/>
      <c r="CO14" s="579" t="s">
        <v>250</v>
      </c>
      <c r="CP14" s="479" t="s">
        <v>171</v>
      </c>
      <c r="CQ14" s="475" t="s">
        <v>153</v>
      </c>
      <c r="CR14" s="464" t="s">
        <v>171</v>
      </c>
      <c r="CS14" s="464" t="s">
        <v>388</v>
      </c>
      <c r="CU14" s="493"/>
      <c r="CY14" s="138"/>
      <c r="CZ14" s="476"/>
      <c r="DA14" s="579" t="s">
        <v>250</v>
      </c>
      <c r="DB14" s="479" t="s">
        <v>171</v>
      </c>
      <c r="DC14" s="475" t="s">
        <v>153</v>
      </c>
      <c r="DD14" s="464" t="s">
        <v>171</v>
      </c>
      <c r="DE14" s="464" t="s">
        <v>388</v>
      </c>
      <c r="DG14" s="493"/>
      <c r="DK14" s="138"/>
      <c r="DL14" s="476"/>
      <c r="DM14" s="579" t="s">
        <v>250</v>
      </c>
      <c r="DN14" s="479" t="s">
        <v>171</v>
      </c>
      <c r="DO14" s="475" t="s">
        <v>153</v>
      </c>
      <c r="DP14" s="464" t="s">
        <v>171</v>
      </c>
      <c r="DQ14" s="464" t="s">
        <v>388</v>
      </c>
      <c r="DS14" s="493"/>
      <c r="ED14" s="122" t="s">
        <v>292</v>
      </c>
      <c r="EF14" s="801">
        <f>_xll.qDateNext(Today,"2b",,,$ED$11)</f>
        <v>40682</v>
      </c>
      <c r="EH14" s="405">
        <f t="array" ref="EH14:EH40">IF(DZ7="USD",1,    _xll.qGetFXFwdRate(EH8,$EF14:$EF40))</f>
        <v>0.78125</v>
      </c>
      <c r="EI14" s="405">
        <f t="array" ref="EI14:EI40">_xll.qGetFXFwdRateImplied($EF14:$EF40,EH$9,USD.ZB.DISC,EH$7,$EF$14)</f>
        <v>0.78125</v>
      </c>
      <c r="EK14" s="405">
        <f t="array" ref="EK14:EK40">IF(DZ9="USD",1,    _xll.qGetFXFwdRate(EK8,$EF14:$EF40))</f>
        <v>1.0594999999999999</v>
      </c>
      <c r="EL14" s="405">
        <f t="array" ref="EL14:EL40">_xll.qGetFXFwdRateImplied($EF14:$EF40,EK9,USD.ZB.DISC,EK7,$EF$14)</f>
        <v>1.0594999999999999</v>
      </c>
      <c r="ES14" s="686">
        <f t="shared" ref="ES14:ES30" si="1">IF(EF14=0,0,        EH14/EK14)</f>
        <v>0.73737612081170367</v>
      </c>
      <c r="ET14" s="686">
        <f t="shared" ref="ET14:ET30" si="2">IF(EF14=0,0,        EI14/EL14)</f>
        <v>0.73737612081170367</v>
      </c>
    </row>
    <row r="15" spans="5:155">
      <c r="AE15" s="131" t="s">
        <v>12</v>
      </c>
      <c r="AF15" s="467" t="str">
        <v>A/S</v>
      </c>
      <c r="AG15" s="468" t="str">
        <v>30/360</v>
      </c>
      <c r="AH15" s="468"/>
      <c r="AI15" s="776">
        <f>_xll.qGetSwapRate($O$7,AI$7,$AE15,$R25,$AG15,$F$7,,,,,TRUE,$AB25,$Z25,,$H$14)</f>
        <v>3.387010816901697</v>
      </c>
      <c r="AJ15" s="776">
        <f>_xll.qGetSwapRate($O$7,AJ$7,$AE15,$R25,$AG15,$F$7,,,,,TRUE,$AB25,$Z25,,$H$14)</f>
        <v>3.4156060018793242</v>
      </c>
      <c r="AK15" s="776">
        <f>_xll.qGetSwapRate($O$7,AK$7,$AE15,$R25,$AG15,$F$7,,,,,TRUE,$AB25,$Z25,,$H$14)</f>
        <v>3.4444377439671006</v>
      </c>
      <c r="AL15" s="776">
        <f>_xll.qGetSwapRate($O$7,AL$7,$AE15,$R25,$AG15,$F$7,,,,,TRUE,$AB25,$Z25,,$H$14)</f>
        <v>3.4710472369067769</v>
      </c>
      <c r="AM15" s="776">
        <f>_xll.qGetSwapRate($O$7,AM$7,$AE15,$R25,$AG15,$F$7,,,,,TRUE,$AB25,$Z25,,$H$14)</f>
        <v>3.5488207647953094</v>
      </c>
      <c r="AN15" s="776">
        <f>_xll.qGetSwapRate($O$7,AN$7,$AE15,$R25,$AG15,$F$7,,,,,TRUE,$AB25,$Z25,,$H$14)</f>
        <v>3.6847420334999659</v>
      </c>
      <c r="AO15" s="776">
        <f>_xll.qGetSwapRate($O$7,AO$7,$AE15,$R25,$AG15,$F$7,,,,,TRUE,$AB25,$Z25,,$H$14)</f>
        <v>3.9093616671635507</v>
      </c>
      <c r="AP15" s="776">
        <f>_xll.qGetSwapRate($O$7,AP$7,$AE15,$R25,$AG15,$F$7,,,,,TRUE,$AB25,$Z25,,$H$14)</f>
        <v>4.1001433343703457</v>
      </c>
      <c r="AQ15" s="776">
        <f>_xll.qGetSwapRate($O$7,AQ$7,$AE15,$R25,$AG15,$F$7,,,,,TRUE,$AB25,$Z25,,$H$14)</f>
        <v>4.1925230690461612</v>
      </c>
      <c r="AR15" s="776">
        <f>_xll.qGetSwapRate($O$7,AR$7,$AE15,$R25,$AG15,$F$7,,,,,TRUE,$AB25,$Z25,,$H$14)</f>
        <v>4.292729320178184</v>
      </c>
      <c r="AS15" s="776">
        <f>_xll.qGetSwapRate($O$7,AS$7,$AE15,$R25,$AG15,$F$7,,,,,TRUE,$AB25,$Z25,,$H$14)</f>
        <v>4.4767102158420249</v>
      </c>
      <c r="AT15" s="776">
        <f>_xll.qGetSwapRate($O$7,AT$7,$AE15,$R25,$AG15,$F$7,,,,,TRUE,$AB25,$Z25,,$H$14)</f>
        <v>4.4945564235234912</v>
      </c>
      <c r="AU15" s="370"/>
      <c r="AV15" s="776">
        <f>_xll.qGetSwapRate($O$7,AV$7,$AE15,$R25,$AG15,$F$7,,,,,TRUE,$AB25,$Z25,,$H$14)</f>
        <v>3.8024092848101563</v>
      </c>
      <c r="AW15" s="776">
        <f>_xll.qGetSwapRate($O$7,AW$7,$AE15,$R25,$AG15,$F$7,,,,,TRUE,$AB25,$Z25,,$H$14)</f>
        <v>4.2282164798298139</v>
      </c>
      <c r="BG15" s="560">
        <f t="array" ref="BG15:BG514">_xll.qArrayPad(_xll.qDateSchedule(Today,"2b","50Y",$BM$11,"M",TRUE,BM34),0)</f>
        <v>40682</v>
      </c>
      <c r="BH15" s="154" t="str">
        <f t="shared" ref="BH15:BH78" si="3">IF(BG15,ROUND((BG15-$BG$15)/365/0.25,0)*0.25&amp;"Y","")</f>
        <v>0Y</v>
      </c>
      <c r="BI15" s="405">
        <f t="array" ref="BI15:BI514">_xll.qGetDF(INDIRECT(BM9&amp;".ZB.DISC"),BG15:BG514)</f>
        <v>0.99999269448447259</v>
      </c>
      <c r="BK15" s="284">
        <v>0</v>
      </c>
      <c r="BM15" s="493" t="s">
        <v>388</v>
      </c>
      <c r="BN15" s="483"/>
      <c r="BO15" s="489"/>
      <c r="BQ15" s="560">
        <f t="array" ref="BQ15:BQ514">IF(BR$9,_xll.qArrayPad(_xll.qDateSchedule(Today,"2b","50Y",BW11,"M",TRUE,$BM$34),0),0)</f>
        <v>40682</v>
      </c>
      <c r="BR15" s="155" t="str">
        <f t="shared" ref="BR15:BR78" si="4">IF(BQ15,ROUND((BQ15-$BG$15)/365/0.25,0)*0.25&amp;"Y","")</f>
        <v>0Y</v>
      </c>
      <c r="BS15" s="405">
        <f t="array" ref="BS15:BS514">IF(BR$9,_xll.qGetDF(INDIRECT(BR10),BQ15:BQ514),0)</f>
        <v>0.99973730742617584</v>
      </c>
      <c r="BW15" s="493" t="s">
        <v>388</v>
      </c>
      <c r="BX15" s="477"/>
      <c r="BY15" s="492" t="s">
        <v>395</v>
      </c>
      <c r="CA15" s="496"/>
      <c r="CC15" s="560">
        <f t="array" ref="CC15:CC514">IF(CD$9,_xll.qArrayPad(_xll.qDateSchedule(Today,"2b","50Y",CI11,"M",TRUE,$BM$34),0),0)</f>
        <v>40682</v>
      </c>
      <c r="CD15" s="155" t="str">
        <f t="shared" ref="CD15:CD78" si="5">IF(CC15,ROUND((CC15-$BG$15)/365/0.25,0)*0.25&amp;"Y","")</f>
        <v>0Y</v>
      </c>
      <c r="CE15" s="405">
        <f t="array" ref="CE15:CE514">IF(CD$9,_xll.qGetDF(INDIRECT(CD10),CC15:CC514),0)</f>
        <v>0.99994935544139107</v>
      </c>
      <c r="CI15" s="493" t="s">
        <v>388</v>
      </c>
      <c r="CJ15" s="477"/>
      <c r="CK15" s="492" t="s">
        <v>395</v>
      </c>
      <c r="CM15" s="138"/>
      <c r="CO15" s="560">
        <f t="array" ref="CO15:CO514">IF(CP$9,_xll.qArrayPad(_xll.qDateSchedule(Today,"2b","50Y",CU11,"M",TRUE,$BM$34),0),0)</f>
        <v>40682</v>
      </c>
      <c r="CP15" s="155" t="str">
        <f t="shared" ref="CP15:CP78" si="6">IF(CO15,ROUND((CO15-$BG$15)/365/0.25,0)*0.25&amp;"Y","")</f>
        <v>0Y</v>
      </c>
      <c r="CQ15" s="405">
        <f t="array" ref="CQ15:CQ514">IF(CP$9,_xll.qGetDF(INDIRECT(CP10),CO15:CO514),0)</f>
        <v>0.99996720813674378</v>
      </c>
      <c r="CU15" s="493" t="s">
        <v>388</v>
      </c>
      <c r="CV15" s="477"/>
      <c r="CW15" s="492" t="s">
        <v>395</v>
      </c>
      <c r="CX15" s="492"/>
      <c r="CY15" s="138"/>
      <c r="DA15" s="560">
        <f t="array" ref="DA15:DA514">IF(DB$9,_xll.qArrayPad(_xll.qDateSchedule(Today,"2b","50Y",DG11,"M",TRUE,$BM$34),0),0)</f>
        <v>40682</v>
      </c>
      <c r="DB15" s="155" t="str">
        <f t="shared" ref="DB15:DB78" si="7">IF(DA15,ROUND((DA15-$BG$15)/365/0.25,0)*0.25&amp;"Y","")</f>
        <v>0Y</v>
      </c>
      <c r="DC15" s="405">
        <f t="array" ref="DC15:DC514">IF(DB$9,_xll.qGetDF(INDIRECT(DB10),DA15:DA514),0)</f>
        <v>0.99986719518517764</v>
      </c>
      <c r="DG15" s="493" t="s">
        <v>388</v>
      </c>
      <c r="DH15" s="477"/>
      <c r="DI15" s="492" t="s">
        <v>395</v>
      </c>
      <c r="DJ15" s="492"/>
      <c r="DK15" s="138"/>
      <c r="DM15" s="560">
        <f t="array" ref="DM15:DM514">IF(DN$9,_xll.qArrayPad(_xll.qDateSchedule(Today,"2b","50Y",DS11,"M",TRUE,$BM$34),0),0)</f>
        <v>40682</v>
      </c>
      <c r="DN15" s="155" t="str">
        <f t="shared" ref="DN15:DN78" si="8">IF(DM15,ROUND((DM15-$BG$15)/365/0.25,0)*0.25&amp;"Y","")</f>
        <v>0Y</v>
      </c>
      <c r="DO15" s="405">
        <f t="array" ref="DO15:DO514">IF(DN$9,_xll.qGetDF(INDIRECT(DN10),DM15:DM514),0)</f>
        <v>0.99999269448447259</v>
      </c>
      <c r="DS15" s="493" t="s">
        <v>388</v>
      </c>
      <c r="DT15" s="477"/>
      <c r="DU15" s="492" t="s">
        <v>395</v>
      </c>
      <c r="ED15" s="580" t="s">
        <v>722</v>
      </c>
      <c r="EE15" s="215"/>
      <c r="EF15" s="803">
        <f>_xll.qDateNext(EF14,ED15,"F",FALSE,$ED$11)</f>
        <v>40689</v>
      </c>
      <c r="EG15" s="804"/>
      <c r="EH15" s="512">
        <v>0.78088800000000003</v>
      </c>
      <c r="EI15" s="512">
        <v>0.78090089151959152</v>
      </c>
      <c r="EJ15" s="799"/>
      <c r="EK15" s="512">
        <v>1.058554</v>
      </c>
      <c r="EL15" s="512">
        <v>1.0585536089790548</v>
      </c>
      <c r="EM15" s="215"/>
      <c r="EN15" s="215"/>
      <c r="EO15" s="805">
        <f t="shared" ref="EO15:EO30" si="9">IF(ES15=0,0,   10000*(ES15-ES$14))</f>
        <v>3.1699640291171782</v>
      </c>
      <c r="EP15" s="805">
        <f t="shared" ref="EP15:EP30" si="10">IF(ET15=0,0,   10000*(ET15-ET$14))</f>
        <v>3.2944732928874565</v>
      </c>
      <c r="EQ15" s="805">
        <f>EP15-EO15</f>
        <v>0.12450926377027827</v>
      </c>
      <c r="ER15" s="215"/>
      <c r="ES15" s="800">
        <f t="shared" si="1"/>
        <v>0.73769311721461539</v>
      </c>
      <c r="ET15" s="800">
        <f t="shared" si="2"/>
        <v>0.73770556814099242</v>
      </c>
    </row>
    <row r="16" spans="5:155">
      <c r="L16" s="153" t="s">
        <v>373</v>
      </c>
      <c r="T16" s="153" t="s">
        <v>374</v>
      </c>
      <c r="AE16" s="131" t="s">
        <v>13</v>
      </c>
      <c r="AF16" s="467" t="str">
        <v>A/S</v>
      </c>
      <c r="AG16" s="468" t="str">
        <v>30/360</v>
      </c>
      <c r="AH16" s="468"/>
      <c r="AI16" s="469">
        <f>_xll.qGetSwapRate($O$7,AI$7,$AE16,$R26,$AG16,$F$7,,,,,TRUE,$AB26,$Z26,,$H$14)</f>
        <v>3.4709549095416308</v>
      </c>
      <c r="AJ16" s="469">
        <f>_xll.qGetSwapRate($O$7,AJ$7,$AE16,$R26,$AG16,$F$7,,,,,TRUE,$AB26,$Z26,,$H$14)</f>
        <v>3.4977824787665655</v>
      </c>
      <c r="AK16" s="469">
        <f>_xll.qGetSwapRate($O$7,AK$7,$AE16,$R26,$AG16,$F$7,,,,,TRUE,$AB26,$Z26,,$H$14)</f>
        <v>3.524628686662771</v>
      </c>
      <c r="AL16" s="469">
        <f>_xll.qGetSwapRate($O$7,AL$7,$AE16,$R26,$AG16,$F$7,,,,,TRUE,$AB26,$Z26,,$H$14)</f>
        <v>3.5490729441892244</v>
      </c>
      <c r="AM16" s="469">
        <f>_xll.qGetSwapRate($O$7,AM$7,$AE16,$R26,$AG16,$F$7,,,,,TRUE,$AB26,$Z26,,$H$14)</f>
        <v>3.6219021264722899</v>
      </c>
      <c r="AN16" s="469">
        <f>_xll.qGetSwapRate($O$7,AN$7,$AE16,$R26,$AG16,$F$7,,,,,TRUE,$AB26,$Z26,,$H$14)</f>
        <v>3.7479135908199712</v>
      </c>
      <c r="AO16" s="469">
        <f>_xll.qGetSwapRate($O$7,AO$7,$AE16,$R26,$AG16,$F$7,,,,,TRUE,$AB26,$Z26,,$H$14)</f>
        <v>3.9643849474033823</v>
      </c>
      <c r="AP16" s="469">
        <f>_xll.qGetSwapRate($O$7,AP$7,$AE16,$R26,$AG16,$F$7,,,,,TRUE,$AB26,$Z26,,$H$14)</f>
        <v>4.1542974828091079</v>
      </c>
      <c r="AQ16" s="469">
        <f>_xll.qGetSwapRate($O$7,AQ$7,$AE16,$R26,$AG16,$F$7,,,,,TRUE,$AB26,$Z26,,$H$14)</f>
        <v>4.2239107368516891</v>
      </c>
      <c r="AR16" s="469">
        <f>_xll.qGetSwapRate($O$7,AR$7,$AE16,$R26,$AG16,$F$7,,,,,TRUE,$AB26,$Z26,,$H$14)</f>
        <v>4.3281332530507868</v>
      </c>
      <c r="AS16" s="469">
        <f>_xll.qGetSwapRate($O$7,AS$7,$AE16,$R26,$AG16,$F$7,,,,,TRUE,$AB26,$Z26,,$H$14)</f>
        <v>4.45006227757397</v>
      </c>
      <c r="AT16" s="469">
        <f>_xll.qGetSwapRate($O$7,AT$7,$AE16,$R26,$AG16,$F$7,,,,,TRUE,$AB26,$Z26,,$H$14)</f>
        <v>4.4741128284329044</v>
      </c>
      <c r="AV16" s="469">
        <f>_xll.qGetSwapRate($O$7,AV$7,$AE16,$R26,$AG16,$F$7,,,,,TRUE,$AB26,$Z26,,$H$14)</f>
        <v>3.8611631611783541</v>
      </c>
      <c r="AW16" s="469">
        <f>_xll.qGetSwapRate($O$7,AW$7,$AE16,$R26,$AG16,$F$7,,,,,TRUE,$AB26,$Z26,,$H$14)</f>
        <v>4.2607617156834472</v>
      </c>
      <c r="BE16" s="151" t="s">
        <v>26</v>
      </c>
      <c r="BF16" s="215"/>
      <c r="BG16" s="580">
        <v>40774</v>
      </c>
      <c r="BH16" s="151" t="str">
        <f t="shared" si="3"/>
        <v>0.25Y</v>
      </c>
      <c r="BI16" s="512">
        <v>0.99932742001369335</v>
      </c>
      <c r="BJ16" s="513">
        <f>IF(BG16,_xll.qDateYears(BG15,BG16,$BJ$13),0)</f>
        <v>0.25555555555555554</v>
      </c>
      <c r="BK16" s="513">
        <f>BK15+BJ16*BI16*100</f>
        <v>25.538367400349937</v>
      </c>
      <c r="BL16" s="513"/>
      <c r="BM16" s="514">
        <f t="shared" ref="BM16:BM32" si="11">INDEX($BK$15:$BK$514,MATCH($BE16,$BH$15:$BH$514,0))</f>
        <v>102.01887076874388</v>
      </c>
      <c r="BN16" s="486"/>
      <c r="BO16" s="515"/>
      <c r="BP16" s="513"/>
      <c r="BQ16" s="580">
        <v>40774</v>
      </c>
      <c r="BR16" s="485" t="str">
        <f t="shared" si="4"/>
        <v>0.25Y</v>
      </c>
      <c r="BS16" s="512">
        <v>0.98727098660732782</v>
      </c>
      <c r="BT16" s="513">
        <f>IF(BQ16,_xll.qDateYears(BQ15,BQ16,BT$13),0)</f>
        <v>0.25205479452054796</v>
      </c>
      <c r="BU16" s="513">
        <f>BU15+BT16*BS16*100</f>
        <v>24.884638566540868</v>
      </c>
      <c r="BV16" s="485"/>
      <c r="BW16" s="514">
        <f t="shared" ref="BW16:BW32" si="12">INDEX(BU$15:BU$514,MATCH($BE16,BR$15:BR$514,0))</f>
        <v>97.614487207507977</v>
      </c>
      <c r="BX16" s="516" t="s">
        <v>394</v>
      </c>
      <c r="BY16" s="512">
        <f t="shared" ref="BY16:BY32" si="13">IF(BW16,$BM16/BW16,0)</f>
        <v>1.0451201833583688</v>
      </c>
      <c r="BZ16" s="485"/>
      <c r="CA16" s="517"/>
      <c r="CB16" s="513"/>
      <c r="CC16" s="580">
        <v>40774</v>
      </c>
      <c r="CD16" s="485" t="str">
        <f t="shared" si="5"/>
        <v>0.25Y</v>
      </c>
      <c r="CE16" s="512">
        <v>0.99674966035639501</v>
      </c>
      <c r="CF16" s="513">
        <f>IF(CC16,_xll.qDateYears(CC15,CC16,CF$13),0)</f>
        <v>0.25555555555555554</v>
      </c>
      <c r="CG16" s="513">
        <f>CG15+CF16*CE16*100</f>
        <v>25.472491320218982</v>
      </c>
      <c r="CH16" s="485"/>
      <c r="CI16" s="514">
        <f t="shared" ref="CI16:CI32" si="14">INDEX(CG$15:CG$514,MATCH($BE16,CD$15:CD$514,0))</f>
        <v>101.23685599609391</v>
      </c>
      <c r="CJ16" s="516" t="s">
        <v>394</v>
      </c>
      <c r="CK16" s="512">
        <f t="shared" ref="CK16:CK32" si="15">IF(CI16,$BM16/CI16,0)</f>
        <v>1.0077246054804403</v>
      </c>
      <c r="CL16" s="215"/>
      <c r="CM16" s="518"/>
      <c r="CN16" s="513"/>
      <c r="CO16" s="580">
        <v>40774</v>
      </c>
      <c r="CP16" s="485" t="str">
        <f t="shared" si="6"/>
        <v>0.25Y</v>
      </c>
      <c r="CQ16" s="512">
        <v>0.99805825433921447</v>
      </c>
      <c r="CR16" s="513">
        <f>IF(CO16,_xll.qDateYears(CO15,CO16,CR$13),0)</f>
        <v>0.25205479452054796</v>
      </c>
      <c r="CS16" s="513">
        <f>CS15+CR16*CQ16*100</f>
        <v>25.156536821700747</v>
      </c>
      <c r="CT16" s="485"/>
      <c r="CU16" s="514">
        <f t="shared" ref="CU16:CU32" si="16">INDEX(CS$15:CS$514,MATCH($BE16,CP$15:CP$514,0))</f>
        <v>100.2522373168413</v>
      </c>
      <c r="CV16" s="516" t="s">
        <v>394</v>
      </c>
      <c r="CW16" s="512">
        <f t="shared" ref="CW16:CW32" si="17">IF(CU16,$BM16/CU16,0)</f>
        <v>1.0176218855477432</v>
      </c>
      <c r="CX16" s="512"/>
      <c r="CY16" s="518"/>
      <c r="CZ16" s="513"/>
      <c r="DA16" s="580">
        <v>40774</v>
      </c>
      <c r="DB16" s="485" t="str">
        <f t="shared" si="7"/>
        <v>0.25Y</v>
      </c>
      <c r="DC16" s="512">
        <v>0.99303093262850406</v>
      </c>
      <c r="DD16" s="513">
        <f>IF(DA16,_xll.qDateYears(DA15,DA16,DD$13),0)</f>
        <v>0.25205479452054796</v>
      </c>
      <c r="DE16" s="513">
        <f>DE15+DD16*DC16*100</f>
        <v>25.029820767622567</v>
      </c>
      <c r="DF16" s="485"/>
      <c r="DG16" s="514">
        <f t="shared" ref="DG16:DG32" si="18">INDEX(DE$15:DE$514,MATCH($BE16,DB$15:DB$514,0))</f>
        <v>99.023426807877186</v>
      </c>
      <c r="DH16" s="516" t="s">
        <v>394</v>
      </c>
      <c r="DI16" s="512">
        <f t="shared" ref="DI16:DI32" si="19">IF(DG16,$BM16/DG16,0)</f>
        <v>1.0302498515495568</v>
      </c>
      <c r="DJ16" s="512"/>
      <c r="DK16" s="518"/>
      <c r="DL16" s="513"/>
      <c r="DM16" s="580">
        <v>40774</v>
      </c>
      <c r="DN16" s="485" t="str">
        <f t="shared" si="8"/>
        <v>0.25Y</v>
      </c>
      <c r="DO16" s="512">
        <v>0.99932742001369335</v>
      </c>
      <c r="DP16" s="513">
        <f>IF(DM16,_xll.qDateYears(DM15,DM16,DP$13),0)</f>
        <v>0.25555555555555554</v>
      </c>
      <c r="DQ16" s="513">
        <f>DQ15+DP16*DO16*100</f>
        <v>25.538367400349937</v>
      </c>
      <c r="DR16" s="485"/>
      <c r="DS16" s="514">
        <f t="shared" ref="DS16:DS32" si="20">INDEX(DQ$15:DQ$514,MATCH($BE16,DN$15:DN$514,0))</f>
        <v>102.01887076874388</v>
      </c>
      <c r="DT16" s="516" t="s">
        <v>394</v>
      </c>
      <c r="DU16" s="512">
        <f t="shared" ref="DU16:DU32" si="21">IF(DS16,$BM16/DS16,0)</f>
        <v>1</v>
      </c>
      <c r="ED16" s="122" t="s">
        <v>723</v>
      </c>
      <c r="EF16" s="801">
        <f>_xll.qDateNext(EF15,ED16,"F",FALSE,$ED$11)</f>
        <v>40703</v>
      </c>
      <c r="EH16" s="405">
        <v>0.78016549999999996</v>
      </c>
      <c r="EI16" s="405">
        <v>0.7801751857696082</v>
      </c>
      <c r="EK16" s="405">
        <v>1.0566689999999999</v>
      </c>
      <c r="EL16" s="405">
        <v>1.0566650049188693</v>
      </c>
      <c r="EO16" s="481">
        <f t="shared" si="9"/>
        <v>9.492204257132153</v>
      </c>
      <c r="EP16" s="481">
        <f t="shared" si="10"/>
        <v>9.6117827345909568</v>
      </c>
      <c r="EQ16" s="481">
        <f t="shared" ref="EQ16:EQ33" si="22">EP16-EO16</f>
        <v>0.11957847745880379</v>
      </c>
      <c r="ES16" s="686">
        <f t="shared" si="1"/>
        <v>0.73832534123741689</v>
      </c>
      <c r="ET16" s="686">
        <f t="shared" si="2"/>
        <v>0.73833729908516277</v>
      </c>
    </row>
    <row r="17" spans="11:154">
      <c r="L17" s="464" t="s">
        <v>142</v>
      </c>
      <c r="M17" s="464" t="s">
        <v>259</v>
      </c>
      <c r="N17" s="464" t="s">
        <v>258</v>
      </c>
      <c r="O17" s="464" t="s">
        <v>256</v>
      </c>
      <c r="P17" s="464" t="s">
        <v>372</v>
      </c>
      <c r="Q17" s="464" t="s">
        <v>257</v>
      </c>
      <c r="T17" s="464" t="s">
        <v>142</v>
      </c>
      <c r="U17" s="464" t="s">
        <v>259</v>
      </c>
      <c r="V17" s="464" t="s">
        <v>258</v>
      </c>
      <c r="W17" s="464" t="s">
        <v>256</v>
      </c>
      <c r="X17" s="464" t="s">
        <v>372</v>
      </c>
      <c r="Y17" s="464" t="s">
        <v>257</v>
      </c>
      <c r="Z17" s="415"/>
      <c r="AA17" s="415"/>
      <c r="AB17" s="456" t="s">
        <v>768</v>
      </c>
      <c r="AE17" s="131" t="s">
        <v>14</v>
      </c>
      <c r="AF17" s="467" t="str">
        <v>A/S</v>
      </c>
      <c r="AG17" s="468" t="str">
        <v>30/360</v>
      </c>
      <c r="AH17" s="468"/>
      <c r="AI17" s="776">
        <f>_xll.qGetSwapRate($O$7,AI$7,$AE17,$R27,$AG17,$F$7,,,,,TRUE,$AB27,$Z27,,$H$14)</f>
        <v>3.5448633235043525</v>
      </c>
      <c r="AJ17" s="776">
        <f>_xll.qGetSwapRate($O$7,AJ$7,$AE17,$R27,$AG17,$F$7,,,,,TRUE,$AB27,$Z27,,$H$14)</f>
        <v>3.5703465108938812</v>
      </c>
      <c r="AK17" s="776">
        <f>_xll.qGetSwapRate($O$7,AK$7,$AE17,$R27,$AG17,$F$7,,,,,TRUE,$AB27,$Z27,,$H$14)</f>
        <v>3.5962700505222331</v>
      </c>
      <c r="AL17" s="776">
        <f>_xll.qGetSwapRate($O$7,AL$7,$AE17,$R27,$AG17,$F$7,,,,,TRUE,$AB27,$Z27,,$H$14)</f>
        <v>3.6192409158443324</v>
      </c>
      <c r="AM17" s="776">
        <f>_xll.qGetSwapRate($O$7,AM$7,$AE17,$R27,$AG17,$F$7,,,,,TRUE,$AB27,$Z27,,$H$14)</f>
        <v>3.6888298144240701</v>
      </c>
      <c r="AN17" s="776">
        <f>_xll.qGetSwapRate($O$7,AN$7,$AE17,$R27,$AG17,$F$7,,,,,TRUE,$AB27,$Z27,,$H$14)</f>
        <v>3.8098791772657159</v>
      </c>
      <c r="AO17" s="776">
        <f>_xll.qGetSwapRate($O$7,AO$7,$AE17,$R27,$AG17,$F$7,,,,,TRUE,$AB27,$Z27,,$H$14)</f>
        <v>4.0233160378115196</v>
      </c>
      <c r="AP17" s="776">
        <f>_xll.qGetSwapRate($O$7,AP$7,$AE17,$R27,$AG17,$F$7,,,,,TRUE,$AB27,$Z27,,$H$14)</f>
        <v>4.185097659106102</v>
      </c>
      <c r="AQ17" s="776">
        <f>_xll.qGetSwapRate($O$7,AQ$7,$AE17,$R27,$AG17,$F$7,,,,,TRUE,$AB27,$Z27,,$H$14)</f>
        <v>4.2607436283007223</v>
      </c>
      <c r="AR17" s="776">
        <f>_xll.qGetSwapRate($O$7,AR$7,$AE17,$R27,$AG17,$F$7,,,,,TRUE,$AB27,$Z27,,$H$14)</f>
        <v>4.3676368697107844</v>
      </c>
      <c r="AS17" s="776">
        <f>_xll.qGetSwapRate($O$7,AS$7,$AE17,$R27,$AG17,$F$7,,,,,TRUE,$AB27,$Z27,,$H$14)</f>
        <v>4.4319102683387914</v>
      </c>
      <c r="AT17" s="776">
        <f>_xll.qGetSwapRate($O$7,AT$7,$AE17,$R27,$AG17,$F$7,,,,,TRUE,$AB27,$Z27,,$H$14)</f>
        <v>4.4601756858237662</v>
      </c>
      <c r="AU17" s="370"/>
      <c r="AV17" s="776">
        <f>_xll.qGetSwapRate($O$7,AV$7,$AE17,$R27,$AG17,$F$7,,,,,TRUE,$AB27,$Z27,,$H$14)</f>
        <v>3.9211891877345106</v>
      </c>
      <c r="AW17" s="776">
        <f>_xll.qGetSwapRate($O$7,AW$7,$AE17,$R27,$AG17,$F$7,,,,,TRUE,$AB27,$Z27,,$H$14)</f>
        <v>4.2983268901184344</v>
      </c>
      <c r="BE17" s="121" t="s">
        <v>27</v>
      </c>
      <c r="BG17" s="560">
        <v>40868</v>
      </c>
      <c r="BH17" s="154" t="str">
        <f t="shared" si="3"/>
        <v>0.5Y</v>
      </c>
      <c r="BI17" s="405">
        <v>0.9986036760552659</v>
      </c>
      <c r="BJ17" s="284">
        <f>IF(BG17,_xll.qDateYears(BG16,BG17,$BJ$13),0)</f>
        <v>0.26111111111111113</v>
      </c>
      <c r="BK17" s="284">
        <f t="shared" ref="BK17:BK80" si="23">BK16+BJ17*BI17*100</f>
        <v>51.613018941792994</v>
      </c>
      <c r="BM17" s="494">
        <f t="shared" si="11"/>
        <v>202.16928856492328</v>
      </c>
      <c r="BN17" s="484"/>
      <c r="BO17" s="491"/>
      <c r="BQ17" s="560">
        <v>40868</v>
      </c>
      <c r="BR17" s="155" t="str">
        <f t="shared" si="4"/>
        <v>0.5Y</v>
      </c>
      <c r="BS17" s="405">
        <v>0.97439086375437745</v>
      </c>
      <c r="BT17" s="284">
        <f>IF(BQ17,_xll.qDateYears(BQ16,BQ17,BT$13),0)</f>
        <v>0.25753424657534246</v>
      </c>
      <c r="BU17" s="284">
        <f t="shared" ref="BU17:BU80" si="24">BU16+BT17*BS17*100</f>
        <v>49.978540263228943</v>
      </c>
      <c r="BW17" s="494">
        <f t="shared" si="12"/>
        <v>189.07099917585404</v>
      </c>
      <c r="BX17" s="487" t="s">
        <v>394</v>
      </c>
      <c r="BY17" s="126">
        <f t="shared" si="13"/>
        <v>1.0692770940343239</v>
      </c>
      <c r="CA17" s="496"/>
      <c r="CC17" s="560">
        <v>40868</v>
      </c>
      <c r="CD17" s="155" t="str">
        <f t="shared" si="5"/>
        <v>0.5Y</v>
      </c>
      <c r="CE17" s="405">
        <v>0.99275571132796336</v>
      </c>
      <c r="CF17" s="284">
        <f>IF(CC17,_xll.qDateYears(CC16,CC17,CF$13),0)</f>
        <v>0.26111111111111113</v>
      </c>
      <c r="CG17" s="284">
        <f t="shared" ref="CG17:CG80" si="25">CG16+CF17*CE17*100</f>
        <v>51.394446004893581</v>
      </c>
      <c r="CI17" s="494">
        <f t="shared" si="14"/>
        <v>199.30340013832435</v>
      </c>
      <c r="CJ17" s="487" t="s">
        <v>394</v>
      </c>
      <c r="CK17" s="126">
        <f t="shared" si="15"/>
        <v>1.0143795260121498</v>
      </c>
      <c r="CM17" s="138"/>
      <c r="CO17" s="560">
        <v>40868</v>
      </c>
      <c r="CP17" s="155" t="str">
        <f t="shared" si="6"/>
        <v>0.5Y</v>
      </c>
      <c r="CQ17" s="405">
        <v>0.99583755331543189</v>
      </c>
      <c r="CR17" s="284">
        <f>IF(CO17,_xll.qDateYears(CO16,CO17,CR$13),0)</f>
        <v>0.25753424657534246</v>
      </c>
      <c r="CS17" s="284">
        <f t="shared" ref="CS17:CS80" si="26">CS16+CR17*CQ17*100</f>
        <v>50.802764222152973</v>
      </c>
      <c r="CU17" s="494">
        <f t="shared" si="16"/>
        <v>197.97965223081658</v>
      </c>
      <c r="CV17" s="487" t="s">
        <v>394</v>
      </c>
      <c r="CW17" s="126">
        <f t="shared" si="17"/>
        <v>1.0211619542053856</v>
      </c>
      <c r="CX17" s="126"/>
      <c r="CY17" s="138"/>
      <c r="DA17" s="560">
        <v>40868</v>
      </c>
      <c r="DB17" s="155" t="str">
        <f t="shared" si="7"/>
        <v>0.5Y</v>
      </c>
      <c r="DC17" s="405">
        <v>0.98594762607012121</v>
      </c>
      <c r="DD17" s="284">
        <f>IF(DA17,_xll.qDateYears(DA16,DA17,DD$13),0)</f>
        <v>0.25753424657534246</v>
      </c>
      <c r="DE17" s="284">
        <f t="shared" ref="DE17:DE80" si="27">DE16+DD17*DC17*100</f>
        <v>50.421348671894179</v>
      </c>
      <c r="DG17" s="494">
        <f t="shared" si="18"/>
        <v>193.51753270171625</v>
      </c>
      <c r="DH17" s="487" t="s">
        <v>394</v>
      </c>
      <c r="DI17" s="126">
        <f t="shared" si="19"/>
        <v>1.0447078657030144</v>
      </c>
      <c r="DJ17" s="126"/>
      <c r="DK17" s="138"/>
      <c r="DM17" s="560">
        <v>40868</v>
      </c>
      <c r="DN17" s="155" t="str">
        <f t="shared" si="8"/>
        <v>0.5Y</v>
      </c>
      <c r="DO17" s="405">
        <v>0.9986036760552659</v>
      </c>
      <c r="DP17" s="284">
        <f>IF(DM17,_xll.qDateYears(DM16,DM17,DP$13),0)</f>
        <v>0.26111111111111113</v>
      </c>
      <c r="DQ17" s="284">
        <f t="shared" ref="DQ17:DQ80" si="28">DQ16+DP17*DO17*100</f>
        <v>51.613018941792994</v>
      </c>
      <c r="DS17" s="494">
        <f t="shared" si="20"/>
        <v>202.16928856492328</v>
      </c>
      <c r="DT17" s="487" t="s">
        <v>394</v>
      </c>
      <c r="DU17" s="126">
        <f t="shared" si="21"/>
        <v>1</v>
      </c>
      <c r="ED17" s="580" t="s">
        <v>724</v>
      </c>
      <c r="EE17" s="215"/>
      <c r="EF17" s="803">
        <f>_xll.qDateNext(EF16,ED17,"F",FALSE,$ED$11)</f>
        <v>40724</v>
      </c>
      <c r="EG17" s="804"/>
      <c r="EH17" s="512">
        <v>0.77906897961017574</v>
      </c>
      <c r="EI17" s="512">
        <v>0.77907025022538512</v>
      </c>
      <c r="EJ17" s="799"/>
      <c r="EK17" s="512">
        <v>1.0538316274621997</v>
      </c>
      <c r="EL17" s="512">
        <v>1.0538336646091222</v>
      </c>
      <c r="EM17" s="215"/>
      <c r="EN17" s="215"/>
      <c r="EO17" s="805">
        <f t="shared" si="9"/>
        <v>18.966048383152192</v>
      </c>
      <c r="EP17" s="805">
        <f t="shared" si="10"/>
        <v>18.963814710454272</v>
      </c>
      <c r="EQ17" s="805">
        <f t="shared" si="22"/>
        <v>-2.2336726979190757E-3</v>
      </c>
      <c r="ER17" s="215"/>
      <c r="ES17" s="800">
        <f t="shared" si="1"/>
        <v>0.73927272565001889</v>
      </c>
      <c r="ET17" s="800">
        <f t="shared" si="2"/>
        <v>0.7392725022827491</v>
      </c>
      <c r="EX17" s="122"/>
    </row>
    <row r="18" spans="11:154">
      <c r="K18" s="470" t="s">
        <v>26</v>
      </c>
      <c r="L18" s="466" t="s">
        <v>369</v>
      </c>
      <c r="M18" s="466" t="s">
        <v>371</v>
      </c>
      <c r="N18" s="466" t="s">
        <v>370</v>
      </c>
      <c r="O18" s="466" t="s">
        <v>371</v>
      </c>
      <c r="P18" s="466"/>
      <c r="Q18" s="466" t="s">
        <v>371</v>
      </c>
      <c r="R18" s="155" t="str">
        <f t="array" ref="R18:R33">IF(F12="market",OFFSET(L18:L33,0,MATCH($F$7,$L$17:$Q$17,0)-1),INDEX($N$9:$N$12,MATCH(F12,$L$9:$L$12,0)))</f>
        <v>A</v>
      </c>
      <c r="T18" s="466" t="s">
        <v>369</v>
      </c>
      <c r="U18" s="466" t="s">
        <v>369</v>
      </c>
      <c r="V18" s="466" t="s">
        <v>371</v>
      </c>
      <c r="W18" s="466" t="s">
        <v>371</v>
      </c>
      <c r="X18" s="466" t="s">
        <v>369</v>
      </c>
      <c r="Y18" s="466" t="s">
        <v>369</v>
      </c>
      <c r="Z18" s="155" t="str">
        <f t="array" ref="Z18:Z33">IF(H12="market",OFFSET(T18:T33,0,MATCH($F$7,$L$17:$Q$17,0)-1),INDEX($N$9:$N$12,MATCH(H12,$L$9:$L$12,0)))</f>
        <v>S</v>
      </c>
      <c r="AA18" s="155"/>
      <c r="AB18" s="154" t="str">
        <f t="shared" ref="AB18:AB33" si="29">INDEX($O$8:$O$12,MATCH(Z18,$N$8:$N$12,0))</f>
        <v>EUR.ZB.6M|[Swap Pricer 1f.xlsm]EU!$BC$55#13273</v>
      </c>
      <c r="AC18" s="153" t="s">
        <v>81</v>
      </c>
      <c r="AE18" s="131" t="s">
        <v>15</v>
      </c>
      <c r="AF18" s="467" t="str">
        <v>A/S</v>
      </c>
      <c r="AG18" s="468" t="str">
        <v>30/360</v>
      </c>
      <c r="AH18" s="468"/>
      <c r="AI18" s="469">
        <f>_xll.qGetSwapRate($O$7,AI$7,$AE18,$R28,$AG18,$F$7,,,,,TRUE,$AB28,$Z28,,$H$14)</f>
        <v>3.6856775980843284</v>
      </c>
      <c r="AJ18" s="469">
        <f>_xll.qGetSwapRate($O$7,AJ$7,$AE18,$R28,$AG18,$F$7,,,,,TRUE,$AB28,$Z28,,$H$14)</f>
        <v>3.7081682937683254</v>
      </c>
      <c r="AK18" s="469">
        <f>_xll.qGetSwapRate($O$7,AK$7,$AE18,$R28,$AG18,$F$7,,,,,TRUE,$AB28,$Z28,,$H$14)</f>
        <v>3.7301345255844796</v>
      </c>
      <c r="AL18" s="469">
        <f>_xll.qGetSwapRate($O$7,AL$7,$AE18,$R28,$AG18,$F$7,,,,,TRUE,$AB28,$Z28,,$H$14)</f>
        <v>3.7504948464047358</v>
      </c>
      <c r="AM18" s="469">
        <f>_xll.qGetSwapRate($O$7,AM$7,$AE18,$R28,$AG18,$F$7,,,,,TRUE,$AB28,$Z28,,$H$14)</f>
        <v>3.8110375773951821</v>
      </c>
      <c r="AN18" s="469">
        <f>_xll.qGetSwapRate($O$7,AN$7,$AE18,$R28,$AG18,$F$7,,,,,TRUE,$AB28,$Z28,,$H$14)</f>
        <v>3.916820149733828</v>
      </c>
      <c r="AO18" s="469">
        <f>_xll.qGetSwapRate($O$7,AO$7,$AE18,$R28,$AG18,$F$7,,,,,TRUE,$AB28,$Z28,,$H$14)</f>
        <v>4.100463614559847</v>
      </c>
      <c r="AP18" s="469">
        <f>_xll.qGetSwapRate($O$7,AP$7,$AE18,$R28,$AG18,$F$7,,,,,TRUE,$AB28,$Z28,,$H$14)</f>
        <v>4.2591836777765355</v>
      </c>
      <c r="AQ18" s="469">
        <f>_xll.qGetSwapRate($O$7,AQ$7,$AE18,$R28,$AG18,$F$7,,,,,TRUE,$AB28,$Z28,,$H$14)</f>
        <v>4.2934445601182727</v>
      </c>
      <c r="AR18" s="469">
        <f>_xll.qGetSwapRate($O$7,AR$7,$AE18,$R28,$AG18,$F$7,,,,,TRUE,$AB28,$Z28,,$H$14)</f>
        <v>4.3464183251782886</v>
      </c>
      <c r="AS18" s="469">
        <f>_xll.qGetSwapRate($O$7,AS$7,$AE18,$R28,$AG18,$F$7,,,,,TRUE,$AB28,$Z28,,$H$14)</f>
        <v>4.4090429539466554</v>
      </c>
      <c r="AT18" s="469">
        <f>_xll.qGetSwapRate($O$7,AT$7,$AE18,$R28,$AG18,$F$7,,,,,TRUE,$AB28,$Z28,,$H$14)</f>
        <v>4.3403578240225222</v>
      </c>
      <c r="AV18" s="469">
        <f>_xll.qGetSwapRate($O$7,AV$7,$AE18,$R28,$AG18,$F$7,,,,,TRUE,$AB28,$Z28,,$H$14)</f>
        <v>4.0129187981558481</v>
      </c>
      <c r="AW18" s="469">
        <f>_xll.qGetSwapRate($O$7,AW$7,$AE18,$R28,$AG18,$F$7,,,,,TRUE,$AB28,$Z28,,$H$14)</f>
        <v>4.313484970110153</v>
      </c>
      <c r="BE18" s="151" t="s">
        <v>7</v>
      </c>
      <c r="BF18" s="215"/>
      <c r="BG18" s="580">
        <v>40960</v>
      </c>
      <c r="BH18" s="151" t="str">
        <f t="shared" si="3"/>
        <v>0.75Y</v>
      </c>
      <c r="BI18" s="512">
        <v>0.99764491990131654</v>
      </c>
      <c r="BJ18" s="513">
        <f>IF(BG18,_xll.qDateYears(BG17,BG18,$BJ$13),0)</f>
        <v>0.25555555555555554</v>
      </c>
      <c r="BK18" s="513">
        <f t="shared" si="23"/>
        <v>77.108389117048858</v>
      </c>
      <c r="BL18" s="513"/>
      <c r="BM18" s="514">
        <f t="shared" si="11"/>
        <v>300.58183298338918</v>
      </c>
      <c r="BN18" s="486"/>
      <c r="BO18" s="515"/>
      <c r="BP18" s="513"/>
      <c r="BQ18" s="580">
        <v>40960</v>
      </c>
      <c r="BR18" s="485" t="str">
        <f t="shared" si="4"/>
        <v>0.75Y</v>
      </c>
      <c r="BS18" s="512">
        <v>0.96162645825894755</v>
      </c>
      <c r="BT18" s="513">
        <f>IF(BQ18,_xll.qDateYears(BQ17,BQ18,BT$13),0)</f>
        <v>0.25205479452054796</v>
      </c>
      <c r="BU18" s="513">
        <f t="shared" si="24"/>
        <v>74.216796197427072</v>
      </c>
      <c r="BV18" s="485"/>
      <c r="BW18" s="514">
        <f t="shared" si="12"/>
        <v>275.55371430620386</v>
      </c>
      <c r="BX18" s="516" t="s">
        <v>394</v>
      </c>
      <c r="BY18" s="512">
        <f t="shared" si="13"/>
        <v>1.0908284569496796</v>
      </c>
      <c r="BZ18" s="485"/>
      <c r="CA18" s="517"/>
      <c r="CB18" s="513"/>
      <c r="CC18" s="580">
        <v>40960</v>
      </c>
      <c r="CD18" s="485" t="str">
        <f t="shared" si="5"/>
        <v>0.75Y</v>
      </c>
      <c r="CE18" s="512">
        <v>0.9882323372838322</v>
      </c>
      <c r="CF18" s="513">
        <f>IF(CC18,_xll.qDateYears(CC17,CC18,CF$13),0)</f>
        <v>0.25555555555555554</v>
      </c>
      <c r="CG18" s="513">
        <f t="shared" si="25"/>
        <v>76.649272402147062</v>
      </c>
      <c r="CH18" s="485"/>
      <c r="CI18" s="514">
        <f t="shared" si="14"/>
        <v>294.90067773948937</v>
      </c>
      <c r="CJ18" s="516" t="s">
        <v>394</v>
      </c>
      <c r="CK18" s="512">
        <f t="shared" si="15"/>
        <v>1.0192646394964153</v>
      </c>
      <c r="CL18" s="215"/>
      <c r="CM18" s="518"/>
      <c r="CN18" s="513"/>
      <c r="CO18" s="580">
        <v>40960</v>
      </c>
      <c r="CP18" s="485" t="str">
        <f t="shared" si="6"/>
        <v>0.75Y</v>
      </c>
      <c r="CQ18" s="512">
        <v>0.99324724119918173</v>
      </c>
      <c r="CR18" s="513">
        <f>IF(CO18,_xll.qDateYears(CO17,CO18,CR$13),0)</f>
        <v>0.25205479452054796</v>
      </c>
      <c r="CS18" s="513">
        <f t="shared" si="26"/>
        <v>75.838037151009061</v>
      </c>
      <c r="CT18" s="485"/>
      <c r="CU18" s="514">
        <f t="shared" si="16"/>
        <v>293.11670569135771</v>
      </c>
      <c r="CV18" s="516" t="s">
        <v>394</v>
      </c>
      <c r="CW18" s="512">
        <f t="shared" si="17"/>
        <v>1.0254681058673332</v>
      </c>
      <c r="CX18" s="512"/>
      <c r="CY18" s="518"/>
      <c r="CZ18" s="513"/>
      <c r="DA18" s="580">
        <v>40960</v>
      </c>
      <c r="DB18" s="485" t="str">
        <f t="shared" si="7"/>
        <v>0.75Y</v>
      </c>
      <c r="DC18" s="512">
        <v>0.97857057897418365</v>
      </c>
      <c r="DD18" s="513">
        <f>IF(DA18,_xll.qDateYears(DA17,DA18,DD$13),0)</f>
        <v>0.25205479452054796</v>
      </c>
      <c r="DE18" s="513">
        <f t="shared" si="27"/>
        <v>75.086689292613329</v>
      </c>
      <c r="DF18" s="485"/>
      <c r="DG18" s="514">
        <f t="shared" si="18"/>
        <v>283.67560285760084</v>
      </c>
      <c r="DH18" s="516" t="s">
        <v>394</v>
      </c>
      <c r="DI18" s="512">
        <f t="shared" si="19"/>
        <v>1.059597053660885</v>
      </c>
      <c r="DJ18" s="512"/>
      <c r="DK18" s="518"/>
      <c r="DL18" s="513"/>
      <c r="DM18" s="580">
        <v>40960</v>
      </c>
      <c r="DN18" s="485" t="str">
        <f t="shared" si="8"/>
        <v>0.75Y</v>
      </c>
      <c r="DO18" s="512">
        <v>0.99764491990131654</v>
      </c>
      <c r="DP18" s="513">
        <f>IF(DM18,_xll.qDateYears(DM17,DM18,DP$13),0)</f>
        <v>0.25555555555555554</v>
      </c>
      <c r="DQ18" s="513">
        <f t="shared" si="28"/>
        <v>77.108389117048858</v>
      </c>
      <c r="DR18" s="485"/>
      <c r="DS18" s="514">
        <f t="shared" si="20"/>
        <v>300.58183298338918</v>
      </c>
      <c r="DT18" s="516" t="s">
        <v>394</v>
      </c>
      <c r="DU18" s="512">
        <f t="shared" si="21"/>
        <v>1</v>
      </c>
      <c r="ED18" s="122" t="s">
        <v>0</v>
      </c>
      <c r="EF18" s="801">
        <f>_xll.qDateNext($EF$14,ED18,"M",TRUE,$ED$11)</f>
        <v>40714</v>
      </c>
      <c r="EH18" s="405">
        <v>0.77959000000000001</v>
      </c>
      <c r="EI18" s="405">
        <v>0.7795899999997975</v>
      </c>
      <c r="EK18" s="405">
        <v>1.0551849999999998</v>
      </c>
      <c r="EL18" s="405">
        <v>1.0551850000000003</v>
      </c>
      <c r="EO18" s="481">
        <f t="shared" si="9"/>
        <v>14.421906692215769</v>
      </c>
      <c r="EP18" s="481">
        <f t="shared" si="10"/>
        <v>14.421906690293973</v>
      </c>
      <c r="EQ18" s="481">
        <f t="shared" si="22"/>
        <v>-1.921796055626146E-9</v>
      </c>
      <c r="ES18" s="686">
        <f t="shared" si="1"/>
        <v>0.73881831148092525</v>
      </c>
      <c r="ET18" s="686">
        <f t="shared" si="2"/>
        <v>0.73881831148073307</v>
      </c>
    </row>
    <row r="19" spans="11:154">
      <c r="K19" s="470" t="s">
        <v>27</v>
      </c>
      <c r="L19" s="466" t="s">
        <v>369</v>
      </c>
      <c r="M19" s="466" t="s">
        <v>371</v>
      </c>
      <c r="N19" s="466" t="s">
        <v>370</v>
      </c>
      <c r="O19" s="466" t="s">
        <v>371</v>
      </c>
      <c r="P19" s="466"/>
      <c r="Q19" s="466" t="s">
        <v>371</v>
      </c>
      <c r="R19" s="155" t="str">
        <v>A</v>
      </c>
      <c r="T19" s="466" t="s">
        <v>369</v>
      </c>
      <c r="U19" s="466" t="s">
        <v>369</v>
      </c>
      <c r="V19" s="466" t="s">
        <v>371</v>
      </c>
      <c r="W19" s="466" t="s">
        <v>371</v>
      </c>
      <c r="X19" s="466" t="s">
        <v>369</v>
      </c>
      <c r="Y19" s="466" t="s">
        <v>369</v>
      </c>
      <c r="Z19" s="155" t="str">
        <v>S</v>
      </c>
      <c r="AA19" s="155"/>
      <c r="AB19" s="154" t="str">
        <f t="shared" si="29"/>
        <v>EUR.ZB.6M|[Swap Pricer 1f.xlsm]EU!$BC$55#13273</v>
      </c>
      <c r="AC19" s="153" t="s">
        <v>81</v>
      </c>
      <c r="AE19" s="131" t="s">
        <v>16</v>
      </c>
      <c r="AF19" s="467" t="str">
        <v>A/S</v>
      </c>
      <c r="AG19" s="468" t="str">
        <v>30/360</v>
      </c>
      <c r="AH19" s="468"/>
      <c r="AI19" s="776">
        <f>_xll.qGetSwapRate($O$7,AI$7,$AE19,$R29,$AG19,$F$7,,,,,TRUE,$AB29,$Z29,,$H$14)</f>
        <v>3.8364437203831701</v>
      </c>
      <c r="AJ19" s="776">
        <f>_xll.qGetSwapRate($O$7,AJ$7,$AE19,$R29,$AG19,$F$7,,,,,TRUE,$AB29,$Z29,,$H$14)</f>
        <v>3.8541186771853857</v>
      </c>
      <c r="AK19" s="776">
        <f>_xll.qGetSwapRate($O$7,AK$7,$AE19,$R29,$AG19,$F$7,,,,,TRUE,$AB29,$Z29,,$H$14)</f>
        <v>3.8717654992067572</v>
      </c>
      <c r="AL19" s="776">
        <f>_xll.qGetSwapRate($O$7,AL$7,$AE19,$R29,$AG19,$F$7,,,,,TRUE,$AB29,$Z29,,$H$14)</f>
        <v>3.8877550389796776</v>
      </c>
      <c r="AM19" s="776">
        <f>_xll.qGetSwapRate($O$7,AM$7,$AE19,$R29,$AG19,$F$7,,,,,TRUE,$AB29,$Z29,,$H$14)</f>
        <v>3.9351621465938651</v>
      </c>
      <c r="AN19" s="776">
        <f>_xll.qGetSwapRate($O$7,AN$7,$AE19,$R29,$AG19,$F$7,,,,,TRUE,$AB29,$Z29,,$H$14)</f>
        <v>4.0158447329767126</v>
      </c>
      <c r="AO19" s="776">
        <f>_xll.qGetSwapRate($O$7,AO$7,$AE19,$R29,$AG19,$F$7,,,,,TRUE,$AB29,$Z29,,$H$14)</f>
        <v>4.1487222112004858</v>
      </c>
      <c r="AP19" s="776">
        <f>_xll.qGetSwapRate($O$7,AP$7,$AE19,$R29,$AG19,$F$7,,,,,TRUE,$AB29,$Z29,,$H$14)</f>
        <v>4.2531757637557721</v>
      </c>
      <c r="AQ19" s="776">
        <f>_xll.qGetSwapRate($O$7,AQ$7,$AE19,$R29,$AG19,$F$7,,,,,TRUE,$AB29,$Z29,,$H$14)</f>
        <v>4.2866450591129146</v>
      </c>
      <c r="AR19" s="776">
        <f>_xll.qGetSwapRate($O$7,AR$7,$AE19,$R29,$AG19,$F$7,,,,,TRUE,$AB29,$Z29,,$H$14)</f>
        <v>4.3354436178093261</v>
      </c>
      <c r="AS19" s="776">
        <f>_xll.qGetSwapRate($O$7,AS$7,$AE19,$R29,$AG19,$F$7,,,,,TRUE,$AB29,$Z29,,$H$14)</f>
        <v>4.3193473234138935</v>
      </c>
      <c r="AT19" s="776">
        <f>_xll.qGetSwapRate($O$7,AT$7,$AE19,$R29,$AG19,$F$7,,,,,TRUE,$AB29,$Z29,,$H$14)</f>
        <v>4.2026834332449958</v>
      </c>
      <c r="AU19" s="370"/>
      <c r="AV19" s="776">
        <f>_xll.qGetSwapRate($O$7,AV$7,$AE19,$R29,$AG19,$F$7,,,,,TRUE,$AB29,$Z29,,$H$14)</f>
        <v>4.0860434668091505</v>
      </c>
      <c r="AW19" s="776">
        <f>_xll.qGetSwapRate($O$7,AW$7,$AE19,$R29,$AG19,$F$7,,,,,TRUE,$AB29,$Z29,,$H$14)</f>
        <v>4.3051064606591627</v>
      </c>
      <c r="BE19" s="121" t="s">
        <v>9</v>
      </c>
      <c r="BG19" s="560">
        <v>41050</v>
      </c>
      <c r="BH19" s="154" t="str">
        <f t="shared" si="3"/>
        <v>1Y</v>
      </c>
      <c r="BI19" s="405">
        <v>0.99641926606780107</v>
      </c>
      <c r="BJ19" s="284">
        <f>IF(BG19,_xll.qDateYears(BG18,BG19,$BJ$13),0)</f>
        <v>0.25</v>
      </c>
      <c r="BK19" s="284">
        <f t="shared" si="23"/>
        <v>102.01887076874388</v>
      </c>
      <c r="BM19" s="494">
        <f t="shared" si="11"/>
        <v>489.70519847732515</v>
      </c>
      <c r="BN19" s="484"/>
      <c r="BO19" s="491"/>
      <c r="BQ19" s="560">
        <v>41050</v>
      </c>
      <c r="BR19" s="155" t="str">
        <f t="shared" si="4"/>
        <v>1Y</v>
      </c>
      <c r="BS19" s="405">
        <v>0.94890635763105924</v>
      </c>
      <c r="BT19" s="284">
        <f>IF(BQ19,_xll.qDateYears(BQ18,BQ19,BT$13),0)</f>
        <v>0.24657534246575341</v>
      </c>
      <c r="BU19" s="284">
        <f t="shared" si="24"/>
        <v>97.614487207507977</v>
      </c>
      <c r="BW19" s="494">
        <f t="shared" si="12"/>
        <v>434.45712094361784</v>
      </c>
      <c r="BX19" s="487" t="s">
        <v>394</v>
      </c>
      <c r="BY19" s="126">
        <f t="shared" si="13"/>
        <v>1.1271657774044799</v>
      </c>
      <c r="CA19" s="496"/>
      <c r="CC19" s="560">
        <v>41050</v>
      </c>
      <c r="CD19" s="155" t="str">
        <f t="shared" si="5"/>
        <v>1Y</v>
      </c>
      <c r="CE19" s="405">
        <v>0.98350334375787418</v>
      </c>
      <c r="CF19" s="284">
        <f>IF(CC19,_xll.qDateYears(CC18,CC19,CF$13),0)</f>
        <v>0.25</v>
      </c>
      <c r="CG19" s="284">
        <f t="shared" si="25"/>
        <v>101.23685599609391</v>
      </c>
      <c r="CI19" s="494">
        <f t="shared" si="14"/>
        <v>477.58969166784073</v>
      </c>
      <c r="CJ19" s="487" t="s">
        <v>394</v>
      </c>
      <c r="CK19" s="126">
        <f t="shared" si="15"/>
        <v>1.0253680241028122</v>
      </c>
      <c r="CM19" s="138"/>
      <c r="CO19" s="560">
        <v>41050</v>
      </c>
      <c r="CP19" s="155" t="str">
        <f t="shared" si="6"/>
        <v>1Y</v>
      </c>
      <c r="CQ19" s="405">
        <v>0.9901314511698629</v>
      </c>
      <c r="CR19" s="284">
        <f>IF(CO19,_xll.qDateYears(CO18,CO19,CR$13),0)</f>
        <v>0.24657534246575341</v>
      </c>
      <c r="CS19" s="284">
        <f t="shared" si="26"/>
        <v>100.2522373168413</v>
      </c>
      <c r="CU19" s="494">
        <f t="shared" si="16"/>
        <v>474.1525066234214</v>
      </c>
      <c r="CV19" s="487" t="s">
        <v>394</v>
      </c>
      <c r="CW19" s="126">
        <f t="shared" si="17"/>
        <v>1.0328010326564738</v>
      </c>
      <c r="CX19" s="126"/>
      <c r="CY19" s="138"/>
      <c r="DA19" s="560">
        <v>41050</v>
      </c>
      <c r="DB19" s="155" t="str">
        <f t="shared" si="7"/>
        <v>1Y</v>
      </c>
      <c r="DC19" s="405">
        <v>0.97076768811903447</v>
      </c>
      <c r="DD19" s="284">
        <f>IF(DA19,_xll.qDateYears(DA18,DA19,DD$13),0)</f>
        <v>0.24657534246575341</v>
      </c>
      <c r="DE19" s="284">
        <f t="shared" si="27"/>
        <v>99.023426807877186</v>
      </c>
      <c r="DG19" s="494">
        <f t="shared" si="18"/>
        <v>450.04769250270937</v>
      </c>
      <c r="DH19" s="487" t="s">
        <v>394</v>
      </c>
      <c r="DI19" s="126">
        <f t="shared" si="19"/>
        <v>1.0881184519669036</v>
      </c>
      <c r="DJ19" s="126"/>
      <c r="DK19" s="138"/>
      <c r="DM19" s="560">
        <v>41050</v>
      </c>
      <c r="DN19" s="155" t="str">
        <f t="shared" si="8"/>
        <v>1Y</v>
      </c>
      <c r="DO19" s="405">
        <v>0.99641926606780107</v>
      </c>
      <c r="DP19" s="284">
        <f>IF(DM19,_xll.qDateYears(DM18,DM19,DP$13),0)</f>
        <v>0.25</v>
      </c>
      <c r="DQ19" s="284">
        <f t="shared" si="28"/>
        <v>102.01887076874388</v>
      </c>
      <c r="DS19" s="494">
        <f t="shared" si="20"/>
        <v>489.70519847732515</v>
      </c>
      <c r="DT19" s="487" t="s">
        <v>394</v>
      </c>
      <c r="DU19" s="126">
        <f t="shared" si="21"/>
        <v>1</v>
      </c>
      <c r="ED19" s="580" t="s">
        <v>1</v>
      </c>
      <c r="EE19" s="215"/>
      <c r="EF19" s="803">
        <f>_xll.qDateNext($EF$14,ED19,"M",TRUE,$ED$11)</f>
        <v>40743</v>
      </c>
      <c r="EG19" s="804"/>
      <c r="EH19" s="512">
        <v>0.77807999999999999</v>
      </c>
      <c r="EI19" s="512">
        <v>0.77808000000193078</v>
      </c>
      <c r="EJ19" s="799"/>
      <c r="EK19" s="512">
        <v>1.0512649999999999</v>
      </c>
      <c r="EL19" s="512">
        <v>1.0512649999999999</v>
      </c>
      <c r="EM19" s="215"/>
      <c r="EN19" s="215"/>
      <c r="EO19" s="805">
        <f t="shared" si="9"/>
        <v>27.607618962720572</v>
      </c>
      <c r="EP19" s="805">
        <f t="shared" si="10"/>
        <v>27.60761898108699</v>
      </c>
      <c r="EQ19" s="805">
        <f t="shared" si="22"/>
        <v>1.8366417720017125E-8</v>
      </c>
      <c r="ER19" s="215"/>
      <c r="ES19" s="800">
        <f t="shared" si="1"/>
        <v>0.74013688270797573</v>
      </c>
      <c r="ET19" s="800">
        <f t="shared" si="2"/>
        <v>0.74013688270981237</v>
      </c>
    </row>
    <row r="20" spans="11:154">
      <c r="K20" s="470" t="s">
        <v>7</v>
      </c>
      <c r="L20" s="466" t="s">
        <v>369</v>
      </c>
      <c r="M20" s="466" t="s">
        <v>371</v>
      </c>
      <c r="N20" s="466" t="s">
        <v>370</v>
      </c>
      <c r="O20" s="466" t="s">
        <v>371</v>
      </c>
      <c r="P20" s="466"/>
      <c r="Q20" s="466" t="s">
        <v>371</v>
      </c>
      <c r="R20" s="155" t="str">
        <v>A</v>
      </c>
      <c r="T20" s="466" t="s">
        <v>369</v>
      </c>
      <c r="U20" s="466" t="s">
        <v>369</v>
      </c>
      <c r="V20" s="466" t="s">
        <v>371</v>
      </c>
      <c r="W20" s="466" t="s">
        <v>371</v>
      </c>
      <c r="X20" s="466" t="s">
        <v>369</v>
      </c>
      <c r="Y20" s="466" t="s">
        <v>369</v>
      </c>
      <c r="Z20" s="155" t="str">
        <v>S</v>
      </c>
      <c r="AA20" s="155"/>
      <c r="AB20" s="154" t="str">
        <f t="shared" si="29"/>
        <v>EUR.ZB.6M|[Swap Pricer 1f.xlsm]EU!$BC$55#13273</v>
      </c>
      <c r="AC20" s="153" t="s">
        <v>81</v>
      </c>
      <c r="AE20" s="131" t="s">
        <v>17</v>
      </c>
      <c r="AF20" s="467" t="str">
        <v>A/S</v>
      </c>
      <c r="AG20" s="468" t="str">
        <v>30/360</v>
      </c>
      <c r="AH20" s="468"/>
      <c r="AI20" s="469">
        <f>_xll.qGetSwapRate($O$7,AI$7,$AE20,$R30,$AG20,$F$7,,,,,TRUE,$AB30,$Z30,,$H$14)</f>
        <v>3.9091409222379156</v>
      </c>
      <c r="AJ20" s="469">
        <f>_xll.qGetSwapRate($O$7,AJ$7,$AE20,$R30,$AG20,$F$7,,,,,TRUE,$AB30,$Z30,,$H$14)</f>
        <v>3.9222118865179776</v>
      </c>
      <c r="AK20" s="469">
        <f>_xll.qGetSwapRate($O$7,AK$7,$AE20,$R30,$AG20,$F$7,,,,,TRUE,$AB30,$Z30,,$H$14)</f>
        <v>3.9351964455636192</v>
      </c>
      <c r="AL20" s="469">
        <f>_xll.qGetSwapRate($O$7,AL$7,$AE20,$R30,$AG20,$F$7,,,,,TRUE,$AB30,$Z30,,$H$14)</f>
        <v>3.9467246676277004</v>
      </c>
      <c r="AM20" s="469">
        <f>_xll.qGetSwapRate($O$7,AM$7,$AE20,$R30,$AG20,$F$7,,,,,TRUE,$AB30,$Z30,,$H$14)</f>
        <v>3.980922429848921</v>
      </c>
      <c r="AN20" s="469">
        <f>_xll.qGetSwapRate($O$7,AN$7,$AE20,$R30,$AG20,$F$7,,,,,TRUE,$AB30,$Z30,,$H$14)</f>
        <v>4.0377374257468857</v>
      </c>
      <c r="AO20" s="469">
        <f>_xll.qGetSwapRate($O$7,AO$7,$AE20,$R30,$AG20,$F$7,,,,,TRUE,$AB30,$Z30,,$H$14)</f>
        <v>4.1238288142692179</v>
      </c>
      <c r="AP20" s="469">
        <f>_xll.qGetSwapRate($O$7,AP$7,$AE20,$R30,$AG20,$F$7,,,,,TRUE,$AB30,$Z30,,$H$14)</f>
        <v>4.1832954290002151</v>
      </c>
      <c r="AQ20" s="469">
        <f>_xll.qGetSwapRate($O$7,AQ$7,$AE20,$R30,$AG20,$F$7,,,,,TRUE,$AB30,$Z30,,$H$14)</f>
        <v>4.1804997012726712</v>
      </c>
      <c r="AR20" s="469">
        <f>_xll.qGetSwapRate($O$7,AR$7,$AE20,$R30,$AG20,$F$7,,,,,TRUE,$AB30,$Z30,,$H$14)</f>
        <v>4.1863386575628905</v>
      </c>
      <c r="AS20" s="469">
        <f>_xll.qGetSwapRate($O$7,AS$7,$AE20,$R30,$AG20,$F$7,,,,,TRUE,$AB30,$Z30,,$H$14)</f>
        <v>4.1305976535727051</v>
      </c>
      <c r="AT20" s="469">
        <f>_xll.qGetSwapRate($O$7,AT$7,$AE20,$R30,$AG20,$F$7,,,,,TRUE,$AB30,$Z30,,$H$14)</f>
        <v>3.958681105200764</v>
      </c>
      <c r="AV20" s="469">
        <f>_xll.qGetSwapRate($O$7,AV$7,$AE20,$R30,$AG20,$F$7,,,,,TRUE,$AB30,$Z30,,$H$14)</f>
        <v>4.0843179977723345</v>
      </c>
      <c r="AW20" s="469">
        <f>_xll.qGetSwapRate($O$7,AW$7,$AE20,$R30,$AG20,$F$7,,,,,TRUE,$AB30,$Z30,,$H$14)</f>
        <v>4.1847858849711752</v>
      </c>
      <c r="BE20" s="151" t="s">
        <v>10</v>
      </c>
      <c r="BF20" s="215"/>
      <c r="BG20" s="580">
        <v>41141</v>
      </c>
      <c r="BH20" s="151" t="str">
        <f t="shared" si="3"/>
        <v>1.25Y</v>
      </c>
      <c r="BI20" s="512">
        <v>0.99471395100521598</v>
      </c>
      <c r="BJ20" s="513">
        <f>IF(BG20,_xll.qDateYears(BG19,BG20,$BJ$13),0)</f>
        <v>0.25277777777777777</v>
      </c>
      <c r="BK20" s="513">
        <f t="shared" si="23"/>
        <v>127.16302897470905</v>
      </c>
      <c r="BL20" s="513"/>
      <c r="BM20" s="514">
        <f t="shared" si="11"/>
        <v>578.81201073863713</v>
      </c>
      <c r="BN20" s="486"/>
      <c r="BO20" s="515"/>
      <c r="BP20" s="513"/>
      <c r="BQ20" s="580">
        <v>41141</v>
      </c>
      <c r="BR20" s="485" t="str">
        <f t="shared" si="4"/>
        <v>1.25Y</v>
      </c>
      <c r="BS20" s="512">
        <v>0.93617695261884593</v>
      </c>
      <c r="BT20" s="513">
        <f>IF(BQ20,_xll.qDateYears(BQ19,BQ20,BT$13),0)</f>
        <v>0.24931506849315069</v>
      </c>
      <c r="BU20" s="513">
        <f t="shared" si="24"/>
        <v>120.95478931389565</v>
      </c>
      <c r="BV20" s="485"/>
      <c r="BW20" s="514">
        <f t="shared" si="12"/>
        <v>506.50334015155335</v>
      </c>
      <c r="BX20" s="516" t="s">
        <v>394</v>
      </c>
      <c r="BY20" s="512">
        <f t="shared" si="13"/>
        <v>1.1427605009780348</v>
      </c>
      <c r="BZ20" s="485"/>
      <c r="CA20" s="517"/>
      <c r="CB20" s="513"/>
      <c r="CC20" s="580">
        <v>41141</v>
      </c>
      <c r="CD20" s="485" t="str">
        <f t="shared" si="5"/>
        <v>1.25Y</v>
      </c>
      <c r="CE20" s="512">
        <v>0.97832976763456025</v>
      </c>
      <c r="CF20" s="513">
        <f>IF(CC20,_xll.qDateYears(CC19,CC20,CF$13),0)</f>
        <v>0.25277777777777777</v>
      </c>
      <c r="CG20" s="513">
        <f t="shared" si="25"/>
        <v>125.9668584557453</v>
      </c>
      <c r="CH20" s="485"/>
      <c r="CI20" s="514">
        <f t="shared" si="14"/>
        <v>564.01281085210201</v>
      </c>
      <c r="CJ20" s="516" t="s">
        <v>394</v>
      </c>
      <c r="CK20" s="512">
        <f t="shared" si="15"/>
        <v>1.0262391201082413</v>
      </c>
      <c r="CL20" s="215"/>
      <c r="CM20" s="518"/>
      <c r="CN20" s="513"/>
      <c r="CO20" s="580">
        <v>41141</v>
      </c>
      <c r="CP20" s="485" t="str">
        <f t="shared" si="6"/>
        <v>1.25Y</v>
      </c>
      <c r="CQ20" s="512">
        <v>0.9866093364307511</v>
      </c>
      <c r="CR20" s="513">
        <f>IF(CO20,_xll.qDateYears(CO19,CO20,CR$13),0)</f>
        <v>0.24931506849315069</v>
      </c>
      <c r="CS20" s="513">
        <f t="shared" si="26"/>
        <v>124.84989474566277</v>
      </c>
      <c r="CT20" s="485"/>
      <c r="CU20" s="514">
        <f t="shared" si="16"/>
        <v>559.19408951859054</v>
      </c>
      <c r="CV20" s="516" t="s">
        <v>394</v>
      </c>
      <c r="CW20" s="512">
        <f t="shared" si="17"/>
        <v>1.0350824902976632</v>
      </c>
      <c r="CX20" s="512"/>
      <c r="CY20" s="518"/>
      <c r="CZ20" s="513"/>
      <c r="DA20" s="580">
        <v>41141</v>
      </c>
      <c r="DB20" s="485" t="str">
        <f t="shared" si="7"/>
        <v>1.25Y</v>
      </c>
      <c r="DC20" s="512">
        <v>0.96209878378748914</v>
      </c>
      <c r="DD20" s="513">
        <f>IF(DA20,_xll.qDateYears(DA19,DA20,DD$13),0)</f>
        <v>0.24931506849315069</v>
      </c>
      <c r="DE20" s="513">
        <f t="shared" si="27"/>
        <v>123.00999922559267</v>
      </c>
      <c r="DF20" s="485"/>
      <c r="DG20" s="514">
        <f t="shared" si="18"/>
        <v>525.75052576188011</v>
      </c>
      <c r="DH20" s="516" t="s">
        <v>394</v>
      </c>
      <c r="DI20" s="512">
        <f t="shared" si="19"/>
        <v>1.1009252152432261</v>
      </c>
      <c r="DJ20" s="512"/>
      <c r="DK20" s="518"/>
      <c r="DL20" s="513"/>
      <c r="DM20" s="580">
        <v>41141</v>
      </c>
      <c r="DN20" s="485" t="str">
        <f t="shared" si="8"/>
        <v>1.25Y</v>
      </c>
      <c r="DO20" s="512">
        <v>0.99471395100521598</v>
      </c>
      <c r="DP20" s="513">
        <f>IF(DM20,_xll.qDateYears(DM19,DM20,DP$13),0)</f>
        <v>0.25277777777777777</v>
      </c>
      <c r="DQ20" s="513">
        <f t="shared" si="28"/>
        <v>127.16302897470905</v>
      </c>
      <c r="DR20" s="485"/>
      <c r="DS20" s="514">
        <f t="shared" si="20"/>
        <v>578.81201073863713</v>
      </c>
      <c r="DT20" s="516" t="s">
        <v>394</v>
      </c>
      <c r="DU20" s="512">
        <f t="shared" si="21"/>
        <v>1</v>
      </c>
      <c r="ED20" s="122" t="s">
        <v>2</v>
      </c>
      <c r="EF20" s="801">
        <f>_xll.qDateNext($EF$14,ED20,"M",TRUE,$ED$11)</f>
        <v>40774</v>
      </c>
      <c r="EH20" s="405">
        <v>0.77642500000000003</v>
      </c>
      <c r="EI20" s="405">
        <v>0.77642499999999626</v>
      </c>
      <c r="EK20" s="405">
        <v>1.0469849999999998</v>
      </c>
      <c r="EL20" s="405">
        <v>1.0469849999999996</v>
      </c>
      <c r="EO20" s="481">
        <f t="shared" si="9"/>
        <v>42.05659252003224</v>
      </c>
      <c r="EP20" s="481">
        <f t="shared" si="10"/>
        <v>42.056592519997828</v>
      </c>
      <c r="EQ20" s="481">
        <f t="shared" si="22"/>
        <v>-3.4411584692861652E-11</v>
      </c>
      <c r="ES20" s="686">
        <f t="shared" si="1"/>
        <v>0.7415817800637069</v>
      </c>
      <c r="ET20" s="686">
        <f t="shared" si="2"/>
        <v>0.74158178006370346</v>
      </c>
    </row>
    <row r="21" spans="11:154">
      <c r="K21" s="470" t="s">
        <v>8</v>
      </c>
      <c r="L21" s="466" t="s">
        <v>371</v>
      </c>
      <c r="M21" s="466" t="s">
        <v>371</v>
      </c>
      <c r="N21" s="466" t="s">
        <v>370</v>
      </c>
      <c r="O21" s="466" t="s">
        <v>371</v>
      </c>
      <c r="P21" s="466"/>
      <c r="Q21" s="466" t="s">
        <v>371</v>
      </c>
      <c r="R21" s="155" t="str">
        <v>A</v>
      </c>
      <c r="T21" s="466" t="s">
        <v>371</v>
      </c>
      <c r="U21" s="466" t="s">
        <v>369</v>
      </c>
      <c r="V21" s="466" t="s">
        <v>371</v>
      </c>
      <c r="W21" s="466" t="s">
        <v>371</v>
      </c>
      <c r="X21" s="466" t="s">
        <v>369</v>
      </c>
      <c r="Y21" s="466" t="s">
        <v>369</v>
      </c>
      <c r="Z21" s="155" t="str">
        <v>S</v>
      </c>
      <c r="AA21" s="155"/>
      <c r="AB21" s="154" t="str">
        <f t="shared" si="29"/>
        <v>EUR.ZB.6M|[Swap Pricer 1f.xlsm]EU!$BC$55#13273</v>
      </c>
      <c r="AC21" s="153" t="s">
        <v>81</v>
      </c>
      <c r="AE21" s="131" t="s">
        <v>18</v>
      </c>
      <c r="AF21" s="467" t="str">
        <v>A/S</v>
      </c>
      <c r="AG21" s="468" t="str">
        <v>30/360</v>
      </c>
      <c r="AH21" s="468"/>
      <c r="AI21" s="776">
        <f>_xll.qGetSwapRate($O$7,AI$7,$AE21,$R31,$AG21,$F$7,,,,,TRUE,$AB31,$Z31,,$H$14)</f>
        <v>3.8574545604948018</v>
      </c>
      <c r="AJ21" s="776">
        <f>_xll.qGetSwapRate($O$7,AJ$7,$AE21,$R31,$AG21,$F$7,,,,,TRUE,$AB31,$Z31,,$H$14)</f>
        <v>3.8677749044790253</v>
      </c>
      <c r="AK21" s="776">
        <f>_xll.qGetSwapRate($O$7,AK$7,$AE21,$R31,$AG21,$F$7,,,,,TRUE,$AB31,$Z31,,$H$14)</f>
        <v>3.8779753715063663</v>
      </c>
      <c r="AL21" s="776">
        <f>_xll.qGetSwapRate($O$7,AL$7,$AE21,$R31,$AG21,$F$7,,,,,TRUE,$AB31,$Z31,,$H$14)</f>
        <v>3.8868331054601533</v>
      </c>
      <c r="AM21" s="776">
        <f>_xll.qGetSwapRate($O$7,AM$7,$AE21,$R31,$AG21,$F$7,,,,,TRUE,$AB31,$Z31,,$H$14)</f>
        <v>3.9131752379234648</v>
      </c>
      <c r="AN21" s="776">
        <f>_xll.qGetSwapRate($O$7,AN$7,$AE21,$R31,$AG21,$F$7,,,,,TRUE,$AB31,$Z31,,$H$14)</f>
        <v>3.955289455175766</v>
      </c>
      <c r="AO21" s="776">
        <f>_xll.qGetSwapRate($O$7,AO$7,$AE21,$R31,$AG21,$F$7,,,,,TRUE,$AB31,$Z31,,$H$14)</f>
        <v>4.0150349288615494</v>
      </c>
      <c r="AP21" s="776">
        <f>_xll.qGetSwapRate($O$7,AP$7,$AE21,$R31,$AG21,$F$7,,,,,TRUE,$AB31,$Z31,,$H$14)</f>
        <v>4.050074360865449</v>
      </c>
      <c r="AQ21" s="776">
        <f>_xll.qGetSwapRate($O$7,AQ$7,$AE21,$R31,$AG21,$F$7,,,,,TRUE,$AB31,$Z31,,$H$14)</f>
        <v>4.0297556490062414</v>
      </c>
      <c r="AR21" s="776">
        <f>_xll.qGetSwapRate($O$7,AR$7,$AE21,$R31,$AG21,$F$7,,,,,TRUE,$AB31,$Z31,,$H$14)</f>
        <v>4.0150949012213726</v>
      </c>
      <c r="AS21" s="776">
        <f>_xll.qGetSwapRate($O$7,AS$7,$AE21,$R31,$AG21,$F$7,,,,,TRUE,$AB31,$Z31,,$H$14)</f>
        <v>3.9640974885620377</v>
      </c>
      <c r="AT21" s="776">
        <f>_xll.qGetSwapRate($O$7,AT$7,$AE21,$R31,$AG21,$F$7,,,,,TRUE,$AB31,$Z31,,$H$14)</f>
        <v>3.8203153642019991</v>
      </c>
      <c r="AU21" s="370"/>
      <c r="AV21" s="776">
        <f>_xll.qGetSwapRate($O$7,AV$7,$AE21,$R31,$AG21,$F$7,,,,,TRUE,$AB31,$Z31,,$H$14)</f>
        <v>3.9883577049038181</v>
      </c>
      <c r="AW21" s="776">
        <f>_xll.qGetSwapRate($O$7,AW$7,$AE21,$R31,$AG21,$F$7,,,,,TRUE,$AB31,$Z31,,$H$14)</f>
        <v>4.0272317924888341</v>
      </c>
      <c r="BE21" s="121" t="s">
        <v>11</v>
      </c>
      <c r="BG21" s="560">
        <v>41232</v>
      </c>
      <c r="BH21" s="154" t="str">
        <f t="shared" si="3"/>
        <v>1.5Y</v>
      </c>
      <c r="BI21" s="405">
        <v>0.99236741071634993</v>
      </c>
      <c r="BJ21" s="284">
        <f>IF(BG21,_xll.qDateYears(BG20,BG21,$BJ$13),0)</f>
        <v>0.25277777777777777</v>
      </c>
      <c r="BK21" s="284">
        <f t="shared" si="23"/>
        <v>152.24787185670567</v>
      </c>
      <c r="BM21" s="494">
        <f t="shared" si="11"/>
        <v>664.51864848282059</v>
      </c>
      <c r="BN21" s="484"/>
      <c r="BO21" s="491"/>
      <c r="BQ21" s="560">
        <v>41232</v>
      </c>
      <c r="BR21" s="155" t="str">
        <f t="shared" si="4"/>
        <v>1.5Y</v>
      </c>
      <c r="BS21" s="405">
        <v>0.92339081064916362</v>
      </c>
      <c r="BT21" s="284">
        <f>IF(BQ21,_xll.qDateYears(BQ20,BQ21,BT$13),0)</f>
        <v>0.24931506849315069</v>
      </c>
      <c r="BU21" s="284">
        <f t="shared" si="24"/>
        <v>143.97631363418986</v>
      </c>
      <c r="BW21" s="494">
        <f t="shared" si="12"/>
        <v>574.29250124443092</v>
      </c>
      <c r="BX21" s="487" t="s">
        <v>394</v>
      </c>
      <c r="BY21" s="126">
        <f t="shared" si="13"/>
        <v>1.1571083499138142</v>
      </c>
      <c r="CA21" s="496"/>
      <c r="CC21" s="560">
        <v>41232</v>
      </c>
      <c r="CD21" s="155" t="str">
        <f t="shared" si="5"/>
        <v>1.5Y</v>
      </c>
      <c r="CE21" s="405">
        <v>0.9728644765450668</v>
      </c>
      <c r="CF21" s="284">
        <f>IF(CC21,_xll.qDateYears(CC20,CC21,CF$13),0)</f>
        <v>0.25277777777777777</v>
      </c>
      <c r="CG21" s="284">
        <f t="shared" si="25"/>
        <v>150.55871050174559</v>
      </c>
      <c r="CI21" s="494">
        <f t="shared" si="14"/>
        <v>647.65267401037579</v>
      </c>
      <c r="CJ21" s="487" t="s">
        <v>394</v>
      </c>
      <c r="CK21" s="126">
        <f t="shared" si="15"/>
        <v>1.0260416966520154</v>
      </c>
      <c r="CM21" s="138"/>
      <c r="CO21" s="560">
        <v>41232</v>
      </c>
      <c r="CP21" s="155" t="str">
        <f t="shared" si="6"/>
        <v>1.5Y</v>
      </c>
      <c r="CQ21" s="405">
        <v>0.98254867816722669</v>
      </c>
      <c r="CR21" s="284">
        <f>IF(CO21,_xll.qDateYears(CO20,CO21,CR$13),0)</f>
        <v>0.24931506849315069</v>
      </c>
      <c r="CS21" s="284">
        <f t="shared" si="26"/>
        <v>149.34631384517445</v>
      </c>
      <c r="CU21" s="494">
        <f t="shared" si="16"/>
        <v>641.00974276424483</v>
      </c>
      <c r="CV21" s="487" t="s">
        <v>394</v>
      </c>
      <c r="CW21" s="126">
        <f t="shared" si="17"/>
        <v>1.0366748025033092</v>
      </c>
      <c r="CX21" s="126"/>
      <c r="CY21" s="138"/>
      <c r="DA21" s="560">
        <v>41232</v>
      </c>
      <c r="DB21" s="155" t="str">
        <f t="shared" si="7"/>
        <v>1.5Y</v>
      </c>
      <c r="DC21" s="405">
        <v>0.95276609847054183</v>
      </c>
      <c r="DD21" s="284">
        <f>IF(DA21,_xll.qDateYears(DA20,DA21,DD$13),0)</f>
        <v>0.24931506849315069</v>
      </c>
      <c r="DE21" s="284">
        <f t="shared" si="27"/>
        <v>146.76389373540619</v>
      </c>
      <c r="DG21" s="494">
        <f t="shared" si="18"/>
        <v>597.02385375227061</v>
      </c>
      <c r="DH21" s="487" t="s">
        <v>394</v>
      </c>
      <c r="DI21" s="126">
        <f t="shared" si="19"/>
        <v>1.1130520904756953</v>
      </c>
      <c r="DJ21" s="126"/>
      <c r="DK21" s="138"/>
      <c r="DM21" s="560">
        <v>41232</v>
      </c>
      <c r="DN21" s="155" t="str">
        <f t="shared" si="8"/>
        <v>1.5Y</v>
      </c>
      <c r="DO21" s="405">
        <v>0.99236741071634993</v>
      </c>
      <c r="DP21" s="284">
        <f>IF(DM21,_xll.qDateYears(DM20,DM21,DP$13),0)</f>
        <v>0.25277777777777777</v>
      </c>
      <c r="DQ21" s="284">
        <f t="shared" si="28"/>
        <v>152.24787185670567</v>
      </c>
      <c r="DS21" s="494">
        <f t="shared" si="20"/>
        <v>664.51864848282059</v>
      </c>
      <c r="DT21" s="487" t="s">
        <v>394</v>
      </c>
      <c r="DU21" s="126">
        <f t="shared" si="21"/>
        <v>1</v>
      </c>
      <c r="ED21" s="580" t="s">
        <v>3</v>
      </c>
      <c r="EE21" s="215"/>
      <c r="EF21" s="803">
        <f>_xll.qDateNext($EF$14,ED21,"M",TRUE,$ED$11)</f>
        <v>40805</v>
      </c>
      <c r="EG21" s="804"/>
      <c r="EH21" s="512">
        <v>0.77478199999999997</v>
      </c>
      <c r="EI21" s="512">
        <v>0.77494819899669132</v>
      </c>
      <c r="EJ21" s="799"/>
      <c r="EK21" s="512">
        <v>1.0427149999999998</v>
      </c>
      <c r="EL21" s="512">
        <v>1.0427268174066229</v>
      </c>
      <c r="EM21" s="215"/>
      <c r="EN21" s="215"/>
      <c r="EO21" s="805">
        <f t="shared" si="9"/>
        <v>56.668007919944415</v>
      </c>
      <c r="EP21" s="805">
        <f t="shared" si="10"/>
        <v>58.177685754259301</v>
      </c>
      <c r="EQ21" s="805">
        <f t="shared" si="22"/>
        <v>1.5096778343148856</v>
      </c>
      <c r="ER21" s="215"/>
      <c r="ES21" s="800">
        <f t="shared" si="1"/>
        <v>0.74304292160369811</v>
      </c>
      <c r="ET21" s="800">
        <f t="shared" si="2"/>
        <v>0.7431938893871296</v>
      </c>
    </row>
    <row r="22" spans="11:154">
      <c r="K22" s="470" t="s">
        <v>9</v>
      </c>
      <c r="L22" s="466" t="s">
        <v>371</v>
      </c>
      <c r="M22" s="466" t="s">
        <v>371</v>
      </c>
      <c r="N22" s="466" t="s">
        <v>370</v>
      </c>
      <c r="O22" s="466" t="s">
        <v>371</v>
      </c>
      <c r="P22" s="466"/>
      <c r="Q22" s="466" t="s">
        <v>371</v>
      </c>
      <c r="R22" s="155" t="str">
        <v>A</v>
      </c>
      <c r="T22" s="466" t="s">
        <v>371</v>
      </c>
      <c r="U22" s="466" t="s">
        <v>369</v>
      </c>
      <c r="V22" s="466" t="s">
        <v>371</v>
      </c>
      <c r="W22" s="466" t="s">
        <v>371</v>
      </c>
      <c r="X22" s="466" t="s">
        <v>369</v>
      </c>
      <c r="Y22" s="466" t="s">
        <v>369</v>
      </c>
      <c r="Z22" s="155" t="str">
        <v>S</v>
      </c>
      <c r="AA22" s="155"/>
      <c r="AB22" s="154" t="str">
        <f t="shared" si="29"/>
        <v>EUR.ZB.6M|[Swap Pricer 1f.xlsm]EU!$BC$55#13273</v>
      </c>
      <c r="AC22" s="153" t="s">
        <v>81</v>
      </c>
      <c r="AE22" s="131" t="s">
        <v>19</v>
      </c>
      <c r="AF22" s="467" t="str">
        <v>A/S</v>
      </c>
      <c r="AG22" s="468" t="str">
        <v>30/360</v>
      </c>
      <c r="AH22" s="468"/>
      <c r="AI22" s="469">
        <f>_xll.qGetSwapRate($O$7,AI$7,$AE22,$R32,$AG22,$F$7,,,,,TRUE,$AB32,$Z32,,$H$14)</f>
        <v>3.762784811036596</v>
      </c>
      <c r="AJ22" s="469">
        <f>_xll.qGetSwapRate($O$7,AJ$7,$AE22,$R32,$AG22,$F$7,,,,,TRUE,$AB32,$Z32,,$H$14)</f>
        <v>3.7720462282352587</v>
      </c>
      <c r="AK22" s="469">
        <f>_xll.qGetSwapRate($O$7,AK$7,$AE22,$R32,$AG22,$F$7,,,,,TRUE,$AB32,$Z32,,$H$14)</f>
        <v>3.7811625538057734</v>
      </c>
      <c r="AL22" s="469">
        <f>_xll.qGetSwapRate($O$7,AL$7,$AE22,$R32,$AG22,$F$7,,,,,TRUE,$AB32,$Z32,,$H$14)</f>
        <v>3.7890420793348514</v>
      </c>
      <c r="AM22" s="469">
        <f>_xll.qGetSwapRate($O$7,AM$7,$AE22,$R32,$AG22,$F$7,,,,,TRUE,$AB32,$Z32,,$H$14)</f>
        <v>3.8125351489027999</v>
      </c>
      <c r="AN22" s="469">
        <f>_xll.qGetSwapRate($O$7,AN$7,$AE22,$R32,$AG22,$F$7,,,,,TRUE,$AB32,$Z32,,$H$14)</f>
        <v>3.8500628265617918</v>
      </c>
      <c r="AO22" s="469">
        <f>_xll.qGetSwapRate($O$7,AO$7,$AE22,$R32,$AG22,$F$7,,,,,TRUE,$AB32,$Z32,,$H$14)</f>
        <v>3.9034682619975287</v>
      </c>
      <c r="AP22" s="469">
        <f>_xll.qGetSwapRate($O$7,AP$7,$AE22,$R32,$AG22,$F$7,,,,,TRUE,$AB32,$Z32,,$H$14)</f>
        <v>3.9354456684093533</v>
      </c>
      <c r="AQ22" s="469">
        <f>_xll.qGetSwapRate($O$7,AQ$7,$AE22,$R32,$AG22,$F$7,,,,,TRUE,$AB32,$Z32,,$H$14)</f>
        <v>3.9180608234929193</v>
      </c>
      <c r="AR22" s="469">
        <f>_xll.qGetSwapRate($O$7,AR$7,$AE22,$R32,$AG22,$F$7,,,,,TRUE,$AB32,$Z32,,$H$14)</f>
        <v>3.9067514497911668</v>
      </c>
      <c r="AS22" s="469">
        <f>_xll.qGetSwapRate($O$7,AS$7,$AE22,$R32,$AG22,$F$7,,,,,TRUE,$AB32,$Z32,,$H$14)</f>
        <v>3.8499936409093243</v>
      </c>
      <c r="AT22" s="469">
        <f>_xll.qGetSwapRate($O$7,AT$7,$AE22,$R32,$AG22,$F$7,,,,,TRUE,$AB32,$Z32,,$H$14)</f>
        <v>3.7039993520286045</v>
      </c>
      <c r="AV22" s="469">
        <f>_xll.qGetSwapRate($O$7,AV$7,$AE22,$R32,$AG22,$F$7,,,,,TRUE,$AB32,$Z32,,$H$14)</f>
        <v>3.8796572658927513</v>
      </c>
      <c r="AW22" s="469">
        <f>_xll.qGetSwapRate($O$7,AW$7,$AE22,$R32,$AG22,$F$7,,,,,TRUE,$AB32,$Z32,,$H$14)</f>
        <v>3.9163437309977525</v>
      </c>
      <c r="BE22" s="151" t="s">
        <v>12</v>
      </c>
      <c r="BF22" s="215"/>
      <c r="BG22" s="580">
        <v>41324</v>
      </c>
      <c r="BH22" s="151" t="str">
        <f t="shared" si="3"/>
        <v>1.75Y</v>
      </c>
      <c r="BI22" s="512">
        <v>0.98927430285522677</v>
      </c>
      <c r="BJ22" s="513">
        <f>IF(BG22,_xll.qDateYears(BG21,BG22,$BJ$13),0)</f>
        <v>0.25555555555555554</v>
      </c>
      <c r="BK22" s="513">
        <f t="shared" si="23"/>
        <v>177.52932626300591</v>
      </c>
      <c r="BL22" s="513"/>
      <c r="BM22" s="514">
        <f t="shared" si="11"/>
        <v>745.66958044463763</v>
      </c>
      <c r="BN22" s="486"/>
      <c r="BO22" s="515"/>
      <c r="BP22" s="513"/>
      <c r="BQ22" s="580">
        <v>41324</v>
      </c>
      <c r="BR22" s="485" t="str">
        <f t="shared" si="4"/>
        <v>1.75Y</v>
      </c>
      <c r="BS22" s="512">
        <v>0.91054757207408332</v>
      </c>
      <c r="BT22" s="513">
        <f>IF(BQ22,_xll.qDateYears(BQ21,BQ22,BT$13),0)</f>
        <v>0.25205479452054796</v>
      </c>
      <c r="BU22" s="513">
        <f t="shared" si="24"/>
        <v>166.92710175222155</v>
      </c>
      <c r="BV22" s="485"/>
      <c r="BW22" s="514">
        <f t="shared" si="12"/>
        <v>637.27748987499967</v>
      </c>
      <c r="BX22" s="516" t="s">
        <v>394</v>
      </c>
      <c r="BY22" s="512">
        <f t="shared" si="13"/>
        <v>1.1700861748481008</v>
      </c>
      <c r="BZ22" s="485"/>
      <c r="CA22" s="517"/>
      <c r="CB22" s="513"/>
      <c r="CC22" s="580">
        <v>41324</v>
      </c>
      <c r="CD22" s="485" t="str">
        <f t="shared" si="5"/>
        <v>1.75Y</v>
      </c>
      <c r="CE22" s="512">
        <v>0.96707493219109675</v>
      </c>
      <c r="CF22" s="513">
        <f>IF(CC22,_xll.qDateYears(CC21,CC22,CF$13),0)</f>
        <v>0.25555555555555554</v>
      </c>
      <c r="CG22" s="513">
        <f t="shared" si="25"/>
        <v>175.27284765774027</v>
      </c>
      <c r="CH22" s="485"/>
      <c r="CI22" s="514">
        <f t="shared" si="14"/>
        <v>727.39962722536848</v>
      </c>
      <c r="CJ22" s="516" t="s">
        <v>394</v>
      </c>
      <c r="CK22" s="512">
        <f t="shared" si="15"/>
        <v>1.025116803109948</v>
      </c>
      <c r="CL22" s="215"/>
      <c r="CM22" s="518"/>
      <c r="CN22" s="513"/>
      <c r="CO22" s="580">
        <v>41324</v>
      </c>
      <c r="CP22" s="485" t="str">
        <f t="shared" si="6"/>
        <v>1.75Y</v>
      </c>
      <c r="CQ22" s="512">
        <v>0.9778545482707014</v>
      </c>
      <c r="CR22" s="513">
        <f>IF(CO22,_xll.qDateYears(CO21,CO22,CR$13),0)</f>
        <v>0.25205479452054796</v>
      </c>
      <c r="CS22" s="513">
        <f t="shared" si="26"/>
        <v>173.99360656870994</v>
      </c>
      <c r="CT22" s="485"/>
      <c r="CU22" s="514">
        <f t="shared" si="16"/>
        <v>718.51565177593579</v>
      </c>
      <c r="CV22" s="516" t="s">
        <v>394</v>
      </c>
      <c r="CW22" s="512">
        <f t="shared" si="17"/>
        <v>1.0377917009902098</v>
      </c>
      <c r="CX22" s="512"/>
      <c r="CY22" s="518"/>
      <c r="CZ22" s="513"/>
      <c r="DA22" s="580">
        <v>41324</v>
      </c>
      <c r="DB22" s="485" t="str">
        <f t="shared" si="7"/>
        <v>1.75Y</v>
      </c>
      <c r="DC22" s="512">
        <v>0.94275339844169925</v>
      </c>
      <c r="DD22" s="513">
        <f>IF(DA22,_xll.qDateYears(DA21,DA22,DD$13),0)</f>
        <v>0.25205479452054796</v>
      </c>
      <c r="DE22" s="513">
        <f t="shared" si="27"/>
        <v>170.52644514818326</v>
      </c>
      <c r="DF22" s="485"/>
      <c r="DG22" s="514">
        <f t="shared" si="18"/>
        <v>663.21221407364578</v>
      </c>
      <c r="DH22" s="516" t="s">
        <v>394</v>
      </c>
      <c r="DI22" s="512">
        <f t="shared" si="19"/>
        <v>1.1243302891913198</v>
      </c>
      <c r="DJ22" s="512"/>
      <c r="DK22" s="518"/>
      <c r="DL22" s="513"/>
      <c r="DM22" s="580">
        <v>41324</v>
      </c>
      <c r="DN22" s="485" t="str">
        <f t="shared" si="8"/>
        <v>1.75Y</v>
      </c>
      <c r="DO22" s="512">
        <v>0.98927430285522677</v>
      </c>
      <c r="DP22" s="513">
        <f>IF(DM22,_xll.qDateYears(DM21,DM22,DP$13),0)</f>
        <v>0.25555555555555554</v>
      </c>
      <c r="DQ22" s="513">
        <f t="shared" si="28"/>
        <v>177.52932626300591</v>
      </c>
      <c r="DR22" s="485"/>
      <c r="DS22" s="514">
        <f t="shared" si="20"/>
        <v>745.66958044463763</v>
      </c>
      <c r="DT22" s="516" t="s">
        <v>394</v>
      </c>
      <c r="DU22" s="512">
        <f t="shared" si="21"/>
        <v>1</v>
      </c>
      <c r="ED22" s="122" t="s">
        <v>4</v>
      </c>
      <c r="EF22" s="801">
        <f>_xll.qDateNext($EF$14,ED22,"M",TRUE,$ED$11)</f>
        <v>40835</v>
      </c>
      <c r="EH22" s="405">
        <v>0.77321200000000001</v>
      </c>
      <c r="EI22" s="405">
        <v>0.77330312550820168</v>
      </c>
      <c r="EK22" s="405">
        <v>1.0385629999999999</v>
      </c>
      <c r="EL22" s="405">
        <v>1.0386117360878619</v>
      </c>
      <c r="EO22" s="481">
        <f t="shared" si="9"/>
        <v>71.256571256964605</v>
      </c>
      <c r="EP22" s="481">
        <f t="shared" si="10"/>
        <v>71.784597296273844</v>
      </c>
      <c r="EQ22" s="481">
        <f t="shared" si="22"/>
        <v>0.52802603930923908</v>
      </c>
      <c r="ES22" s="686">
        <f t="shared" si="1"/>
        <v>0.74450177793740013</v>
      </c>
      <c r="ET22" s="686">
        <f t="shared" si="2"/>
        <v>0.74455458054133106</v>
      </c>
    </row>
    <row r="23" spans="11:154">
      <c r="K23" s="470" t="s">
        <v>10</v>
      </c>
      <c r="L23" s="466" t="s">
        <v>371</v>
      </c>
      <c r="M23" s="466" t="s">
        <v>371</v>
      </c>
      <c r="N23" s="466" t="s">
        <v>370</v>
      </c>
      <c r="O23" s="466" t="s">
        <v>371</v>
      </c>
      <c r="P23" s="466"/>
      <c r="Q23" s="466" t="s">
        <v>371</v>
      </c>
      <c r="R23" s="155" t="str">
        <v>A</v>
      </c>
      <c r="T23" s="466" t="s">
        <v>371</v>
      </c>
      <c r="U23" s="466" t="s">
        <v>369</v>
      </c>
      <c r="V23" s="466" t="s">
        <v>371</v>
      </c>
      <c r="W23" s="466" t="s">
        <v>371</v>
      </c>
      <c r="X23" s="466" t="s">
        <v>369</v>
      </c>
      <c r="Y23" s="466" t="s">
        <v>369</v>
      </c>
      <c r="Z23" s="155" t="str">
        <v>S</v>
      </c>
      <c r="AA23" s="155"/>
      <c r="AB23" s="154" t="str">
        <f t="shared" si="29"/>
        <v>EUR.ZB.6M|[Swap Pricer 1f.xlsm]EU!$BC$55#13273</v>
      </c>
      <c r="AC23" s="153" t="s">
        <v>81</v>
      </c>
      <c r="AE23" s="131"/>
      <c r="AF23" s="467"/>
      <c r="AG23" s="468"/>
      <c r="AH23" s="468"/>
      <c r="BE23" s="121" t="s">
        <v>13</v>
      </c>
      <c r="BG23" s="560">
        <v>41414</v>
      </c>
      <c r="BH23" s="154" t="str">
        <f t="shared" si="3"/>
        <v>2Y</v>
      </c>
      <c r="BI23" s="405">
        <v>0.98559849207669414</v>
      </c>
      <c r="BJ23" s="284">
        <f>IF(BG23,_xll.qDateYears(BG22,BG23,$BJ$13),0)</f>
        <v>0.25</v>
      </c>
      <c r="BK23" s="284">
        <f t="shared" si="23"/>
        <v>202.16928856492328</v>
      </c>
      <c r="BM23" s="494">
        <f t="shared" si="11"/>
        <v>823.25863087812775</v>
      </c>
      <c r="BN23" s="484"/>
      <c r="BO23" s="491"/>
      <c r="BQ23" s="560">
        <v>41414</v>
      </c>
      <c r="BR23" s="155" t="str">
        <f t="shared" si="4"/>
        <v>2Y</v>
      </c>
      <c r="BS23" s="405">
        <v>0.89805806218065076</v>
      </c>
      <c r="BT23" s="284">
        <f>IF(BQ23,_xll.qDateYears(BQ22,BQ23,BT$13),0)</f>
        <v>0.24657534246575341</v>
      </c>
      <c r="BU23" s="284">
        <f t="shared" si="24"/>
        <v>189.07099917585404</v>
      </c>
      <c r="BW23" s="494">
        <f t="shared" si="12"/>
        <v>696.47189238617204</v>
      </c>
      <c r="BX23" s="487" t="s">
        <v>394</v>
      </c>
      <c r="BY23" s="126">
        <f t="shared" si="13"/>
        <v>1.1820414289190817</v>
      </c>
      <c r="CA23" s="496"/>
      <c r="CC23" s="560">
        <v>41414</v>
      </c>
      <c r="CD23" s="155" t="str">
        <f t="shared" si="5"/>
        <v>2Y</v>
      </c>
      <c r="CE23" s="405">
        <v>0.96122209922336288</v>
      </c>
      <c r="CF23" s="284">
        <f>IF(CC23,_xll.qDateYears(CC22,CC23,CF$13),0)</f>
        <v>0.25</v>
      </c>
      <c r="CG23" s="284">
        <f t="shared" si="25"/>
        <v>199.30340013832435</v>
      </c>
      <c r="CI23" s="494">
        <f t="shared" si="14"/>
        <v>804.17623876492291</v>
      </c>
      <c r="CJ23" s="487" t="s">
        <v>394</v>
      </c>
      <c r="CK23" s="126">
        <f t="shared" si="15"/>
        <v>1.0237291170683085</v>
      </c>
      <c r="CM23" s="138"/>
      <c r="CO23" s="560">
        <v>41414</v>
      </c>
      <c r="CP23" s="155" t="str">
        <f t="shared" si="6"/>
        <v>2Y</v>
      </c>
      <c r="CQ23" s="405">
        <v>0.97276740740765888</v>
      </c>
      <c r="CR23" s="284">
        <f>IF(CO23,_xll.qDateYears(CO22,CO23,CR$13),0)</f>
        <v>0.24657534246575341</v>
      </c>
      <c r="CS23" s="284">
        <f t="shared" si="26"/>
        <v>197.97965223081658</v>
      </c>
      <c r="CU23" s="494">
        <f t="shared" si="16"/>
        <v>792.67286537640871</v>
      </c>
      <c r="CV23" s="487" t="s">
        <v>394</v>
      </c>
      <c r="CW23" s="126">
        <f t="shared" si="17"/>
        <v>1.0385856093196719</v>
      </c>
      <c r="CX23" s="126"/>
      <c r="CY23" s="138"/>
      <c r="DA23" s="560">
        <v>41414</v>
      </c>
      <c r="DB23" s="155" t="str">
        <f t="shared" si="7"/>
        <v>2Y</v>
      </c>
      <c r="DC23" s="405">
        <v>0.93241632855994938</v>
      </c>
      <c r="DD23" s="284">
        <f>IF(DA23,_xll.qDateYears(DA22,DA23,DD$13),0)</f>
        <v>0.24657534246575341</v>
      </c>
      <c r="DE23" s="284">
        <f t="shared" si="27"/>
        <v>193.51753270171625</v>
      </c>
      <c r="DG23" s="494">
        <f t="shared" si="18"/>
        <v>725.32542258554645</v>
      </c>
      <c r="DH23" s="487" t="s">
        <v>394</v>
      </c>
      <c r="DI23" s="126">
        <f t="shared" si="19"/>
        <v>1.1350196825357115</v>
      </c>
      <c r="DJ23" s="126"/>
      <c r="DK23" s="138"/>
      <c r="DM23" s="560">
        <v>41414</v>
      </c>
      <c r="DN23" s="155" t="str">
        <f t="shared" si="8"/>
        <v>2Y</v>
      </c>
      <c r="DO23" s="405">
        <v>0.98559849207669414</v>
      </c>
      <c r="DP23" s="284">
        <f>IF(DM23,_xll.qDateYears(DM22,DM23,DP$13),0)</f>
        <v>0.25</v>
      </c>
      <c r="DQ23" s="284">
        <f t="shared" si="28"/>
        <v>202.16928856492328</v>
      </c>
      <c r="DS23" s="494">
        <f t="shared" si="20"/>
        <v>823.25863087812775</v>
      </c>
      <c r="DT23" s="487" t="s">
        <v>394</v>
      </c>
      <c r="DU23" s="126">
        <f t="shared" si="21"/>
        <v>1</v>
      </c>
      <c r="ED23" s="580" t="s">
        <v>5</v>
      </c>
      <c r="EE23" s="215"/>
      <c r="EF23" s="803">
        <f>_xll.qDateNext($EF$14,ED23,"M",TRUE,$ED$11)</f>
        <v>40868</v>
      </c>
      <c r="EG23" s="804"/>
      <c r="EH23" s="512">
        <v>0.77144599999999997</v>
      </c>
      <c r="EI23" s="512">
        <v>0.77144545200764658</v>
      </c>
      <c r="EJ23" s="799"/>
      <c r="EK23" s="512">
        <v>1.0340749999999999</v>
      </c>
      <c r="EL23" s="512">
        <v>1.0340747459560198</v>
      </c>
      <c r="EM23" s="215"/>
      <c r="EN23" s="215"/>
      <c r="EO23" s="805">
        <f t="shared" si="9"/>
        <v>86.490707846506027</v>
      </c>
      <c r="EP23" s="805">
        <f t="shared" si="10"/>
        <v>86.487241277518606</v>
      </c>
      <c r="EQ23" s="805">
        <f t="shared" si="22"/>
        <v>-3.4665689874202599E-3</v>
      </c>
      <c r="ER23" s="215"/>
      <c r="ES23" s="800">
        <f t="shared" si="1"/>
        <v>0.74602519159635428</v>
      </c>
      <c r="ET23" s="800">
        <f t="shared" si="2"/>
        <v>0.74602484493945553</v>
      </c>
    </row>
    <row r="24" spans="11:154">
      <c r="K24" s="470" t="s">
        <v>11</v>
      </c>
      <c r="L24" s="466" t="s">
        <v>371</v>
      </c>
      <c r="M24" s="466" t="s">
        <v>371</v>
      </c>
      <c r="N24" s="466" t="s">
        <v>370</v>
      </c>
      <c r="O24" s="466" t="s">
        <v>371</v>
      </c>
      <c r="P24" s="466"/>
      <c r="Q24" s="466" t="s">
        <v>371</v>
      </c>
      <c r="R24" s="155" t="str">
        <v>A</v>
      </c>
      <c r="T24" s="466" t="s">
        <v>371</v>
      </c>
      <c r="U24" s="466" t="s">
        <v>369</v>
      </c>
      <c r="V24" s="466" t="s">
        <v>371</v>
      </c>
      <c r="W24" s="466" t="s">
        <v>371</v>
      </c>
      <c r="X24" s="466" t="s">
        <v>369</v>
      </c>
      <c r="Y24" s="466" t="s">
        <v>369</v>
      </c>
      <c r="Z24" s="155" t="str">
        <v>S</v>
      </c>
      <c r="AA24" s="155"/>
      <c r="AB24" s="154" t="str">
        <f t="shared" si="29"/>
        <v>EUR.ZB.6M|[Swap Pricer 1f.xlsm]EU!$BC$55#13273</v>
      </c>
      <c r="AC24" s="153" t="s">
        <v>81</v>
      </c>
      <c r="AE24" s="121" t="s">
        <v>81</v>
      </c>
      <c r="BE24" s="151" t="s">
        <v>14</v>
      </c>
      <c r="BF24" s="215"/>
      <c r="BG24" s="580">
        <v>41505</v>
      </c>
      <c r="BH24" s="151" t="str">
        <f t="shared" si="3"/>
        <v>2.25Y</v>
      </c>
      <c r="BI24" s="512">
        <v>0.98127524300323454</v>
      </c>
      <c r="BJ24" s="513">
        <f>IF(BG24,_xll.qDateYears(BG23,BG24,$BJ$13),0)</f>
        <v>0.25277777777777777</v>
      </c>
      <c r="BK24" s="513">
        <f t="shared" si="23"/>
        <v>226.97374609639394</v>
      </c>
      <c r="BL24" s="513"/>
      <c r="BM24" s="514">
        <f t="shared" si="11"/>
        <v>897.15788206650063</v>
      </c>
      <c r="BN24" s="486"/>
      <c r="BO24" s="515"/>
      <c r="BP24" s="513"/>
      <c r="BQ24" s="580">
        <v>41505</v>
      </c>
      <c r="BR24" s="485" t="str">
        <f t="shared" si="4"/>
        <v>2.25Y</v>
      </c>
      <c r="BS24" s="512">
        <v>0.88563488164049675</v>
      </c>
      <c r="BT24" s="513">
        <f>IF(BQ24,_xll.qDateYears(BQ23,BQ24,BT$13),0)</f>
        <v>0.24931506849315069</v>
      </c>
      <c r="BU24" s="513">
        <f t="shared" si="24"/>
        <v>211.15121129346642</v>
      </c>
      <c r="BV24" s="485"/>
      <c r="BW24" s="514">
        <f t="shared" si="12"/>
        <v>751.92360297879668</v>
      </c>
      <c r="BX24" s="516" t="s">
        <v>394</v>
      </c>
      <c r="BY24" s="512">
        <f t="shared" si="13"/>
        <v>1.193150312760962</v>
      </c>
      <c r="BZ24" s="485"/>
      <c r="CA24" s="517"/>
      <c r="CB24" s="513"/>
      <c r="CC24" s="580">
        <v>41505</v>
      </c>
      <c r="CD24" s="485" t="str">
        <f t="shared" si="5"/>
        <v>2.25Y</v>
      </c>
      <c r="CE24" s="512">
        <v>0.95510026471495524</v>
      </c>
      <c r="CF24" s="513">
        <f>IF(CC24,_xll.qDateYears(CC23,CC24,CF$13),0)</f>
        <v>0.25277777777777777</v>
      </c>
      <c r="CG24" s="513">
        <f t="shared" si="25"/>
        <v>223.44621238528572</v>
      </c>
      <c r="CH24" s="485"/>
      <c r="CI24" s="514">
        <f t="shared" si="14"/>
        <v>877.78893824997647</v>
      </c>
      <c r="CJ24" s="516" t="s">
        <v>394</v>
      </c>
      <c r="CK24" s="512">
        <f t="shared" si="15"/>
        <v>1.0220656048083034</v>
      </c>
      <c r="CL24" s="215"/>
      <c r="CM24" s="518"/>
      <c r="CN24" s="513"/>
      <c r="CO24" s="580">
        <v>41505</v>
      </c>
      <c r="CP24" s="485" t="str">
        <f t="shared" si="6"/>
        <v>2.25Y</v>
      </c>
      <c r="CQ24" s="512">
        <v>0.96624720410472975</v>
      </c>
      <c r="CR24" s="513">
        <f>IF(CO24,_xll.qDateYears(CO23,CO24,CR$13),0)</f>
        <v>0.24931506849315069</v>
      </c>
      <c r="CS24" s="513">
        <f t="shared" si="26"/>
        <v>222.06965101808518</v>
      </c>
      <c r="CT24" s="485"/>
      <c r="CU24" s="514">
        <f t="shared" si="16"/>
        <v>863.38616386255569</v>
      </c>
      <c r="CV24" s="516" t="s">
        <v>394</v>
      </c>
      <c r="CW24" s="512">
        <f t="shared" si="17"/>
        <v>1.0391154266972029</v>
      </c>
      <c r="CX24" s="512"/>
      <c r="CY24" s="518"/>
      <c r="CZ24" s="513"/>
      <c r="DA24" s="580">
        <v>41505</v>
      </c>
      <c r="DB24" s="485" t="str">
        <f t="shared" si="7"/>
        <v>2.25Y</v>
      </c>
      <c r="DC24" s="512">
        <v>0.92154672608321597</v>
      </c>
      <c r="DD24" s="513">
        <f>IF(DA24,_xll.qDateYears(DA23,DA24,DD$13),0)</f>
        <v>0.24931506849315069</v>
      </c>
      <c r="DE24" s="513">
        <f t="shared" si="27"/>
        <v>216.49308121502384</v>
      </c>
      <c r="DF24" s="485"/>
      <c r="DG24" s="514">
        <f t="shared" si="18"/>
        <v>783.28027385832399</v>
      </c>
      <c r="DH24" s="516" t="s">
        <v>394</v>
      </c>
      <c r="DI24" s="512">
        <f t="shared" si="19"/>
        <v>1.1453855178137351</v>
      </c>
      <c r="DJ24" s="512"/>
      <c r="DK24" s="518"/>
      <c r="DL24" s="513"/>
      <c r="DM24" s="580">
        <v>41505</v>
      </c>
      <c r="DN24" s="485" t="str">
        <f t="shared" si="8"/>
        <v>2.25Y</v>
      </c>
      <c r="DO24" s="512">
        <v>0.98127524300323454</v>
      </c>
      <c r="DP24" s="513">
        <f>IF(DM24,_xll.qDateYears(DM23,DM24,DP$13),0)</f>
        <v>0.25277777777777777</v>
      </c>
      <c r="DQ24" s="513">
        <f t="shared" si="28"/>
        <v>226.97374609639394</v>
      </c>
      <c r="DR24" s="485"/>
      <c r="DS24" s="514">
        <f t="shared" si="20"/>
        <v>897.15788206650063</v>
      </c>
      <c r="DT24" s="516" t="s">
        <v>394</v>
      </c>
      <c r="DU24" s="512">
        <f t="shared" si="21"/>
        <v>1</v>
      </c>
      <c r="ED24" s="122" t="s">
        <v>32</v>
      </c>
      <c r="EF24" s="801">
        <f>_xll.qDateNext($EF$14,ED24,"M",TRUE,$ED$11)</f>
        <v>40960</v>
      </c>
      <c r="EH24" s="405">
        <v>0.76641000000000004</v>
      </c>
      <c r="EI24" s="405">
        <v>0.76640917782093987</v>
      </c>
      <c r="EK24" s="405">
        <v>1.0215099999999999</v>
      </c>
      <c r="EL24" s="405">
        <v>1.0215092363449163</v>
      </c>
      <c r="EO24" s="481">
        <f t="shared" si="9"/>
        <v>128.95535853429396</v>
      </c>
      <c r="EP24" s="481">
        <f t="shared" si="10"/>
        <v>128.95291871009462</v>
      </c>
      <c r="EQ24" s="481">
        <f t="shared" si="22"/>
        <v>-2.4398241993424108E-3</v>
      </c>
      <c r="ES24" s="686">
        <f t="shared" si="1"/>
        <v>0.75027165666513307</v>
      </c>
      <c r="ET24" s="686">
        <f t="shared" si="2"/>
        <v>0.75027141268271313</v>
      </c>
    </row>
    <row r="25" spans="11:154">
      <c r="K25" s="470" t="s">
        <v>12</v>
      </c>
      <c r="L25" s="466" t="s">
        <v>371</v>
      </c>
      <c r="M25" s="466" t="s">
        <v>371</v>
      </c>
      <c r="N25" s="466" t="s">
        <v>370</v>
      </c>
      <c r="O25" s="466" t="s">
        <v>371</v>
      </c>
      <c r="P25" s="466"/>
      <c r="Q25" s="466" t="s">
        <v>371</v>
      </c>
      <c r="R25" s="155" t="str">
        <v>A</v>
      </c>
      <c r="T25" s="466" t="s">
        <v>371</v>
      </c>
      <c r="U25" s="466" t="s">
        <v>369</v>
      </c>
      <c r="V25" s="466" t="s">
        <v>371</v>
      </c>
      <c r="W25" s="466" t="s">
        <v>371</v>
      </c>
      <c r="X25" s="466" t="s">
        <v>369</v>
      </c>
      <c r="Y25" s="466" t="s">
        <v>369</v>
      </c>
      <c r="Z25" s="155" t="str">
        <v>S</v>
      </c>
      <c r="AA25" s="155"/>
      <c r="AB25" s="154" t="str">
        <f t="shared" si="29"/>
        <v>EUR.ZB.6M|[Swap Pricer 1f.xlsm]EU!$BC$55#13273</v>
      </c>
      <c r="AC25" s="153" t="s">
        <v>81</v>
      </c>
      <c r="AE25" s="472">
        <v>1</v>
      </c>
      <c r="BE25" s="121" t="s">
        <v>214</v>
      </c>
      <c r="BG25" s="560">
        <v>41597</v>
      </c>
      <c r="BH25" s="154" t="str">
        <f t="shared" si="3"/>
        <v>2.5Y</v>
      </c>
      <c r="BI25" s="405">
        <v>0.97629457069454673</v>
      </c>
      <c r="BJ25" s="284">
        <f>IF(BG25,_xll.qDateYears(BG24,BG25,$BJ$13),0)</f>
        <v>0.25555555555555554</v>
      </c>
      <c r="BK25" s="284">
        <f t="shared" si="23"/>
        <v>251.92349623636568</v>
      </c>
      <c r="BM25" s="494">
        <f t="shared" si="11"/>
        <v>967.54126190116608</v>
      </c>
      <c r="BN25" s="484"/>
      <c r="BO25" s="491"/>
      <c r="BQ25" s="560">
        <v>41597</v>
      </c>
      <c r="BR25" s="155" t="str">
        <f t="shared" si="4"/>
        <v>2.5Y</v>
      </c>
      <c r="BS25" s="405">
        <v>0.87316915426366704</v>
      </c>
      <c r="BT25" s="284">
        <f>IF(BQ25,_xll.qDateYears(BQ24,BQ25,BT$13),0)</f>
        <v>0.25205479452054796</v>
      </c>
      <c r="BU25" s="284">
        <f t="shared" si="24"/>
        <v>233.15985846942735</v>
      </c>
      <c r="BW25" s="494">
        <f t="shared" si="12"/>
        <v>803.92911872299214</v>
      </c>
      <c r="BX25" s="487" t="s">
        <v>394</v>
      </c>
      <c r="BY25" s="126">
        <f t="shared" si="13"/>
        <v>1.2035156326195338</v>
      </c>
      <c r="CA25" s="496"/>
      <c r="CC25" s="560">
        <v>41597</v>
      </c>
      <c r="CD25" s="155" t="str">
        <f t="shared" si="5"/>
        <v>2.5Y</v>
      </c>
      <c r="CE25" s="405">
        <v>0.94873975865773252</v>
      </c>
      <c r="CF25" s="284">
        <f>IF(CC25,_xll.qDateYears(CC24,CC25,CF$13),0)</f>
        <v>0.25555555555555554</v>
      </c>
      <c r="CG25" s="284">
        <f t="shared" si="25"/>
        <v>247.69178399542778</v>
      </c>
      <c r="CI25" s="494">
        <f t="shared" si="14"/>
        <v>948.27410412175254</v>
      </c>
      <c r="CJ25" s="487" t="s">
        <v>394</v>
      </c>
      <c r="CK25" s="126">
        <f t="shared" si="15"/>
        <v>1.0203181313247585</v>
      </c>
      <c r="CM25" s="138"/>
      <c r="CO25" s="560">
        <v>41597</v>
      </c>
      <c r="CP25" s="155" t="str">
        <f t="shared" si="6"/>
        <v>2.5Y</v>
      </c>
      <c r="CQ25" s="405">
        <v>0.95846584949412528</v>
      </c>
      <c r="CR25" s="284">
        <f>IF(CO25,_xll.qDateYears(CO24,CO25,CR$13),0)</f>
        <v>0.25205479452054796</v>
      </c>
      <c r="CS25" s="284">
        <f t="shared" si="26"/>
        <v>246.22824229300559</v>
      </c>
      <c r="CU25" s="494">
        <f t="shared" si="16"/>
        <v>930.85318869676155</v>
      </c>
      <c r="CV25" s="487" t="s">
        <v>394</v>
      </c>
      <c r="CW25" s="126">
        <f t="shared" si="17"/>
        <v>1.03941338295867</v>
      </c>
      <c r="CX25" s="126"/>
      <c r="CY25" s="138"/>
      <c r="DA25" s="560">
        <v>41597</v>
      </c>
      <c r="DB25" s="155" t="str">
        <f t="shared" si="7"/>
        <v>2.5Y</v>
      </c>
      <c r="DC25" s="405">
        <v>0.91006476669778436</v>
      </c>
      <c r="DD25" s="284">
        <f>IF(DA25,_xll.qDateYears(DA24,DA25,DD$13),0)</f>
        <v>0.25205479452054796</v>
      </c>
      <c r="DE25" s="284">
        <f t="shared" si="27"/>
        <v>239.43169999206387</v>
      </c>
      <c r="DG25" s="494">
        <f t="shared" si="18"/>
        <v>837.57774811672664</v>
      </c>
      <c r="DH25" s="487" t="s">
        <v>394</v>
      </c>
      <c r="DI25" s="126">
        <f t="shared" si="19"/>
        <v>1.1551659103607508</v>
      </c>
      <c r="DJ25" s="126"/>
      <c r="DK25" s="138"/>
      <c r="DM25" s="560">
        <v>41597</v>
      </c>
      <c r="DN25" s="155" t="str">
        <f t="shared" si="8"/>
        <v>2.5Y</v>
      </c>
      <c r="DO25" s="405">
        <v>0.97629457069454673</v>
      </c>
      <c r="DP25" s="284">
        <f>IF(DM25,_xll.qDateYears(DM24,DM25,DP$13),0)</f>
        <v>0.25555555555555554</v>
      </c>
      <c r="DQ25" s="284">
        <f t="shared" si="28"/>
        <v>251.92349623636568</v>
      </c>
      <c r="DS25" s="494">
        <f t="shared" si="20"/>
        <v>967.54126190116608</v>
      </c>
      <c r="DT25" s="487" t="s">
        <v>394</v>
      </c>
      <c r="DU25" s="126">
        <f t="shared" si="21"/>
        <v>1</v>
      </c>
      <c r="ED25" s="580" t="s">
        <v>26</v>
      </c>
      <c r="EE25" s="215"/>
      <c r="EF25" s="803">
        <f>_xll.qDateNext($EF$14,ED25,"M",TRUE,$ED$11)</f>
        <v>41050</v>
      </c>
      <c r="EG25" s="804"/>
      <c r="EH25" s="512">
        <v>0.761293</v>
      </c>
      <c r="EI25" s="512">
        <v>0.7612332228230918</v>
      </c>
      <c r="EJ25" s="799"/>
      <c r="EK25" s="512">
        <v>1.0094099999999999</v>
      </c>
      <c r="EL25" s="512">
        <v>1.009236919798749</v>
      </c>
      <c r="EM25" s="215"/>
      <c r="EN25" s="215"/>
      <c r="EO25" s="805">
        <f t="shared" si="9"/>
        <v>168.19894682496005</v>
      </c>
      <c r="EP25" s="805">
        <f t="shared" si="10"/>
        <v>168.90006288451053</v>
      </c>
      <c r="EQ25" s="805">
        <f t="shared" si="22"/>
        <v>0.70111605955048617</v>
      </c>
      <c r="ER25" s="215"/>
      <c r="ES25" s="800">
        <f t="shared" si="1"/>
        <v>0.75419601549419968</v>
      </c>
      <c r="ET25" s="800">
        <f t="shared" si="2"/>
        <v>0.75426612710015473</v>
      </c>
    </row>
    <row r="26" spans="11:154">
      <c r="K26" s="470" t="s">
        <v>13</v>
      </c>
      <c r="L26" s="466" t="s">
        <v>371</v>
      </c>
      <c r="M26" s="466" t="s">
        <v>371</v>
      </c>
      <c r="N26" s="466" t="s">
        <v>370</v>
      </c>
      <c r="O26" s="466" t="s">
        <v>371</v>
      </c>
      <c r="P26" s="466"/>
      <c r="Q26" s="466" t="s">
        <v>371</v>
      </c>
      <c r="R26" s="155" t="str">
        <v>A</v>
      </c>
      <c r="T26" s="466" t="s">
        <v>371</v>
      </c>
      <c r="U26" s="466" t="s">
        <v>369</v>
      </c>
      <c r="V26" s="466" t="s">
        <v>371</v>
      </c>
      <c r="W26" s="466" t="s">
        <v>371</v>
      </c>
      <c r="X26" s="466" t="s">
        <v>369</v>
      </c>
      <c r="Y26" s="466" t="s">
        <v>369</v>
      </c>
      <c r="Z26" s="155" t="str">
        <v>S</v>
      </c>
      <c r="AA26" s="155"/>
      <c r="AB26" s="154" t="str">
        <f t="shared" si="29"/>
        <v>EUR.ZB.6M|[Swap Pricer 1f.xlsm]EU!$BC$55#13273</v>
      </c>
      <c r="AC26" s="153" t="s">
        <v>81</v>
      </c>
      <c r="AE26" s="472">
        <v>2</v>
      </c>
      <c r="BE26" s="151" t="s">
        <v>15</v>
      </c>
      <c r="BF26" s="215"/>
      <c r="BG26" s="580">
        <v>41689</v>
      </c>
      <c r="BH26" s="151" t="str">
        <f t="shared" si="3"/>
        <v>2.75Y</v>
      </c>
      <c r="BI26" s="512">
        <v>0.97070387260837832</v>
      </c>
      <c r="BJ26" s="513">
        <f>IF(BG26,_xll.qDateYears(BG25,BG26,$BJ$13),0)</f>
        <v>0.25555555555555554</v>
      </c>
      <c r="BK26" s="513">
        <f t="shared" si="23"/>
        <v>276.73037298080203</v>
      </c>
      <c r="BL26" s="513"/>
      <c r="BM26" s="514">
        <f t="shared" si="11"/>
        <v>1034.4663855185872</v>
      </c>
      <c r="BN26" s="486"/>
      <c r="BO26" s="515"/>
      <c r="BP26" s="513"/>
      <c r="BQ26" s="580">
        <v>41689</v>
      </c>
      <c r="BR26" s="485" t="str">
        <f t="shared" si="4"/>
        <v>2.75Y</v>
      </c>
      <c r="BS26" s="512">
        <v>0.86076977912349495</v>
      </c>
      <c r="BT26" s="513">
        <f>IF(BQ26,_xll.qDateYears(BQ25,BQ26,BT$13),0)</f>
        <v>0.25205479452054796</v>
      </c>
      <c r="BU26" s="513">
        <f t="shared" si="24"/>
        <v>254.85597345007434</v>
      </c>
      <c r="BV26" s="485"/>
      <c r="BW26" s="514">
        <f t="shared" si="12"/>
        <v>852.73757876931302</v>
      </c>
      <c r="BX26" s="516" t="s">
        <v>394</v>
      </c>
      <c r="BY26" s="512">
        <f t="shared" si="13"/>
        <v>1.2131122296868266</v>
      </c>
      <c r="BZ26" s="485"/>
      <c r="CA26" s="517"/>
      <c r="CB26" s="513"/>
      <c r="CC26" s="580">
        <v>41689</v>
      </c>
      <c r="CD26" s="485" t="str">
        <f t="shared" si="5"/>
        <v>2.75Y</v>
      </c>
      <c r="CE26" s="512">
        <v>0.9421686049818776</v>
      </c>
      <c r="CF26" s="513">
        <f>IF(CC26,_xll.qDateYears(CC25,CC26,CF$13),0)</f>
        <v>0.25555555555555554</v>
      </c>
      <c r="CG26" s="513">
        <f t="shared" si="25"/>
        <v>271.7694261227424</v>
      </c>
      <c r="CH26" s="485"/>
      <c r="CI26" s="514">
        <f t="shared" si="14"/>
        <v>1015.6427139001315</v>
      </c>
      <c r="CJ26" s="516" t="s">
        <v>394</v>
      </c>
      <c r="CK26" s="512">
        <f t="shared" si="15"/>
        <v>1.0185337534162695</v>
      </c>
      <c r="CL26" s="215"/>
      <c r="CM26" s="518"/>
      <c r="CN26" s="513"/>
      <c r="CO26" s="580">
        <v>41689</v>
      </c>
      <c r="CP26" s="485" t="str">
        <f t="shared" si="6"/>
        <v>2.75Y</v>
      </c>
      <c r="CQ26" s="512">
        <v>0.94993730690451317</v>
      </c>
      <c r="CR26" s="513">
        <f>IF(CO26,_xll.qDateYears(CO25,CO26,CR$13),0)</f>
        <v>0.25205479452054796</v>
      </c>
      <c r="CS26" s="513">
        <f t="shared" si="26"/>
        <v>270.17186756292756</v>
      </c>
      <c r="CT26" s="485"/>
      <c r="CU26" s="514">
        <f t="shared" si="16"/>
        <v>995.18690148949827</v>
      </c>
      <c r="CV26" s="516" t="s">
        <v>394</v>
      </c>
      <c r="CW26" s="512">
        <f t="shared" si="17"/>
        <v>1.0394694544012781</v>
      </c>
      <c r="CX26" s="512"/>
      <c r="CY26" s="518"/>
      <c r="CZ26" s="513"/>
      <c r="DA26" s="580">
        <v>41689</v>
      </c>
      <c r="DB26" s="485" t="str">
        <f t="shared" si="7"/>
        <v>2.75Y</v>
      </c>
      <c r="DC26" s="512">
        <v>0.89810928051690386</v>
      </c>
      <c r="DD26" s="513">
        <f>IF(DA26,_xll.qDateYears(DA25,DA26,DD$13),0)</f>
        <v>0.25205479452054796</v>
      </c>
      <c r="DE26" s="513">
        <f t="shared" si="27"/>
        <v>262.06897500783242</v>
      </c>
      <c r="DF26" s="485"/>
      <c r="DG26" s="514">
        <f t="shared" si="18"/>
        <v>888.60039399290451</v>
      </c>
      <c r="DH26" s="516" t="s">
        <v>394</v>
      </c>
      <c r="DI26" s="512">
        <f t="shared" si="19"/>
        <v>1.1641525172752145</v>
      </c>
      <c r="DJ26" s="512"/>
      <c r="DK26" s="518"/>
      <c r="DL26" s="513"/>
      <c r="DM26" s="580">
        <v>41689</v>
      </c>
      <c r="DN26" s="485" t="str">
        <f t="shared" si="8"/>
        <v>2.75Y</v>
      </c>
      <c r="DO26" s="512">
        <v>0.97070387260837832</v>
      </c>
      <c r="DP26" s="513">
        <f>IF(DM26,_xll.qDateYears(DM25,DM26,DP$13),0)</f>
        <v>0.25555555555555554</v>
      </c>
      <c r="DQ26" s="513">
        <f t="shared" si="28"/>
        <v>276.73037298080203</v>
      </c>
      <c r="DR26" s="485"/>
      <c r="DS26" s="514">
        <f t="shared" si="20"/>
        <v>1034.4663855185872</v>
      </c>
      <c r="DT26" s="516" t="s">
        <v>394</v>
      </c>
      <c r="DU26" s="512">
        <f t="shared" si="21"/>
        <v>1</v>
      </c>
      <c r="ED26" s="122" t="s">
        <v>27</v>
      </c>
      <c r="EF26" s="801">
        <f>_xll.qDateNext($EF$14,ED26,"M",TRUE,$ED$11)</f>
        <v>41414</v>
      </c>
      <c r="EH26" s="405">
        <v>0.73917999999999995</v>
      </c>
      <c r="EI26" s="405">
        <v>0.73918709767078561</v>
      </c>
      <c r="EK26" s="405">
        <v>0.96604999999999985</v>
      </c>
      <c r="EL26" s="405">
        <v>0.96564228461907053</v>
      </c>
      <c r="EO26" s="481">
        <f t="shared" si="9"/>
        <v>277.80962155016573</v>
      </c>
      <c r="EP26" s="481">
        <f t="shared" si="10"/>
        <v>281.11378487669202</v>
      </c>
      <c r="EQ26" s="481">
        <f t="shared" si="22"/>
        <v>3.3041633265262931</v>
      </c>
      <c r="ES26" s="686">
        <f t="shared" si="1"/>
        <v>0.76515708296672025</v>
      </c>
      <c r="ET26" s="686">
        <f t="shared" si="2"/>
        <v>0.76548749929937288</v>
      </c>
    </row>
    <row r="27" spans="11:154">
      <c r="K27" s="470" t="s">
        <v>14</v>
      </c>
      <c r="L27" s="466" t="s">
        <v>371</v>
      </c>
      <c r="M27" s="466" t="s">
        <v>371</v>
      </c>
      <c r="N27" s="466" t="s">
        <v>370</v>
      </c>
      <c r="O27" s="466" t="s">
        <v>371</v>
      </c>
      <c r="P27" s="466"/>
      <c r="Q27" s="466" t="s">
        <v>371</v>
      </c>
      <c r="R27" s="155" t="str">
        <v>A</v>
      </c>
      <c r="T27" s="466" t="s">
        <v>371</v>
      </c>
      <c r="U27" s="466" t="s">
        <v>369</v>
      </c>
      <c r="V27" s="466" t="s">
        <v>371</v>
      </c>
      <c r="W27" s="466" t="s">
        <v>371</v>
      </c>
      <c r="X27" s="466" t="s">
        <v>369</v>
      </c>
      <c r="Y27" s="466" t="s">
        <v>369</v>
      </c>
      <c r="Z27" s="155" t="str">
        <v>S</v>
      </c>
      <c r="AA27" s="155"/>
      <c r="AB27" s="154" t="str">
        <f t="shared" si="29"/>
        <v>EUR.ZB.6M|[Swap Pricer 1f.xlsm]EU!$BC$55#13273</v>
      </c>
      <c r="AC27" s="153" t="s">
        <v>81</v>
      </c>
      <c r="AE27" s="472">
        <v>3</v>
      </c>
      <c r="BE27" s="121" t="s">
        <v>16</v>
      </c>
      <c r="BG27" s="560">
        <v>41778</v>
      </c>
      <c r="BH27" s="154" t="str">
        <f t="shared" si="3"/>
        <v>3Y</v>
      </c>
      <c r="BI27" s="405">
        <v>0.96477815740802031</v>
      </c>
      <c r="BJ27" s="284">
        <f>IF(BG27,_xll.qDateYears(BG26,BG27,$BJ$13),0)</f>
        <v>0.24722222222222223</v>
      </c>
      <c r="BK27" s="284">
        <f t="shared" si="23"/>
        <v>300.58183298338918</v>
      </c>
      <c r="BM27" s="494">
        <f t="shared" si="11"/>
        <v>1216.6255657327588</v>
      </c>
      <c r="BN27" s="484"/>
      <c r="BO27" s="491"/>
      <c r="BQ27" s="560">
        <v>41778</v>
      </c>
      <c r="BR27" s="155" t="str">
        <f t="shared" si="4"/>
        <v>3Y</v>
      </c>
      <c r="BS27" s="405">
        <v>0.84883993398733393</v>
      </c>
      <c r="BT27" s="284">
        <f>IF(BQ27,_xll.qDateYears(BQ26,BQ27,BT$13),0)</f>
        <v>0.24383561643835616</v>
      </c>
      <c r="BU27" s="284">
        <f t="shared" si="24"/>
        <v>275.55371430620386</v>
      </c>
      <c r="BW27" s="494">
        <f t="shared" si="12"/>
        <v>982.4308544258937</v>
      </c>
      <c r="BX27" s="487" t="s">
        <v>394</v>
      </c>
      <c r="BY27" s="126">
        <f t="shared" si="13"/>
        <v>1.2383828950931333</v>
      </c>
      <c r="CA27" s="496"/>
      <c r="CC27" s="560">
        <v>41778</v>
      </c>
      <c r="CD27" s="155" t="str">
        <f t="shared" si="5"/>
        <v>3Y</v>
      </c>
      <c r="CE27" s="405">
        <v>0.93564613281223574</v>
      </c>
      <c r="CF27" s="284">
        <f>IF(CC27,_xll.qDateYears(CC26,CC27,CF$13),0)</f>
        <v>0.24722222222222223</v>
      </c>
      <c r="CG27" s="284">
        <f t="shared" si="25"/>
        <v>294.90067773948937</v>
      </c>
      <c r="CI27" s="494">
        <f t="shared" si="14"/>
        <v>1200.3250645409757</v>
      </c>
      <c r="CJ27" s="487" t="s">
        <v>394</v>
      </c>
      <c r="CK27" s="126">
        <f t="shared" si="15"/>
        <v>1.0135800723265049</v>
      </c>
      <c r="CM27" s="138"/>
      <c r="CO27" s="560">
        <v>41778</v>
      </c>
      <c r="CP27" s="155" t="str">
        <f t="shared" si="6"/>
        <v>3Y</v>
      </c>
      <c r="CQ27" s="405">
        <v>0.94099617043561845</v>
      </c>
      <c r="CR27" s="284">
        <f>IF(CO27,_xll.qDateYears(CO26,CO27,CR$13),0)</f>
        <v>0.24383561643835616</v>
      </c>
      <c r="CS27" s="284">
        <f t="shared" si="26"/>
        <v>293.11670569135771</v>
      </c>
      <c r="CU27" s="494">
        <f t="shared" si="16"/>
        <v>1171.4577039879493</v>
      </c>
      <c r="CV27" s="487" t="s">
        <v>394</v>
      </c>
      <c r="CW27" s="126">
        <f t="shared" si="17"/>
        <v>1.0385569718744827</v>
      </c>
      <c r="CX27" s="126"/>
      <c r="CY27" s="138"/>
      <c r="DA27" s="560">
        <v>41778</v>
      </c>
      <c r="DB27" s="155" t="str">
        <f t="shared" si="7"/>
        <v>3Y</v>
      </c>
      <c r="DC27" s="405">
        <v>0.88611451293994103</v>
      </c>
      <c r="DD27" s="284">
        <f>IF(DA27,_xll.qDateYears(DA26,DA27,DD$13),0)</f>
        <v>0.24383561643835616</v>
      </c>
      <c r="DE27" s="284">
        <f t="shared" si="27"/>
        <v>283.67560285760084</v>
      </c>
      <c r="DG27" s="494">
        <f t="shared" si="18"/>
        <v>1023.6863306879851</v>
      </c>
      <c r="DH27" s="487" t="s">
        <v>394</v>
      </c>
      <c r="DI27" s="126">
        <f t="shared" si="19"/>
        <v>1.1884749549357621</v>
      </c>
      <c r="DJ27" s="126"/>
      <c r="DK27" s="138"/>
      <c r="DM27" s="560">
        <v>41778</v>
      </c>
      <c r="DN27" s="155" t="str">
        <f t="shared" si="8"/>
        <v>3Y</v>
      </c>
      <c r="DO27" s="405">
        <v>0.96477815740802031</v>
      </c>
      <c r="DP27" s="284">
        <f>IF(DM27,_xll.qDateYears(DM26,DM27,DP$13),0)</f>
        <v>0.24722222222222223</v>
      </c>
      <c r="DQ27" s="284">
        <f t="shared" si="28"/>
        <v>300.58183298338918</v>
      </c>
      <c r="DS27" s="494">
        <f t="shared" si="20"/>
        <v>1216.6255657327588</v>
      </c>
      <c r="DT27" s="487" t="s">
        <v>394</v>
      </c>
      <c r="DU27" s="126">
        <f t="shared" si="21"/>
        <v>1</v>
      </c>
      <c r="ED27" s="580" t="s">
        <v>7</v>
      </c>
      <c r="EE27" s="215"/>
      <c r="EF27" s="803">
        <f>_xll.qDateNext($EF$14,ED27,"M",TRUE,$ED$11)</f>
        <v>41778</v>
      </c>
      <c r="EG27" s="804"/>
      <c r="EH27" s="512">
        <v>0.71755000000000002</v>
      </c>
      <c r="EI27" s="512">
        <v>0.71764047489206606</v>
      </c>
      <c r="EJ27" s="799"/>
      <c r="EK27" s="512">
        <v>0.9317899999999999</v>
      </c>
      <c r="EL27" s="512">
        <v>0.93241710004523237</v>
      </c>
      <c r="EM27" s="215"/>
      <c r="EN27" s="215"/>
      <c r="EO27" s="805">
        <f t="shared" si="9"/>
        <v>327.00827856987911</v>
      </c>
      <c r="EP27" s="805">
        <f t="shared" si="10"/>
        <v>322.79942828970286</v>
      </c>
      <c r="EQ27" s="805">
        <f t="shared" si="22"/>
        <v>-4.2088502801762502</v>
      </c>
      <c r="ER27" s="215"/>
      <c r="ES27" s="800">
        <f t="shared" si="1"/>
        <v>0.77007694866869159</v>
      </c>
      <c r="ET27" s="800">
        <f t="shared" si="2"/>
        <v>0.76965606364067396</v>
      </c>
    </row>
    <row r="28" spans="11:154">
      <c r="K28" s="470" t="s">
        <v>15</v>
      </c>
      <c r="L28" s="466" t="s">
        <v>371</v>
      </c>
      <c r="M28" s="466" t="s">
        <v>371</v>
      </c>
      <c r="N28" s="466" t="s">
        <v>370</v>
      </c>
      <c r="O28" s="466" t="s">
        <v>371</v>
      </c>
      <c r="P28" s="466"/>
      <c r="Q28" s="466" t="s">
        <v>371</v>
      </c>
      <c r="R28" s="155" t="str">
        <v>A</v>
      </c>
      <c r="T28" s="466" t="s">
        <v>371</v>
      </c>
      <c r="U28" s="466" t="s">
        <v>369</v>
      </c>
      <c r="V28" s="466" t="s">
        <v>371</v>
      </c>
      <c r="W28" s="466" t="s">
        <v>371</v>
      </c>
      <c r="X28" s="466" t="s">
        <v>369</v>
      </c>
      <c r="Y28" s="466" t="s">
        <v>369</v>
      </c>
      <c r="Z28" s="155" t="str">
        <v>S</v>
      </c>
      <c r="AA28" s="155"/>
      <c r="AB28" s="154" t="str">
        <f t="shared" si="29"/>
        <v>EUR.ZB.6M|[Swap Pricer 1f.xlsm]EU!$BC$55#13273</v>
      </c>
      <c r="AC28" s="153" t="s">
        <v>81</v>
      </c>
      <c r="AE28" s="472">
        <v>4</v>
      </c>
      <c r="BE28" s="151" t="s">
        <v>17</v>
      </c>
      <c r="BF28" s="215"/>
      <c r="BG28" s="580">
        <v>41870</v>
      </c>
      <c r="BH28" s="151" t="str">
        <f t="shared" si="3"/>
        <v>3.25Y</v>
      </c>
      <c r="BI28" s="512">
        <v>0.95826334672390401</v>
      </c>
      <c r="BJ28" s="513">
        <f>IF(BG28,_xll.qDateYears(BG27,BG28,$BJ$13),0)</f>
        <v>0.25555555555555554</v>
      </c>
      <c r="BK28" s="513">
        <f t="shared" si="23"/>
        <v>325.07078517744452</v>
      </c>
      <c r="BL28" s="513"/>
      <c r="BM28" s="514">
        <f t="shared" si="11"/>
        <v>1467.2252373577055</v>
      </c>
      <c r="BN28" s="486"/>
      <c r="BO28" s="515"/>
      <c r="BP28" s="513"/>
      <c r="BQ28" s="580">
        <v>41870</v>
      </c>
      <c r="BR28" s="485" t="str">
        <f t="shared" si="4"/>
        <v>3.25Y</v>
      </c>
      <c r="BS28" s="512">
        <v>0.83636215163539163</v>
      </c>
      <c r="BT28" s="513">
        <f>IF(BQ28,_xll.qDateYears(BQ27,BQ28,BT$13),0)</f>
        <v>0.25205479452054796</v>
      </c>
      <c r="BU28" s="513">
        <f t="shared" si="24"/>
        <v>296.63462333372604</v>
      </c>
      <c r="BV28" s="485"/>
      <c r="BW28" s="514">
        <f t="shared" si="12"/>
        <v>1156.0287099154709</v>
      </c>
      <c r="BX28" s="516" t="s">
        <v>394</v>
      </c>
      <c r="BY28" s="512">
        <f t="shared" si="13"/>
        <v>1.2691944627093124</v>
      </c>
      <c r="BZ28" s="485"/>
      <c r="CA28" s="517"/>
      <c r="CB28" s="513"/>
      <c r="CC28" s="580">
        <v>41870</v>
      </c>
      <c r="CD28" s="485" t="str">
        <f t="shared" si="5"/>
        <v>3.25Y</v>
      </c>
      <c r="CE28" s="512">
        <v>0.92807590175364041</v>
      </c>
      <c r="CF28" s="513">
        <f>IF(CC28,_xll.qDateYears(CC27,CC28,CF$13),0)</f>
        <v>0.25555555555555554</v>
      </c>
      <c r="CG28" s="513">
        <f t="shared" si="25"/>
        <v>318.61817300652683</v>
      </c>
      <c r="CH28" s="485"/>
      <c r="CI28" s="514">
        <f t="shared" si="14"/>
        <v>1457.6905670638062</v>
      </c>
      <c r="CJ28" s="516" t="s">
        <v>394</v>
      </c>
      <c r="CK28" s="512">
        <f t="shared" si="15"/>
        <v>1.0065409425767944</v>
      </c>
      <c r="CL28" s="215"/>
      <c r="CM28" s="518"/>
      <c r="CN28" s="513"/>
      <c r="CO28" s="580">
        <v>41870</v>
      </c>
      <c r="CP28" s="485" t="str">
        <f t="shared" si="6"/>
        <v>3.25Y</v>
      </c>
      <c r="CQ28" s="512">
        <v>0.93338238022500608</v>
      </c>
      <c r="CR28" s="513">
        <f>IF(CO28,_xll.qDateYears(CO27,CO28,CR$13),0)</f>
        <v>0.25205479452054796</v>
      </c>
      <c r="CS28" s="513">
        <f t="shared" si="26"/>
        <v>316.6430560970291</v>
      </c>
      <c r="CT28" s="485"/>
      <c r="CU28" s="514">
        <f t="shared" si="16"/>
        <v>1417.3781089372819</v>
      </c>
      <c r="CV28" s="516" t="s">
        <v>394</v>
      </c>
      <c r="CW28" s="512">
        <f t="shared" si="17"/>
        <v>1.0351685468444252</v>
      </c>
      <c r="CX28" s="512"/>
      <c r="CY28" s="518"/>
      <c r="CZ28" s="513"/>
      <c r="DA28" s="580">
        <v>41870</v>
      </c>
      <c r="DB28" s="485" t="str">
        <f t="shared" si="7"/>
        <v>3.25Y</v>
      </c>
      <c r="DC28" s="512">
        <v>0.87414812156826072</v>
      </c>
      <c r="DD28" s="513">
        <f>IF(DA28,_xll.qDateYears(DA27,DA28,DD$13),0)</f>
        <v>0.25205479452054796</v>
      </c>
      <c r="DE28" s="513">
        <f t="shared" si="27"/>
        <v>305.70892537384191</v>
      </c>
      <c r="DF28" s="485"/>
      <c r="DG28" s="514">
        <f t="shared" si="18"/>
        <v>1200.2783337468875</v>
      </c>
      <c r="DH28" s="516" t="s">
        <v>394</v>
      </c>
      <c r="DI28" s="512">
        <f t="shared" si="19"/>
        <v>1.2224041675212904</v>
      </c>
      <c r="DJ28" s="512"/>
      <c r="DK28" s="518"/>
      <c r="DL28" s="513"/>
      <c r="DM28" s="580">
        <v>41870</v>
      </c>
      <c r="DN28" s="485" t="str">
        <f t="shared" si="8"/>
        <v>3.25Y</v>
      </c>
      <c r="DO28" s="512">
        <v>0.95826334672390401</v>
      </c>
      <c r="DP28" s="513">
        <f>IF(DM28,_xll.qDateYears(DM27,DM28,DP$13),0)</f>
        <v>0.25555555555555554</v>
      </c>
      <c r="DQ28" s="513">
        <f t="shared" si="28"/>
        <v>325.07078517744452</v>
      </c>
      <c r="DR28" s="485"/>
      <c r="DS28" s="514">
        <f t="shared" si="20"/>
        <v>1467.2252373577055</v>
      </c>
      <c r="DT28" s="516" t="s">
        <v>394</v>
      </c>
      <c r="DU28" s="512">
        <f t="shared" si="21"/>
        <v>1</v>
      </c>
      <c r="ED28" s="122" t="s">
        <v>8</v>
      </c>
      <c r="EF28" s="801">
        <f>_xll.qDateNext($EF$14,ED28,"M",TRUE,$ED$11)</f>
        <v>42143</v>
      </c>
      <c r="EH28" s="405">
        <v>0.69894999999999996</v>
      </c>
      <c r="EI28" s="405">
        <v>0.69849881232978572</v>
      </c>
      <c r="EK28" s="405">
        <v>0.90474999999999994</v>
      </c>
      <c r="EL28" s="405">
        <v>0.90514981550215179</v>
      </c>
      <c r="EO28" s="481">
        <f t="shared" si="9"/>
        <v>351.57728317890104</v>
      </c>
      <c r="EP28" s="481">
        <f t="shared" si="10"/>
        <v>343.18023480065409</v>
      </c>
      <c r="EQ28" s="481">
        <f t="shared" si="22"/>
        <v>-8.3970483782469501</v>
      </c>
      <c r="ES28" s="686">
        <f t="shared" si="1"/>
        <v>0.77253384912959377</v>
      </c>
      <c r="ET28" s="686">
        <f t="shared" si="2"/>
        <v>0.77169414429176908</v>
      </c>
    </row>
    <row r="29" spans="11:154">
      <c r="K29" s="470" t="s">
        <v>16</v>
      </c>
      <c r="L29" s="466" t="s">
        <v>371</v>
      </c>
      <c r="M29" s="466" t="s">
        <v>371</v>
      </c>
      <c r="N29" s="466" t="s">
        <v>370</v>
      </c>
      <c r="O29" s="466" t="s">
        <v>371</v>
      </c>
      <c r="P29" s="466"/>
      <c r="Q29" s="466" t="s">
        <v>371</v>
      </c>
      <c r="R29" s="155" t="str">
        <v>A</v>
      </c>
      <c r="T29" s="466" t="s">
        <v>371</v>
      </c>
      <c r="U29" s="466" t="s">
        <v>369</v>
      </c>
      <c r="V29" s="466" t="s">
        <v>371</v>
      </c>
      <c r="W29" s="466" t="s">
        <v>371</v>
      </c>
      <c r="X29" s="466" t="s">
        <v>369</v>
      </c>
      <c r="Y29" s="466" t="s">
        <v>369</v>
      </c>
      <c r="Z29" s="155" t="str">
        <v>S</v>
      </c>
      <c r="AA29" s="155"/>
      <c r="AB29" s="154" t="str">
        <f t="shared" si="29"/>
        <v>EUR.ZB.6M|[Swap Pricer 1f.xlsm]EU!$BC$55#13273</v>
      </c>
      <c r="AC29" s="153" t="s">
        <v>81</v>
      </c>
      <c r="AE29" s="472">
        <v>5</v>
      </c>
      <c r="BE29" s="121" t="s">
        <v>18</v>
      </c>
      <c r="BG29" s="560">
        <v>41962</v>
      </c>
      <c r="BH29" s="154" t="str">
        <f t="shared" si="3"/>
        <v>3.5Y</v>
      </c>
      <c r="BI29" s="405">
        <v>0.95130948655973735</v>
      </c>
      <c r="BJ29" s="284">
        <f>IF(BG29,_xll.qDateYears(BG28,BG29,$BJ$13),0)</f>
        <v>0.25555555555555554</v>
      </c>
      <c r="BK29" s="284">
        <f t="shared" si="23"/>
        <v>349.38202761174892</v>
      </c>
      <c r="BM29" s="494">
        <f t="shared" si="11"/>
        <v>1665.909109191356</v>
      </c>
      <c r="BN29" s="484"/>
      <c r="BO29" s="491"/>
      <c r="BQ29" s="560">
        <v>41962</v>
      </c>
      <c r="BR29" s="155" t="str">
        <f t="shared" si="4"/>
        <v>3.5Y</v>
      </c>
      <c r="BS29" s="405">
        <v>0.82393062042565512</v>
      </c>
      <c r="BT29" s="284">
        <f>IF(BQ29,_xll.qDateYears(BQ28,BQ29,BT$13),0)</f>
        <v>0.25205479452054796</v>
      </c>
      <c r="BU29" s="284">
        <f t="shared" si="24"/>
        <v>317.40218965678366</v>
      </c>
      <c r="BW29" s="494">
        <f t="shared" si="12"/>
        <v>1293.8549386115822</v>
      </c>
      <c r="BX29" s="487" t="s">
        <v>394</v>
      </c>
      <c r="BY29" s="126">
        <f t="shared" si="13"/>
        <v>1.2875547787289201</v>
      </c>
      <c r="CA29" s="496"/>
      <c r="CC29" s="560">
        <v>41962</v>
      </c>
      <c r="CD29" s="155" t="str">
        <f t="shared" si="5"/>
        <v>3.5Y</v>
      </c>
      <c r="CE29" s="405">
        <v>0.91989203651635931</v>
      </c>
      <c r="CF29" s="284">
        <f>IF(CC29,_xll.qDateYears(CC28,CC29,CF$13),0)</f>
        <v>0.25555555555555554</v>
      </c>
      <c r="CG29" s="284">
        <f t="shared" si="25"/>
        <v>342.12652505083378</v>
      </c>
      <c r="CI29" s="494">
        <f t="shared" si="14"/>
        <v>1667.5989205033809</v>
      </c>
      <c r="CJ29" s="487" t="s">
        <v>394</v>
      </c>
      <c r="CK29" s="126">
        <f t="shared" si="15"/>
        <v>0.99898668001565105</v>
      </c>
      <c r="CM29" s="138"/>
      <c r="CO29" s="560">
        <v>41962</v>
      </c>
      <c r="CP29" s="155" t="str">
        <f t="shared" si="6"/>
        <v>3.5Y</v>
      </c>
      <c r="CQ29" s="405">
        <v>0.92539747057341304</v>
      </c>
      <c r="CR29" s="284">
        <f>IF(CO29,_xll.qDateYears(CO28,CO29,CR$13),0)</f>
        <v>0.25205479452054796</v>
      </c>
      <c r="CS29" s="284">
        <f t="shared" si="26"/>
        <v>339.96814302655076</v>
      </c>
      <c r="CU29" s="494">
        <f t="shared" si="16"/>
        <v>1614.6265575081059</v>
      </c>
      <c r="CV29" s="487" t="s">
        <v>394</v>
      </c>
      <c r="CW29" s="126">
        <f t="shared" si="17"/>
        <v>1.0317612462428438</v>
      </c>
      <c r="CX29" s="126"/>
      <c r="CY29" s="138"/>
      <c r="DA29" s="560">
        <v>41962</v>
      </c>
      <c r="DB29" s="155" t="str">
        <f t="shared" si="7"/>
        <v>3.5Y</v>
      </c>
      <c r="DC29" s="405">
        <v>0.86188222242859591</v>
      </c>
      <c r="DD29" s="284">
        <f>IF(DA29,_xll.qDateYears(DA28,DA29,DD$13),0)</f>
        <v>0.25205479452054796</v>
      </c>
      <c r="DE29" s="284">
        <f t="shared" si="27"/>
        <v>327.43308002135723</v>
      </c>
      <c r="DG29" s="494">
        <f t="shared" si="18"/>
        <v>1331.6216832080379</v>
      </c>
      <c r="DH29" s="487" t="s">
        <v>394</v>
      </c>
      <c r="DI29" s="126">
        <f t="shared" si="19"/>
        <v>1.2510378361953218</v>
      </c>
      <c r="DJ29" s="126"/>
      <c r="DK29" s="138"/>
      <c r="DM29" s="560">
        <v>41962</v>
      </c>
      <c r="DN29" s="155" t="str">
        <f t="shared" si="8"/>
        <v>3.5Y</v>
      </c>
      <c r="DO29" s="405">
        <v>0.95130948655973735</v>
      </c>
      <c r="DP29" s="284">
        <f>IF(DM29,_xll.qDateYears(DM28,DM29,DP$13),0)</f>
        <v>0.25555555555555554</v>
      </c>
      <c r="DQ29" s="284">
        <f t="shared" si="28"/>
        <v>349.38202761174892</v>
      </c>
      <c r="DS29" s="494">
        <f t="shared" si="20"/>
        <v>1665.909109191356</v>
      </c>
      <c r="DT29" s="487" t="s">
        <v>394</v>
      </c>
      <c r="DU29" s="126">
        <f t="shared" si="21"/>
        <v>1</v>
      </c>
      <c r="ED29" s="580" t="s">
        <v>9</v>
      </c>
      <c r="EE29" s="215"/>
      <c r="EF29" s="803">
        <f>_xll.qDateNext($EF$14,ED29,"M",TRUE,$ED$11)</f>
        <v>42509</v>
      </c>
      <c r="EG29" s="804"/>
      <c r="EH29" s="512">
        <v>0.67969999999999997</v>
      </c>
      <c r="EI29" s="512">
        <v>0.68155148355140904</v>
      </c>
      <c r="EJ29" s="799"/>
      <c r="EK29" s="512">
        <v>0.88103999999999993</v>
      </c>
      <c r="EL29" s="512">
        <v>0.88190146187468199</v>
      </c>
      <c r="EM29" s="215"/>
      <c r="EN29" s="215"/>
      <c r="EO29" s="805">
        <f t="shared" si="9"/>
        <v>340.98500090866014</v>
      </c>
      <c r="EP29" s="805">
        <f t="shared" si="10"/>
        <v>354.44327974736069</v>
      </c>
      <c r="EQ29" s="805">
        <f t="shared" si="22"/>
        <v>13.458278838700551</v>
      </c>
      <c r="ER29" s="215"/>
      <c r="ES29" s="800">
        <f t="shared" si="1"/>
        <v>0.77147462090256969</v>
      </c>
      <c r="ET29" s="800">
        <f t="shared" si="2"/>
        <v>0.77282044878643974</v>
      </c>
    </row>
    <row r="30" spans="11:154">
      <c r="K30" s="470" t="s">
        <v>17</v>
      </c>
      <c r="L30" s="466" t="s">
        <v>371</v>
      </c>
      <c r="M30" s="466" t="s">
        <v>371</v>
      </c>
      <c r="N30" s="466" t="s">
        <v>370</v>
      </c>
      <c r="O30" s="466" t="s">
        <v>371</v>
      </c>
      <c r="P30" s="466"/>
      <c r="Q30" s="466" t="s">
        <v>371</v>
      </c>
      <c r="R30" s="155" t="str">
        <v>A</v>
      </c>
      <c r="T30" s="466" t="s">
        <v>371</v>
      </c>
      <c r="U30" s="466" t="s">
        <v>369</v>
      </c>
      <c r="V30" s="466" t="s">
        <v>371</v>
      </c>
      <c r="W30" s="466" t="s">
        <v>371</v>
      </c>
      <c r="X30" s="466" t="s">
        <v>369</v>
      </c>
      <c r="Y30" s="466" t="s">
        <v>369</v>
      </c>
      <c r="Z30" s="155" t="str">
        <v>S</v>
      </c>
      <c r="AA30" s="155"/>
      <c r="AB30" s="154" t="str">
        <f t="shared" si="29"/>
        <v>EUR.ZB.6M|[Swap Pricer 1f.xlsm]EU!$BC$55#13273</v>
      </c>
      <c r="AC30" s="153" t="s">
        <v>81</v>
      </c>
      <c r="AE30" s="472">
        <v>6</v>
      </c>
      <c r="BE30" s="151" t="s">
        <v>19</v>
      </c>
      <c r="BF30" s="215"/>
      <c r="BG30" s="580">
        <v>42054</v>
      </c>
      <c r="BH30" s="151" t="str">
        <f t="shared" si="3"/>
        <v>3.75Y</v>
      </c>
      <c r="BI30" s="512">
        <v>0.94386691787290877</v>
      </c>
      <c r="BJ30" s="513">
        <f>IF(BG30,_xll.qDateYears(BG29,BG30,$BJ$13),0)</f>
        <v>0.25555555555555554</v>
      </c>
      <c r="BK30" s="513">
        <f t="shared" si="23"/>
        <v>373.50307106850101</v>
      </c>
      <c r="BL30" s="513"/>
      <c r="BM30" s="514">
        <f t="shared" si="11"/>
        <v>1824.395281841958</v>
      </c>
      <c r="BN30" s="486"/>
      <c r="BO30" s="515"/>
      <c r="BP30" s="513"/>
      <c r="BQ30" s="580">
        <v>42054</v>
      </c>
      <c r="BR30" s="485" t="str">
        <f t="shared" si="4"/>
        <v>3.75Y</v>
      </c>
      <c r="BS30" s="512">
        <v>0.81154877743598164</v>
      </c>
      <c r="BT30" s="513">
        <f>IF(BQ30,_xll.qDateYears(BQ29,BQ30,BT$13),0)</f>
        <v>0.25205479452054796</v>
      </c>
      <c r="BU30" s="513">
        <f t="shared" si="24"/>
        <v>337.85766569078646</v>
      </c>
      <c r="BV30" s="485"/>
      <c r="BW30" s="514">
        <f t="shared" si="12"/>
        <v>1408.2619774279437</v>
      </c>
      <c r="BX30" s="516" t="s">
        <v>394</v>
      </c>
      <c r="BY30" s="512">
        <f t="shared" si="13"/>
        <v>1.2954942411880224</v>
      </c>
      <c r="BZ30" s="485"/>
      <c r="CA30" s="517"/>
      <c r="CB30" s="513"/>
      <c r="CC30" s="580">
        <v>42054</v>
      </c>
      <c r="CD30" s="485" t="str">
        <f t="shared" si="5"/>
        <v>3.75Y</v>
      </c>
      <c r="CE30" s="512">
        <v>0.91137715729331858</v>
      </c>
      <c r="CF30" s="513">
        <f>IF(CC30,_xll.qDateYears(CC29,CC30,CF$13),0)</f>
        <v>0.25555555555555554</v>
      </c>
      <c r="CG30" s="513">
        <f t="shared" si="25"/>
        <v>365.41727462610748</v>
      </c>
      <c r="CH30" s="485"/>
      <c r="CI30" s="514">
        <f t="shared" si="14"/>
        <v>1844.1307232069207</v>
      </c>
      <c r="CJ30" s="516" t="s">
        <v>394</v>
      </c>
      <c r="CK30" s="512">
        <f t="shared" si="15"/>
        <v>0.98929824165032998</v>
      </c>
      <c r="CL30" s="215"/>
      <c r="CM30" s="518"/>
      <c r="CN30" s="513"/>
      <c r="CO30" s="580">
        <v>42054</v>
      </c>
      <c r="CP30" s="485" t="str">
        <f t="shared" si="6"/>
        <v>3.75Y</v>
      </c>
      <c r="CQ30" s="512">
        <v>0.91705219774886815</v>
      </c>
      <c r="CR30" s="513">
        <f>IF(CO30,_xll.qDateYears(CO29,CO30,CR$13),0)</f>
        <v>0.25205479452054796</v>
      </c>
      <c r="CS30" s="513">
        <f t="shared" si="26"/>
        <v>363.08288335337153</v>
      </c>
      <c r="CT30" s="485"/>
      <c r="CU30" s="514">
        <f t="shared" si="16"/>
        <v>1773.6685520376464</v>
      </c>
      <c r="CV30" s="516" t="s">
        <v>394</v>
      </c>
      <c r="CW30" s="512">
        <f t="shared" si="17"/>
        <v>1.0285998924353905</v>
      </c>
      <c r="CX30" s="512"/>
      <c r="CY30" s="518"/>
      <c r="CZ30" s="513"/>
      <c r="DA30" s="580">
        <v>42054</v>
      </c>
      <c r="DB30" s="485" t="str">
        <f t="shared" si="7"/>
        <v>3.75Y</v>
      </c>
      <c r="DC30" s="512">
        <v>0.8493342244828499</v>
      </c>
      <c r="DD30" s="513">
        <f>IF(DA30,_xll.qDateYears(DA29,DA30,DD$13),0)</f>
        <v>0.25205479452054796</v>
      </c>
      <c r="DE30" s="513">
        <f t="shared" si="27"/>
        <v>348.8409563644866</v>
      </c>
      <c r="DF30" s="485"/>
      <c r="DG30" s="514">
        <f t="shared" si="18"/>
        <v>1429.2638230818263</v>
      </c>
      <c r="DH30" s="516" t="s">
        <v>394</v>
      </c>
      <c r="DI30" s="512">
        <f t="shared" si="19"/>
        <v>1.2764580285171816</v>
      </c>
      <c r="DJ30" s="512"/>
      <c r="DK30" s="518"/>
      <c r="DL30" s="513"/>
      <c r="DM30" s="580">
        <v>42054</v>
      </c>
      <c r="DN30" s="485" t="str">
        <f t="shared" si="8"/>
        <v>3.75Y</v>
      </c>
      <c r="DO30" s="512">
        <v>0.94386691787290877</v>
      </c>
      <c r="DP30" s="513">
        <f>IF(DM30,_xll.qDateYears(DM29,DM30,DP$13),0)</f>
        <v>0.25555555555555554</v>
      </c>
      <c r="DQ30" s="513">
        <f t="shared" si="28"/>
        <v>373.50307106850101</v>
      </c>
      <c r="DR30" s="485"/>
      <c r="DS30" s="514">
        <f t="shared" si="20"/>
        <v>1824.395281841958</v>
      </c>
      <c r="DT30" s="516" t="s">
        <v>394</v>
      </c>
      <c r="DU30" s="512">
        <f t="shared" si="21"/>
        <v>1</v>
      </c>
      <c r="EH30" s="405">
        <v>0</v>
      </c>
      <c r="EI30" s="405">
        <v>0</v>
      </c>
      <c r="EK30" s="405">
        <v>0</v>
      </c>
      <c r="EL30" s="405">
        <v>0</v>
      </c>
      <c r="EO30" s="481">
        <f t="shared" si="9"/>
        <v>0</v>
      </c>
      <c r="EP30" s="481">
        <f t="shared" si="10"/>
        <v>0</v>
      </c>
      <c r="EQ30" s="481">
        <f t="shared" si="22"/>
        <v>0</v>
      </c>
      <c r="ES30" s="686">
        <f t="shared" si="1"/>
        <v>0</v>
      </c>
      <c r="ET30" s="686">
        <f t="shared" si="2"/>
        <v>0</v>
      </c>
    </row>
    <row r="31" spans="11:154">
      <c r="K31" s="470" t="s">
        <v>18</v>
      </c>
      <c r="L31" s="466" t="s">
        <v>371</v>
      </c>
      <c r="M31" s="466" t="s">
        <v>371</v>
      </c>
      <c r="N31" s="466" t="s">
        <v>370</v>
      </c>
      <c r="O31" s="466" t="s">
        <v>371</v>
      </c>
      <c r="P31" s="466"/>
      <c r="Q31" s="466" t="s">
        <v>371</v>
      </c>
      <c r="R31" s="155" t="str">
        <v>A</v>
      </c>
      <c r="T31" s="466" t="s">
        <v>371</v>
      </c>
      <c r="U31" s="466" t="s">
        <v>369</v>
      </c>
      <c r="V31" s="466" t="s">
        <v>371</v>
      </c>
      <c r="W31" s="466" t="s">
        <v>371</v>
      </c>
      <c r="X31" s="466" t="s">
        <v>369</v>
      </c>
      <c r="Y31" s="466" t="s">
        <v>369</v>
      </c>
      <c r="Z31" s="155" t="str">
        <v>S</v>
      </c>
      <c r="AA31" s="155"/>
      <c r="AB31" s="154" t="str">
        <f t="shared" si="29"/>
        <v>EUR.ZB.6M|[Swap Pricer 1f.xlsm]EU!$BC$55#13273</v>
      </c>
      <c r="AC31" s="153" t="s">
        <v>81</v>
      </c>
      <c r="AE31" s="472">
        <v>7</v>
      </c>
      <c r="BE31" s="121" t="s">
        <v>215</v>
      </c>
      <c r="BG31" s="560">
        <v>42143</v>
      </c>
      <c r="BH31" s="154" t="str">
        <f t="shared" si="3"/>
        <v>4Y</v>
      </c>
      <c r="BI31" s="405">
        <v>0.93621374965512283</v>
      </c>
      <c r="BJ31" s="284">
        <f>IF(BG31,_xll.qDateYears(BG30,BG31,$BJ$13),0)</f>
        <v>0.24722222222222223</v>
      </c>
      <c r="BK31" s="284">
        <f t="shared" si="23"/>
        <v>396.64835543497486</v>
      </c>
      <c r="BM31" s="494">
        <f t="shared" si="11"/>
        <v>1952.3406650723823</v>
      </c>
      <c r="BN31" s="484"/>
      <c r="BO31" s="491"/>
      <c r="BQ31" s="560">
        <v>42143</v>
      </c>
      <c r="BR31" s="155" t="str">
        <f t="shared" si="4"/>
        <v>4Y</v>
      </c>
      <c r="BS31" s="405">
        <v>0.79961989872311567</v>
      </c>
      <c r="BT31" s="284">
        <f>IF(BQ31,_xll.qDateYears(BQ30,BQ31,BT$13),0)</f>
        <v>0.24383561643835616</v>
      </c>
      <c r="BU31" s="284">
        <f t="shared" si="24"/>
        <v>357.35524678293916</v>
      </c>
      <c r="BW31" s="494">
        <f t="shared" si="12"/>
        <v>1506.9947049988375</v>
      </c>
      <c r="BX31" s="487" t="s">
        <v>394</v>
      </c>
      <c r="BY31" s="126">
        <f t="shared" si="13"/>
        <v>1.2955192600188257</v>
      </c>
      <c r="CA31" s="496"/>
      <c r="CC31" s="560">
        <v>42143</v>
      </c>
      <c r="CD31" s="155" t="str">
        <f t="shared" si="5"/>
        <v>4Y</v>
      </c>
      <c r="CE31" s="405">
        <v>0.90283499706839043</v>
      </c>
      <c r="CF31" s="284">
        <f>IF(CC31,_xll.qDateYears(CC30,CC31,CF$13),0)</f>
        <v>0.24722222222222223</v>
      </c>
      <c r="CG31" s="284">
        <f t="shared" si="25"/>
        <v>387.73736205363161</v>
      </c>
      <c r="CI31" s="494">
        <f t="shared" si="14"/>
        <v>1994.3650470196449</v>
      </c>
      <c r="CJ31" s="487" t="s">
        <v>394</v>
      </c>
      <c r="CK31" s="126">
        <f t="shared" si="15"/>
        <v>0.97892844040259164</v>
      </c>
      <c r="CM31" s="138"/>
      <c r="CO31" s="560">
        <v>42143</v>
      </c>
      <c r="CP31" s="155" t="str">
        <f t="shared" si="6"/>
        <v>4Y</v>
      </c>
      <c r="CQ31" s="405">
        <v>0.90865145834602146</v>
      </c>
      <c r="CR31" s="284">
        <f>IF(CO31,_xll.qDateYears(CO30,CO31,CR$13),0)</f>
        <v>0.24383561643835616</v>
      </c>
      <c r="CS31" s="284">
        <f t="shared" si="26"/>
        <v>385.2390422007129</v>
      </c>
      <c r="CU31" s="494">
        <f t="shared" si="16"/>
        <v>1903.1400821237344</v>
      </c>
      <c r="CV31" s="487" t="s">
        <v>394</v>
      </c>
      <c r="CW31" s="126">
        <f t="shared" si="17"/>
        <v>1.0258523181823507</v>
      </c>
      <c r="CX31" s="126"/>
      <c r="CY31" s="138"/>
      <c r="DA31" s="560">
        <v>42143</v>
      </c>
      <c r="DB31" s="155" t="str">
        <f t="shared" si="7"/>
        <v>4Y</v>
      </c>
      <c r="DC31" s="405">
        <v>0.83694351626681895</v>
      </c>
      <c r="DD31" s="284">
        <f>IF(DA31,_xll.qDateYears(DA30,DA31,DD$13),0)</f>
        <v>0.24383561643835616</v>
      </c>
      <c r="DE31" s="284">
        <f t="shared" si="27"/>
        <v>369.2486201857871</v>
      </c>
      <c r="DG31" s="494">
        <f t="shared" si="18"/>
        <v>1501.8521041840393</v>
      </c>
      <c r="DH31" s="487" t="s">
        <v>394</v>
      </c>
      <c r="DI31" s="126">
        <f t="shared" si="19"/>
        <v>1.2999553415634724</v>
      </c>
      <c r="DJ31" s="126"/>
      <c r="DK31" s="138"/>
      <c r="DM31" s="560">
        <v>42143</v>
      </c>
      <c r="DN31" s="155" t="str">
        <f t="shared" si="8"/>
        <v>4Y</v>
      </c>
      <c r="DO31" s="405">
        <v>0.93621374965512283</v>
      </c>
      <c r="DP31" s="284">
        <f>IF(DM31,_xll.qDateYears(DM30,DM31,DP$13),0)</f>
        <v>0.24722222222222223</v>
      </c>
      <c r="DQ31" s="284">
        <f t="shared" si="28"/>
        <v>396.64835543497486</v>
      </c>
      <c r="DS31" s="494">
        <f t="shared" si="20"/>
        <v>1952.3406650723823</v>
      </c>
      <c r="DT31" s="487" t="s">
        <v>394</v>
      </c>
      <c r="DU31" s="126">
        <f t="shared" si="21"/>
        <v>1</v>
      </c>
      <c r="ED31" s="812" t="s">
        <v>761</v>
      </c>
      <c r="EH31" s="405">
        <v>0</v>
      </c>
      <c r="EI31" s="405">
        <v>0</v>
      </c>
      <c r="EK31" s="405">
        <v>0</v>
      </c>
      <c r="EL31" s="405">
        <v>0</v>
      </c>
    </row>
    <row r="32" spans="11:154">
      <c r="K32" s="470" t="s">
        <v>19</v>
      </c>
      <c r="L32" s="466" t="s">
        <v>371</v>
      </c>
      <c r="M32" s="466" t="s">
        <v>371</v>
      </c>
      <c r="N32" s="466" t="s">
        <v>370</v>
      </c>
      <c r="O32" s="466" t="s">
        <v>371</v>
      </c>
      <c r="P32" s="466"/>
      <c r="Q32" s="466" t="s">
        <v>371</v>
      </c>
      <c r="R32" s="155" t="str">
        <v>A</v>
      </c>
      <c r="T32" s="466" t="s">
        <v>371</v>
      </c>
      <c r="U32" s="466" t="s">
        <v>369</v>
      </c>
      <c r="V32" s="466" t="s">
        <v>371</v>
      </c>
      <c r="W32" s="466" t="s">
        <v>371</v>
      </c>
      <c r="X32" s="466" t="s">
        <v>369</v>
      </c>
      <c r="Y32" s="466" t="s">
        <v>369</v>
      </c>
      <c r="Z32" s="155" t="str">
        <v>S</v>
      </c>
      <c r="AA32" s="155"/>
      <c r="AB32" s="154" t="str">
        <f t="shared" si="29"/>
        <v>EUR.ZB.6M|[Swap Pricer 1f.xlsm]EU!$BC$55#13273</v>
      </c>
      <c r="AC32" s="153" t="s">
        <v>81</v>
      </c>
      <c r="AE32" s="472">
        <v>8</v>
      </c>
      <c r="BE32" s="151" t="s">
        <v>28</v>
      </c>
      <c r="BF32" s="215"/>
      <c r="BG32" s="580">
        <v>42235</v>
      </c>
      <c r="BH32" s="151" t="str">
        <f t="shared" si="3"/>
        <v>4.25Y</v>
      </c>
      <c r="BI32" s="512">
        <v>0.9282115097560234</v>
      </c>
      <c r="BJ32" s="513">
        <f>IF(BG32,_xll.qDateYears(BG31,BG32,$BJ$13),0)</f>
        <v>0.25555555555555554</v>
      </c>
      <c r="BK32" s="513">
        <f t="shared" si="23"/>
        <v>420.369316239851</v>
      </c>
      <c r="BL32" s="513"/>
      <c r="BM32" s="514">
        <f t="shared" si="11"/>
        <v>2056.6279283127069</v>
      </c>
      <c r="BN32" s="486"/>
      <c r="BO32" s="515"/>
      <c r="BP32" s="513"/>
      <c r="BQ32" s="580">
        <v>42235</v>
      </c>
      <c r="BR32" s="485" t="str">
        <f t="shared" si="4"/>
        <v>4.25Y</v>
      </c>
      <c r="BS32" s="512">
        <v>0.78721987222264744</v>
      </c>
      <c r="BT32" s="513">
        <f>IF(BQ32,_xll.qDateYears(BQ31,BQ32,BT$13),0)</f>
        <v>0.25205479452054796</v>
      </c>
      <c r="BU32" s="513">
        <f t="shared" si="24"/>
        <v>377.1975010964963</v>
      </c>
      <c r="BV32" s="485"/>
      <c r="BW32" s="514">
        <f t="shared" si="12"/>
        <v>1595.2503036834121</v>
      </c>
      <c r="BX32" s="516" t="s">
        <v>394</v>
      </c>
      <c r="BY32" s="512">
        <f t="shared" si="13"/>
        <v>1.2892195811302964</v>
      </c>
      <c r="BZ32" s="485"/>
      <c r="CA32" s="517"/>
      <c r="CB32" s="513"/>
      <c r="CC32" s="580">
        <v>42235</v>
      </c>
      <c r="CD32" s="485" t="str">
        <f t="shared" si="5"/>
        <v>4.25Y</v>
      </c>
      <c r="CE32" s="512">
        <v>0.89531388057564931</v>
      </c>
      <c r="CF32" s="513">
        <f>IF(CC32,_xll.qDateYears(CC31,CC32,CF$13),0)</f>
        <v>0.25555555555555554</v>
      </c>
      <c r="CG32" s="513">
        <f t="shared" si="25"/>
        <v>410.61760566834266</v>
      </c>
      <c r="CH32" s="485"/>
      <c r="CI32" s="514">
        <f t="shared" si="14"/>
        <v>2122.2968895583631</v>
      </c>
      <c r="CJ32" s="516" t="s">
        <v>394</v>
      </c>
      <c r="CK32" s="512">
        <f t="shared" si="15"/>
        <v>0.96905759907167299</v>
      </c>
      <c r="CL32" s="215"/>
      <c r="CM32" s="518"/>
      <c r="CN32" s="513"/>
      <c r="CO32" s="580">
        <v>42235</v>
      </c>
      <c r="CP32" s="485" t="str">
        <f t="shared" si="6"/>
        <v>4.25Y</v>
      </c>
      <c r="CQ32" s="512">
        <v>0.90009752989727965</v>
      </c>
      <c r="CR32" s="513">
        <f>IF(CO32,_xll.qDateYears(CO31,CO32,CR$13),0)</f>
        <v>0.25205479452054796</v>
      </c>
      <c r="CS32" s="513">
        <f t="shared" si="26"/>
        <v>407.92643199538406</v>
      </c>
      <c r="CT32" s="485"/>
      <c r="CU32" s="514">
        <f t="shared" si="16"/>
        <v>2008.7257783054149</v>
      </c>
      <c r="CV32" s="516" t="s">
        <v>394</v>
      </c>
      <c r="CW32" s="512">
        <f t="shared" si="17"/>
        <v>1.0238470330418634</v>
      </c>
      <c r="CX32" s="512"/>
      <c r="CY32" s="518"/>
      <c r="CZ32" s="513"/>
      <c r="DA32" s="580">
        <v>42235</v>
      </c>
      <c r="DB32" s="485" t="str">
        <f t="shared" si="7"/>
        <v>4.25Y</v>
      </c>
      <c r="DC32" s="512">
        <v>0.82457483904748219</v>
      </c>
      <c r="DD32" s="513">
        <f>IF(DA32,_xll.qDateYears(DA31,DA32,DD$13),0)</f>
        <v>0.25205479452054796</v>
      </c>
      <c r="DE32" s="513">
        <f t="shared" si="27"/>
        <v>390.03242434807981</v>
      </c>
      <c r="DF32" s="485"/>
      <c r="DG32" s="514">
        <f t="shared" si="18"/>
        <v>1555.7393791906093</v>
      </c>
      <c r="DH32" s="516" t="s">
        <v>394</v>
      </c>
      <c r="DI32" s="512">
        <f t="shared" si="19"/>
        <v>1.321961734607946</v>
      </c>
      <c r="DJ32" s="512"/>
      <c r="DK32" s="518"/>
      <c r="DL32" s="513"/>
      <c r="DM32" s="580">
        <v>42235</v>
      </c>
      <c r="DN32" s="485" t="str">
        <f t="shared" si="8"/>
        <v>4.25Y</v>
      </c>
      <c r="DO32" s="512">
        <v>0.9282115097560234</v>
      </c>
      <c r="DP32" s="513">
        <f>IF(DM32,_xll.qDateYears(DM31,DM32,DP$13),0)</f>
        <v>0.25555555555555554</v>
      </c>
      <c r="DQ32" s="513">
        <f t="shared" si="28"/>
        <v>420.369316239851</v>
      </c>
      <c r="DR32" s="485"/>
      <c r="DS32" s="514">
        <f t="shared" si="20"/>
        <v>2056.6279283127069</v>
      </c>
      <c r="DT32" s="516" t="s">
        <v>394</v>
      </c>
      <c r="DU32" s="512">
        <f t="shared" si="21"/>
        <v>1</v>
      </c>
      <c r="ED32" s="123" t="s">
        <v>11</v>
      </c>
      <c r="EF32" s="803">
        <f>IF(ED32=0,0,      IF(ISNUMBER(ED32),ED32,_xll.qDateNext($EF$14,ED32,"M",TRUE,$ED$11)))</f>
        <v>43241</v>
      </c>
      <c r="EG32" s="804"/>
      <c r="EH32" s="512">
        <v>0.65525</v>
      </c>
      <c r="EI32" s="512">
        <v>0.653256786884584</v>
      </c>
      <c r="EJ32" s="799"/>
      <c r="EK32" s="512">
        <v>0.84351499999999979</v>
      </c>
      <c r="EL32" s="512">
        <v>0.84336012545045969</v>
      </c>
      <c r="EM32" s="215"/>
      <c r="EN32" s="215"/>
      <c r="EO32" s="805">
        <f>IF(ES32=0,0,   10000*(ES32-ES$14))</f>
        <v>394.32827458333207</v>
      </c>
      <c r="EP32" s="805">
        <f>IF(ET32=0,0,   10000*(ET32-ET$14))</f>
        <v>372.12061829327905</v>
      </c>
      <c r="EQ32" s="805">
        <f t="shared" si="22"/>
        <v>-22.207656290053023</v>
      </c>
      <c r="ER32" s="215"/>
      <c r="ES32" s="800">
        <f>IF(EF32=0,0,        EH32/EK32)</f>
        <v>0.77680894827003688</v>
      </c>
      <c r="ET32" s="800">
        <f>IF(EF32=0,0,        EI32/EL32)</f>
        <v>0.77458818264103158</v>
      </c>
    </row>
    <row r="33" spans="11:150">
      <c r="K33" s="470" t="s">
        <v>28</v>
      </c>
      <c r="L33" s="466" t="s">
        <v>371</v>
      </c>
      <c r="M33" s="466" t="s">
        <v>371</v>
      </c>
      <c r="N33" s="466" t="s">
        <v>370</v>
      </c>
      <c r="O33" s="466" t="s">
        <v>371</v>
      </c>
      <c r="P33" s="466"/>
      <c r="Q33" s="466" t="s">
        <v>371</v>
      </c>
      <c r="R33" s="155" t="str">
        <v>A</v>
      </c>
      <c r="T33" s="466" t="s">
        <v>371</v>
      </c>
      <c r="U33" s="466" t="s">
        <v>369</v>
      </c>
      <c r="V33" s="466" t="s">
        <v>371</v>
      </c>
      <c r="W33" s="466" t="s">
        <v>371</v>
      </c>
      <c r="X33" s="466" t="s">
        <v>369</v>
      </c>
      <c r="Y33" s="466" t="s">
        <v>369</v>
      </c>
      <c r="Z33" s="155" t="str">
        <v>S</v>
      </c>
      <c r="AA33" s="155"/>
      <c r="AB33" s="154" t="str">
        <f t="shared" si="29"/>
        <v>EUR.ZB.6M|[Swap Pricer 1f.xlsm]EU!$BC$55#13273</v>
      </c>
      <c r="AC33" s="153" t="s">
        <v>81</v>
      </c>
      <c r="AE33" s="472">
        <v>9</v>
      </c>
      <c r="BG33" s="560">
        <v>42327</v>
      </c>
      <c r="BH33" s="154" t="str">
        <f t="shared" si="3"/>
        <v>4.5Y</v>
      </c>
      <c r="BI33" s="405">
        <v>0.91979548201102423</v>
      </c>
      <c r="BJ33" s="284">
        <f>IF(BG33,_xll.qDateYears(BG32,BG33,$BJ$13),0)</f>
        <v>0.25555555555555554</v>
      </c>
      <c r="BK33" s="284">
        <f t="shared" si="23"/>
        <v>443.87520078013273</v>
      </c>
      <c r="BQ33" s="560">
        <v>42327</v>
      </c>
      <c r="BR33" s="155" t="str">
        <f t="shared" si="4"/>
        <v>4.5Y</v>
      </c>
      <c r="BS33" s="405">
        <v>0.77486858999852148</v>
      </c>
      <c r="BT33" s="284">
        <f>IF(BQ33,_xll.qDateYears(BQ32,BQ33,BT$13),0)</f>
        <v>0.25205479452054796</v>
      </c>
      <c r="BU33" s="284">
        <f t="shared" si="24"/>
        <v>396.72843541974669</v>
      </c>
      <c r="CC33" s="560">
        <v>42327</v>
      </c>
      <c r="CD33" s="155" t="str">
        <f t="shared" si="5"/>
        <v>4.5Y</v>
      </c>
      <c r="CE33" s="405">
        <v>0.88765207764743181</v>
      </c>
      <c r="CF33" s="284">
        <f>IF(CC33,_xll.qDateYears(CC32,CC33,CF$13),0)</f>
        <v>0.25555555555555554</v>
      </c>
      <c r="CG33" s="284">
        <f t="shared" si="25"/>
        <v>433.30204765266592</v>
      </c>
      <c r="CO33" s="560">
        <v>42327</v>
      </c>
      <c r="CP33" s="155" t="str">
        <f t="shared" si="6"/>
        <v>4.5Y</v>
      </c>
      <c r="CQ33" s="405">
        <v>0.8912624975144674</v>
      </c>
      <c r="CR33" s="284">
        <f>IF(CO33,_xll.qDateYears(CO32,CO33,CR$13),0)</f>
        <v>0.25205479452054796</v>
      </c>
      <c r="CS33" s="284">
        <f t="shared" si="26"/>
        <v>430.39113056287204</v>
      </c>
      <c r="DA33" s="560">
        <v>42327</v>
      </c>
      <c r="DB33" s="155" t="str">
        <f t="shared" si="7"/>
        <v>4.5Y</v>
      </c>
      <c r="DC33" s="405">
        <v>0.81203449251751358</v>
      </c>
      <c r="DD33" s="284">
        <f>IF(DA33,_xll.qDateYears(DA32,DA33,DD$13),0)</f>
        <v>0.25205479452054796</v>
      </c>
      <c r="DE33" s="284">
        <f t="shared" si="27"/>
        <v>410.50014306358975</v>
      </c>
      <c r="DM33" s="560">
        <v>42327</v>
      </c>
      <c r="DN33" s="155" t="str">
        <f t="shared" si="8"/>
        <v>4.5Y</v>
      </c>
      <c r="DO33" s="405">
        <v>0.91979548201102423</v>
      </c>
      <c r="DP33" s="284">
        <f>IF(DM33,_xll.qDateYears(DM32,DM33,DP$13),0)</f>
        <v>0.25555555555555554</v>
      </c>
      <c r="DQ33" s="284">
        <f t="shared" si="28"/>
        <v>443.87520078013273</v>
      </c>
      <c r="ED33" s="123" t="s">
        <v>14</v>
      </c>
      <c r="EF33" s="801">
        <f>IF(ED33=0,0,      IF(ISNUMBER(ED33),ED33,_xll.qDateNext($EF$14,ED33,"M",TRUE,$ED$11)))</f>
        <v>44335</v>
      </c>
      <c r="EH33" s="405">
        <v>0.62075000000000002</v>
      </c>
      <c r="EI33" s="405">
        <v>0.61630487368819042</v>
      </c>
      <c r="EK33" s="405">
        <v>0.80098999999999987</v>
      </c>
      <c r="EL33" s="405">
        <v>0.80142753087997176</v>
      </c>
      <c r="EO33" s="481">
        <f>IF(ES33=0,0,   10000*(ES33-ES$14))</f>
        <v>376.02343338910106</v>
      </c>
      <c r="EP33" s="481">
        <f>IF(ET33=0,0,   10000*(ET33-ET$14))</f>
        <v>316.32741426263601</v>
      </c>
      <c r="EQ33" s="481">
        <f t="shared" si="22"/>
        <v>-59.696019126465046</v>
      </c>
      <c r="ES33" s="686">
        <f>IF(EF33=0,0,        EH33/EK33)</f>
        <v>0.77497846415061378</v>
      </c>
      <c r="ET33" s="686">
        <f>IF(EF33=0,0,        EI33/EL33)</f>
        <v>0.76900886223796727</v>
      </c>
    </row>
    <row r="34" spans="11:150">
      <c r="AC34" s="153" t="s">
        <v>81</v>
      </c>
      <c r="AE34" s="472">
        <v>10</v>
      </c>
      <c r="BE34" s="121" t="s">
        <v>392</v>
      </c>
      <c r="BG34" s="560">
        <v>42419</v>
      </c>
      <c r="BH34" s="154" t="str">
        <f t="shared" si="3"/>
        <v>4.75Y</v>
      </c>
      <c r="BI34" s="405">
        <v>0.91097838129958308</v>
      </c>
      <c r="BJ34" s="284">
        <f>IF(BG34,_xll.qDateYears(BG33,BG34,$BJ$13),0)</f>
        <v>0.25555555555555554</v>
      </c>
      <c r="BK34" s="284">
        <f t="shared" si="23"/>
        <v>467.1557594133443</v>
      </c>
      <c r="BM34" s="488" t="str">
        <f>BK11</f>
        <v>USD+GBP+AUD+EUR+GBP+NZD</v>
      </c>
      <c r="BQ34" s="560">
        <v>42419</v>
      </c>
      <c r="BR34" s="155" t="str">
        <f t="shared" si="4"/>
        <v>4.75Y</v>
      </c>
      <c r="BS34" s="405">
        <v>0.76256984625800361</v>
      </c>
      <c r="BT34" s="284">
        <f>IF(BQ34,_xll.qDateYears(BQ33,BQ34,BT$13),0)</f>
        <v>0.25205479452054796</v>
      </c>
      <c r="BU34" s="284">
        <f t="shared" si="24"/>
        <v>415.94937401035941</v>
      </c>
      <c r="CC34" s="560">
        <v>42419</v>
      </c>
      <c r="CD34" s="155" t="str">
        <f t="shared" si="5"/>
        <v>4.75Y</v>
      </c>
      <c r="CE34" s="405">
        <v>0.87985432059640478</v>
      </c>
      <c r="CF34" s="284">
        <f>IF(CC34,_xll.qDateYears(CC33,CC34,CF$13),0)</f>
        <v>0.25555555555555554</v>
      </c>
      <c r="CG34" s="284">
        <f t="shared" si="25"/>
        <v>455.78721362346295</v>
      </c>
      <c r="CO34" s="560">
        <v>42419</v>
      </c>
      <c r="CP34" s="155" t="str">
        <f t="shared" si="6"/>
        <v>4.75Y</v>
      </c>
      <c r="CQ34" s="405">
        <v>0.88215636004137299</v>
      </c>
      <c r="CR34" s="284">
        <f>IF(CO34,_xll.qDateYears(CO33,CO34,CR$13),0)</f>
        <v>0.25205479452054796</v>
      </c>
      <c r="CS34" s="284">
        <f t="shared" si="26"/>
        <v>452.62630456939434</v>
      </c>
      <c r="DA34" s="560">
        <v>42419</v>
      </c>
      <c r="DB34" s="155" t="str">
        <f t="shared" si="7"/>
        <v>4.75Y</v>
      </c>
      <c r="DC34" s="405">
        <v>0.79933606072022512</v>
      </c>
      <c r="DD34" s="284">
        <f>IF(DA34,_xll.qDateYears(DA33,DA34,DD$13),0)</f>
        <v>0.25205479452054796</v>
      </c>
      <c r="DE34" s="284">
        <f t="shared" si="27"/>
        <v>430.64779171735978</v>
      </c>
      <c r="DM34" s="560">
        <v>42419</v>
      </c>
      <c r="DN34" s="155" t="str">
        <f t="shared" si="8"/>
        <v>4.75Y</v>
      </c>
      <c r="DO34" s="405">
        <v>0.91097838129958308</v>
      </c>
      <c r="DP34" s="284">
        <f>IF(DM34,_xll.qDateYears(DM33,DM34,DP$13),0)</f>
        <v>0.25555555555555554</v>
      </c>
      <c r="DQ34" s="284">
        <f t="shared" si="28"/>
        <v>467.1557594133443</v>
      </c>
      <c r="ED34" s="123"/>
      <c r="EF34" s="803">
        <f>IF(ED34=0,0,      IF(ISNUMBER(ED34),ED34,_xll.qDateNext($EF$14,ED34,"M",TRUE,$ED$11)))</f>
        <v>0</v>
      </c>
      <c r="EG34" s="804"/>
      <c r="EH34" s="512">
        <v>0</v>
      </c>
      <c r="EI34" s="512">
        <v>0</v>
      </c>
      <c r="EJ34" s="799"/>
      <c r="EK34" s="512">
        <v>0</v>
      </c>
      <c r="EL34" s="512">
        <v>0</v>
      </c>
      <c r="EM34" s="215"/>
      <c r="EN34" s="215"/>
      <c r="EO34" s="805">
        <f t="shared" ref="EO34:EO40" si="30">IF(ES34=0,0,   10000*(ES34-ES$14))</f>
        <v>0</v>
      </c>
      <c r="EP34" s="805">
        <f t="shared" ref="EP34:EP40" si="31">IF(ET34=0,0,   10000*(ET34-ET$14))</f>
        <v>0</v>
      </c>
      <c r="EQ34" s="805">
        <f t="shared" ref="EQ34:EQ40" si="32">EP34-EO34</f>
        <v>0</v>
      </c>
      <c r="ER34" s="215"/>
      <c r="ES34" s="800">
        <f t="shared" ref="ES34:ES40" si="33">IF(EF34=0,0,        EH34/EK34)</f>
        <v>0</v>
      </c>
      <c r="ET34" s="800">
        <f t="shared" ref="ET34:ET40" si="34">IF(EF34=0,0,        EI34/EL34)</f>
        <v>0</v>
      </c>
    </row>
    <row r="35" spans="11:150">
      <c r="K35" s="470" t="s">
        <v>268</v>
      </c>
      <c r="L35" s="840" t="s">
        <v>148</v>
      </c>
      <c r="M35" s="840" t="s">
        <v>383</v>
      </c>
      <c r="N35" s="840" t="s">
        <v>383</v>
      </c>
      <c r="O35" s="840" t="s">
        <v>148</v>
      </c>
      <c r="P35" s="840" t="s">
        <v>767</v>
      </c>
      <c r="Q35" s="840" t="s">
        <v>148</v>
      </c>
      <c r="AC35" s="153" t="s">
        <v>81</v>
      </c>
      <c r="AE35" s="472">
        <v>12</v>
      </c>
      <c r="BG35" s="560">
        <v>42509</v>
      </c>
      <c r="BH35" s="154" t="str">
        <f t="shared" si="3"/>
        <v>5Y</v>
      </c>
      <c r="BI35" s="405">
        <v>0.90197756255923323</v>
      </c>
      <c r="BJ35" s="284">
        <f>IF(BG35,_xll.qDateYears(BG34,BG35,$BJ$13),0)</f>
        <v>0.25</v>
      </c>
      <c r="BK35" s="284">
        <f t="shared" si="23"/>
        <v>489.70519847732515</v>
      </c>
      <c r="BQ35" s="560">
        <v>42509</v>
      </c>
      <c r="BR35" s="155" t="str">
        <f t="shared" si="4"/>
        <v>5Y</v>
      </c>
      <c r="BS35" s="405">
        <v>0.75059195895992548</v>
      </c>
      <c r="BT35" s="284">
        <f>IF(BQ35,_xll.qDateYears(BQ34,BQ35,BT$13),0)</f>
        <v>0.24657534246575341</v>
      </c>
      <c r="BU35" s="284">
        <f t="shared" si="24"/>
        <v>434.45712094361784</v>
      </c>
      <c r="CC35" s="560">
        <v>42509</v>
      </c>
      <c r="CD35" s="155" t="str">
        <f t="shared" si="5"/>
        <v>5Y</v>
      </c>
      <c r="CE35" s="405">
        <v>0.87209912177511073</v>
      </c>
      <c r="CF35" s="284">
        <f>IF(CC35,_xll.qDateYears(CC34,CC35,CF$13),0)</f>
        <v>0.25</v>
      </c>
      <c r="CG35" s="284">
        <f t="shared" si="25"/>
        <v>477.58969166784073</v>
      </c>
      <c r="CO35" s="560">
        <v>42509</v>
      </c>
      <c r="CP35" s="155" t="str">
        <f t="shared" si="6"/>
        <v>5Y</v>
      </c>
      <c r="CQ35" s="405">
        <v>0.873007083302208</v>
      </c>
      <c r="CR35" s="284">
        <f>IF(CO35,_xll.qDateYears(CO34,CO35,CR$13),0)</f>
        <v>0.24657534246575341</v>
      </c>
      <c r="CS35" s="284">
        <f t="shared" si="26"/>
        <v>474.1525066234214</v>
      </c>
      <c r="DA35" s="560">
        <v>42509</v>
      </c>
      <c r="DB35" s="155" t="str">
        <f t="shared" si="7"/>
        <v>5Y</v>
      </c>
      <c r="DC35" s="405">
        <v>0.78677375407251171</v>
      </c>
      <c r="DD35" s="284">
        <f>IF(DA35,_xll.qDateYears(DA34,DA35,DD$13),0)</f>
        <v>0.24657534246575341</v>
      </c>
      <c r="DE35" s="284">
        <f t="shared" si="27"/>
        <v>450.04769250270937</v>
      </c>
      <c r="DM35" s="560">
        <v>42509</v>
      </c>
      <c r="DN35" s="155" t="str">
        <f t="shared" si="8"/>
        <v>5Y</v>
      </c>
      <c r="DO35" s="405">
        <v>0.90197756255923323</v>
      </c>
      <c r="DP35" s="284">
        <f>IF(DM35,_xll.qDateYears(DM34,DM35,DP$13),0)</f>
        <v>0.25</v>
      </c>
      <c r="DQ35" s="284">
        <f t="shared" si="28"/>
        <v>489.70519847732515</v>
      </c>
      <c r="ED35" s="123">
        <v>40983</v>
      </c>
      <c r="EF35" s="801">
        <f>IF(ED35=0,0,      IF(ISNUMBER(ED35),ED35,_xll.qDateNext($EF$14,ED35,"M",TRUE,$ED$11)))</f>
        <v>40983</v>
      </c>
      <c r="EH35" s="405">
        <v>0.76509905974244097</v>
      </c>
      <c r="EI35" s="405">
        <v>0.76513134971694452</v>
      </c>
      <c r="EK35" s="405">
        <v>1.0184040493384663</v>
      </c>
      <c r="EL35" s="405">
        <v>1.0183481616408865</v>
      </c>
      <c r="EO35" s="481">
        <f t="shared" si="30"/>
        <v>138.9648090215745</v>
      </c>
      <c r="EP35" s="481">
        <f t="shared" si="31"/>
        <v>139.69419483740865</v>
      </c>
      <c r="EQ35" s="481">
        <f t="shared" si="32"/>
        <v>0.7293858158341493</v>
      </c>
      <c r="ES35" s="686">
        <f t="shared" si="33"/>
        <v>0.75127260171386112</v>
      </c>
      <c r="ET35" s="686">
        <f t="shared" si="34"/>
        <v>0.75134554029544454</v>
      </c>
    </row>
    <row r="36" spans="11:150">
      <c r="AC36" s="153" t="s">
        <v>81</v>
      </c>
      <c r="AE36" s="472">
        <v>15</v>
      </c>
      <c r="BG36" s="560">
        <v>42601</v>
      </c>
      <c r="BH36" s="154" t="str">
        <f t="shared" si="3"/>
        <v>5.25Y</v>
      </c>
      <c r="BI36" s="405">
        <v>0.89296536698961915</v>
      </c>
      <c r="BJ36" s="284">
        <f>IF(BG36,_xll.qDateYears(BG35,BG36,$BJ$13),0)</f>
        <v>0.25555555555555554</v>
      </c>
      <c r="BK36" s="284">
        <f t="shared" si="23"/>
        <v>512.52542452261537</v>
      </c>
      <c r="BQ36" s="560">
        <v>42601</v>
      </c>
      <c r="BR36" s="155" t="str">
        <f t="shared" si="4"/>
        <v>5.25Y</v>
      </c>
      <c r="BS36" s="405">
        <v>0.73838017632190489</v>
      </c>
      <c r="BT36" s="284">
        <f>IF(BQ36,_xll.qDateYears(BQ35,BQ36,BT$13),0)</f>
        <v>0.25205479452054796</v>
      </c>
      <c r="BU36" s="284">
        <f t="shared" si="24"/>
        <v>453.06834730570421</v>
      </c>
      <c r="CC36" s="560">
        <v>42601</v>
      </c>
      <c r="CD36" s="155" t="str">
        <f t="shared" si="5"/>
        <v>5.25Y</v>
      </c>
      <c r="CE36" s="405">
        <v>0.86425488014257668</v>
      </c>
      <c r="CF36" s="284">
        <f>IF(CC36,_xll.qDateYears(CC35,CC36,CF$13),0)</f>
        <v>0.25555555555555554</v>
      </c>
      <c r="CG36" s="284">
        <f t="shared" si="25"/>
        <v>499.67620527148438</v>
      </c>
      <c r="CO36" s="560">
        <v>42601</v>
      </c>
      <c r="CP36" s="155" t="str">
        <f t="shared" si="6"/>
        <v>5.25Y</v>
      </c>
      <c r="CQ36" s="405">
        <v>0.86408006533632253</v>
      </c>
      <c r="CR36" s="284">
        <f>IF(CO36,_xll.qDateYears(CO35,CO36,CR$13),0)</f>
        <v>0.25205479452054796</v>
      </c>
      <c r="CS36" s="284">
        <f t="shared" si="26"/>
        <v>495.93205895518622</v>
      </c>
      <c r="DA36" s="560">
        <v>42601</v>
      </c>
      <c r="DB36" s="155" t="str">
        <f t="shared" si="7"/>
        <v>5.25Y</v>
      </c>
      <c r="DC36" s="405">
        <v>0.77482954429989492</v>
      </c>
      <c r="DD36" s="284">
        <f>IF(DA36,_xll.qDateYears(DA35,DA36,DD$13),0)</f>
        <v>0.25205479452054796</v>
      </c>
      <c r="DE36" s="284">
        <f t="shared" si="27"/>
        <v>469.57764266040533</v>
      </c>
      <c r="DM36" s="560">
        <v>42601</v>
      </c>
      <c r="DN36" s="155" t="str">
        <f t="shared" si="8"/>
        <v>5.25Y</v>
      </c>
      <c r="DO36" s="405">
        <v>0.89296536698961915</v>
      </c>
      <c r="DP36" s="284">
        <f>IF(DM36,_xll.qDateYears(DM35,DM36,DP$13),0)</f>
        <v>0.25555555555555554</v>
      </c>
      <c r="DQ36" s="284">
        <f t="shared" si="28"/>
        <v>512.52542452261537</v>
      </c>
      <c r="ED36" s="123"/>
      <c r="EF36" s="803">
        <f>IF(ED36=0,0,      IF(ISNUMBER(ED36),ED36,_xll.qDateNext($EF$14,ED36,"M",TRUE,$ED$11)))</f>
        <v>0</v>
      </c>
      <c r="EG36" s="804"/>
      <c r="EH36" s="512">
        <v>0</v>
      </c>
      <c r="EI36" s="512">
        <v>0</v>
      </c>
      <c r="EJ36" s="799"/>
      <c r="EK36" s="512">
        <v>0</v>
      </c>
      <c r="EL36" s="512">
        <v>0</v>
      </c>
      <c r="EM36" s="215"/>
      <c r="EN36" s="215"/>
      <c r="EO36" s="805">
        <f t="shared" si="30"/>
        <v>0</v>
      </c>
      <c r="EP36" s="805">
        <f t="shared" si="31"/>
        <v>0</v>
      </c>
      <c r="EQ36" s="805">
        <f t="shared" si="32"/>
        <v>0</v>
      </c>
      <c r="ER36" s="215"/>
      <c r="ES36" s="800">
        <f t="shared" si="33"/>
        <v>0</v>
      </c>
      <c r="ET36" s="800">
        <f t="shared" si="34"/>
        <v>0</v>
      </c>
    </row>
    <row r="37" spans="11:150">
      <c r="K37" s="470" t="s">
        <v>292</v>
      </c>
      <c r="L37" s="841" t="s">
        <v>141</v>
      </c>
      <c r="M37" s="841" t="s">
        <v>766</v>
      </c>
      <c r="N37" s="841" t="s">
        <v>766</v>
      </c>
      <c r="O37" s="841" t="s">
        <v>765</v>
      </c>
      <c r="P37" s="841"/>
      <c r="Q37" s="841" t="s">
        <v>764</v>
      </c>
      <c r="AC37" s="153" t="s">
        <v>81</v>
      </c>
      <c r="AE37" s="472">
        <v>20</v>
      </c>
      <c r="BG37" s="560">
        <v>42695</v>
      </c>
      <c r="BH37" s="154" t="str">
        <f t="shared" si="3"/>
        <v>5.5Y</v>
      </c>
      <c r="BI37" s="405">
        <v>0.88342710801536117</v>
      </c>
      <c r="BJ37" s="284">
        <f>IF(BG37,_xll.qDateYears(BG36,BG37,$BJ$13),0)</f>
        <v>0.26111111111111113</v>
      </c>
      <c r="BK37" s="284">
        <f t="shared" si="23"/>
        <v>535.59268789857197</v>
      </c>
      <c r="BQ37" s="560">
        <v>42695</v>
      </c>
      <c r="BR37" s="155" t="str">
        <f t="shared" si="4"/>
        <v>5.5Y</v>
      </c>
      <c r="BS37" s="405">
        <v>0.72596657557085265</v>
      </c>
      <c r="BT37" s="284">
        <f>IF(BQ37,_xll.qDateYears(BQ36,BQ37,BT$13),0)</f>
        <v>0.25753424657534246</v>
      </c>
      <c r="BU37" s="284">
        <f t="shared" si="24"/>
        <v>471.76447281355632</v>
      </c>
      <c r="CC37" s="560">
        <v>42695</v>
      </c>
      <c r="CD37" s="155" t="str">
        <f t="shared" si="5"/>
        <v>5.5Y</v>
      </c>
      <c r="CE37" s="405">
        <v>0.8561309290811594</v>
      </c>
      <c r="CF37" s="284">
        <f>IF(CC37,_xll.qDateYears(CC36,CC37,CF$13),0)</f>
        <v>0.26111111111111113</v>
      </c>
      <c r="CG37" s="284">
        <f t="shared" si="25"/>
        <v>522.03073508638136</v>
      </c>
      <c r="CO37" s="560">
        <v>42695</v>
      </c>
      <c r="CP37" s="155" t="str">
        <f t="shared" si="6"/>
        <v>5.5Y</v>
      </c>
      <c r="CQ37" s="405">
        <v>0.85476226325958249</v>
      </c>
      <c r="CR37" s="284">
        <f>IF(CO37,_xll.qDateYears(CO36,CO37,CR$13),0)</f>
        <v>0.25753424657534246</v>
      </c>
      <c r="CS37" s="284">
        <f t="shared" si="26"/>
        <v>517.94511450214532</v>
      </c>
      <c r="DA37" s="560">
        <v>42695</v>
      </c>
      <c r="DB37" s="155" t="str">
        <f t="shared" si="7"/>
        <v>5.5Y</v>
      </c>
      <c r="DC37" s="405">
        <v>0.76256927564224775</v>
      </c>
      <c r="DD37" s="284">
        <f>IF(DA37,_xll.qDateYears(DA36,DA37,DD$13),0)</f>
        <v>0.25753424657534246</v>
      </c>
      <c r="DE37" s="284">
        <f t="shared" si="27"/>
        <v>489.21641304680844</v>
      </c>
      <c r="DM37" s="560">
        <v>42695</v>
      </c>
      <c r="DN37" s="155" t="str">
        <f t="shared" si="8"/>
        <v>5.5Y</v>
      </c>
      <c r="DO37" s="405">
        <v>0.88342710801536117</v>
      </c>
      <c r="DP37" s="284">
        <f>IF(DM37,_xll.qDateYears(DM36,DM37,DP$13),0)</f>
        <v>0.26111111111111113</v>
      </c>
      <c r="DQ37" s="284">
        <f t="shared" si="28"/>
        <v>535.59268789857197</v>
      </c>
      <c r="ED37" s="123"/>
      <c r="EF37" s="801">
        <f>IF(ED37=0,0,      IF(ISNUMBER(ED37),ED37,_xll.qDateNext($EF$14,ED37,"M",TRUE,$ED$11)))</f>
        <v>0</v>
      </c>
      <c r="EH37" s="405">
        <v>0</v>
      </c>
      <c r="EI37" s="405">
        <v>0</v>
      </c>
      <c r="EK37" s="405">
        <v>0</v>
      </c>
      <c r="EL37" s="405">
        <v>0</v>
      </c>
      <c r="EO37" s="481">
        <f t="shared" si="30"/>
        <v>0</v>
      </c>
      <c r="EP37" s="481">
        <f t="shared" si="31"/>
        <v>0</v>
      </c>
      <c r="EQ37" s="481">
        <f t="shared" si="32"/>
        <v>0</v>
      </c>
      <c r="ES37" s="686">
        <f t="shared" si="33"/>
        <v>0</v>
      </c>
      <c r="ET37" s="686">
        <f t="shared" si="34"/>
        <v>0</v>
      </c>
    </row>
    <row r="38" spans="11:150">
      <c r="AC38" s="153" t="s">
        <v>81</v>
      </c>
      <c r="AE38" s="472">
        <v>25</v>
      </c>
      <c r="BG38" s="560">
        <v>42787</v>
      </c>
      <c r="BH38" s="154" t="str">
        <f t="shared" si="3"/>
        <v>5.75Y</v>
      </c>
      <c r="BI38" s="405">
        <v>0.873780977656754</v>
      </c>
      <c r="BJ38" s="284">
        <f>IF(BG38,_xll.qDateYears(BG37,BG38,$BJ$13),0)</f>
        <v>0.25555555555555554</v>
      </c>
      <c r="BK38" s="284">
        <f t="shared" si="23"/>
        <v>557.92264621646677</v>
      </c>
      <c r="BQ38" s="560">
        <v>42787</v>
      </c>
      <c r="BR38" s="155" t="str">
        <f t="shared" si="4"/>
        <v>5.75Y</v>
      </c>
      <c r="BS38" s="405">
        <v>0.71388301189110992</v>
      </c>
      <c r="BT38" s="284">
        <f>IF(BQ38,_xll.qDateYears(BQ37,BQ38,BT$13),0)</f>
        <v>0.25205479452054796</v>
      </c>
      <c r="BU38" s="284">
        <f t="shared" si="24"/>
        <v>489.7582364009487</v>
      </c>
      <c r="CC38" s="560">
        <v>42787</v>
      </c>
      <c r="CD38" s="155" t="str">
        <f t="shared" si="5"/>
        <v>5.75Y</v>
      </c>
      <c r="CE38" s="405">
        <v>0.84807730319623598</v>
      </c>
      <c r="CF38" s="284">
        <f>IF(CC38,_xll.qDateYears(CC37,CC38,CF$13),0)</f>
        <v>0.25555555555555554</v>
      </c>
      <c r="CG38" s="284">
        <f t="shared" si="25"/>
        <v>543.70382172361849</v>
      </c>
      <c r="CO38" s="560">
        <v>42787</v>
      </c>
      <c r="CP38" s="155" t="str">
        <f t="shared" si="6"/>
        <v>5.75Y</v>
      </c>
      <c r="CQ38" s="405">
        <v>0.84545838241126237</v>
      </c>
      <c r="CR38" s="284">
        <f>IF(CO38,_xll.qDateYears(CO37,CO38,CR$13),0)</f>
        <v>0.25205479452054796</v>
      </c>
      <c r="CS38" s="284">
        <f t="shared" si="26"/>
        <v>539.25529838757984</v>
      </c>
      <c r="DA38" s="560">
        <v>42787</v>
      </c>
      <c r="DB38" s="155" t="str">
        <f t="shared" si="7"/>
        <v>5.75Y</v>
      </c>
      <c r="DC38" s="405">
        <v>0.7505230755566924</v>
      </c>
      <c r="DD38" s="284">
        <f>IF(DA38,_xll.qDateYears(DA37,DA38,DD$13),0)</f>
        <v>0.25205479452054796</v>
      </c>
      <c r="DE38" s="284">
        <f t="shared" si="27"/>
        <v>508.1337070060456</v>
      </c>
      <c r="DM38" s="560">
        <v>42787</v>
      </c>
      <c r="DN38" s="155" t="str">
        <f t="shared" si="8"/>
        <v>5.75Y</v>
      </c>
      <c r="DO38" s="405">
        <v>0.873780977656754</v>
      </c>
      <c r="DP38" s="284">
        <f>IF(DM38,_xll.qDateYears(DM37,DM38,DP$13),0)</f>
        <v>0.25555555555555554</v>
      </c>
      <c r="DQ38" s="284">
        <f t="shared" si="28"/>
        <v>557.92264621646677</v>
      </c>
      <c r="ED38" s="123"/>
      <c r="EF38" s="803">
        <f>IF(ED38=0,0,      IF(ISNUMBER(ED38),ED38,_xll.qDateNext($EF$14,ED38,"M",TRUE,$ED$11)))</f>
        <v>0</v>
      </c>
      <c r="EG38" s="804"/>
      <c r="EH38" s="512">
        <v>0</v>
      </c>
      <c r="EI38" s="512">
        <v>0</v>
      </c>
      <c r="EJ38" s="799"/>
      <c r="EK38" s="512">
        <v>0</v>
      </c>
      <c r="EL38" s="512">
        <v>0</v>
      </c>
      <c r="EM38" s="215"/>
      <c r="EN38" s="215"/>
      <c r="EO38" s="805">
        <f t="shared" si="30"/>
        <v>0</v>
      </c>
      <c r="EP38" s="805">
        <f t="shared" si="31"/>
        <v>0</v>
      </c>
      <c r="EQ38" s="805">
        <f t="shared" si="32"/>
        <v>0</v>
      </c>
      <c r="ER38" s="215"/>
      <c r="ES38" s="800">
        <f t="shared" si="33"/>
        <v>0</v>
      </c>
      <c r="ET38" s="800">
        <f t="shared" si="34"/>
        <v>0</v>
      </c>
    </row>
    <row r="39" spans="11:150">
      <c r="AE39" s="472">
        <v>30</v>
      </c>
      <c r="BG39" s="560">
        <v>42874</v>
      </c>
      <c r="BH39" s="154" t="str">
        <f t="shared" si="3"/>
        <v>6Y</v>
      </c>
      <c r="BI39" s="405">
        <v>0.86438749746911647</v>
      </c>
      <c r="BJ39" s="284">
        <f>IF(BG39,_xll.qDateYears(BG38,BG39,$BJ$13),0)</f>
        <v>0.24166666666666667</v>
      </c>
      <c r="BK39" s="284">
        <f t="shared" si="23"/>
        <v>578.81201073863713</v>
      </c>
      <c r="BQ39" s="560">
        <v>42874</v>
      </c>
      <c r="BR39" s="155" t="str">
        <f t="shared" si="4"/>
        <v>6Y</v>
      </c>
      <c r="BS39" s="405">
        <v>0.70252446769778143</v>
      </c>
      <c r="BT39" s="284">
        <f>IF(BQ39,_xll.qDateYears(BQ38,BQ39,BT$13),0)</f>
        <v>0.23835616438356164</v>
      </c>
      <c r="BU39" s="284">
        <f t="shared" si="24"/>
        <v>506.50334015155335</v>
      </c>
      <c r="CC39" s="560">
        <v>42874</v>
      </c>
      <c r="CD39" s="155" t="str">
        <f t="shared" si="5"/>
        <v>6Y</v>
      </c>
      <c r="CE39" s="405">
        <v>0.84037196393725089</v>
      </c>
      <c r="CF39" s="284">
        <f>IF(CC39,_xll.qDateYears(CC38,CC39,CF$13),0)</f>
        <v>0.24166666666666667</v>
      </c>
      <c r="CG39" s="284">
        <f t="shared" si="25"/>
        <v>564.01281085210201</v>
      </c>
      <c r="CO39" s="560">
        <v>42874</v>
      </c>
      <c r="CP39" s="155" t="str">
        <f t="shared" si="6"/>
        <v>6Y</v>
      </c>
      <c r="CQ39" s="405">
        <v>0.83651250147343592</v>
      </c>
      <c r="CR39" s="284">
        <f>IF(CO39,_xll.qDateYears(CO38,CO39,CR$13),0)</f>
        <v>0.23835616438356164</v>
      </c>
      <c r="CS39" s="284">
        <f t="shared" si="26"/>
        <v>559.19408951859054</v>
      </c>
      <c r="DA39" s="560">
        <v>42874</v>
      </c>
      <c r="DB39" s="155" t="str">
        <f t="shared" si="7"/>
        <v>6Y</v>
      </c>
      <c r="DC39" s="405">
        <v>0.73909641906661872</v>
      </c>
      <c r="DD39" s="284">
        <f>IF(DA39,_xll.qDateYears(DA38,DA39,DD$13),0)</f>
        <v>0.23835616438356164</v>
      </c>
      <c r="DE39" s="284">
        <f t="shared" si="27"/>
        <v>525.75052576188011</v>
      </c>
      <c r="DM39" s="560">
        <v>42874</v>
      </c>
      <c r="DN39" s="155" t="str">
        <f t="shared" si="8"/>
        <v>6Y</v>
      </c>
      <c r="DO39" s="405">
        <v>0.86438749746911647</v>
      </c>
      <c r="DP39" s="284">
        <f>IF(DM39,_xll.qDateYears(DM38,DM39,DP$13),0)</f>
        <v>0.24166666666666667</v>
      </c>
      <c r="DQ39" s="284">
        <f t="shared" si="28"/>
        <v>578.81201073863713</v>
      </c>
      <c r="ED39" s="123"/>
      <c r="EF39" s="801">
        <f>IF(ED39=0,0,      IF(ISNUMBER(ED39),ED39,_xll.qDateNext($EF$14,ED39,"M",TRUE,$ED$11)))</f>
        <v>0</v>
      </c>
      <c r="EH39" s="405">
        <v>0</v>
      </c>
      <c r="EI39" s="405">
        <v>0</v>
      </c>
      <c r="EK39" s="405">
        <v>0</v>
      </c>
      <c r="EL39" s="405">
        <v>0</v>
      </c>
      <c r="EO39" s="481">
        <f t="shared" si="30"/>
        <v>0</v>
      </c>
      <c r="EP39" s="481">
        <f t="shared" si="31"/>
        <v>0</v>
      </c>
      <c r="EQ39" s="481">
        <f t="shared" si="32"/>
        <v>0</v>
      </c>
      <c r="ES39" s="686">
        <f t="shared" si="33"/>
        <v>0</v>
      </c>
      <c r="ET39" s="686">
        <f t="shared" si="34"/>
        <v>0</v>
      </c>
    </row>
    <row r="40" spans="11:150">
      <c r="AE40" s="472"/>
      <c r="BG40" s="560">
        <v>42968</v>
      </c>
      <c r="BH40" s="154" t="str">
        <f t="shared" si="3"/>
        <v>6.25Y</v>
      </c>
      <c r="BI40" s="405">
        <v>0.85490277342216192</v>
      </c>
      <c r="BJ40" s="284">
        <f>IF(BG40,_xll.qDateYears(BG39,BG40,$BJ$13),0)</f>
        <v>0.26111111111111113</v>
      </c>
      <c r="BK40" s="284">
        <f t="shared" si="23"/>
        <v>601.13447204466024</v>
      </c>
      <c r="BQ40" s="560">
        <v>42968</v>
      </c>
      <c r="BR40" s="155" t="str">
        <f t="shared" si="4"/>
        <v>6.25Y</v>
      </c>
      <c r="BS40" s="405">
        <v>0.69081693652291876</v>
      </c>
      <c r="BT40" s="284">
        <f>IF(BQ40,_xll.qDateYears(BQ39,BQ40,BT$13),0)</f>
        <v>0.25753424657534246</v>
      </c>
      <c r="BU40" s="284">
        <f t="shared" si="24"/>
        <v>524.294242078445</v>
      </c>
      <c r="CC40" s="560">
        <v>42968</v>
      </c>
      <c r="CD40" s="155" t="str">
        <f t="shared" si="5"/>
        <v>6.25Y</v>
      </c>
      <c r="CE40" s="405">
        <v>0.83227473269233121</v>
      </c>
      <c r="CF40" s="284">
        <f>IF(CC40,_xll.qDateYears(CC39,CC40,CF$13),0)</f>
        <v>0.26111111111111113</v>
      </c>
      <c r="CG40" s="284">
        <f t="shared" si="25"/>
        <v>585.74442887240173</v>
      </c>
      <c r="CO40" s="560">
        <v>42968</v>
      </c>
      <c r="CP40" s="155" t="str">
        <f t="shared" si="6"/>
        <v>6.25Y</v>
      </c>
      <c r="CQ40" s="405">
        <v>0.82728264346166303</v>
      </c>
      <c r="CR40" s="284">
        <f>IF(CO40,_xll.qDateYears(CO39,CO40,CR$13),0)</f>
        <v>0.25753424657534246</v>
      </c>
      <c r="CS40" s="284">
        <f t="shared" si="26"/>
        <v>580.4994507474662</v>
      </c>
      <c r="DA40" s="560">
        <v>42968</v>
      </c>
      <c r="DB40" s="155" t="str">
        <f t="shared" si="7"/>
        <v>6.25Y</v>
      </c>
      <c r="DC40" s="405">
        <v>0.72672001402716169</v>
      </c>
      <c r="DD40" s="284">
        <f>IF(DA40,_xll.qDateYears(DA39,DA40,DD$13),0)</f>
        <v>0.25753424657534246</v>
      </c>
      <c r="DE40" s="284">
        <f t="shared" si="27"/>
        <v>544.4660548902508</v>
      </c>
      <c r="DM40" s="560">
        <v>42968</v>
      </c>
      <c r="DN40" s="155" t="str">
        <f t="shared" si="8"/>
        <v>6.25Y</v>
      </c>
      <c r="DO40" s="405">
        <v>0.85490277342216192</v>
      </c>
      <c r="DP40" s="284">
        <f>IF(DM40,_xll.qDateYears(DM39,DM40,DP$13),0)</f>
        <v>0.26111111111111113</v>
      </c>
      <c r="DQ40" s="284">
        <f t="shared" si="28"/>
        <v>601.13447204466024</v>
      </c>
      <c r="ED40" s="123"/>
      <c r="EF40" s="803">
        <f>IF(ED40=0,0,      IF(ISNUMBER(ED40),ED40,_xll.qDateNext($EF$14,ED40,"M",TRUE,$ED$11)))</f>
        <v>0</v>
      </c>
      <c r="EG40" s="804"/>
      <c r="EH40" s="512">
        <v>0</v>
      </c>
      <c r="EI40" s="512">
        <v>0</v>
      </c>
      <c r="EJ40" s="799"/>
      <c r="EK40" s="512">
        <v>0</v>
      </c>
      <c r="EL40" s="512">
        <v>0</v>
      </c>
      <c r="EM40" s="215"/>
      <c r="EN40" s="215"/>
      <c r="EO40" s="805">
        <f t="shared" si="30"/>
        <v>0</v>
      </c>
      <c r="EP40" s="805">
        <f t="shared" si="31"/>
        <v>0</v>
      </c>
      <c r="EQ40" s="805">
        <f t="shared" si="32"/>
        <v>0</v>
      </c>
      <c r="ER40" s="215"/>
      <c r="ES40" s="800">
        <f t="shared" si="33"/>
        <v>0</v>
      </c>
      <c r="ET40" s="800">
        <f t="shared" si="34"/>
        <v>0</v>
      </c>
    </row>
    <row r="41" spans="11:150">
      <c r="BG41" s="560">
        <v>43059</v>
      </c>
      <c r="BH41" s="154" t="str">
        <f t="shared" si="3"/>
        <v>6.5Y</v>
      </c>
      <c r="BI41" s="405">
        <v>0.84550361939597918</v>
      </c>
      <c r="BJ41" s="284">
        <f>IF(BG41,_xll.qDateYears(BG40,BG41,$BJ$13),0)</f>
        <v>0.25277777777777777</v>
      </c>
      <c r="BK41" s="284">
        <f t="shared" si="23"/>
        <v>622.50692464605856</v>
      </c>
      <c r="BQ41" s="560">
        <v>43059</v>
      </c>
      <c r="BR41" s="155" t="str">
        <f t="shared" si="4"/>
        <v>6.5Y</v>
      </c>
      <c r="BS41" s="405">
        <v>0.67957974698192736</v>
      </c>
      <c r="BT41" s="284">
        <f>IF(BQ41,_xll.qDateYears(BQ40,BQ41,BT$13),0)</f>
        <v>0.24931506849315069</v>
      </c>
      <c r="BU41" s="284">
        <f t="shared" si="24"/>
        <v>541.23718919498072</v>
      </c>
      <c r="CC41" s="560">
        <v>43059</v>
      </c>
      <c r="CD41" s="155" t="str">
        <f t="shared" si="5"/>
        <v>6.5Y</v>
      </c>
      <c r="CE41" s="405">
        <v>0.82436644252673874</v>
      </c>
      <c r="CF41" s="284">
        <f>IF(CC41,_xll.qDateYears(CC40,CC41,CF$13),0)</f>
        <v>0.25277777777777777</v>
      </c>
      <c r="CG41" s="284">
        <f t="shared" si="25"/>
        <v>606.5825806140499</v>
      </c>
      <c r="CO41" s="560">
        <v>43059</v>
      </c>
      <c r="CP41" s="155" t="str">
        <f t="shared" si="6"/>
        <v>6.5Y</v>
      </c>
      <c r="CQ41" s="405">
        <v>0.81822397943618486</v>
      </c>
      <c r="CR41" s="284">
        <f>IF(CO41,_xll.qDateYears(CO40,CO41,CR$13),0)</f>
        <v>0.24931506849315069</v>
      </c>
      <c r="CS41" s="284">
        <f t="shared" si="26"/>
        <v>600.8990074950533</v>
      </c>
      <c r="DA41" s="560">
        <v>43059</v>
      </c>
      <c r="DB41" s="155" t="str">
        <f t="shared" si="7"/>
        <v>6.5Y</v>
      </c>
      <c r="DC41" s="405">
        <v>0.71471637176079261</v>
      </c>
      <c r="DD41" s="284">
        <f>IF(DA41,_xll.qDateYears(DA40,DA41,DD$13),0)</f>
        <v>0.24931506849315069</v>
      </c>
      <c r="DE41" s="284">
        <f t="shared" si="27"/>
        <v>562.28501100812264</v>
      </c>
      <c r="DM41" s="560">
        <v>43059</v>
      </c>
      <c r="DN41" s="155" t="str">
        <f t="shared" si="8"/>
        <v>6.5Y</v>
      </c>
      <c r="DO41" s="405">
        <v>0.84550361939597918</v>
      </c>
      <c r="DP41" s="284">
        <f>IF(DM41,_xll.qDateYears(DM40,DM41,DP$13),0)</f>
        <v>0.25277777777777777</v>
      </c>
      <c r="DQ41" s="284">
        <f t="shared" si="28"/>
        <v>622.50692464605856</v>
      </c>
    </row>
    <row r="42" spans="11:150">
      <c r="BG42" s="560">
        <v>43151</v>
      </c>
      <c r="BH42" s="154" t="str">
        <f t="shared" si="3"/>
        <v>6.75Y</v>
      </c>
      <c r="BI42" s="405">
        <v>0.83579363203630119</v>
      </c>
      <c r="BJ42" s="284">
        <f>IF(BG42,_xll.qDateYears(BG41,BG42,$BJ$13),0)</f>
        <v>0.25555555555555554</v>
      </c>
      <c r="BK42" s="284">
        <f t="shared" si="23"/>
        <v>643.86609524254186</v>
      </c>
      <c r="BQ42" s="560">
        <v>43151</v>
      </c>
      <c r="BR42" s="155" t="str">
        <f t="shared" si="4"/>
        <v>6.75Y</v>
      </c>
      <c r="BS42" s="405">
        <v>0.66831715589260221</v>
      </c>
      <c r="BT42" s="284">
        <f>IF(BQ42,_xll.qDateYears(BQ41,BQ42,BT$13),0)</f>
        <v>0.25205479452054796</v>
      </c>
      <c r="BU42" s="284">
        <f t="shared" si="24"/>
        <v>558.08244353528744</v>
      </c>
      <c r="CC42" s="560">
        <v>43151</v>
      </c>
      <c r="CD42" s="155" t="str">
        <f t="shared" si="5"/>
        <v>6.75Y</v>
      </c>
      <c r="CE42" s="405">
        <v>0.81630523675142963</v>
      </c>
      <c r="CF42" s="284">
        <f>IF(CC42,_xll.qDateYears(CC41,CC42,CF$13),0)</f>
        <v>0.25555555555555554</v>
      </c>
      <c r="CG42" s="284">
        <f t="shared" si="25"/>
        <v>627.44371444214198</v>
      </c>
      <c r="CO42" s="560">
        <v>43151</v>
      </c>
      <c r="CP42" s="155" t="str">
        <f t="shared" si="6"/>
        <v>6.75Y</v>
      </c>
      <c r="CQ42" s="405">
        <v>0.80894872397842954</v>
      </c>
      <c r="CR42" s="284">
        <f>IF(CO42,_xll.qDateYears(CO41,CO42,CR$13),0)</f>
        <v>0.25205479452054796</v>
      </c>
      <c r="CS42" s="284">
        <f t="shared" si="26"/>
        <v>621.28894793505754</v>
      </c>
      <c r="DA42" s="560">
        <v>43151</v>
      </c>
      <c r="DB42" s="155" t="str">
        <f t="shared" si="7"/>
        <v>6.75Y</v>
      </c>
      <c r="DC42" s="405">
        <v>0.70256643676347552</v>
      </c>
      <c r="DD42" s="284">
        <f>IF(DA42,_xll.qDateYears(DA41,DA42,DD$13),0)</f>
        <v>0.25205479452054796</v>
      </c>
      <c r="DE42" s="284">
        <f t="shared" si="27"/>
        <v>579.99353489366774</v>
      </c>
      <c r="DM42" s="560">
        <v>43151</v>
      </c>
      <c r="DN42" s="155" t="str">
        <f t="shared" si="8"/>
        <v>6.75Y</v>
      </c>
      <c r="DO42" s="405">
        <v>0.83579363203630119</v>
      </c>
      <c r="DP42" s="284">
        <f>IF(DM42,_xll.qDateYears(DM41,DM42,DP$13),0)</f>
        <v>0.25555555555555554</v>
      </c>
      <c r="DQ42" s="284">
        <f t="shared" si="28"/>
        <v>643.86609524254186</v>
      </c>
    </row>
    <row r="43" spans="11:150">
      <c r="BG43" s="560">
        <v>43241</v>
      </c>
      <c r="BH43" s="154" t="str">
        <f t="shared" si="3"/>
        <v>7Y</v>
      </c>
      <c r="BI43" s="405">
        <v>0.82610212961115093</v>
      </c>
      <c r="BJ43" s="284">
        <f>IF(BG43,_xll.qDateYears(BG42,BG43,$BJ$13),0)</f>
        <v>0.25</v>
      </c>
      <c r="BK43" s="284">
        <f t="shared" si="23"/>
        <v>664.51864848282059</v>
      </c>
      <c r="BQ43" s="560">
        <v>43241</v>
      </c>
      <c r="BR43" s="155" t="str">
        <f t="shared" si="4"/>
        <v>7Y</v>
      </c>
      <c r="BS43" s="405">
        <v>0.65740789598193061</v>
      </c>
      <c r="BT43" s="284">
        <f>IF(BQ43,_xll.qDateYears(BQ42,BQ43,BT$13),0)</f>
        <v>0.24657534246575341</v>
      </c>
      <c r="BU43" s="284">
        <f t="shared" si="24"/>
        <v>574.29250124443092</v>
      </c>
      <c r="CC43" s="560">
        <v>43241</v>
      </c>
      <c r="CD43" s="155" t="str">
        <f t="shared" si="5"/>
        <v>7Y</v>
      </c>
      <c r="CE43" s="405">
        <v>0.80835838272935334</v>
      </c>
      <c r="CF43" s="284">
        <f>IF(CC43,_xll.qDateYears(CC42,CC43,CF$13),0)</f>
        <v>0.25</v>
      </c>
      <c r="CG43" s="284">
        <f t="shared" si="25"/>
        <v>647.65267401037579</v>
      </c>
      <c r="CO43" s="560">
        <v>43241</v>
      </c>
      <c r="CP43" s="155" t="str">
        <f t="shared" si="6"/>
        <v>7Y</v>
      </c>
      <c r="CQ43" s="405">
        <v>0.7997877902948185</v>
      </c>
      <c r="CR43" s="284">
        <f>IF(CO43,_xll.qDateYears(CO42,CO43,CR$13),0)</f>
        <v>0.24657534246575341</v>
      </c>
      <c r="CS43" s="284">
        <f t="shared" si="26"/>
        <v>641.00974276424483</v>
      </c>
      <c r="DA43" s="560">
        <v>43241</v>
      </c>
      <c r="DB43" s="155" t="str">
        <f t="shared" si="7"/>
        <v>7Y</v>
      </c>
      <c r="DC43" s="405">
        <v>0.69067404259889531</v>
      </c>
      <c r="DD43" s="284">
        <f>IF(DA43,_xll.qDateYears(DA42,DA43,DD$13),0)</f>
        <v>0.24657534246575341</v>
      </c>
      <c r="DE43" s="284">
        <f t="shared" si="27"/>
        <v>597.02385375227061</v>
      </c>
      <c r="DM43" s="560">
        <v>43241</v>
      </c>
      <c r="DN43" s="155" t="str">
        <f t="shared" si="8"/>
        <v>7Y</v>
      </c>
      <c r="DO43" s="405">
        <v>0.82610212961115093</v>
      </c>
      <c r="DP43" s="284">
        <f>IF(DM43,_xll.qDateYears(DM42,DM43,DP$13),0)</f>
        <v>0.25</v>
      </c>
      <c r="DQ43" s="284">
        <f t="shared" si="28"/>
        <v>664.51864848282059</v>
      </c>
    </row>
    <row r="44" spans="11:150">
      <c r="BG44" s="560">
        <v>43332</v>
      </c>
      <c r="BH44" s="154" t="str">
        <f t="shared" si="3"/>
        <v>7.25Y</v>
      </c>
      <c r="BI44" s="405">
        <v>0.8168385650083031</v>
      </c>
      <c r="BJ44" s="284">
        <f>IF(BG44,_xll.qDateYears(BG43,BG44,$BJ$13),0)</f>
        <v>0.25277777777777777</v>
      </c>
      <c r="BK44" s="284">
        <f t="shared" si="23"/>
        <v>685.16651220941935</v>
      </c>
      <c r="BQ44" s="560">
        <v>43332</v>
      </c>
      <c r="BR44" s="155" t="str">
        <f t="shared" si="4"/>
        <v>7.25Y</v>
      </c>
      <c r="BS44" s="405">
        <v>0.64695986106084025</v>
      </c>
      <c r="BT44" s="284">
        <f>IF(BQ44,_xll.qDateYears(BQ43,BQ44,BT$13),0)</f>
        <v>0.24931506849315069</v>
      </c>
      <c r="BU44" s="284">
        <f t="shared" si="24"/>
        <v>590.42218545170124</v>
      </c>
      <c r="CC44" s="560">
        <v>43332</v>
      </c>
      <c r="CD44" s="155" t="str">
        <f t="shared" si="5"/>
        <v>7.25Y</v>
      </c>
      <c r="CE44" s="405">
        <v>0.80053801271719949</v>
      </c>
      <c r="CF44" s="284">
        <f>IF(CC44,_xll.qDateYears(CC43,CC44,CF$13),0)</f>
        <v>0.25277777777777777</v>
      </c>
      <c r="CG44" s="284">
        <f t="shared" si="25"/>
        <v>667.88849599850505</v>
      </c>
      <c r="CO44" s="560">
        <v>43332</v>
      </c>
      <c r="CP44" s="155" t="str">
        <f t="shared" si="6"/>
        <v>7.25Y</v>
      </c>
      <c r="CQ44" s="405">
        <v>0.79082199809040576</v>
      </c>
      <c r="CR44" s="284">
        <f>IF(CO44,_xll.qDateYears(CO43,CO44,CR$13),0)</f>
        <v>0.24931506849315069</v>
      </c>
      <c r="CS44" s="284">
        <f t="shared" si="26"/>
        <v>660.7261268262248</v>
      </c>
      <c r="DA44" s="560">
        <v>43332</v>
      </c>
      <c r="DB44" s="155" t="str">
        <f t="shared" si="7"/>
        <v>7.25Y</v>
      </c>
      <c r="DC44" s="405">
        <v>0.67983597980795529</v>
      </c>
      <c r="DD44" s="284">
        <f>IF(DA44,_xll.qDateYears(DA43,DA44,DD$13),0)</f>
        <v>0.24931506849315069</v>
      </c>
      <c r="DE44" s="284">
        <f t="shared" si="27"/>
        <v>613.97318913926347</v>
      </c>
      <c r="DM44" s="560">
        <v>43332</v>
      </c>
      <c r="DN44" s="155" t="str">
        <f t="shared" si="8"/>
        <v>7.25Y</v>
      </c>
      <c r="DO44" s="405">
        <v>0.8168385650083031</v>
      </c>
      <c r="DP44" s="284">
        <f>IF(DM44,_xll.qDateYears(DM43,DM44,DP$13),0)</f>
        <v>0.25277777777777777</v>
      </c>
      <c r="DQ44" s="284">
        <f t="shared" si="28"/>
        <v>685.16651220941935</v>
      </c>
    </row>
    <row r="45" spans="11:150">
      <c r="BG45" s="560">
        <v>43423</v>
      </c>
      <c r="BH45" s="154" t="str">
        <f t="shared" si="3"/>
        <v>7.5Y</v>
      </c>
      <c r="BI45" s="405">
        <v>0.80743067708481553</v>
      </c>
      <c r="BJ45" s="284">
        <f>IF(BG45,_xll.qDateYears(BG44,BG45,$BJ$13),0)</f>
        <v>0.25277777777777777</v>
      </c>
      <c r="BK45" s="284">
        <f t="shared" si="23"/>
        <v>705.57656543573</v>
      </c>
      <c r="BQ45" s="560">
        <v>43423</v>
      </c>
      <c r="BR45" s="155" t="str">
        <f t="shared" si="4"/>
        <v>7.5Y</v>
      </c>
      <c r="BS45" s="405">
        <v>0.63662913887546202</v>
      </c>
      <c r="BT45" s="284">
        <f>IF(BQ45,_xll.qDateYears(BQ44,BQ45,BT$13),0)</f>
        <v>0.24931506849315069</v>
      </c>
      <c r="BU45" s="284">
        <f t="shared" si="24"/>
        <v>606.29430918804837</v>
      </c>
      <c r="CC45" s="560">
        <v>43423</v>
      </c>
      <c r="CD45" s="155" t="str">
        <f t="shared" si="5"/>
        <v>7.5Y</v>
      </c>
      <c r="CE45" s="405">
        <v>0.79267581818210919</v>
      </c>
      <c r="CF45" s="284">
        <f>IF(CC45,_xll.qDateYears(CC44,CC45,CF$13),0)</f>
        <v>0.25277777777777777</v>
      </c>
      <c r="CG45" s="284">
        <f t="shared" si="25"/>
        <v>687.9255791803306</v>
      </c>
      <c r="CO45" s="560">
        <v>43423</v>
      </c>
      <c r="CP45" s="155" t="str">
        <f t="shared" si="6"/>
        <v>7.5Y</v>
      </c>
      <c r="CQ45" s="405">
        <v>0.7817780685038197</v>
      </c>
      <c r="CR45" s="284">
        <f>IF(CO45,_xll.qDateYears(CO44,CO45,CR$13),0)</f>
        <v>0.24931506849315069</v>
      </c>
      <c r="CS45" s="284">
        <f t="shared" si="26"/>
        <v>680.21703209577208</v>
      </c>
      <c r="DA45" s="560">
        <v>43423</v>
      </c>
      <c r="DB45" s="155" t="str">
        <f t="shared" si="7"/>
        <v>7.5Y</v>
      </c>
      <c r="DC45" s="405">
        <v>0.66904573133968115</v>
      </c>
      <c r="DD45" s="284">
        <f>IF(DA45,_xll.qDateYears(DA44,DA45,DD$13),0)</f>
        <v>0.24931506849315069</v>
      </c>
      <c r="DE45" s="284">
        <f t="shared" si="27"/>
        <v>630.65350737266374</v>
      </c>
      <c r="DM45" s="560">
        <v>43423</v>
      </c>
      <c r="DN45" s="155" t="str">
        <f t="shared" si="8"/>
        <v>7.5Y</v>
      </c>
      <c r="DO45" s="405">
        <v>0.80743067708481553</v>
      </c>
      <c r="DP45" s="284">
        <f>IF(DM45,_xll.qDateYears(DM44,DM45,DP$13),0)</f>
        <v>0.25277777777777777</v>
      </c>
      <c r="DQ45" s="284">
        <f t="shared" si="28"/>
        <v>705.57656543573</v>
      </c>
    </row>
    <row r="46" spans="11:150">
      <c r="BG46" s="560">
        <v>43515</v>
      </c>
      <c r="BH46" s="154" t="str">
        <f t="shared" si="3"/>
        <v>7.75Y</v>
      </c>
      <c r="BI46" s="405">
        <v>0.79778031326732968</v>
      </c>
      <c r="BJ46" s="284">
        <f>IF(BG46,_xll.qDateYears(BG45,BG46,$BJ$13),0)</f>
        <v>0.25555555555555554</v>
      </c>
      <c r="BK46" s="284">
        <f t="shared" si="23"/>
        <v>725.96428455256171</v>
      </c>
      <c r="BQ46" s="560">
        <v>43515</v>
      </c>
      <c r="BR46" s="155" t="str">
        <f t="shared" si="4"/>
        <v>7.75Y</v>
      </c>
      <c r="BS46" s="405">
        <v>0.62630383807738976</v>
      </c>
      <c r="BT46" s="284">
        <f>IF(BQ46,_xll.qDateYears(BQ45,BQ46,BT$13),0)</f>
        <v>0.25205479452054796</v>
      </c>
      <c r="BU46" s="284">
        <f t="shared" si="24"/>
        <v>622.08059770945113</v>
      </c>
      <c r="CC46" s="560">
        <v>43515</v>
      </c>
      <c r="CD46" s="155" t="str">
        <f t="shared" si="5"/>
        <v>7.75Y</v>
      </c>
      <c r="CE46" s="405">
        <v>0.78468750725979808</v>
      </c>
      <c r="CF46" s="284">
        <f>IF(CC46,_xll.qDateYears(CC45,CC46,CF$13),0)</f>
        <v>0.25555555555555554</v>
      </c>
      <c r="CG46" s="284">
        <f t="shared" si="25"/>
        <v>707.97870436585879</v>
      </c>
      <c r="CO46" s="560">
        <v>43515</v>
      </c>
      <c r="CP46" s="155" t="str">
        <f t="shared" si="6"/>
        <v>7.75Y</v>
      </c>
      <c r="CQ46" s="405">
        <v>0.77256045964928932</v>
      </c>
      <c r="CR46" s="284">
        <f>IF(CO46,_xll.qDateYears(CO45,CO46,CR$13),0)</f>
        <v>0.25205479452054796</v>
      </c>
      <c r="CS46" s="284">
        <f t="shared" si="26"/>
        <v>699.68978888693221</v>
      </c>
      <c r="DA46" s="560">
        <v>43515</v>
      </c>
      <c r="DB46" s="155" t="str">
        <f t="shared" si="7"/>
        <v>7.75Y</v>
      </c>
      <c r="DC46" s="405">
        <v>0.65818874717508824</v>
      </c>
      <c r="DD46" s="284">
        <f>IF(DA46,_xll.qDateYears(DA45,DA46,DD$13),0)</f>
        <v>0.25205479452054796</v>
      </c>
      <c r="DE46" s="284">
        <f t="shared" si="27"/>
        <v>647.24347031515913</v>
      </c>
      <c r="DM46" s="560">
        <v>43515</v>
      </c>
      <c r="DN46" s="155" t="str">
        <f t="shared" si="8"/>
        <v>7.75Y</v>
      </c>
      <c r="DO46" s="405">
        <v>0.79778031326732968</v>
      </c>
      <c r="DP46" s="284">
        <f>IF(DM46,_xll.qDateYears(DM45,DM46,DP$13),0)</f>
        <v>0.25555555555555554</v>
      </c>
      <c r="DQ46" s="284">
        <f t="shared" si="28"/>
        <v>725.96428455256171</v>
      </c>
    </row>
    <row r="47" spans="11:150">
      <c r="BG47" s="560">
        <v>43605</v>
      </c>
      <c r="BH47" s="154" t="str">
        <f t="shared" si="3"/>
        <v>8Y</v>
      </c>
      <c r="BI47" s="405">
        <v>0.78821183568303843</v>
      </c>
      <c r="BJ47" s="284">
        <f>IF(BG47,_xll.qDateYears(BG46,BG47,$BJ$13),0)</f>
        <v>0.25</v>
      </c>
      <c r="BK47" s="284">
        <f t="shared" si="23"/>
        <v>745.66958044463763</v>
      </c>
      <c r="BQ47" s="560">
        <v>43605</v>
      </c>
      <c r="BR47" s="155" t="str">
        <f t="shared" si="4"/>
        <v>8Y</v>
      </c>
      <c r="BS47" s="405">
        <v>0.61631840449168951</v>
      </c>
      <c r="BT47" s="284">
        <f>IF(BQ47,_xll.qDateYears(BQ46,BQ47,BT$13),0)</f>
        <v>0.24657534246575341</v>
      </c>
      <c r="BU47" s="284">
        <f t="shared" si="24"/>
        <v>637.27748987499967</v>
      </c>
      <c r="CC47" s="560">
        <v>43605</v>
      </c>
      <c r="CD47" s="155" t="str">
        <f t="shared" si="5"/>
        <v>8Y</v>
      </c>
      <c r="CE47" s="405">
        <v>0.77683691438038804</v>
      </c>
      <c r="CF47" s="284">
        <f>IF(CC47,_xll.qDateYears(CC46,CC47,CF$13),0)</f>
        <v>0.25</v>
      </c>
      <c r="CG47" s="284">
        <f t="shared" si="25"/>
        <v>727.39962722536848</v>
      </c>
      <c r="CO47" s="560">
        <v>43605</v>
      </c>
      <c r="CP47" s="155" t="str">
        <f t="shared" si="6"/>
        <v>8Y</v>
      </c>
      <c r="CQ47" s="405">
        <v>0.76349332827625527</v>
      </c>
      <c r="CR47" s="284">
        <f>IF(CO47,_xll.qDateYears(CO46,CO47,CR$13),0)</f>
        <v>0.24657534246575341</v>
      </c>
      <c r="CS47" s="284">
        <f t="shared" si="26"/>
        <v>718.51565177593579</v>
      </c>
      <c r="DA47" s="560">
        <v>43605</v>
      </c>
      <c r="DB47" s="155" t="str">
        <f t="shared" si="7"/>
        <v>8Y</v>
      </c>
      <c r="DC47" s="405">
        <v>0.64762127464973651</v>
      </c>
      <c r="DD47" s="284">
        <f>IF(DA47,_xll.qDateYears(DA46,DA47,DD$13),0)</f>
        <v>0.24657534246575341</v>
      </c>
      <c r="DE47" s="284">
        <f t="shared" si="27"/>
        <v>663.21221407364578</v>
      </c>
      <c r="DM47" s="560">
        <v>43605</v>
      </c>
      <c r="DN47" s="155" t="str">
        <f t="shared" si="8"/>
        <v>8Y</v>
      </c>
      <c r="DO47" s="405">
        <v>0.78821183568303843</v>
      </c>
      <c r="DP47" s="284">
        <f>IF(DM47,_xll.qDateYears(DM46,DM47,DP$13),0)</f>
        <v>0.25</v>
      </c>
      <c r="DQ47" s="284">
        <f t="shared" si="28"/>
        <v>745.66958044463763</v>
      </c>
    </row>
    <row r="48" spans="11:150">
      <c r="BG48" s="560">
        <v>43696</v>
      </c>
      <c r="BH48" s="154" t="str">
        <f t="shared" si="3"/>
        <v>8.25Y</v>
      </c>
      <c r="BI48" s="405">
        <v>0.77914352983956314</v>
      </c>
      <c r="BJ48" s="284">
        <f>IF(BG48,_xll.qDateYears(BG47,BG48,$BJ$13),0)</f>
        <v>0.25277777777777777</v>
      </c>
      <c r="BK48" s="284">
        <f t="shared" si="23"/>
        <v>765.36459744891545</v>
      </c>
      <c r="BQ48" s="560">
        <v>43696</v>
      </c>
      <c r="BR48" s="155" t="str">
        <f t="shared" si="4"/>
        <v>8.25Y</v>
      </c>
      <c r="BS48" s="405">
        <v>0.6064757192123591</v>
      </c>
      <c r="BT48" s="284">
        <f>IF(BQ48,_xll.qDateYears(BQ47,BQ48,BT$13),0)</f>
        <v>0.24931506849315069</v>
      </c>
      <c r="BU48" s="284">
        <f t="shared" si="24"/>
        <v>652.39784342248583</v>
      </c>
      <c r="CC48" s="560">
        <v>43696</v>
      </c>
      <c r="CD48" s="155" t="str">
        <f t="shared" si="5"/>
        <v>8.25Y</v>
      </c>
      <c r="CE48" s="405">
        <v>0.76904604365547302</v>
      </c>
      <c r="CF48" s="284">
        <f>IF(CC48,_xll.qDateYears(CC47,CC48,CF$13),0)</f>
        <v>0.25277777777777777</v>
      </c>
      <c r="CG48" s="284">
        <f t="shared" si="25"/>
        <v>746.83940221777073</v>
      </c>
      <c r="CO48" s="560">
        <v>43696</v>
      </c>
      <c r="CP48" s="155" t="str">
        <f t="shared" si="6"/>
        <v>8.25Y</v>
      </c>
      <c r="CQ48" s="405">
        <v>0.75478580466213652</v>
      </c>
      <c r="CR48" s="284">
        <f>IF(CO48,_xll.qDateYears(CO47,CO48,CR$13),0)</f>
        <v>0.24931506849315069</v>
      </c>
      <c r="CS48" s="284">
        <f t="shared" si="26"/>
        <v>737.33359923463559</v>
      </c>
      <c r="DA48" s="560">
        <v>43696</v>
      </c>
      <c r="DB48" s="155" t="str">
        <f t="shared" si="7"/>
        <v>8.25Y</v>
      </c>
      <c r="DC48" s="405">
        <v>0.63699316633866432</v>
      </c>
      <c r="DD48" s="284">
        <f>IF(DA48,_xll.qDateYears(DA47,DA48,DD$13),0)</f>
        <v>0.24931506849315069</v>
      </c>
      <c r="DE48" s="284">
        <f t="shared" si="27"/>
        <v>679.09341356318509</v>
      </c>
      <c r="DM48" s="560">
        <v>43696</v>
      </c>
      <c r="DN48" s="155" t="str">
        <f t="shared" si="8"/>
        <v>8.25Y</v>
      </c>
      <c r="DO48" s="405">
        <v>0.77914352983956314</v>
      </c>
      <c r="DP48" s="284">
        <f>IF(DM48,_xll.qDateYears(DM47,DM48,DP$13),0)</f>
        <v>0.25277777777777777</v>
      </c>
      <c r="DQ48" s="284">
        <f t="shared" si="28"/>
        <v>765.36459744891545</v>
      </c>
    </row>
    <row r="49" spans="59:121">
      <c r="BG49" s="560">
        <v>43788</v>
      </c>
      <c r="BH49" s="154" t="str">
        <f t="shared" si="3"/>
        <v>8.5Y</v>
      </c>
      <c r="BI49" s="405">
        <v>0.76988519649218212</v>
      </c>
      <c r="BJ49" s="284">
        <f>IF(BG49,_xll.qDateYears(BG48,BG49,$BJ$13),0)</f>
        <v>0.25555555555555554</v>
      </c>
      <c r="BK49" s="284">
        <f t="shared" si="23"/>
        <v>785.03944135927122</v>
      </c>
      <c r="BQ49" s="560">
        <v>43788</v>
      </c>
      <c r="BR49" s="155" t="str">
        <f t="shared" si="4"/>
        <v>8.5Y</v>
      </c>
      <c r="BS49" s="405">
        <v>0.59664655241919107</v>
      </c>
      <c r="BT49" s="284">
        <f>IF(BQ49,_xll.qDateYears(BQ48,BQ49,BT$13),0)</f>
        <v>0.25205479452054796</v>
      </c>
      <c r="BU49" s="284">
        <f t="shared" si="24"/>
        <v>667.43660583962708</v>
      </c>
      <c r="CC49" s="560">
        <v>43788</v>
      </c>
      <c r="CD49" s="155" t="str">
        <f t="shared" si="5"/>
        <v>8.5Y</v>
      </c>
      <c r="CE49" s="405">
        <v>0.76114528694628392</v>
      </c>
      <c r="CF49" s="284">
        <f>IF(CC49,_xll.qDateYears(CC48,CC49,CF$13),0)</f>
        <v>0.25555555555555554</v>
      </c>
      <c r="CG49" s="284">
        <f t="shared" si="25"/>
        <v>766.29089288417572</v>
      </c>
      <c r="CO49" s="560">
        <v>43788</v>
      </c>
      <c r="CP49" s="155" t="str">
        <f t="shared" si="6"/>
        <v>8.5Y</v>
      </c>
      <c r="CQ49" s="405">
        <v>0.74594304268779676</v>
      </c>
      <c r="CR49" s="284">
        <f>IF(CO49,_xll.qDateYears(CO48,CO49,CR$13),0)</f>
        <v>0.25205479452054796</v>
      </c>
      <c r="CS49" s="284">
        <f t="shared" si="26"/>
        <v>756.13545126950612</v>
      </c>
      <c r="DA49" s="560">
        <v>43788</v>
      </c>
      <c r="DB49" s="155" t="str">
        <f t="shared" si="7"/>
        <v>8.5Y</v>
      </c>
      <c r="DC49" s="405">
        <v>0.62630928145313802</v>
      </c>
      <c r="DD49" s="284">
        <f>IF(DA49,_xll.qDateYears(DA48,DA49,DD$13),0)</f>
        <v>0.25205479452054796</v>
      </c>
      <c r="DE49" s="284">
        <f t="shared" si="27"/>
        <v>694.87983928748338</v>
      </c>
      <c r="DM49" s="560">
        <v>43788</v>
      </c>
      <c r="DN49" s="155" t="str">
        <f t="shared" si="8"/>
        <v>8.5Y</v>
      </c>
      <c r="DO49" s="405">
        <v>0.76988519649218212</v>
      </c>
      <c r="DP49" s="284">
        <f>IF(DM49,_xll.qDateYears(DM48,DM49,DP$13),0)</f>
        <v>0.25555555555555554</v>
      </c>
      <c r="DQ49" s="284">
        <f t="shared" si="28"/>
        <v>785.03944135927122</v>
      </c>
    </row>
    <row r="50" spans="59:121">
      <c r="BG50" s="560">
        <v>43880</v>
      </c>
      <c r="BH50" s="154" t="str">
        <f t="shared" si="3"/>
        <v>8.75Y</v>
      </c>
      <c r="BI50" s="405">
        <v>0.76054180983159836</v>
      </c>
      <c r="BJ50" s="284">
        <f>IF(BG50,_xll.qDateYears(BG49,BG50,$BJ$13),0)</f>
        <v>0.25555555555555554</v>
      </c>
      <c r="BK50" s="284">
        <f t="shared" si="23"/>
        <v>804.47550983274539</v>
      </c>
      <c r="BQ50" s="560">
        <v>43880</v>
      </c>
      <c r="BR50" s="155" t="str">
        <f t="shared" si="4"/>
        <v>8.75Y</v>
      </c>
      <c r="BS50" s="405">
        <v>0.58693900380925457</v>
      </c>
      <c r="BT50" s="284">
        <f>IF(BQ50,_xll.qDateYears(BQ49,BQ50,BT$13),0)</f>
        <v>0.25205479452054796</v>
      </c>
      <c r="BU50" s="284">
        <f t="shared" si="24"/>
        <v>682.23068483975078</v>
      </c>
      <c r="CC50" s="560">
        <v>43880</v>
      </c>
      <c r="CD50" s="155" t="str">
        <f t="shared" si="5"/>
        <v>8.75Y</v>
      </c>
      <c r="CE50" s="405">
        <v>0.75322253108085135</v>
      </c>
      <c r="CF50" s="284">
        <f>IF(CC50,_xll.qDateYears(CC49,CC50,CF$13),0)</f>
        <v>0.25555555555555554</v>
      </c>
      <c r="CG50" s="284">
        <f t="shared" si="25"/>
        <v>785.53991312290862</v>
      </c>
      <c r="CO50" s="560">
        <v>43880</v>
      </c>
      <c r="CP50" s="155" t="str">
        <f t="shared" si="6"/>
        <v>8.75Y</v>
      </c>
      <c r="CQ50" s="405">
        <v>0.73706431416831697</v>
      </c>
      <c r="CR50" s="284">
        <f>IF(CO50,_xll.qDateYears(CO49,CO50,CR$13),0)</f>
        <v>0.25205479452054796</v>
      </c>
      <c r="CS50" s="284">
        <f t="shared" si="26"/>
        <v>774.71351069511854</v>
      </c>
      <c r="DA50" s="560">
        <v>43880</v>
      </c>
      <c r="DB50" s="155" t="str">
        <f t="shared" si="7"/>
        <v>8.75Y</v>
      </c>
      <c r="DC50" s="405">
        <v>0.61568967660892893</v>
      </c>
      <c r="DD50" s="284">
        <f>IF(DA50,_xll.qDateYears(DA49,DA50,DD$13),0)</f>
        <v>0.25205479452054796</v>
      </c>
      <c r="DE50" s="284">
        <f t="shared" si="27"/>
        <v>710.39859278009203</v>
      </c>
      <c r="DM50" s="560">
        <v>43880</v>
      </c>
      <c r="DN50" s="155" t="str">
        <f t="shared" si="8"/>
        <v>8.75Y</v>
      </c>
      <c r="DO50" s="405">
        <v>0.76054180983159836</v>
      </c>
      <c r="DP50" s="284">
        <f>IF(DM50,_xll.qDateYears(DM49,DM50,DP$13),0)</f>
        <v>0.25555555555555554</v>
      </c>
      <c r="DQ50" s="284">
        <f t="shared" si="28"/>
        <v>804.47550983274539</v>
      </c>
    </row>
    <row r="51" spans="59:121">
      <c r="BG51" s="560">
        <v>43970</v>
      </c>
      <c r="BH51" s="154" t="str">
        <f t="shared" si="3"/>
        <v>9Y</v>
      </c>
      <c r="BI51" s="405">
        <v>0.75132484181529435</v>
      </c>
      <c r="BJ51" s="284">
        <f>IF(BG51,_xll.qDateYears(BG50,BG51,$BJ$13),0)</f>
        <v>0.25</v>
      </c>
      <c r="BK51" s="284">
        <f t="shared" si="23"/>
        <v>823.25863087812775</v>
      </c>
      <c r="BQ51" s="560">
        <v>43970</v>
      </c>
      <c r="BR51" s="155" t="str">
        <f t="shared" si="4"/>
        <v>9Y</v>
      </c>
      <c r="BS51" s="405">
        <v>0.57756008382708335</v>
      </c>
      <c r="BT51" s="284">
        <f>IF(BQ51,_xll.qDateYears(BQ50,BQ51,BT$13),0)</f>
        <v>0.24657534246575341</v>
      </c>
      <c r="BU51" s="284">
        <f t="shared" si="24"/>
        <v>696.47189238617204</v>
      </c>
      <c r="CC51" s="560">
        <v>43970</v>
      </c>
      <c r="CD51" s="155" t="str">
        <f t="shared" si="5"/>
        <v>9Y</v>
      </c>
      <c r="CE51" s="405">
        <v>0.7454530256805727</v>
      </c>
      <c r="CF51" s="284">
        <f>IF(CC51,_xll.qDateYears(CC50,CC51,CF$13),0)</f>
        <v>0.25</v>
      </c>
      <c r="CG51" s="284">
        <f t="shared" si="25"/>
        <v>804.17623876492291</v>
      </c>
      <c r="CO51" s="560">
        <v>43970</v>
      </c>
      <c r="CP51" s="155" t="str">
        <f t="shared" si="6"/>
        <v>9Y</v>
      </c>
      <c r="CQ51" s="405">
        <v>0.72835160651899034</v>
      </c>
      <c r="CR51" s="284">
        <f>IF(CO51,_xll.qDateYears(CO50,CO51,CR$13),0)</f>
        <v>0.24657534246575341</v>
      </c>
      <c r="CS51" s="284">
        <f t="shared" si="26"/>
        <v>792.67286537640871</v>
      </c>
      <c r="DA51" s="560">
        <v>43970</v>
      </c>
      <c r="DB51" s="155" t="str">
        <f t="shared" si="7"/>
        <v>9Y</v>
      </c>
      <c r="DC51" s="405">
        <v>0.60536587544343112</v>
      </c>
      <c r="DD51" s="284">
        <f>IF(DA51,_xll.qDateYears(DA50,DA51,DD$13),0)</f>
        <v>0.24657534246575341</v>
      </c>
      <c r="DE51" s="284">
        <f t="shared" si="27"/>
        <v>725.32542258554645</v>
      </c>
      <c r="DM51" s="560">
        <v>43970</v>
      </c>
      <c r="DN51" s="155" t="str">
        <f t="shared" si="8"/>
        <v>9Y</v>
      </c>
      <c r="DO51" s="405">
        <v>0.75132484181529435</v>
      </c>
      <c r="DP51" s="284">
        <f>IF(DM51,_xll.qDateYears(DM50,DM51,DP$13),0)</f>
        <v>0.25</v>
      </c>
      <c r="DQ51" s="284">
        <f t="shared" si="28"/>
        <v>823.25863087812775</v>
      </c>
    </row>
    <row r="52" spans="59:121">
      <c r="BG52" s="560">
        <v>44062</v>
      </c>
      <c r="BH52" s="154" t="str">
        <f t="shared" si="3"/>
        <v>9.25Y</v>
      </c>
      <c r="BI52" s="405">
        <v>0.74231998078897354</v>
      </c>
      <c r="BJ52" s="284">
        <f>IF(BG52,_xll.qDateYears(BG51,BG52,$BJ$13),0)</f>
        <v>0.25555555555555554</v>
      </c>
      <c r="BK52" s="284">
        <f t="shared" si="23"/>
        <v>842.22903038717925</v>
      </c>
      <c r="BQ52" s="560">
        <v>44062</v>
      </c>
      <c r="BR52" s="155" t="str">
        <f t="shared" si="4"/>
        <v>9.25Y</v>
      </c>
      <c r="BS52" s="405">
        <v>0.56814911085441344</v>
      </c>
      <c r="BT52" s="284">
        <f>IF(BQ52,_xll.qDateYears(BQ51,BQ52,BT$13),0)</f>
        <v>0.25205479452054796</v>
      </c>
      <c r="BU52" s="284">
        <f t="shared" si="24"/>
        <v>710.7923631255162</v>
      </c>
      <c r="CC52" s="560">
        <v>44062</v>
      </c>
      <c r="CD52" s="155" t="str">
        <f t="shared" si="5"/>
        <v>9.25Y</v>
      </c>
      <c r="CE52" s="405">
        <v>0.73763475139656443</v>
      </c>
      <c r="CF52" s="284">
        <f>IF(CC52,_xll.qDateYears(CC51,CC52,CF$13),0)</f>
        <v>0.25555555555555554</v>
      </c>
      <c r="CG52" s="284">
        <f t="shared" si="25"/>
        <v>823.02690463394617</v>
      </c>
      <c r="CO52" s="560">
        <v>44062</v>
      </c>
      <c r="CP52" s="155" t="str">
        <f t="shared" si="6"/>
        <v>9.25Y</v>
      </c>
      <c r="CQ52" s="405">
        <v>0.71980519741530646</v>
      </c>
      <c r="CR52" s="284">
        <f>IF(CO52,_xll.qDateYears(CO51,CO52,CR$13),0)</f>
        <v>0.25205479452054796</v>
      </c>
      <c r="CS52" s="284">
        <f t="shared" si="26"/>
        <v>810.81590048934243</v>
      </c>
      <c r="DA52" s="560">
        <v>44062</v>
      </c>
      <c r="DB52" s="155" t="str">
        <f t="shared" si="7"/>
        <v>9.25Y</v>
      </c>
      <c r="DC52" s="405">
        <v>0.59488176215620869</v>
      </c>
      <c r="DD52" s="284">
        <f>IF(DA52,_xll.qDateYears(DA51,DA52,DD$13),0)</f>
        <v>0.25205479452054796</v>
      </c>
      <c r="DE52" s="284">
        <f t="shared" si="27"/>
        <v>740.31970261797687</v>
      </c>
      <c r="DM52" s="560">
        <v>44062</v>
      </c>
      <c r="DN52" s="155" t="str">
        <f t="shared" si="8"/>
        <v>9.25Y</v>
      </c>
      <c r="DO52" s="405">
        <v>0.74231998078897354</v>
      </c>
      <c r="DP52" s="284">
        <f>IF(DM52,_xll.qDateYears(DM51,DM52,DP$13),0)</f>
        <v>0.25555555555555554</v>
      </c>
      <c r="DQ52" s="284">
        <f t="shared" si="28"/>
        <v>842.22903038717925</v>
      </c>
    </row>
    <row r="53" spans="59:121">
      <c r="BG53" s="560">
        <v>44154</v>
      </c>
      <c r="BH53" s="154" t="str">
        <f t="shared" si="3"/>
        <v>9.5Y</v>
      </c>
      <c r="BI53" s="405">
        <v>0.73326129265596229</v>
      </c>
      <c r="BJ53" s="284">
        <f>IF(BG53,_xll.qDateYears(BG52,BG53,$BJ$13),0)</f>
        <v>0.25555555555555554</v>
      </c>
      <c r="BK53" s="284">
        <f t="shared" si="23"/>
        <v>860.96793008838722</v>
      </c>
      <c r="BQ53" s="560">
        <v>44154</v>
      </c>
      <c r="BR53" s="155" t="str">
        <f t="shared" si="4"/>
        <v>9.5Y</v>
      </c>
      <c r="BS53" s="405">
        <v>0.55885871800082576</v>
      </c>
      <c r="BT53" s="284">
        <f>IF(BQ53,_xll.qDateYears(BQ52,BQ53,BT$13),0)</f>
        <v>0.25205479452054796</v>
      </c>
      <c r="BU53" s="284">
        <f t="shared" si="24"/>
        <v>724.87866505868772</v>
      </c>
      <c r="CC53" s="560">
        <v>44154</v>
      </c>
      <c r="CD53" s="155" t="str">
        <f t="shared" si="5"/>
        <v>9.5Y</v>
      </c>
      <c r="CE53" s="405">
        <v>0.72980611537721884</v>
      </c>
      <c r="CF53" s="284">
        <f>IF(CC53,_xll.qDateYears(CC52,CC53,CF$13),0)</f>
        <v>0.25555555555555554</v>
      </c>
      <c r="CG53" s="284">
        <f t="shared" si="25"/>
        <v>841.67750536025289</v>
      </c>
      <c r="CO53" s="560">
        <v>44154</v>
      </c>
      <c r="CP53" s="155" t="str">
        <f t="shared" si="6"/>
        <v>9.5Y</v>
      </c>
      <c r="CQ53" s="405">
        <v>0.71124548008436306</v>
      </c>
      <c r="CR53" s="284">
        <f>IF(CO53,_xll.qDateYears(CO52,CO53,CR$13),0)</f>
        <v>0.25205479452054796</v>
      </c>
      <c r="CS53" s="284">
        <f t="shared" si="26"/>
        <v>828.74318382297565</v>
      </c>
      <c r="DA53" s="560">
        <v>44154</v>
      </c>
      <c r="DB53" s="155" t="str">
        <f t="shared" si="7"/>
        <v>9.5Y</v>
      </c>
      <c r="DC53" s="405">
        <v>0.58447017745260144</v>
      </c>
      <c r="DD53" s="284">
        <f>IF(DA53,_xll.qDateYears(DA52,DA53,DD$13),0)</f>
        <v>0.25205479452054796</v>
      </c>
      <c r="DE53" s="284">
        <f t="shared" si="27"/>
        <v>755.05155366609722</v>
      </c>
      <c r="DM53" s="560">
        <v>44154</v>
      </c>
      <c r="DN53" s="155" t="str">
        <f t="shared" si="8"/>
        <v>9.5Y</v>
      </c>
      <c r="DO53" s="405">
        <v>0.73326129265596229</v>
      </c>
      <c r="DP53" s="284">
        <f>IF(DM53,_xll.qDateYears(DM52,DM53,DP$13),0)</f>
        <v>0.25555555555555554</v>
      </c>
      <c r="DQ53" s="284">
        <f t="shared" si="28"/>
        <v>860.96793008838722</v>
      </c>
    </row>
    <row r="54" spans="59:121">
      <c r="BG54" s="560">
        <v>44246</v>
      </c>
      <c r="BH54" s="154" t="str">
        <f t="shared" si="3"/>
        <v>9.75Y</v>
      </c>
      <c r="BI54" s="405">
        <v>0.72415343148477329</v>
      </c>
      <c r="BJ54" s="284">
        <f>IF(BG54,_xll.qDateYears(BG53,BG54,$BJ$13),0)</f>
        <v>0.25555555555555554</v>
      </c>
      <c r="BK54" s="284">
        <f t="shared" si="23"/>
        <v>879.47407333744252</v>
      </c>
      <c r="BQ54" s="560">
        <v>44246</v>
      </c>
      <c r="BR54" s="155" t="str">
        <f t="shared" si="4"/>
        <v>9.75Y</v>
      </c>
      <c r="BS54" s="405">
        <v>0.54968801535662015</v>
      </c>
      <c r="BT54" s="284">
        <f>IF(BQ54,_xll.qDateYears(BQ53,BQ54,BT$13),0)</f>
        <v>0.25205479452054796</v>
      </c>
      <c r="BU54" s="284">
        <f t="shared" si="24"/>
        <v>738.73381503479982</v>
      </c>
      <c r="CC54" s="560">
        <v>44246</v>
      </c>
      <c r="CD54" s="155" t="str">
        <f t="shared" si="5"/>
        <v>9.75Y</v>
      </c>
      <c r="CE54" s="405">
        <v>0.72196920679752807</v>
      </c>
      <c r="CF54" s="284">
        <f>IF(CC54,_xll.qDateYears(CC53,CC54,CF$13),0)</f>
        <v>0.25555555555555554</v>
      </c>
      <c r="CG54" s="284">
        <f t="shared" si="25"/>
        <v>860.12782953396754</v>
      </c>
      <c r="CO54" s="560">
        <v>44246</v>
      </c>
      <c r="CP54" s="155" t="str">
        <f t="shared" si="6"/>
        <v>9.75Y</v>
      </c>
      <c r="CQ54" s="405">
        <v>0.7026753435311851</v>
      </c>
      <c r="CR54" s="284">
        <f>IF(CO54,_xll.qDateYears(CO53,CO54,CR$13),0)</f>
        <v>0.25205479452054796</v>
      </c>
      <c r="CS54" s="284">
        <f t="shared" si="26"/>
        <v>846.45445275581653</v>
      </c>
      <c r="DA54" s="560">
        <v>44246</v>
      </c>
      <c r="DB54" s="155" t="str">
        <f t="shared" si="7"/>
        <v>9.75Y</v>
      </c>
      <c r="DC54" s="405">
        <v>0.57413371699057669</v>
      </c>
      <c r="DD54" s="284">
        <f>IF(DA54,_xll.qDateYears(DA53,DA54,DD$13),0)</f>
        <v>0.25205479452054796</v>
      </c>
      <c r="DE54" s="284">
        <f t="shared" si="27"/>
        <v>769.52286927243506</v>
      </c>
      <c r="DM54" s="560">
        <v>44246</v>
      </c>
      <c r="DN54" s="155" t="str">
        <f t="shared" si="8"/>
        <v>9.75Y</v>
      </c>
      <c r="DO54" s="405">
        <v>0.72415343148477329</v>
      </c>
      <c r="DP54" s="284">
        <f>IF(DM54,_xll.qDateYears(DM53,DM54,DP$13),0)</f>
        <v>0.25555555555555554</v>
      </c>
      <c r="DQ54" s="284">
        <f t="shared" si="28"/>
        <v>879.47407333744252</v>
      </c>
    </row>
    <row r="55" spans="59:121">
      <c r="BG55" s="560">
        <v>44335</v>
      </c>
      <c r="BH55" s="154" t="str">
        <f t="shared" si="3"/>
        <v>10Y</v>
      </c>
      <c r="BI55" s="405">
        <v>0.71530012836639612</v>
      </c>
      <c r="BJ55" s="284">
        <f>IF(BG55,_xll.qDateYears(BG54,BG55,$BJ$13),0)</f>
        <v>0.24722222222222223</v>
      </c>
      <c r="BK55" s="284">
        <f t="shared" si="23"/>
        <v>897.15788206650063</v>
      </c>
      <c r="BQ55" s="560">
        <v>44335</v>
      </c>
      <c r="BR55" s="155" t="str">
        <f t="shared" si="4"/>
        <v>10Y</v>
      </c>
      <c r="BS55" s="405">
        <v>0.54092950556840957</v>
      </c>
      <c r="BT55" s="284">
        <f>IF(BQ55,_xll.qDateYears(BQ54,BQ55,BT$13),0)</f>
        <v>0.24383561643835616</v>
      </c>
      <c r="BU55" s="284">
        <f t="shared" si="24"/>
        <v>751.92360297879668</v>
      </c>
      <c r="CC55" s="560">
        <v>44335</v>
      </c>
      <c r="CD55" s="155" t="str">
        <f t="shared" si="5"/>
        <v>10Y</v>
      </c>
      <c r="CE55" s="405">
        <v>0.7143819255913727</v>
      </c>
      <c r="CF55" s="284">
        <f>IF(CC55,_xll.qDateYears(CC54,CC55,CF$13),0)</f>
        <v>0.24722222222222223</v>
      </c>
      <c r="CG55" s="284">
        <f t="shared" si="25"/>
        <v>877.78893824997647</v>
      </c>
      <c r="CO55" s="560">
        <v>44335</v>
      </c>
      <c r="CP55" s="155" t="str">
        <f t="shared" si="6"/>
        <v>10Y</v>
      </c>
      <c r="CQ55" s="405">
        <v>0.69439039932132396</v>
      </c>
      <c r="CR55" s="284">
        <f>IF(CO55,_xll.qDateYears(CO54,CO55,CR$13),0)</f>
        <v>0.24383561643835616</v>
      </c>
      <c r="CS55" s="284">
        <f t="shared" si="26"/>
        <v>863.38616386255569</v>
      </c>
      <c r="DA55" s="560">
        <v>44335</v>
      </c>
      <c r="DB55" s="155" t="str">
        <f t="shared" si="7"/>
        <v>10Y</v>
      </c>
      <c r="DC55" s="405">
        <v>0.5642081656010618</v>
      </c>
      <c r="DD55" s="284">
        <f>IF(DA55,_xll.qDateYears(DA54,DA55,DD$13),0)</f>
        <v>0.24383561643835616</v>
      </c>
      <c r="DE55" s="284">
        <f t="shared" si="27"/>
        <v>783.28027385832399</v>
      </c>
      <c r="DM55" s="560">
        <v>44335</v>
      </c>
      <c r="DN55" s="155" t="str">
        <f t="shared" si="8"/>
        <v>10Y</v>
      </c>
      <c r="DO55" s="405">
        <v>0.71530012836639612</v>
      </c>
      <c r="DP55" s="284">
        <f>IF(DM55,_xll.qDateYears(DM54,DM55,DP$13),0)</f>
        <v>0.24722222222222223</v>
      </c>
      <c r="DQ55" s="284">
        <f t="shared" si="28"/>
        <v>897.15788206650063</v>
      </c>
    </row>
    <row r="56" spans="59:121">
      <c r="BG56" s="560">
        <v>44427</v>
      </c>
      <c r="BH56" s="154" t="str">
        <f t="shared" si="3"/>
        <v>10.25Y</v>
      </c>
      <c r="BI56" s="405">
        <v>0.70680728932903381</v>
      </c>
      <c r="BJ56" s="284">
        <f>IF(BG56,_xll.qDateYears(BG55,BG56,$BJ$13),0)</f>
        <v>0.25555555555555554</v>
      </c>
      <c r="BK56" s="284">
        <f t="shared" si="23"/>
        <v>915.2207350160204</v>
      </c>
      <c r="BQ56" s="560">
        <v>44427</v>
      </c>
      <c r="BR56" s="155" t="str">
        <f t="shared" si="4"/>
        <v>10.25Y</v>
      </c>
      <c r="BS56" s="405">
        <v>0.53239261802651094</v>
      </c>
      <c r="BT56" s="284">
        <f>IF(BQ56,_xll.qDateYears(BQ55,BQ56,BT$13),0)</f>
        <v>0.25205479452054796</v>
      </c>
      <c r="BU56" s="284">
        <f t="shared" si="24"/>
        <v>765.34281417288958</v>
      </c>
      <c r="CC56" s="560">
        <v>44427</v>
      </c>
      <c r="CD56" s="155" t="str">
        <f t="shared" si="5"/>
        <v>10.25Y</v>
      </c>
      <c r="CE56" s="405">
        <v>0.70664495006237626</v>
      </c>
      <c r="CF56" s="284">
        <f>IF(CC56,_xll.qDateYears(CC55,CC56,CF$13),0)</f>
        <v>0.25555555555555554</v>
      </c>
      <c r="CG56" s="284">
        <f t="shared" si="25"/>
        <v>895.84764252934826</v>
      </c>
      <c r="CO56" s="560">
        <v>44427</v>
      </c>
      <c r="CP56" s="155" t="str">
        <f t="shared" si="6"/>
        <v>10.25Y</v>
      </c>
      <c r="CQ56" s="405">
        <v>0.68642598986372416</v>
      </c>
      <c r="CR56" s="284">
        <f>IF(CO56,_xll.qDateYears(CO55,CO56,CR$13),0)</f>
        <v>0.25205479452054796</v>
      </c>
      <c r="CS56" s="284">
        <f t="shared" si="26"/>
        <v>880.68786004542221</v>
      </c>
      <c r="DA56" s="560">
        <v>44427</v>
      </c>
      <c r="DB56" s="155" t="str">
        <f t="shared" si="7"/>
        <v>10.25Y</v>
      </c>
      <c r="DC56" s="405">
        <v>0.55554481568670977</v>
      </c>
      <c r="DD56" s="284">
        <f>IF(DA56,_xll.qDateYears(DA55,DA56,DD$13),0)</f>
        <v>0.25205479452054796</v>
      </c>
      <c r="DE56" s="284">
        <f t="shared" si="27"/>
        <v>797.2830472948109</v>
      </c>
      <c r="DM56" s="560">
        <v>44427</v>
      </c>
      <c r="DN56" s="155" t="str">
        <f t="shared" si="8"/>
        <v>10.25Y</v>
      </c>
      <c r="DO56" s="405">
        <v>0.70680728932903381</v>
      </c>
      <c r="DP56" s="284">
        <f>IF(DM56,_xll.qDateYears(DM55,DM56,DP$13),0)</f>
        <v>0.25555555555555554</v>
      </c>
      <c r="DQ56" s="284">
        <f t="shared" si="28"/>
        <v>915.2207350160204</v>
      </c>
    </row>
    <row r="57" spans="59:121">
      <c r="BG57" s="560">
        <v>44519</v>
      </c>
      <c r="BH57" s="154" t="str">
        <f t="shared" si="3"/>
        <v>10.5Y</v>
      </c>
      <c r="BI57" s="405">
        <v>0.69829511013726642</v>
      </c>
      <c r="BJ57" s="284">
        <f>IF(BG57,_xll.qDateYears(BG56,BG57,$BJ$13),0)</f>
        <v>0.25555555555555554</v>
      </c>
      <c r="BK57" s="284">
        <f t="shared" si="23"/>
        <v>933.06605449730614</v>
      </c>
      <c r="BQ57" s="560">
        <v>44519</v>
      </c>
      <c r="BR57" s="155" t="str">
        <f t="shared" si="4"/>
        <v>10.5Y</v>
      </c>
      <c r="BS57" s="405">
        <v>0.52397911355985149</v>
      </c>
      <c r="BT57" s="284">
        <f>IF(BQ57,_xll.qDateYears(BQ56,BQ57,BT$13),0)</f>
        <v>0.25205479452054796</v>
      </c>
      <c r="BU57" s="284">
        <f t="shared" si="24"/>
        <v>778.54995895302829</v>
      </c>
      <c r="CC57" s="560">
        <v>44519</v>
      </c>
      <c r="CD57" s="155" t="str">
        <f t="shared" si="5"/>
        <v>10.5Y</v>
      </c>
      <c r="CE57" s="405">
        <v>0.69890869092114871</v>
      </c>
      <c r="CF57" s="284">
        <f>IF(CC57,_xll.qDateYears(CC56,CC57,CF$13),0)</f>
        <v>0.25555555555555554</v>
      </c>
      <c r="CG57" s="284">
        <f t="shared" si="25"/>
        <v>913.70864240844423</v>
      </c>
      <c r="CO57" s="560">
        <v>44519</v>
      </c>
      <c r="CP57" s="155" t="str">
        <f t="shared" si="6"/>
        <v>10.5Y</v>
      </c>
      <c r="CQ57" s="405">
        <v>0.67847453902426191</v>
      </c>
      <c r="CR57" s="284">
        <f>IF(CO57,_xll.qDateYears(CO56,CO57,CR$13),0)</f>
        <v>0.25205479452054796</v>
      </c>
      <c r="CS57" s="284">
        <f t="shared" si="26"/>
        <v>897.78913609754056</v>
      </c>
      <c r="DA57" s="560">
        <v>44519</v>
      </c>
      <c r="DB57" s="155" t="str">
        <f t="shared" si="7"/>
        <v>10.5Y</v>
      </c>
      <c r="DC57" s="405">
        <v>0.54698582334987322</v>
      </c>
      <c r="DD57" s="284">
        <f>IF(DA57,_xll.qDateYears(DA56,DA57,DD$13),0)</f>
        <v>0.25205479452054796</v>
      </c>
      <c r="DE57" s="284">
        <f t="shared" si="27"/>
        <v>811.07008722582145</v>
      </c>
      <c r="DM57" s="560">
        <v>44519</v>
      </c>
      <c r="DN57" s="155" t="str">
        <f t="shared" si="8"/>
        <v>10.5Y</v>
      </c>
      <c r="DO57" s="405">
        <v>0.69829511013726642</v>
      </c>
      <c r="DP57" s="284">
        <f>IF(DM57,_xll.qDateYears(DM56,DM57,DP$13),0)</f>
        <v>0.25555555555555554</v>
      </c>
      <c r="DQ57" s="284">
        <f t="shared" si="28"/>
        <v>933.06605449730614</v>
      </c>
    </row>
    <row r="58" spans="59:121">
      <c r="BG58" s="560">
        <v>44614</v>
      </c>
      <c r="BH58" s="154" t="str">
        <f t="shared" si="3"/>
        <v>10.75Y</v>
      </c>
      <c r="BI58" s="405">
        <v>0.68948841513870995</v>
      </c>
      <c r="BJ58" s="284">
        <f>IF(BG58,_xll.qDateYears(BG57,BG58,$BJ$13),0)</f>
        <v>0.2638888888888889</v>
      </c>
      <c r="BK58" s="284">
        <f t="shared" si="23"/>
        <v>951.2608876745777</v>
      </c>
      <c r="BQ58" s="560">
        <v>44614</v>
      </c>
      <c r="BR58" s="155" t="str">
        <f t="shared" si="4"/>
        <v>10.75Y</v>
      </c>
      <c r="BS58" s="405">
        <v>0.51541905468752236</v>
      </c>
      <c r="BT58" s="284">
        <f>IF(BQ58,_xll.qDateYears(BQ57,BQ58,BT$13),0)</f>
        <v>0.26027397260273971</v>
      </c>
      <c r="BU58" s="284">
        <f t="shared" si="24"/>
        <v>791.96497544489534</v>
      </c>
      <c r="CC58" s="560">
        <v>44614</v>
      </c>
      <c r="CD58" s="155" t="str">
        <f t="shared" si="5"/>
        <v>10.75Y</v>
      </c>
      <c r="CE58" s="405">
        <v>0.69092285355587524</v>
      </c>
      <c r="CF58" s="284">
        <f>IF(CC58,_xll.qDateYears(CC57,CC58,CF$13),0)</f>
        <v>0.2638888888888889</v>
      </c>
      <c r="CG58" s="284">
        <f t="shared" si="25"/>
        <v>931.94132882172426</v>
      </c>
      <c r="CO58" s="560">
        <v>44614</v>
      </c>
      <c r="CP58" s="155" t="str">
        <f t="shared" si="6"/>
        <v>10.75Y</v>
      </c>
      <c r="CQ58" s="405">
        <v>0.67027918640823048</v>
      </c>
      <c r="CR58" s="284">
        <f>IF(CO58,_xll.qDateYears(CO57,CO58,CR$13),0)</f>
        <v>0.26027397260273971</v>
      </c>
      <c r="CS58" s="284">
        <f t="shared" si="26"/>
        <v>915.23475875748079</v>
      </c>
      <c r="DA58" s="560">
        <v>44614</v>
      </c>
      <c r="DB58" s="155" t="str">
        <f t="shared" si="7"/>
        <v>10.75Y</v>
      </c>
      <c r="DC58" s="405">
        <v>0.53825649080018689</v>
      </c>
      <c r="DD58" s="284">
        <f>IF(DA58,_xll.qDateYears(DA57,DA58,DD$13),0)</f>
        <v>0.26027397260273971</v>
      </c>
      <c r="DE58" s="284">
        <f t="shared" si="27"/>
        <v>825.07950273979895</v>
      </c>
      <c r="DM58" s="560">
        <v>44614</v>
      </c>
      <c r="DN58" s="155" t="str">
        <f t="shared" si="8"/>
        <v>10.75Y</v>
      </c>
      <c r="DO58" s="405">
        <v>0.68948841513870995</v>
      </c>
      <c r="DP58" s="284">
        <f>IF(DM58,_xll.qDateYears(DM57,DM58,DP$13),0)</f>
        <v>0.2638888888888889</v>
      </c>
      <c r="DQ58" s="284">
        <f t="shared" si="28"/>
        <v>951.2608876745777</v>
      </c>
    </row>
    <row r="59" spans="59:121">
      <c r="BG59" s="560">
        <v>44700</v>
      </c>
      <c r="BH59" s="154" t="str">
        <f t="shared" si="3"/>
        <v>11Y</v>
      </c>
      <c r="BI59" s="405">
        <v>0.68150403739207377</v>
      </c>
      <c r="BJ59" s="284">
        <f>IF(BG59,_xll.qDateYears(BG58,BG59,$BJ$13),0)</f>
        <v>0.2388888888888889</v>
      </c>
      <c r="BK59" s="284">
        <f t="shared" si="23"/>
        <v>967.54126190116608</v>
      </c>
      <c r="BQ59" s="560">
        <v>44700</v>
      </c>
      <c r="BR59" s="155" t="str">
        <f t="shared" si="4"/>
        <v>11Y</v>
      </c>
      <c r="BS59" s="405">
        <v>0.50778049959364469</v>
      </c>
      <c r="BT59" s="284">
        <f>IF(BQ59,_xll.qDateYears(BQ58,BQ59,BT$13),0)</f>
        <v>0.23561643835616439</v>
      </c>
      <c r="BU59" s="284">
        <f t="shared" si="24"/>
        <v>803.92911872299214</v>
      </c>
      <c r="CC59" s="560">
        <v>44700</v>
      </c>
      <c r="CD59" s="155" t="str">
        <f t="shared" si="5"/>
        <v>11Y</v>
      </c>
      <c r="CE59" s="405">
        <v>0.68369757069885917</v>
      </c>
      <c r="CF59" s="284">
        <f>IF(CC59,_xll.qDateYears(CC58,CC59,CF$13),0)</f>
        <v>0.2388888888888889</v>
      </c>
      <c r="CG59" s="284">
        <f t="shared" si="25"/>
        <v>948.27410412175254</v>
      </c>
      <c r="CO59" s="560">
        <v>44700</v>
      </c>
      <c r="CP59" s="155" t="str">
        <f t="shared" si="6"/>
        <v>11Y</v>
      </c>
      <c r="CQ59" s="405">
        <v>0.66287522416714917</v>
      </c>
      <c r="CR59" s="284">
        <f>IF(CO59,_xll.qDateYears(CO58,CO59,CR$13),0)</f>
        <v>0.23561643835616439</v>
      </c>
      <c r="CS59" s="284">
        <f t="shared" si="26"/>
        <v>930.85318869676155</v>
      </c>
      <c r="DA59" s="560">
        <v>44700</v>
      </c>
      <c r="DB59" s="155" t="str">
        <f t="shared" si="7"/>
        <v>11Y</v>
      </c>
      <c r="DC59" s="405">
        <v>0.53044878634634884</v>
      </c>
      <c r="DD59" s="284">
        <f>IF(DA59,_xll.qDateYears(DA58,DA59,DD$13),0)</f>
        <v>0.23561643835616439</v>
      </c>
      <c r="DE59" s="284">
        <f t="shared" si="27"/>
        <v>837.57774811672664</v>
      </c>
      <c r="DM59" s="560">
        <v>44700</v>
      </c>
      <c r="DN59" s="155" t="str">
        <f t="shared" si="8"/>
        <v>11Y</v>
      </c>
      <c r="DO59" s="405">
        <v>0.68150403739207377</v>
      </c>
      <c r="DP59" s="284">
        <f>IF(DM59,_xll.qDateYears(DM58,DM59,DP$13),0)</f>
        <v>0.2388888888888889</v>
      </c>
      <c r="DQ59" s="284">
        <f t="shared" si="28"/>
        <v>967.54126190116608</v>
      </c>
    </row>
    <row r="60" spans="59:121">
      <c r="BG60" s="560">
        <v>44792</v>
      </c>
      <c r="BH60" s="154" t="str">
        <f t="shared" si="3"/>
        <v>11.25Y</v>
      </c>
      <c r="BI60" s="405">
        <v>0.67287355754259404</v>
      </c>
      <c r="BJ60" s="284">
        <f>IF(BG60,_xll.qDateYears(BG59,BG60,$BJ$13),0)</f>
        <v>0.25555555555555554</v>
      </c>
      <c r="BK60" s="284">
        <f t="shared" si="23"/>
        <v>984.73691948281021</v>
      </c>
      <c r="BQ60" s="560">
        <v>44792</v>
      </c>
      <c r="BR60" s="155" t="str">
        <f t="shared" si="4"/>
        <v>11.25Y</v>
      </c>
      <c r="BS60" s="405">
        <v>0.49972383859789021</v>
      </c>
      <c r="BT60" s="284">
        <f>IF(BQ60,_xll.qDateYears(BQ59,BQ60,BT$13),0)</f>
        <v>0.25205479452054796</v>
      </c>
      <c r="BU60" s="284">
        <f t="shared" si="24"/>
        <v>816.52489766847316</v>
      </c>
      <c r="CC60" s="560">
        <v>44792</v>
      </c>
      <c r="CD60" s="155" t="str">
        <f t="shared" si="5"/>
        <v>11.25Y</v>
      </c>
      <c r="CE60" s="405">
        <v>0.67593185280164703</v>
      </c>
      <c r="CF60" s="284">
        <f>IF(CC60,_xll.qDateYears(CC59,CC60,CF$13),0)</f>
        <v>0.25555555555555554</v>
      </c>
      <c r="CG60" s="284">
        <f t="shared" si="25"/>
        <v>965.54791813779468</v>
      </c>
      <c r="CO60" s="560">
        <v>44792</v>
      </c>
      <c r="CP60" s="155" t="str">
        <f t="shared" si="6"/>
        <v>11.25Y</v>
      </c>
      <c r="CQ60" s="405">
        <v>0.65497548638951608</v>
      </c>
      <c r="CR60" s="284">
        <f>IF(CO60,_xll.qDateYears(CO59,CO60,CR$13),0)</f>
        <v>0.25205479452054796</v>
      </c>
      <c r="CS60" s="284">
        <f t="shared" si="26"/>
        <v>947.36215986055208</v>
      </c>
      <c r="DA60" s="560">
        <v>44792</v>
      </c>
      <c r="DB60" s="155" t="str">
        <f t="shared" si="7"/>
        <v>11.25Y</v>
      </c>
      <c r="DC60" s="405">
        <v>0.52219522646558636</v>
      </c>
      <c r="DD60" s="284">
        <f>IF(DA60,_xll.qDateYears(DA59,DA60,DD$13),0)</f>
        <v>0.25205479452054796</v>
      </c>
      <c r="DE60" s="284">
        <f t="shared" si="27"/>
        <v>850.73992916736609</v>
      </c>
      <c r="DM60" s="560">
        <v>44792</v>
      </c>
      <c r="DN60" s="155" t="str">
        <f t="shared" si="8"/>
        <v>11.25Y</v>
      </c>
      <c r="DO60" s="405">
        <v>0.67287355754259404</v>
      </c>
      <c r="DP60" s="284">
        <f>IF(DM60,_xll.qDateYears(DM59,DM60,DP$13),0)</f>
        <v>0.25555555555555554</v>
      </c>
      <c r="DQ60" s="284">
        <f t="shared" si="28"/>
        <v>984.73691948281021</v>
      </c>
    </row>
    <row r="61" spans="59:121">
      <c r="BG61" s="560">
        <v>44886</v>
      </c>
      <c r="BH61" s="154" t="str">
        <f t="shared" si="3"/>
        <v>11.5Y</v>
      </c>
      <c r="BI61" s="405">
        <v>0.66404674886161685</v>
      </c>
      <c r="BJ61" s="284">
        <f>IF(BG61,_xll.qDateYears(BG60,BG61,$BJ$13),0)</f>
        <v>0.26111111111111113</v>
      </c>
      <c r="BK61" s="284">
        <f t="shared" si="23"/>
        <v>1002.075917925308</v>
      </c>
      <c r="BQ61" s="560">
        <v>44886</v>
      </c>
      <c r="BR61" s="155" t="str">
        <f t="shared" si="4"/>
        <v>11.5Y</v>
      </c>
      <c r="BS61" s="405">
        <v>0.4916130533160134</v>
      </c>
      <c r="BT61" s="284">
        <f>IF(BQ61,_xll.qDateYears(BQ60,BQ61,BT$13),0)</f>
        <v>0.25753424657534246</v>
      </c>
      <c r="BU61" s="284">
        <f t="shared" si="24"/>
        <v>829.18561739770746</v>
      </c>
      <c r="CC61" s="560">
        <v>44886</v>
      </c>
      <c r="CD61" s="155" t="str">
        <f t="shared" si="5"/>
        <v>11.5Y</v>
      </c>
      <c r="CE61" s="405">
        <v>0.66800450174579762</v>
      </c>
      <c r="CF61" s="284">
        <f>IF(CC61,_xll.qDateYears(CC60,CC61,CF$13),0)</f>
        <v>0.26111111111111113</v>
      </c>
      <c r="CG61" s="284">
        <f t="shared" si="25"/>
        <v>982.99025790560165</v>
      </c>
      <c r="CO61" s="560">
        <v>44886</v>
      </c>
      <c r="CP61" s="155" t="str">
        <f t="shared" si="6"/>
        <v>11.5Y</v>
      </c>
      <c r="CQ61" s="405">
        <v>0.64692422638783509</v>
      </c>
      <c r="CR61" s="284">
        <f>IF(CO61,_xll.qDateYears(CO60,CO61,CR$13),0)</f>
        <v>0.25753424657534246</v>
      </c>
      <c r="CS61" s="284">
        <f t="shared" si="26"/>
        <v>964.0226741839648</v>
      </c>
      <c r="DA61" s="560">
        <v>44886</v>
      </c>
      <c r="DB61" s="155" t="str">
        <f t="shared" si="7"/>
        <v>11.5Y</v>
      </c>
      <c r="DC61" s="405">
        <v>0.51386705460938376</v>
      </c>
      <c r="DD61" s="284">
        <f>IF(DA61,_xll.qDateYears(DA60,DA61,DD$13),0)</f>
        <v>0.25753424657534246</v>
      </c>
      <c r="DE61" s="284">
        <f t="shared" si="27"/>
        <v>863.97376564223794</v>
      </c>
      <c r="DM61" s="560">
        <v>44886</v>
      </c>
      <c r="DN61" s="155" t="str">
        <f t="shared" si="8"/>
        <v>11.5Y</v>
      </c>
      <c r="DO61" s="405">
        <v>0.66404674886161685</v>
      </c>
      <c r="DP61" s="284">
        <f>IF(DM61,_xll.qDateYears(DM60,DM61,DP$13),0)</f>
        <v>0.26111111111111113</v>
      </c>
      <c r="DQ61" s="284">
        <f t="shared" si="28"/>
        <v>1002.075917925308</v>
      </c>
    </row>
    <row r="62" spans="59:121">
      <c r="BG62" s="560">
        <v>44978</v>
      </c>
      <c r="BH62" s="154" t="str">
        <f t="shared" si="3"/>
        <v>11.75Y</v>
      </c>
      <c r="BI62" s="405">
        <v>0.65540244381405222</v>
      </c>
      <c r="BJ62" s="284">
        <f>IF(BG62,_xll.qDateYears(BG61,BG62,$BJ$13),0)</f>
        <v>0.25555555555555554</v>
      </c>
      <c r="BK62" s="284">
        <f t="shared" si="23"/>
        <v>1018.8250914894448</v>
      </c>
      <c r="BQ62" s="560">
        <v>44978</v>
      </c>
      <c r="BR62" s="155" t="str">
        <f t="shared" si="4"/>
        <v>11.75Y</v>
      </c>
      <c r="BS62" s="405">
        <v>0.48379173551064397</v>
      </c>
      <c r="BT62" s="284">
        <f>IF(BQ62,_xll.qDateYears(BQ61,BQ62,BT$13),0)</f>
        <v>0.25205479452054796</v>
      </c>
      <c r="BU62" s="284">
        <f t="shared" si="24"/>
        <v>841.37982004619494</v>
      </c>
      <c r="CC62" s="560">
        <v>44978</v>
      </c>
      <c r="CD62" s="155" t="str">
        <f t="shared" si="5"/>
        <v>11.75Y</v>
      </c>
      <c r="CE62" s="405">
        <v>0.66025468775412821</v>
      </c>
      <c r="CF62" s="284">
        <f>IF(CC62,_xll.qDateYears(CC61,CC62,CF$13),0)</f>
        <v>0.25555555555555554</v>
      </c>
      <c r="CG62" s="284">
        <f t="shared" si="25"/>
        <v>999.8634332593183</v>
      </c>
      <c r="CO62" s="560">
        <v>44978</v>
      </c>
      <c r="CP62" s="155" t="str">
        <f t="shared" si="6"/>
        <v>11.75Y</v>
      </c>
      <c r="CQ62" s="405">
        <v>0.63906565586434094</v>
      </c>
      <c r="CR62" s="284">
        <f>IF(CO62,_xll.qDateYears(CO61,CO62,CR$13),0)</f>
        <v>0.25205479452054796</v>
      </c>
      <c r="CS62" s="284">
        <f t="shared" si="26"/>
        <v>980.13063044136732</v>
      </c>
      <c r="DA62" s="560">
        <v>44978</v>
      </c>
      <c r="DB62" s="155" t="str">
        <f t="shared" si="7"/>
        <v>11.75Y</v>
      </c>
      <c r="DC62" s="405">
        <v>0.50581791200867054</v>
      </c>
      <c r="DD62" s="284">
        <f>IF(DA62,_xll.qDateYears(DA61,DA62,DD$13),0)</f>
        <v>0.25205479452054796</v>
      </c>
      <c r="DE62" s="284">
        <f t="shared" si="27"/>
        <v>876.72314862985377</v>
      </c>
      <c r="DM62" s="560">
        <v>44978</v>
      </c>
      <c r="DN62" s="155" t="str">
        <f t="shared" si="8"/>
        <v>11.75Y</v>
      </c>
      <c r="DO62" s="405">
        <v>0.65540244381405222</v>
      </c>
      <c r="DP62" s="284">
        <f>IF(DM62,_xll.qDateYears(DM61,DM62,DP$13),0)</f>
        <v>0.25555555555555554</v>
      </c>
      <c r="DQ62" s="284">
        <f t="shared" si="28"/>
        <v>1018.8250914894448</v>
      </c>
    </row>
    <row r="63" spans="59:121">
      <c r="BG63" s="560">
        <v>45065</v>
      </c>
      <c r="BH63" s="154" t="str">
        <f t="shared" si="3"/>
        <v>12Y</v>
      </c>
      <c r="BI63" s="405">
        <v>0.6472259598265826</v>
      </c>
      <c r="BJ63" s="284">
        <f>IF(BG63,_xll.qDateYears(BG62,BG63,$BJ$13),0)</f>
        <v>0.24166666666666667</v>
      </c>
      <c r="BK63" s="284">
        <f t="shared" si="23"/>
        <v>1034.4663855185872</v>
      </c>
      <c r="BQ63" s="560">
        <v>45065</v>
      </c>
      <c r="BR63" s="155" t="str">
        <f t="shared" si="4"/>
        <v>12Y</v>
      </c>
      <c r="BS63" s="405">
        <v>0.47650367056759629</v>
      </c>
      <c r="BT63" s="284">
        <f>IF(BQ63,_xll.qDateYears(BQ62,BQ63,BT$13),0)</f>
        <v>0.23835616438356164</v>
      </c>
      <c r="BU63" s="284">
        <f t="shared" si="24"/>
        <v>852.73757876931302</v>
      </c>
      <c r="CC63" s="560">
        <v>45065</v>
      </c>
      <c r="CD63" s="155" t="str">
        <f t="shared" si="5"/>
        <v>12Y</v>
      </c>
      <c r="CE63" s="405">
        <v>0.65293575065433995</v>
      </c>
      <c r="CF63" s="284">
        <f>IF(CC63,_xll.qDateYears(CC62,CC63,CF$13),0)</f>
        <v>0.24166666666666667</v>
      </c>
      <c r="CG63" s="284">
        <f t="shared" si="25"/>
        <v>1015.6427139001315</v>
      </c>
      <c r="CO63" s="560">
        <v>45065</v>
      </c>
      <c r="CP63" s="155" t="str">
        <f t="shared" si="6"/>
        <v>12Y</v>
      </c>
      <c r="CQ63" s="405">
        <v>0.63167114167445781</v>
      </c>
      <c r="CR63" s="284">
        <f>IF(CO63,_xll.qDateYears(CO62,CO63,CR$13),0)</f>
        <v>0.23835616438356164</v>
      </c>
      <c r="CS63" s="284">
        <f t="shared" si="26"/>
        <v>995.18690148949827</v>
      </c>
      <c r="DA63" s="560">
        <v>45065</v>
      </c>
      <c r="DB63" s="155" t="str">
        <f t="shared" si="7"/>
        <v>12Y</v>
      </c>
      <c r="DC63" s="405">
        <v>0.49829822500155491</v>
      </c>
      <c r="DD63" s="284">
        <f>IF(DA63,_xll.qDateYears(DA62,DA63,DD$13),0)</f>
        <v>0.23835616438356164</v>
      </c>
      <c r="DE63" s="284">
        <f t="shared" si="27"/>
        <v>888.60039399290451</v>
      </c>
      <c r="DM63" s="560">
        <v>45065</v>
      </c>
      <c r="DN63" s="155" t="str">
        <f t="shared" si="8"/>
        <v>12Y</v>
      </c>
      <c r="DO63" s="405">
        <v>0.6472259598265826</v>
      </c>
      <c r="DP63" s="284">
        <f>IF(DM63,_xll.qDateYears(DM62,DM63,DP$13),0)</f>
        <v>0.24166666666666667</v>
      </c>
      <c r="DQ63" s="284">
        <f t="shared" si="28"/>
        <v>1034.4663855185872</v>
      </c>
    </row>
    <row r="64" spans="59:121">
      <c r="BG64" s="560">
        <v>45159</v>
      </c>
      <c r="BH64" s="154" t="str">
        <f t="shared" si="3"/>
        <v>12.25Y</v>
      </c>
      <c r="BI64" s="405">
        <v>0.63945364049541131</v>
      </c>
      <c r="BJ64" s="284">
        <f>IF(BG64,_xll.qDateYears(BG63,BG64,$BJ$13),0)</f>
        <v>0.26111111111111113</v>
      </c>
      <c r="BK64" s="284">
        <f t="shared" si="23"/>
        <v>1051.1632305759674</v>
      </c>
      <c r="BQ64" s="560">
        <v>45159</v>
      </c>
      <c r="BR64" s="155" t="str">
        <f t="shared" si="4"/>
        <v>12.25Y</v>
      </c>
      <c r="BS64" s="405">
        <v>0.46903813318931176</v>
      </c>
      <c r="BT64" s="284">
        <f>IF(BQ64,_xll.qDateYears(BQ63,BQ64,BT$13),0)</f>
        <v>0.25753424657534246</v>
      </c>
      <c r="BU64" s="284">
        <f t="shared" si="24"/>
        <v>864.81691699391445</v>
      </c>
      <c r="CC64" s="560">
        <v>45159</v>
      </c>
      <c r="CD64" s="155" t="str">
        <f t="shared" si="5"/>
        <v>12.25Y</v>
      </c>
      <c r="CE64" s="405">
        <v>0.64554787145090997</v>
      </c>
      <c r="CF64" s="284">
        <f>IF(CC64,_xll.qDateYears(CC63,CC64,CF$13),0)</f>
        <v>0.26111111111111113</v>
      </c>
      <c r="CG64" s="284">
        <f t="shared" si="25"/>
        <v>1032.4986860991276</v>
      </c>
      <c r="CO64" s="560">
        <v>45159</v>
      </c>
      <c r="CP64" s="155" t="str">
        <f t="shared" si="6"/>
        <v>12.25Y</v>
      </c>
      <c r="CQ64" s="405">
        <v>0.62445434674165268</v>
      </c>
      <c r="CR64" s="284">
        <f>IF(CO64,_xll.qDateYears(CO63,CO64,CR$13),0)</f>
        <v>0.25753424657534246</v>
      </c>
      <c r="CS64" s="284">
        <f t="shared" si="26"/>
        <v>1011.2687394603792</v>
      </c>
      <c r="DA64" s="560">
        <v>45159</v>
      </c>
      <c r="DB64" s="155" t="str">
        <f t="shared" si="7"/>
        <v>12.25Y</v>
      </c>
      <c r="DC64" s="405">
        <v>0.49027328146193777</v>
      </c>
      <c r="DD64" s="284">
        <f>IF(DA64,_xll.qDateYears(DA63,DA64,DD$13),0)</f>
        <v>0.25753424657534246</v>
      </c>
      <c r="DE64" s="284">
        <f t="shared" si="27"/>
        <v>901.22661000863661</v>
      </c>
      <c r="DM64" s="560">
        <v>45159</v>
      </c>
      <c r="DN64" s="155" t="str">
        <f t="shared" si="8"/>
        <v>12.25Y</v>
      </c>
      <c r="DO64" s="405">
        <v>0.63945364049541131</v>
      </c>
      <c r="DP64" s="284">
        <f>IF(DM64,_xll.qDateYears(DM63,DM64,DP$13),0)</f>
        <v>0.26111111111111113</v>
      </c>
      <c r="DQ64" s="284">
        <f t="shared" si="28"/>
        <v>1051.1632305759674</v>
      </c>
    </row>
    <row r="65" spans="59:121">
      <c r="BG65" s="560">
        <v>45250</v>
      </c>
      <c r="BH65" s="154" t="str">
        <f t="shared" si="3"/>
        <v>12.5Y</v>
      </c>
      <c r="BI65" s="405">
        <v>0.63194877145580941</v>
      </c>
      <c r="BJ65" s="284">
        <f>IF(BG65,_xll.qDateYears(BG64,BG65,$BJ$13),0)</f>
        <v>0.25277777777777777</v>
      </c>
      <c r="BK65" s="284">
        <f t="shared" si="23"/>
        <v>1067.137491187767</v>
      </c>
      <c r="BQ65" s="560">
        <v>45250</v>
      </c>
      <c r="BR65" s="155" t="str">
        <f t="shared" si="4"/>
        <v>12.5Y</v>
      </c>
      <c r="BS65" s="405">
        <v>0.46192413476792321</v>
      </c>
      <c r="BT65" s="284">
        <f>IF(BQ65,_xll.qDateYears(BQ64,BQ65,BT$13),0)</f>
        <v>0.24931506849315069</v>
      </c>
      <c r="BU65" s="284">
        <f t="shared" si="24"/>
        <v>876.33338172374488</v>
      </c>
      <c r="CC65" s="560">
        <v>45250</v>
      </c>
      <c r="CD65" s="155" t="str">
        <f t="shared" si="5"/>
        <v>12.5Y</v>
      </c>
      <c r="CE65" s="405">
        <v>0.63841826159003523</v>
      </c>
      <c r="CF65" s="284">
        <f>IF(CC65,_xll.qDateYears(CC64,CC65,CF$13),0)</f>
        <v>0.25277777777777777</v>
      </c>
      <c r="CG65" s="284">
        <f t="shared" si="25"/>
        <v>1048.6364810448756</v>
      </c>
      <c r="CO65" s="560">
        <v>45250</v>
      </c>
      <c r="CP65" s="155" t="str">
        <f t="shared" si="6"/>
        <v>12.5Y</v>
      </c>
      <c r="CQ65" s="405">
        <v>0.61750589566860403</v>
      </c>
      <c r="CR65" s="284">
        <f>IF(CO65,_xll.qDateYears(CO64,CO65,CR$13),0)</f>
        <v>0.24931506849315069</v>
      </c>
      <c r="CS65" s="284">
        <f t="shared" si="26"/>
        <v>1026.6640919277334</v>
      </c>
      <c r="DA65" s="560">
        <v>45250</v>
      </c>
      <c r="DB65" s="155" t="str">
        <f t="shared" si="7"/>
        <v>12.5Y</v>
      </c>
      <c r="DC65" s="405">
        <v>0.48260244636309396</v>
      </c>
      <c r="DD65" s="284">
        <f>IF(DA65,_xll.qDateYears(DA64,DA65,DD$13),0)</f>
        <v>0.24931506849315069</v>
      </c>
      <c r="DE65" s="284">
        <f t="shared" si="27"/>
        <v>913.25861620563433</v>
      </c>
      <c r="DM65" s="560">
        <v>45250</v>
      </c>
      <c r="DN65" s="155" t="str">
        <f t="shared" si="8"/>
        <v>12.5Y</v>
      </c>
      <c r="DO65" s="405">
        <v>0.63194877145580941</v>
      </c>
      <c r="DP65" s="284">
        <f>IF(DM65,_xll.qDateYears(DM64,DM65,DP$13),0)</f>
        <v>0.25277777777777777</v>
      </c>
      <c r="DQ65" s="284">
        <f t="shared" si="28"/>
        <v>1067.137491187767</v>
      </c>
    </row>
    <row r="66" spans="59:121">
      <c r="BG66" s="560">
        <v>45342</v>
      </c>
      <c r="BH66" s="154" t="str">
        <f t="shared" si="3"/>
        <v>12.75Y</v>
      </c>
      <c r="BI66" s="405">
        <v>0.62438227024713289</v>
      </c>
      <c r="BJ66" s="284">
        <f>IF(BG66,_xll.qDateYears(BG65,BG66,$BJ$13),0)</f>
        <v>0.25555555555555554</v>
      </c>
      <c r="BK66" s="284">
        <f t="shared" si="23"/>
        <v>1083.0939269829714</v>
      </c>
      <c r="BQ66" s="560">
        <v>45342</v>
      </c>
      <c r="BR66" s="155" t="str">
        <f t="shared" si="4"/>
        <v>12.75Y</v>
      </c>
      <c r="BS66" s="405">
        <v>0.45484344430309481</v>
      </c>
      <c r="BT66" s="284">
        <f>IF(BQ66,_xll.qDateYears(BQ65,BQ66,BT$13),0)</f>
        <v>0.25205479452054796</v>
      </c>
      <c r="BU66" s="284">
        <f t="shared" si="24"/>
        <v>887.79792881302842</v>
      </c>
      <c r="CC66" s="560">
        <v>45342</v>
      </c>
      <c r="CD66" s="155" t="str">
        <f t="shared" si="5"/>
        <v>12.75Y</v>
      </c>
      <c r="CE66" s="405">
        <v>0.63123383152581514</v>
      </c>
      <c r="CF66" s="284">
        <f>IF(CC66,_xll.qDateYears(CC65,CC66,CF$13),0)</f>
        <v>0.25555555555555554</v>
      </c>
      <c r="CG66" s="284">
        <f t="shared" si="25"/>
        <v>1064.7680122949798</v>
      </c>
      <c r="CO66" s="560">
        <v>45342</v>
      </c>
      <c r="CP66" s="155" t="str">
        <f t="shared" si="6"/>
        <v>12.75Y</v>
      </c>
      <c r="CQ66" s="405">
        <v>0.6105196040137264</v>
      </c>
      <c r="CR66" s="284">
        <f>IF(CO66,_xll.qDateYears(CO65,CO66,CR$13),0)</f>
        <v>0.25205479452054796</v>
      </c>
      <c r="CS66" s="284">
        <f t="shared" si="26"/>
        <v>1042.0525312617779</v>
      </c>
      <c r="DA66" s="560">
        <v>45342</v>
      </c>
      <c r="DB66" s="155" t="str">
        <f t="shared" si="7"/>
        <v>12.75Y</v>
      </c>
      <c r="DC66" s="405">
        <v>0.47494456552334252</v>
      </c>
      <c r="DD66" s="284">
        <f>IF(DA66,_xll.qDateYears(DA65,DA66,DD$13),0)</f>
        <v>0.25205479452054796</v>
      </c>
      <c r="DE66" s="284">
        <f t="shared" si="27"/>
        <v>925.22982169279805</v>
      </c>
      <c r="DM66" s="560">
        <v>45342</v>
      </c>
      <c r="DN66" s="155" t="str">
        <f t="shared" si="8"/>
        <v>12.75Y</v>
      </c>
      <c r="DO66" s="405">
        <v>0.62438227024713289</v>
      </c>
      <c r="DP66" s="284">
        <f>IF(DM66,_xll.qDateYears(DM65,DM66,DP$13),0)</f>
        <v>0.25555555555555554</v>
      </c>
      <c r="DQ66" s="284">
        <f t="shared" si="28"/>
        <v>1083.0939269829714</v>
      </c>
    </row>
    <row r="67" spans="59:121">
      <c r="BG67" s="560">
        <v>45432</v>
      </c>
      <c r="BH67" s="154" t="str">
        <f t="shared" si="3"/>
        <v>13Y</v>
      </c>
      <c r="BI67" s="405">
        <v>0.61700189047154452</v>
      </c>
      <c r="BJ67" s="284">
        <f>IF(BG67,_xll.qDateYears(BG66,BG67,$BJ$13),0)</f>
        <v>0.25</v>
      </c>
      <c r="BK67" s="284">
        <f t="shared" si="23"/>
        <v>1098.5189742447601</v>
      </c>
      <c r="BQ67" s="560">
        <v>45432</v>
      </c>
      <c r="BR67" s="155" t="str">
        <f t="shared" si="4"/>
        <v>13Y</v>
      </c>
      <c r="BS67" s="405">
        <v>0.44802344775444286</v>
      </c>
      <c r="BT67" s="284">
        <f>IF(BQ67,_xll.qDateYears(BQ66,BQ67,BT$13),0)</f>
        <v>0.24657534246575341</v>
      </c>
      <c r="BU67" s="284">
        <f t="shared" si="24"/>
        <v>898.84508231930238</v>
      </c>
      <c r="CC67" s="560">
        <v>45432</v>
      </c>
      <c r="CD67" s="155" t="str">
        <f t="shared" si="5"/>
        <v>13Y</v>
      </c>
      <c r="CE67" s="405">
        <v>0.62422945440827249</v>
      </c>
      <c r="CF67" s="284">
        <f>IF(CC67,_xll.qDateYears(CC66,CC67,CF$13),0)</f>
        <v>0.25</v>
      </c>
      <c r="CG67" s="284">
        <f t="shared" si="25"/>
        <v>1080.3737486551865</v>
      </c>
      <c r="CO67" s="560">
        <v>45432</v>
      </c>
      <c r="CP67" s="155" t="str">
        <f t="shared" si="6"/>
        <v>13Y</v>
      </c>
      <c r="CQ67" s="405">
        <v>0.60372312128891414</v>
      </c>
      <c r="CR67" s="284">
        <f>IF(CO67,_xll.qDateYears(CO66,CO67,CR$13),0)</f>
        <v>0.24657534246575341</v>
      </c>
      <c r="CS67" s="284">
        <f t="shared" si="26"/>
        <v>1056.9388548004085</v>
      </c>
      <c r="DA67" s="560">
        <v>45432</v>
      </c>
      <c r="DB67" s="155" t="str">
        <f t="shared" si="7"/>
        <v>13Y</v>
      </c>
      <c r="DC67" s="405">
        <v>0.46754705324498513</v>
      </c>
      <c r="DD67" s="284">
        <f>IF(DA67,_xll.qDateYears(DA66,DA67,DD$13),0)</f>
        <v>0.24657534246575341</v>
      </c>
      <c r="DE67" s="284">
        <f t="shared" si="27"/>
        <v>936.75837917007163</v>
      </c>
      <c r="DM67" s="560">
        <v>45432</v>
      </c>
      <c r="DN67" s="155" t="str">
        <f t="shared" si="8"/>
        <v>13Y</v>
      </c>
      <c r="DO67" s="405">
        <v>0.61700189047154452</v>
      </c>
      <c r="DP67" s="284">
        <f>IF(DM67,_xll.qDateYears(DM66,DM67,DP$13),0)</f>
        <v>0.25</v>
      </c>
      <c r="DQ67" s="284">
        <f t="shared" si="28"/>
        <v>1098.5189742447601</v>
      </c>
    </row>
    <row r="68" spans="59:121">
      <c r="BG68" s="560">
        <v>45523</v>
      </c>
      <c r="BH68" s="154" t="str">
        <f t="shared" si="3"/>
        <v>13.25Y</v>
      </c>
      <c r="BI68" s="405">
        <v>0.60946749968208869</v>
      </c>
      <c r="BJ68" s="284">
        <f>IF(BG68,_xll.qDateYears(BG67,BG68,$BJ$13),0)</f>
        <v>0.25277777777777777</v>
      </c>
      <c r="BK68" s="284">
        <f t="shared" si="23"/>
        <v>1113.9249582645018</v>
      </c>
      <c r="BQ68" s="560">
        <v>45523</v>
      </c>
      <c r="BR68" s="155" t="str">
        <f t="shared" si="4"/>
        <v>13.25Y</v>
      </c>
      <c r="BS68" s="405">
        <v>0.441233351794869</v>
      </c>
      <c r="BT68" s="284">
        <f>IF(BQ68,_xll.qDateYears(BQ67,BQ68,BT$13),0)</f>
        <v>0.24931506849315069</v>
      </c>
      <c r="BU68" s="284">
        <f t="shared" si="24"/>
        <v>909.8456946517224</v>
      </c>
      <c r="CC68" s="560">
        <v>45523</v>
      </c>
      <c r="CD68" s="155" t="str">
        <f t="shared" si="5"/>
        <v>13.25Y</v>
      </c>
      <c r="CE68" s="405">
        <v>0.61710351726963908</v>
      </c>
      <c r="CF68" s="284">
        <f>IF(CC68,_xll.qDateYears(CC67,CC68,CF$13),0)</f>
        <v>0.25277777777777777</v>
      </c>
      <c r="CG68" s="284">
        <f t="shared" si="25"/>
        <v>1095.9727542306136</v>
      </c>
      <c r="CO68" s="560">
        <v>45523</v>
      </c>
      <c r="CP68" s="155" t="str">
        <f t="shared" si="6"/>
        <v>13.25Y</v>
      </c>
      <c r="CQ68" s="405">
        <v>0.59689502134010675</v>
      </c>
      <c r="CR68" s="284">
        <f>IF(CO68,_xll.qDateYears(CO67,CO68,CR$13),0)</f>
        <v>0.24931506849315069</v>
      </c>
      <c r="CS68" s="284">
        <f t="shared" si="26"/>
        <v>1071.8203471132715</v>
      </c>
      <c r="DA68" s="560">
        <v>45523</v>
      </c>
      <c r="DB68" s="155" t="str">
        <f t="shared" si="7"/>
        <v>13.25Y</v>
      </c>
      <c r="DC68" s="405">
        <v>0.46016103157892579</v>
      </c>
      <c r="DD68" s="284">
        <f>IF(DA68,_xll.qDateYears(DA67,DA68,DD$13),0)</f>
        <v>0.24931506849315069</v>
      </c>
      <c r="DE68" s="284">
        <f t="shared" si="27"/>
        <v>948.2308870806695</v>
      </c>
      <c r="DM68" s="560">
        <v>45523</v>
      </c>
      <c r="DN68" s="155" t="str">
        <f t="shared" si="8"/>
        <v>13.25Y</v>
      </c>
      <c r="DO68" s="405">
        <v>0.60946749968208869</v>
      </c>
      <c r="DP68" s="284">
        <f>IF(DM68,_xll.qDateYears(DM67,DM68,DP$13),0)</f>
        <v>0.25277777777777777</v>
      </c>
      <c r="DQ68" s="284">
        <f t="shared" si="28"/>
        <v>1113.9249582645018</v>
      </c>
    </row>
    <row r="69" spans="59:121">
      <c r="BG69" s="560">
        <v>45615</v>
      </c>
      <c r="BH69" s="154" t="str">
        <f t="shared" si="3"/>
        <v>13.5Y</v>
      </c>
      <c r="BI69" s="405">
        <v>0.60187405670760996</v>
      </c>
      <c r="BJ69" s="284">
        <f>IF(BG69,_xll.qDateYears(BG68,BG69,$BJ$13),0)</f>
        <v>0.25555555555555554</v>
      </c>
      <c r="BK69" s="284">
        <f t="shared" si="23"/>
        <v>1129.3061841581407</v>
      </c>
      <c r="BQ69" s="560">
        <v>45615</v>
      </c>
      <c r="BR69" s="155" t="str">
        <f t="shared" si="4"/>
        <v>13.5Y</v>
      </c>
      <c r="BS69" s="405">
        <v>0.43447496902083566</v>
      </c>
      <c r="BT69" s="284">
        <f>IF(BQ69,_xll.qDateYears(BQ68,BQ69,BT$13),0)</f>
        <v>0.25205479452054796</v>
      </c>
      <c r="BU69" s="284">
        <f t="shared" si="24"/>
        <v>920.79684455580923</v>
      </c>
      <c r="CC69" s="560">
        <v>45615</v>
      </c>
      <c r="CD69" s="155" t="str">
        <f t="shared" si="5"/>
        <v>13.5Y</v>
      </c>
      <c r="CE69" s="405">
        <v>0.60992477903761499</v>
      </c>
      <c r="CF69" s="284">
        <f>IF(CC69,_xll.qDateYears(CC68,CC69,CF$13),0)</f>
        <v>0.25555555555555554</v>
      </c>
      <c r="CG69" s="284">
        <f t="shared" si="25"/>
        <v>1111.5597208060194</v>
      </c>
      <c r="CO69" s="560">
        <v>45615</v>
      </c>
      <c r="CP69" s="155" t="str">
        <f t="shared" si="6"/>
        <v>13.5Y</v>
      </c>
      <c r="CQ69" s="405">
        <v>0.59003186099398586</v>
      </c>
      <c r="CR69" s="284">
        <f>IF(CO69,_xll.qDateYears(CO68,CO69,CR$13),0)</f>
        <v>0.25205479452054796</v>
      </c>
      <c r="CS69" s="284">
        <f t="shared" si="26"/>
        <v>1086.6923830616131</v>
      </c>
      <c r="DA69" s="560">
        <v>45615</v>
      </c>
      <c r="DB69" s="155" t="str">
        <f t="shared" si="7"/>
        <v>13.5Y</v>
      </c>
      <c r="DC69" s="405">
        <v>0.45278885772313804</v>
      </c>
      <c r="DD69" s="284">
        <f>IF(DA69,_xll.qDateYears(DA68,DA69,DD$13),0)</f>
        <v>0.25205479452054796</v>
      </c>
      <c r="DE69" s="284">
        <f t="shared" si="27"/>
        <v>959.6436473301294</v>
      </c>
      <c r="DM69" s="560">
        <v>45615</v>
      </c>
      <c r="DN69" s="155" t="str">
        <f t="shared" si="8"/>
        <v>13.5Y</v>
      </c>
      <c r="DO69" s="405">
        <v>0.60187405670760996</v>
      </c>
      <c r="DP69" s="284">
        <f>IF(DM69,_xll.qDateYears(DM68,DM69,DP$13),0)</f>
        <v>0.25555555555555554</v>
      </c>
      <c r="DQ69" s="284">
        <f t="shared" si="28"/>
        <v>1129.3061841581407</v>
      </c>
    </row>
    <row r="70" spans="59:121">
      <c r="BG70" s="560">
        <v>45707</v>
      </c>
      <c r="BH70" s="154" t="str">
        <f t="shared" si="3"/>
        <v>13.75Y</v>
      </c>
      <c r="BI70" s="405">
        <v>0.59430594906983714</v>
      </c>
      <c r="BJ70" s="284">
        <f>IF(BG70,_xll.qDateYears(BG69,BG70,$BJ$13),0)</f>
        <v>0.25555555555555554</v>
      </c>
      <c r="BK70" s="284">
        <f t="shared" si="23"/>
        <v>1144.494002856592</v>
      </c>
      <c r="BQ70" s="560">
        <v>45707</v>
      </c>
      <c r="BR70" s="155" t="str">
        <f t="shared" si="4"/>
        <v>13.75Y</v>
      </c>
      <c r="BS70" s="405">
        <v>0.42782181193622537</v>
      </c>
      <c r="BT70" s="284">
        <f>IF(BQ70,_xll.qDateYears(BQ69,BQ70,BT$13),0)</f>
        <v>0.25205479452054796</v>
      </c>
      <c r="BU70" s="284">
        <f t="shared" si="24"/>
        <v>931.58029844570865</v>
      </c>
      <c r="CC70" s="560">
        <v>45707</v>
      </c>
      <c r="CD70" s="155" t="str">
        <f t="shared" si="5"/>
        <v>13.75Y</v>
      </c>
      <c r="CE70" s="405">
        <v>0.60277273330788217</v>
      </c>
      <c r="CF70" s="284">
        <f>IF(CC70,_xll.qDateYears(CC69,CC70,CF$13),0)</f>
        <v>0.25555555555555554</v>
      </c>
      <c r="CG70" s="284">
        <f t="shared" si="25"/>
        <v>1126.9639128794431</v>
      </c>
      <c r="CO70" s="560">
        <v>45707</v>
      </c>
      <c r="CP70" s="155" t="str">
        <f t="shared" si="6"/>
        <v>13.75Y</v>
      </c>
      <c r="CQ70" s="405">
        <v>0.58320932681839921</v>
      </c>
      <c r="CR70" s="284">
        <f>IF(CO70,_xll.qDateYears(CO69,CO70,CR$13),0)</f>
        <v>0.25205479452054796</v>
      </c>
      <c r="CS70" s="284">
        <f t="shared" si="26"/>
        <v>1101.3924537649809</v>
      </c>
      <c r="DA70" s="560">
        <v>45707</v>
      </c>
      <c r="DB70" s="155" t="str">
        <f t="shared" si="7"/>
        <v>13.75Y</v>
      </c>
      <c r="DC70" s="405">
        <v>0.44551145522037927</v>
      </c>
      <c r="DD70" s="284">
        <f>IF(DA70,_xll.qDateYears(DA69,DA70,DD$13),0)</f>
        <v>0.25205479452054796</v>
      </c>
      <c r="DE70" s="284">
        <f t="shared" si="27"/>
        <v>970.87297716034175</v>
      </c>
      <c r="DM70" s="560">
        <v>45707</v>
      </c>
      <c r="DN70" s="155" t="str">
        <f t="shared" si="8"/>
        <v>13.75Y</v>
      </c>
      <c r="DO70" s="405">
        <v>0.59430594906983714</v>
      </c>
      <c r="DP70" s="284">
        <f>IF(DM70,_xll.qDateYears(DM69,DM70,DP$13),0)</f>
        <v>0.25555555555555554</v>
      </c>
      <c r="DQ70" s="284">
        <f t="shared" si="28"/>
        <v>1144.494002856592</v>
      </c>
    </row>
    <row r="71" spans="59:121">
      <c r="BG71" s="560">
        <v>45796</v>
      </c>
      <c r="BH71" s="154" t="str">
        <f t="shared" si="3"/>
        <v>14Y</v>
      </c>
      <c r="BI71" s="405">
        <v>0.58701009302730056</v>
      </c>
      <c r="BJ71" s="284">
        <f>IF(BG71,_xll.qDateYears(BG70,BG71,$BJ$13),0)</f>
        <v>0.24722222222222223</v>
      </c>
      <c r="BK71" s="284">
        <f t="shared" si="23"/>
        <v>1159.0061968231003</v>
      </c>
      <c r="BQ71" s="560">
        <v>45796</v>
      </c>
      <c r="BR71" s="155" t="str">
        <f t="shared" si="4"/>
        <v>14Y</v>
      </c>
      <c r="BS71" s="405">
        <v>0.42148417384269427</v>
      </c>
      <c r="BT71" s="284">
        <f>IF(BQ71,_xll.qDateYears(BQ70,BQ71,BT$13),0)</f>
        <v>0.24383561643835616</v>
      </c>
      <c r="BU71" s="284">
        <f t="shared" si="24"/>
        <v>941.85758378050309</v>
      </c>
      <c r="CC71" s="560">
        <v>45796</v>
      </c>
      <c r="CD71" s="155" t="str">
        <f t="shared" si="5"/>
        <v>14Y</v>
      </c>
      <c r="CE71" s="405">
        <v>0.59588027830215395</v>
      </c>
      <c r="CF71" s="284">
        <f>IF(CC71,_xll.qDateYears(CC70,CC71,CF$13),0)</f>
        <v>0.24722222222222223</v>
      </c>
      <c r="CG71" s="284">
        <f t="shared" si="25"/>
        <v>1141.6953975374686</v>
      </c>
      <c r="CO71" s="560">
        <v>45796</v>
      </c>
      <c r="CP71" s="155" t="str">
        <f t="shared" si="6"/>
        <v>14Y</v>
      </c>
      <c r="CQ71" s="405">
        <v>0.57664832512154174</v>
      </c>
      <c r="CR71" s="284">
        <f>IF(CO71,_xll.qDateYears(CO70,CO71,CR$13),0)</f>
        <v>0.24383561643835616</v>
      </c>
      <c r="CS71" s="284">
        <f t="shared" si="26"/>
        <v>1115.4531937473967</v>
      </c>
      <c r="DA71" s="560">
        <v>45796</v>
      </c>
      <c r="DB71" s="155" t="str">
        <f t="shared" si="7"/>
        <v>14Y</v>
      </c>
      <c r="DC71" s="405">
        <v>0.43856082445866118</v>
      </c>
      <c r="DD71" s="284">
        <f>IF(DA71,_xll.qDateYears(DA70,DA71,DD$13),0)</f>
        <v>0.24383561643835616</v>
      </c>
      <c r="DE71" s="284">
        <f t="shared" si="27"/>
        <v>981.56665205810089</v>
      </c>
      <c r="DM71" s="560">
        <v>45796</v>
      </c>
      <c r="DN71" s="155" t="str">
        <f t="shared" si="8"/>
        <v>14Y</v>
      </c>
      <c r="DO71" s="405">
        <v>0.58701009302730056</v>
      </c>
      <c r="DP71" s="284">
        <f>IF(DM71,_xll.qDateYears(DM70,DM71,DP$13),0)</f>
        <v>0.24722222222222223</v>
      </c>
      <c r="DQ71" s="284">
        <f t="shared" si="28"/>
        <v>1159.0061968231003</v>
      </c>
    </row>
    <row r="72" spans="59:121">
      <c r="BG72" s="560">
        <v>45888</v>
      </c>
      <c r="BH72" s="154" t="str">
        <f t="shared" si="3"/>
        <v>14.25Y</v>
      </c>
      <c r="BI72" s="405">
        <v>0.57943584130137871</v>
      </c>
      <c r="BJ72" s="284">
        <f>IF(BG72,_xll.qDateYears(BG71,BG72,$BJ$13),0)</f>
        <v>0.25555555555555554</v>
      </c>
      <c r="BK72" s="284">
        <f t="shared" si="23"/>
        <v>1173.8140016563577</v>
      </c>
      <c r="BQ72" s="560">
        <v>45888</v>
      </c>
      <c r="BR72" s="155" t="str">
        <f t="shared" si="4"/>
        <v>14.25Y</v>
      </c>
      <c r="BS72" s="405">
        <v>0.41503320470797528</v>
      </c>
      <c r="BT72" s="284">
        <f>IF(BQ72,_xll.qDateYears(BQ71,BQ72,BT$13),0)</f>
        <v>0.25205479452054796</v>
      </c>
      <c r="BU72" s="284">
        <f t="shared" si="24"/>
        <v>952.31869469369042</v>
      </c>
      <c r="CC72" s="560">
        <v>45888</v>
      </c>
      <c r="CD72" s="155" t="str">
        <f t="shared" si="5"/>
        <v>14.25Y</v>
      </c>
      <c r="CE72" s="405">
        <v>0.58874726662424448</v>
      </c>
      <c r="CF72" s="284">
        <f>IF(CC72,_xll.qDateYears(CC71,CC72,CF$13),0)</f>
        <v>0.25555555555555554</v>
      </c>
      <c r="CG72" s="284">
        <f t="shared" si="25"/>
        <v>1156.741161017866</v>
      </c>
      <c r="CO72" s="560">
        <v>45888</v>
      </c>
      <c r="CP72" s="155" t="str">
        <f t="shared" si="6"/>
        <v>14.25Y</v>
      </c>
      <c r="CQ72" s="405">
        <v>0.56991039245283703</v>
      </c>
      <c r="CR72" s="284">
        <f>IF(CO72,_xll.qDateYears(CO71,CO72,CR$13),0)</f>
        <v>0.25205479452054796</v>
      </c>
      <c r="CS72" s="284">
        <f t="shared" si="26"/>
        <v>1129.8180584338791</v>
      </c>
      <c r="DA72" s="560">
        <v>45888</v>
      </c>
      <c r="DB72" s="155" t="str">
        <f t="shared" si="7"/>
        <v>14.25Y</v>
      </c>
      <c r="DC72" s="405">
        <v>0.4314676359532072</v>
      </c>
      <c r="DD72" s="284">
        <f>IF(DA72,_xll.qDateYears(DA71,DA72,DD$13),0)</f>
        <v>0.25205479452054796</v>
      </c>
      <c r="DE72" s="284">
        <f t="shared" si="27"/>
        <v>992.44200069034616</v>
      </c>
      <c r="DM72" s="560">
        <v>45888</v>
      </c>
      <c r="DN72" s="155" t="str">
        <f t="shared" si="8"/>
        <v>14.25Y</v>
      </c>
      <c r="DO72" s="405">
        <v>0.57943584130137871</v>
      </c>
      <c r="DP72" s="284">
        <f>IF(DM72,_xll.qDateYears(DM71,DM72,DP$13),0)</f>
        <v>0.25555555555555554</v>
      </c>
      <c r="DQ72" s="284">
        <f t="shared" si="28"/>
        <v>1173.8140016563577</v>
      </c>
    </row>
    <row r="73" spans="59:121">
      <c r="BG73" s="560">
        <v>45980</v>
      </c>
      <c r="BH73" s="154" t="str">
        <f t="shared" si="3"/>
        <v>14.5Y</v>
      </c>
      <c r="BI73" s="405">
        <v>0.57189058698323547</v>
      </c>
      <c r="BJ73" s="284">
        <f>IF(BG73,_xll.qDateYears(BG72,BG73,$BJ$13),0)</f>
        <v>0.25555555555555554</v>
      </c>
      <c r="BK73" s="284">
        <f t="shared" si="23"/>
        <v>1188.4289833237071</v>
      </c>
      <c r="BQ73" s="560">
        <v>45980</v>
      </c>
      <c r="BR73" s="155" t="str">
        <f t="shared" si="4"/>
        <v>14.5Y</v>
      </c>
      <c r="BS73" s="405">
        <v>0.4086826010076493</v>
      </c>
      <c r="BT73" s="284">
        <f>IF(BQ73,_xll.qDateYears(BQ72,BQ73,BT$13),0)</f>
        <v>0.25205479452054796</v>
      </c>
      <c r="BU73" s="284">
        <f t="shared" si="24"/>
        <v>962.61973559580099</v>
      </c>
      <c r="CC73" s="560">
        <v>45980</v>
      </c>
      <c r="CD73" s="155" t="str">
        <f t="shared" si="5"/>
        <v>14.5Y</v>
      </c>
      <c r="CE73" s="405">
        <v>0.58164355677331514</v>
      </c>
      <c r="CF73" s="284">
        <f>IF(CC73,_xll.qDateYears(CC72,CC73,CF$13),0)</f>
        <v>0.25555555555555554</v>
      </c>
      <c r="CG73" s="284">
        <f t="shared" si="25"/>
        <v>1171.6053852465175</v>
      </c>
      <c r="CO73" s="560">
        <v>45980</v>
      </c>
      <c r="CP73" s="155" t="str">
        <f t="shared" si="6"/>
        <v>14.5Y</v>
      </c>
      <c r="CQ73" s="405">
        <v>0.56321434134164472</v>
      </c>
      <c r="CR73" s="284">
        <f>IF(CO73,_xll.qDateYears(CO72,CO73,CR$13),0)</f>
        <v>0.25205479452054796</v>
      </c>
      <c r="CS73" s="284">
        <f t="shared" si="26"/>
        <v>1144.0141459416684</v>
      </c>
      <c r="DA73" s="560">
        <v>45980</v>
      </c>
      <c r="DB73" s="155" t="str">
        <f t="shared" si="7"/>
        <v>14.5Y</v>
      </c>
      <c r="DC73" s="405">
        <v>0.42446693891245041</v>
      </c>
      <c r="DD73" s="284">
        <f>IF(DA73,_xll.qDateYears(DA72,DA73,DD$13),0)</f>
        <v>0.25205479452054796</v>
      </c>
      <c r="DE73" s="284">
        <f t="shared" si="27"/>
        <v>1003.1408933971805</v>
      </c>
      <c r="DM73" s="560">
        <v>45980</v>
      </c>
      <c r="DN73" s="155" t="str">
        <f t="shared" si="8"/>
        <v>14.5Y</v>
      </c>
      <c r="DO73" s="405">
        <v>0.57189058698323547</v>
      </c>
      <c r="DP73" s="284">
        <f>IF(DM73,_xll.qDateYears(DM72,DM73,DP$13),0)</f>
        <v>0.25555555555555554</v>
      </c>
      <c r="DQ73" s="284">
        <f t="shared" si="28"/>
        <v>1188.4289833237071</v>
      </c>
    </row>
    <row r="74" spans="59:121">
      <c r="BG74" s="560">
        <v>46072</v>
      </c>
      <c r="BH74" s="154" t="str">
        <f t="shared" si="3"/>
        <v>14.75Y</v>
      </c>
      <c r="BI74" s="405">
        <v>0.56437576012459101</v>
      </c>
      <c r="BJ74" s="284">
        <f>IF(BG74,_xll.qDateYears(BG73,BG74,$BJ$13),0)</f>
        <v>0.25555555555555554</v>
      </c>
      <c r="BK74" s="284">
        <f t="shared" si="23"/>
        <v>1202.85191941578</v>
      </c>
      <c r="BQ74" s="560">
        <v>46072</v>
      </c>
      <c r="BR74" s="155" t="str">
        <f t="shared" si="4"/>
        <v>14.75Y</v>
      </c>
      <c r="BS74" s="405">
        <v>0.40243077671008937</v>
      </c>
      <c r="BT74" s="284">
        <f>IF(BQ74,_xll.qDateYears(BQ73,BQ74,BT$13),0)</f>
        <v>0.25205479452054796</v>
      </c>
      <c r="BU74" s="284">
        <f t="shared" si="24"/>
        <v>972.7631962690416</v>
      </c>
      <c r="CC74" s="560">
        <v>46072</v>
      </c>
      <c r="CD74" s="155" t="str">
        <f t="shared" si="5"/>
        <v>14.75Y</v>
      </c>
      <c r="CE74" s="405">
        <v>0.57457016065724609</v>
      </c>
      <c r="CF74" s="284">
        <f>IF(CC74,_xll.qDateYears(CC73,CC74,CF$13),0)</f>
        <v>0.25555555555555554</v>
      </c>
      <c r="CG74" s="284">
        <f t="shared" si="25"/>
        <v>1186.2888449077582</v>
      </c>
      <c r="CO74" s="560">
        <v>46072</v>
      </c>
      <c r="CP74" s="155" t="str">
        <f t="shared" si="6"/>
        <v>14.75Y</v>
      </c>
      <c r="CQ74" s="405">
        <v>0.55656055246812342</v>
      </c>
      <c r="CR74" s="284">
        <f>IF(CO74,_xll.qDateYears(CO73,CO74,CR$13),0)</f>
        <v>0.25205479452054796</v>
      </c>
      <c r="CS74" s="284">
        <f t="shared" si="26"/>
        <v>1158.042521510728</v>
      </c>
      <c r="DA74" s="560">
        <v>46072</v>
      </c>
      <c r="DB74" s="155" t="str">
        <f t="shared" si="7"/>
        <v>14.75Y</v>
      </c>
      <c r="DC74" s="405">
        <v>0.41755796084740177</v>
      </c>
      <c r="DD74" s="284">
        <f>IF(DA74,_xll.qDateYears(DA73,DA74,DD$13),0)</f>
        <v>0.25205479452054796</v>
      </c>
      <c r="DE74" s="284">
        <f t="shared" si="27"/>
        <v>1013.6656419993616</v>
      </c>
      <c r="DM74" s="560">
        <v>46072</v>
      </c>
      <c r="DN74" s="155" t="str">
        <f t="shared" si="8"/>
        <v>14.75Y</v>
      </c>
      <c r="DO74" s="405">
        <v>0.56437576012459101</v>
      </c>
      <c r="DP74" s="284">
        <f>IF(DM74,_xll.qDateYears(DM73,DM74,DP$13),0)</f>
        <v>0.25555555555555554</v>
      </c>
      <c r="DQ74" s="284">
        <f t="shared" si="28"/>
        <v>1202.85191941578</v>
      </c>
    </row>
    <row r="75" spans="59:121">
      <c r="BG75" s="560">
        <v>46161</v>
      </c>
      <c r="BH75" s="154" t="str">
        <f t="shared" si="3"/>
        <v>15Y</v>
      </c>
      <c r="BI75" s="405">
        <v>0.55713625551823998</v>
      </c>
      <c r="BJ75" s="284">
        <f>IF(BG75,_xll.qDateYears(BG74,BG75,$BJ$13),0)</f>
        <v>0.24722222222222223</v>
      </c>
      <c r="BK75" s="284">
        <f t="shared" si="23"/>
        <v>1216.6255657327588</v>
      </c>
      <c r="BQ75" s="560">
        <v>46161</v>
      </c>
      <c r="BR75" s="155" t="str">
        <f t="shared" si="4"/>
        <v>15Y</v>
      </c>
      <c r="BS75" s="405">
        <v>0.39648260980348426</v>
      </c>
      <c r="BT75" s="284">
        <f>IF(BQ75,_xll.qDateYears(BQ74,BQ75,BT$13),0)</f>
        <v>0.24383561643835616</v>
      </c>
      <c r="BU75" s="284">
        <f t="shared" si="24"/>
        <v>982.4308544258937</v>
      </c>
      <c r="CC75" s="560">
        <v>46161</v>
      </c>
      <c r="CD75" s="155" t="str">
        <f t="shared" si="5"/>
        <v>15Y</v>
      </c>
      <c r="CE75" s="405">
        <v>0.56775719864700458</v>
      </c>
      <c r="CF75" s="284">
        <f>IF(CC75,_xll.qDateYears(CC74,CC75,CF$13),0)</f>
        <v>0.24722222222222223</v>
      </c>
      <c r="CG75" s="284">
        <f t="shared" si="25"/>
        <v>1200.3250645409757</v>
      </c>
      <c r="CO75" s="560">
        <v>46161</v>
      </c>
      <c r="CP75" s="155" t="str">
        <f t="shared" si="6"/>
        <v>15Y</v>
      </c>
      <c r="CQ75" s="405">
        <v>0.55017321395346142</v>
      </c>
      <c r="CR75" s="284">
        <f>IF(CO75,_xll.qDateYears(CO74,CO75,CR$13),0)</f>
        <v>0.24383561643835616</v>
      </c>
      <c r="CS75" s="284">
        <f t="shared" si="26"/>
        <v>1171.4577039879493</v>
      </c>
      <c r="DA75" s="560">
        <v>46161</v>
      </c>
      <c r="DB75" s="155" t="str">
        <f t="shared" si="7"/>
        <v>15Y</v>
      </c>
      <c r="DC75" s="405">
        <v>0.41096082824130292</v>
      </c>
      <c r="DD75" s="284">
        <f>IF(DA75,_xll.qDateYears(DA74,DA75,DD$13),0)</f>
        <v>0.24383561643835616</v>
      </c>
      <c r="DE75" s="284">
        <f t="shared" si="27"/>
        <v>1023.6863306879851</v>
      </c>
      <c r="DM75" s="560">
        <v>46161</v>
      </c>
      <c r="DN75" s="155" t="str">
        <f t="shared" si="8"/>
        <v>15Y</v>
      </c>
      <c r="DO75" s="405">
        <v>0.55713625551823998</v>
      </c>
      <c r="DP75" s="284">
        <f>IF(DM75,_xll.qDateYears(DM74,DM75,DP$13),0)</f>
        <v>0.24722222222222223</v>
      </c>
      <c r="DQ75" s="284">
        <f t="shared" si="28"/>
        <v>1216.6255657327588</v>
      </c>
    </row>
    <row r="76" spans="59:121">
      <c r="BG76" s="560">
        <v>46253</v>
      </c>
      <c r="BH76" s="154" t="str">
        <f t="shared" si="3"/>
        <v>15.25Y</v>
      </c>
      <c r="BI76" s="405">
        <v>0.55080893571133038</v>
      </c>
      <c r="BJ76" s="284">
        <f>IF(BG76,_xll.qDateYears(BG75,BG76,$BJ$13),0)</f>
        <v>0.25555555555555554</v>
      </c>
      <c r="BK76" s="284">
        <f t="shared" si="23"/>
        <v>1230.7017940898261</v>
      </c>
      <c r="BQ76" s="560">
        <v>46253</v>
      </c>
      <c r="BR76" s="155" t="str">
        <f t="shared" si="4"/>
        <v>15.25Y</v>
      </c>
      <c r="BS76" s="405">
        <v>0.39117572633269815</v>
      </c>
      <c r="BT76" s="284">
        <f>IF(BQ76,_xll.qDateYears(BQ75,BQ76,BT$13),0)</f>
        <v>0.25205479452054796</v>
      </c>
      <c r="BU76" s="284">
        <f t="shared" si="24"/>
        <v>992.29062615811517</v>
      </c>
      <c r="CC76" s="560">
        <v>46253</v>
      </c>
      <c r="CD76" s="155" t="str">
        <f t="shared" si="5"/>
        <v>15.25Y</v>
      </c>
      <c r="CE76" s="405">
        <v>0.56169984662965355</v>
      </c>
      <c r="CF76" s="284">
        <f>IF(CC76,_xll.qDateYears(CC75,CC76,CF$13),0)</f>
        <v>0.25555555555555554</v>
      </c>
      <c r="CG76" s="284">
        <f t="shared" si="25"/>
        <v>1214.6796161770669</v>
      </c>
      <c r="CO76" s="560">
        <v>46253</v>
      </c>
      <c r="CP76" s="155" t="str">
        <f t="shared" si="6"/>
        <v>15.25Y</v>
      </c>
      <c r="CQ76" s="405">
        <v>0.54424440904914428</v>
      </c>
      <c r="CR76" s="284">
        <f>IF(CO76,_xll.qDateYears(CO75,CO76,CR$13),0)</f>
        <v>0.25205479452054796</v>
      </c>
      <c r="CS76" s="284">
        <f t="shared" si="26"/>
        <v>1185.1756452571333</v>
      </c>
      <c r="DA76" s="560">
        <v>46253</v>
      </c>
      <c r="DB76" s="155" t="str">
        <f t="shared" si="7"/>
        <v>15.25Y</v>
      </c>
      <c r="DC76" s="405">
        <v>0.40486671243576583</v>
      </c>
      <c r="DD76" s="284">
        <f>IF(DA76,_xll.qDateYears(DA75,DA76,DD$13),0)</f>
        <v>0.25205479452054796</v>
      </c>
      <c r="DE76" s="284">
        <f t="shared" si="27"/>
        <v>1033.8911902891057</v>
      </c>
      <c r="DM76" s="560">
        <v>46253</v>
      </c>
      <c r="DN76" s="155" t="str">
        <f t="shared" si="8"/>
        <v>15.25Y</v>
      </c>
      <c r="DO76" s="405">
        <v>0.55080893571133038</v>
      </c>
      <c r="DP76" s="284">
        <f>IF(DM76,_xll.qDateYears(DM75,DM76,DP$13),0)</f>
        <v>0.25555555555555554</v>
      </c>
      <c r="DQ76" s="284">
        <f t="shared" si="28"/>
        <v>1230.7017940898261</v>
      </c>
    </row>
    <row r="77" spans="59:121">
      <c r="BG77" s="560">
        <v>46345</v>
      </c>
      <c r="BH77" s="154" t="str">
        <f t="shared" si="3"/>
        <v>15.5Y</v>
      </c>
      <c r="BI77" s="405">
        <v>0.54452467066054078</v>
      </c>
      <c r="BJ77" s="284">
        <f>IF(BG77,_xll.qDateYears(BG76,BG77,$BJ$13),0)</f>
        <v>0.25555555555555554</v>
      </c>
      <c r="BK77" s="284">
        <f t="shared" si="23"/>
        <v>1244.6174245622622</v>
      </c>
      <c r="BQ77" s="560">
        <v>46345</v>
      </c>
      <c r="BR77" s="155" t="str">
        <f t="shared" si="4"/>
        <v>15.5Y</v>
      </c>
      <c r="BS77" s="405">
        <v>0.38596606469235273</v>
      </c>
      <c r="BT77" s="284">
        <f>IF(BQ77,_xll.qDateYears(BQ76,BQ77,BT$13),0)</f>
        <v>0.25205479452054796</v>
      </c>
      <c r="BU77" s="284">
        <f t="shared" si="24"/>
        <v>1002.0190858709087</v>
      </c>
      <c r="CC77" s="560">
        <v>46345</v>
      </c>
      <c r="CD77" s="155" t="str">
        <f t="shared" si="5"/>
        <v>15.5Y</v>
      </c>
      <c r="CE77" s="405">
        <v>0.55568466318263354</v>
      </c>
      <c r="CF77" s="284">
        <f>IF(CC77,_xll.qDateYears(CC76,CC77,CF$13),0)</f>
        <v>0.25555555555555554</v>
      </c>
      <c r="CG77" s="284">
        <f t="shared" si="25"/>
        <v>1228.8804464584009</v>
      </c>
      <c r="CO77" s="560">
        <v>46345</v>
      </c>
      <c r="CP77" s="155" t="str">
        <f t="shared" si="6"/>
        <v>15.5Y</v>
      </c>
      <c r="CQ77" s="405">
        <v>0.53836518823644397</v>
      </c>
      <c r="CR77" s="284">
        <f>IF(CO77,_xll.qDateYears(CO76,CO77,CR$13),0)</f>
        <v>0.25205479452054796</v>
      </c>
      <c r="CS77" s="284">
        <f t="shared" si="26"/>
        <v>1198.7453979469285</v>
      </c>
      <c r="DA77" s="560">
        <v>46345</v>
      </c>
      <c r="DB77" s="155" t="str">
        <f t="shared" si="7"/>
        <v>15.5Y</v>
      </c>
      <c r="DC77" s="405">
        <v>0.39886278712158391</v>
      </c>
      <c r="DD77" s="284">
        <f>IF(DA77,_xll.qDateYears(DA76,DA77,DD$13),0)</f>
        <v>0.25205479452054796</v>
      </c>
      <c r="DE77" s="284">
        <f t="shared" si="27"/>
        <v>1043.9447180740881</v>
      </c>
      <c r="DM77" s="560">
        <v>46345</v>
      </c>
      <c r="DN77" s="155" t="str">
        <f t="shared" si="8"/>
        <v>15.5Y</v>
      </c>
      <c r="DO77" s="405">
        <v>0.54452467066054078</v>
      </c>
      <c r="DP77" s="284">
        <f>IF(DM77,_xll.qDateYears(DM76,DM77,DP$13),0)</f>
        <v>0.25555555555555554</v>
      </c>
      <c r="DQ77" s="284">
        <f t="shared" si="28"/>
        <v>1244.6174245622622</v>
      </c>
    </row>
    <row r="78" spans="59:121">
      <c r="BG78" s="560">
        <v>46437</v>
      </c>
      <c r="BH78" s="154" t="str">
        <f t="shared" si="3"/>
        <v>15.75Y</v>
      </c>
      <c r="BI78" s="405">
        <v>0.53828363126346868</v>
      </c>
      <c r="BJ78" s="284">
        <f>IF(BG78,_xll.qDateYears(BG77,BG78,$BJ$13),0)</f>
        <v>0.25555555555555554</v>
      </c>
      <c r="BK78" s="284">
        <f t="shared" si="23"/>
        <v>1258.3735618056619</v>
      </c>
      <c r="BQ78" s="560">
        <v>46437</v>
      </c>
      <c r="BR78" s="155" t="str">
        <f t="shared" si="4"/>
        <v>15.75Y</v>
      </c>
      <c r="BS78" s="405">
        <v>0.38085162904830949</v>
      </c>
      <c r="BT78" s="284">
        <f>IF(BQ78,_xll.qDateYears(BQ77,BQ78,BT$13),0)</f>
        <v>0.25205479452054796</v>
      </c>
      <c r="BU78" s="284">
        <f t="shared" si="24"/>
        <v>1011.6186337811674</v>
      </c>
      <c r="CC78" s="560">
        <v>46437</v>
      </c>
      <c r="CD78" s="155" t="str">
        <f t="shared" si="5"/>
        <v>15.75Y</v>
      </c>
      <c r="CE78" s="405">
        <v>0.54971168094455158</v>
      </c>
      <c r="CF78" s="284">
        <f>IF(CC78,_xll.qDateYears(CC77,CC78,CF$13),0)</f>
        <v>0.25555555555555554</v>
      </c>
      <c r="CG78" s="284">
        <f t="shared" si="25"/>
        <v>1242.9286338603172</v>
      </c>
      <c r="CO78" s="560">
        <v>46437</v>
      </c>
      <c r="CP78" s="155" t="str">
        <f t="shared" si="6"/>
        <v>15.75Y</v>
      </c>
      <c r="CQ78" s="405">
        <v>0.53253532692711358</v>
      </c>
      <c r="CR78" s="284">
        <f>IF(CO78,_xll.qDateYears(CO77,CO78,CR$13),0)</f>
        <v>0.25205479452054796</v>
      </c>
      <c r="CS78" s="284">
        <f t="shared" si="26"/>
        <v>1212.1682061872832</v>
      </c>
      <c r="DA78" s="560">
        <v>46437</v>
      </c>
      <c r="DB78" s="155" t="str">
        <f t="shared" si="7"/>
        <v>15.75Y</v>
      </c>
      <c r="DC78" s="405">
        <v>0.39294772017260254</v>
      </c>
      <c r="DD78" s="284">
        <f>IF(DA78,_xll.qDateYears(DA77,DA78,DD$13),0)</f>
        <v>0.25205479452054796</v>
      </c>
      <c r="DE78" s="284">
        <f t="shared" si="27"/>
        <v>1053.8491537606303</v>
      </c>
      <c r="DM78" s="560">
        <v>46437</v>
      </c>
      <c r="DN78" s="155" t="str">
        <f t="shared" si="8"/>
        <v>15.75Y</v>
      </c>
      <c r="DO78" s="405">
        <v>0.53828363126346868</v>
      </c>
      <c r="DP78" s="284">
        <f>IF(DM78,_xll.qDateYears(DM77,DM78,DP$13),0)</f>
        <v>0.25555555555555554</v>
      </c>
      <c r="DQ78" s="284">
        <f t="shared" si="28"/>
        <v>1258.3735618056619</v>
      </c>
    </row>
    <row r="79" spans="59:121">
      <c r="BG79" s="560">
        <v>46526</v>
      </c>
      <c r="BH79" s="154" t="str">
        <f t="shared" ref="BH79:BH142" si="35">IF(BG79,ROUND((BG79-$BG$15)/365/0.25,0)*0.25&amp;"Y","")</f>
        <v>16Y</v>
      </c>
      <c r="BI79" s="405">
        <v>0.53228739099167466</v>
      </c>
      <c r="BJ79" s="284">
        <f>IF(BG79,_xll.qDateYears(BG78,BG79,$BJ$13),0)</f>
        <v>0.24722222222222223</v>
      </c>
      <c r="BK79" s="284">
        <f t="shared" si="23"/>
        <v>1271.5328889718451</v>
      </c>
      <c r="BQ79" s="560">
        <v>46526</v>
      </c>
      <c r="BR79" s="155" t="str">
        <f t="shared" ref="BR79:BR142" si="36">IF(BQ79,ROUND((BQ79-$BG$15)/365/0.25,0)*0.25&amp;"Y","")</f>
        <v>16Y</v>
      </c>
      <c r="BS79" s="405">
        <v>0.3759927513728214</v>
      </c>
      <c r="BT79" s="284">
        <f>IF(BQ79,_xll.qDateYears(BQ78,BQ79,BT$13),0)</f>
        <v>0.24383561643835616</v>
      </c>
      <c r="BU79" s="284">
        <f t="shared" si="24"/>
        <v>1020.786676211902</v>
      </c>
      <c r="CC79" s="560">
        <v>46526</v>
      </c>
      <c r="CD79" s="155" t="str">
        <f t="shared" ref="CD79:CD142" si="37">IF(CC79,ROUND((CC79-$BG$15)/365/0.25,0)*0.25&amp;"Y","")</f>
        <v>16Y</v>
      </c>
      <c r="CE79" s="405">
        <v>0.54397365494657579</v>
      </c>
      <c r="CF79" s="284">
        <f>IF(CC79,_xll.qDateYears(CC78,CC79,CF$13),0)</f>
        <v>0.24722222222222223</v>
      </c>
      <c r="CG79" s="284">
        <f t="shared" si="25"/>
        <v>1256.3768714409409</v>
      </c>
      <c r="CO79" s="560">
        <v>46526</v>
      </c>
      <c r="CP79" s="155" t="str">
        <f t="shared" ref="CP79:CP142" si="38">IF(CO79,ROUND((CO79-$BG$15)/365/0.25,0)*0.25&amp;"Y","")</f>
        <v>16Y</v>
      </c>
      <c r="CQ79" s="405">
        <v>0.52694232841946076</v>
      </c>
      <c r="CR79" s="284">
        <f>IF(CO79,_xll.qDateYears(CO78,CO79,CR$13),0)</f>
        <v>0.24383561643835616</v>
      </c>
      <c r="CS79" s="284">
        <f t="shared" si="26"/>
        <v>1225.0169369350454</v>
      </c>
      <c r="DA79" s="560">
        <v>46526</v>
      </c>
      <c r="DB79" s="155" t="str">
        <f t="shared" ref="DB79:DB142" si="39">IF(DA79,ROUND((DA79-$BG$15)/365/0.25,0)*0.25&amp;"Y","")</f>
        <v>16Y</v>
      </c>
      <c r="DC79" s="405">
        <v>0.38730885955365341</v>
      </c>
      <c r="DD79" s="284">
        <f>IF(DA79,_xll.qDateYears(DA78,DA79,DD$13),0)</f>
        <v>0.24383561643835616</v>
      </c>
      <c r="DE79" s="284">
        <f t="shared" si="27"/>
        <v>1063.2931232127605</v>
      </c>
      <c r="DM79" s="560">
        <v>46526</v>
      </c>
      <c r="DN79" s="155" t="str">
        <f t="shared" ref="DN79:DN142" si="40">IF(DM79,ROUND((DM79-$BG$15)/365/0.25,0)*0.25&amp;"Y","")</f>
        <v>16Y</v>
      </c>
      <c r="DO79" s="405">
        <v>0.53228739099167466</v>
      </c>
      <c r="DP79" s="284">
        <f>IF(DM79,_xll.qDateYears(DM78,DM79,DP$13),0)</f>
        <v>0.24722222222222223</v>
      </c>
      <c r="DQ79" s="284">
        <f t="shared" si="28"/>
        <v>1271.5328889718451</v>
      </c>
    </row>
    <row r="80" spans="59:121">
      <c r="BG80" s="560">
        <v>46618</v>
      </c>
      <c r="BH80" s="154" t="str">
        <f t="shared" si="35"/>
        <v>16.25Y</v>
      </c>
      <c r="BI80" s="405">
        <v>0.52613185826678699</v>
      </c>
      <c r="BJ80" s="284">
        <f>IF(BG80,_xll.qDateYears(BG79,BG80,$BJ$13),0)</f>
        <v>0.25555555555555554</v>
      </c>
      <c r="BK80" s="284">
        <f t="shared" si="23"/>
        <v>1284.9784809053297</v>
      </c>
      <c r="BQ80" s="560">
        <v>46618</v>
      </c>
      <c r="BR80" s="155" t="str">
        <f t="shared" si="36"/>
        <v>16.25Y</v>
      </c>
      <c r="BS80" s="405">
        <v>0.37106001210145023</v>
      </c>
      <c r="BT80" s="284">
        <f>IF(BQ80,_xll.qDateYears(BQ79,BQ80,BT$13),0)</f>
        <v>0.25205479452054796</v>
      </c>
      <c r="BU80" s="284">
        <f t="shared" si="24"/>
        <v>1030.1394217224042</v>
      </c>
      <c r="CC80" s="560">
        <v>46618</v>
      </c>
      <c r="CD80" s="155" t="str">
        <f t="shared" si="37"/>
        <v>16.25Y</v>
      </c>
      <c r="CE80" s="405">
        <v>0.53808377324559686</v>
      </c>
      <c r="CF80" s="284">
        <f>IF(CC80,_xll.qDateYears(CC79,CC80,CF$13),0)</f>
        <v>0.25555555555555554</v>
      </c>
      <c r="CG80" s="284">
        <f t="shared" si="25"/>
        <v>1270.1279012016616</v>
      </c>
      <c r="CO80" s="560">
        <v>46618</v>
      </c>
      <c r="CP80" s="155" t="str">
        <f t="shared" si="38"/>
        <v>16.25Y</v>
      </c>
      <c r="CQ80" s="405">
        <v>0.52120891526449609</v>
      </c>
      <c r="CR80" s="284">
        <f>IF(CO80,_xll.qDateYears(CO79,CO80,CR$13),0)</f>
        <v>0.25205479452054796</v>
      </c>
      <c r="CS80" s="284">
        <f t="shared" si="26"/>
        <v>1238.1542575389724</v>
      </c>
      <c r="DA80" s="560">
        <v>46618</v>
      </c>
      <c r="DB80" s="155" t="str">
        <f t="shared" si="39"/>
        <v>16.25Y</v>
      </c>
      <c r="DC80" s="405">
        <v>0.38156479882215788</v>
      </c>
      <c r="DD80" s="284">
        <f>IF(DA80,_xll.qDateYears(DA79,DA80,DD$13),0)</f>
        <v>0.25205479452054796</v>
      </c>
      <c r="DE80" s="284">
        <f t="shared" si="27"/>
        <v>1072.9106469090998</v>
      </c>
      <c r="DM80" s="560">
        <v>46618</v>
      </c>
      <c r="DN80" s="155" t="str">
        <f t="shared" si="40"/>
        <v>16.25Y</v>
      </c>
      <c r="DO80" s="405">
        <v>0.52613185826678699</v>
      </c>
      <c r="DP80" s="284">
        <f>IF(DM80,_xll.qDateYears(DM79,DM80,DP$13),0)</f>
        <v>0.25555555555555554</v>
      </c>
      <c r="DQ80" s="284">
        <f t="shared" si="28"/>
        <v>1284.9784809053297</v>
      </c>
    </row>
    <row r="81" spans="59:121">
      <c r="BG81" s="560">
        <v>46710</v>
      </c>
      <c r="BH81" s="154" t="str">
        <f t="shared" si="35"/>
        <v>16.5Y</v>
      </c>
      <c r="BI81" s="405">
        <v>0.52002000670496629</v>
      </c>
      <c r="BJ81" s="284">
        <f>IF(BG81,_xll.qDateYears(BG80,BG81,$BJ$13),0)</f>
        <v>0.25555555555555554</v>
      </c>
      <c r="BK81" s="284">
        <f t="shared" ref="BK81:BK144" si="41">BK80+BJ81*BI81*100</f>
        <v>1298.2678810766788</v>
      </c>
      <c r="BQ81" s="560">
        <v>46710</v>
      </c>
      <c r="BR81" s="155" t="str">
        <f t="shared" si="36"/>
        <v>16.5Y</v>
      </c>
      <c r="BS81" s="405">
        <v>0.36621684119536729</v>
      </c>
      <c r="BT81" s="284">
        <f>IF(BQ81,_xll.qDateYears(BQ80,BQ81,BT$13),0)</f>
        <v>0.25205479452054796</v>
      </c>
      <c r="BU81" s="284">
        <f t="shared" ref="BU81:BU144" si="42">BU80+BT81*BS81*100</f>
        <v>1039.3700927881505</v>
      </c>
      <c r="CC81" s="560">
        <v>46710</v>
      </c>
      <c r="CD81" s="155" t="str">
        <f t="shared" si="37"/>
        <v>16.5Y</v>
      </c>
      <c r="CE81" s="405">
        <v>0.53223615767561083</v>
      </c>
      <c r="CF81" s="284">
        <f>IF(CC81,_xll.qDateYears(CC80,CC81,CF$13),0)</f>
        <v>0.25555555555555554</v>
      </c>
      <c r="CG81" s="284">
        <f t="shared" ref="CG81:CG144" si="43">CG80+CF81*CE81*100</f>
        <v>1283.7294918978162</v>
      </c>
      <c r="CO81" s="560">
        <v>46710</v>
      </c>
      <c r="CP81" s="155" t="str">
        <f t="shared" si="38"/>
        <v>16.5Y</v>
      </c>
      <c r="CQ81" s="405">
        <v>0.51552418653498999</v>
      </c>
      <c r="CR81" s="284">
        <f>IF(CO81,_xll.qDateYears(CO80,CO81,CR$13),0)</f>
        <v>0.25205479452054796</v>
      </c>
      <c r="CS81" s="284">
        <f t="shared" ref="CS81:CS144" si="44">CS80+CR81*CQ81*100</f>
        <v>1251.1482918297174</v>
      </c>
      <c r="DA81" s="560">
        <v>46710</v>
      </c>
      <c r="DB81" s="155" t="str">
        <f t="shared" si="39"/>
        <v>16.5Y</v>
      </c>
      <c r="DC81" s="405">
        <v>0.37590575799218057</v>
      </c>
      <c r="DD81" s="284">
        <f>IF(DA81,_xll.qDateYears(DA80,DA81,DD$13),0)</f>
        <v>0.25205479452054796</v>
      </c>
      <c r="DE81" s="284">
        <f t="shared" ref="DE81:DE144" si="45">DE80+DD81*DC81*100</f>
        <v>1082.3855317680807</v>
      </c>
      <c r="DM81" s="560">
        <v>46710</v>
      </c>
      <c r="DN81" s="155" t="str">
        <f t="shared" si="40"/>
        <v>16.5Y</v>
      </c>
      <c r="DO81" s="405">
        <v>0.52002000670496629</v>
      </c>
      <c r="DP81" s="284">
        <f>IF(DM81,_xll.qDateYears(DM80,DM81,DP$13),0)</f>
        <v>0.25555555555555554</v>
      </c>
      <c r="DQ81" s="284">
        <f t="shared" ref="DQ81:DQ144" si="46">DQ80+DP81*DO81*100</f>
        <v>1298.2678810766788</v>
      </c>
    </row>
    <row r="82" spans="59:121">
      <c r="BG82" s="560">
        <v>46805</v>
      </c>
      <c r="BH82" s="154" t="str">
        <f t="shared" si="35"/>
        <v>16.75Y</v>
      </c>
      <c r="BI82" s="405">
        <v>0.51375484116234116</v>
      </c>
      <c r="BJ82" s="284">
        <f>IF(BG82,_xll.qDateYears(BG81,BG82,$BJ$13),0)</f>
        <v>0.2638888888888889</v>
      </c>
      <c r="BK82" s="284">
        <f t="shared" si="41"/>
        <v>1311.8253004962405</v>
      </c>
      <c r="BQ82" s="560">
        <v>46805</v>
      </c>
      <c r="BR82" s="155" t="str">
        <f t="shared" si="36"/>
        <v>16.75Y</v>
      </c>
      <c r="BS82" s="405">
        <v>0.36130780641718468</v>
      </c>
      <c r="BT82" s="284">
        <f>IF(BQ82,_xll.qDateYears(BQ81,BQ82,BT$13),0)</f>
        <v>0.26027397260273971</v>
      </c>
      <c r="BU82" s="284">
        <f t="shared" si="42"/>
        <v>1048.7739945990088</v>
      </c>
      <c r="CC82" s="560">
        <v>46805</v>
      </c>
      <c r="CD82" s="155" t="str">
        <f t="shared" si="37"/>
        <v>16.75Y</v>
      </c>
      <c r="CE82" s="405">
        <v>0.52624222689820133</v>
      </c>
      <c r="CF82" s="284">
        <f>IF(CC82,_xll.qDateYears(CC81,CC82,CF$13),0)</f>
        <v>0.2638888888888889</v>
      </c>
      <c r="CG82" s="284">
        <f t="shared" si="43"/>
        <v>1297.6164395520743</v>
      </c>
      <c r="CO82" s="560">
        <v>46805</v>
      </c>
      <c r="CP82" s="155" t="str">
        <f t="shared" si="38"/>
        <v>16.75Y</v>
      </c>
      <c r="CQ82" s="405">
        <v>0.50970493352670476</v>
      </c>
      <c r="CR82" s="284">
        <f>IF(CO82,_xll.qDateYears(CO81,CO82,CR$13),0)</f>
        <v>0.26027397260273971</v>
      </c>
      <c r="CS82" s="284">
        <f t="shared" si="44"/>
        <v>1264.4145846201386</v>
      </c>
      <c r="DA82" s="560">
        <v>46805</v>
      </c>
      <c r="DB82" s="155" t="str">
        <f t="shared" si="39"/>
        <v>16.75Y</v>
      </c>
      <c r="DC82" s="405">
        <v>0.3701500747389101</v>
      </c>
      <c r="DD82" s="284">
        <f>IF(DA82,_xll.qDateYears(DA81,DA82,DD$13),0)</f>
        <v>0.26027397260273971</v>
      </c>
      <c r="DE82" s="284">
        <f t="shared" si="45"/>
        <v>1092.0195748092303</v>
      </c>
      <c r="DM82" s="560">
        <v>46805</v>
      </c>
      <c r="DN82" s="155" t="str">
        <f t="shared" si="40"/>
        <v>16.75Y</v>
      </c>
      <c r="DO82" s="405">
        <v>0.51375484116234116</v>
      </c>
      <c r="DP82" s="284">
        <f>IF(DM82,_xll.qDateYears(DM81,DM82,DP$13),0)</f>
        <v>0.2638888888888889</v>
      </c>
      <c r="DQ82" s="284">
        <f t="shared" si="46"/>
        <v>1311.8253004962405</v>
      </c>
    </row>
    <row r="83" spans="59:121">
      <c r="BG83" s="560">
        <v>46892</v>
      </c>
      <c r="BH83" s="154" t="str">
        <f t="shared" si="35"/>
        <v>17Y</v>
      </c>
      <c r="BI83" s="405">
        <v>0.50805837420676703</v>
      </c>
      <c r="BJ83" s="284">
        <f>IF(BG83,_xll.qDateYears(BG82,BG83,$BJ$13),0)</f>
        <v>0.24166666666666667</v>
      </c>
      <c r="BK83" s="284">
        <f t="shared" si="41"/>
        <v>1324.103377872904</v>
      </c>
      <c r="BQ83" s="560">
        <v>46892</v>
      </c>
      <c r="BR83" s="155" t="str">
        <f t="shared" si="36"/>
        <v>17Y</v>
      </c>
      <c r="BS83" s="405">
        <v>0.35689257001171604</v>
      </c>
      <c r="BT83" s="284">
        <f>IF(BQ83,_xll.qDateYears(BQ82,BQ83,BT$13),0)</f>
        <v>0.23835616438356164</v>
      </c>
      <c r="BU83" s="284">
        <f t="shared" si="42"/>
        <v>1057.2807490075072</v>
      </c>
      <c r="CC83" s="560">
        <v>46892</v>
      </c>
      <c r="CD83" s="155" t="str">
        <f t="shared" si="37"/>
        <v>17Y</v>
      </c>
      <c r="CE83" s="405">
        <v>0.52079259905510722</v>
      </c>
      <c r="CF83" s="284">
        <f>IF(CC83,_xll.qDateYears(CC82,CC83,CF$13),0)</f>
        <v>0.24166666666666667</v>
      </c>
      <c r="CG83" s="284">
        <f t="shared" si="43"/>
        <v>1310.202260695906</v>
      </c>
      <c r="CO83" s="560">
        <v>46892</v>
      </c>
      <c r="CP83" s="155" t="str">
        <f t="shared" si="38"/>
        <v>17Y</v>
      </c>
      <c r="CQ83" s="405">
        <v>0.5044208281649929</v>
      </c>
      <c r="CR83" s="284">
        <f>IF(CO83,_xll.qDateYears(CO82,CO83,CR$13),0)</f>
        <v>0.23835616438356164</v>
      </c>
      <c r="CS83" s="284">
        <f t="shared" si="44"/>
        <v>1276.4377660037974</v>
      </c>
      <c r="DA83" s="560">
        <v>46892</v>
      </c>
      <c r="DB83" s="155" t="str">
        <f t="shared" si="39"/>
        <v>17Y</v>
      </c>
      <c r="DC83" s="405">
        <v>0.36495626959685779</v>
      </c>
      <c r="DD83" s="284">
        <f>IF(DA83,_xll.qDateYears(DA82,DA83,DD$13),0)</f>
        <v>0.23835616438356164</v>
      </c>
      <c r="DE83" s="284">
        <f t="shared" si="45"/>
        <v>1100.7185324681143</v>
      </c>
      <c r="DM83" s="560">
        <v>46892</v>
      </c>
      <c r="DN83" s="155" t="str">
        <f t="shared" si="40"/>
        <v>17Y</v>
      </c>
      <c r="DO83" s="405">
        <v>0.50805837420676703</v>
      </c>
      <c r="DP83" s="284">
        <f>IF(DM83,_xll.qDateYears(DM82,DM83,DP$13),0)</f>
        <v>0.24166666666666667</v>
      </c>
      <c r="DQ83" s="284">
        <f t="shared" si="46"/>
        <v>1324.103377872904</v>
      </c>
    </row>
    <row r="84" spans="59:121">
      <c r="BG84" s="560">
        <v>46986</v>
      </c>
      <c r="BH84" s="154" t="str">
        <f t="shared" si="35"/>
        <v>17.25Y</v>
      </c>
      <c r="BI84" s="405">
        <v>0.5019478597795598</v>
      </c>
      <c r="BJ84" s="284">
        <f>IF(BG84,_xll.qDateYears(BG83,BG84,$BJ$13),0)</f>
        <v>0.26111111111111113</v>
      </c>
      <c r="BK84" s="284">
        <f t="shared" si="41"/>
        <v>1337.2097942115925</v>
      </c>
      <c r="BQ84" s="560">
        <v>46986</v>
      </c>
      <c r="BR84" s="155" t="str">
        <f t="shared" si="36"/>
        <v>17.25Y</v>
      </c>
      <c r="BS84" s="405">
        <v>0.35220673487458926</v>
      </c>
      <c r="BT84" s="284">
        <f>IF(BQ84,_xll.qDateYears(BQ83,BQ84,BT$13),0)</f>
        <v>0.25753424657534246</v>
      </c>
      <c r="BU84" s="284">
        <f t="shared" si="42"/>
        <v>1066.351278617976</v>
      </c>
      <c r="CC84" s="560">
        <v>46986</v>
      </c>
      <c r="CD84" s="155" t="str">
        <f t="shared" si="37"/>
        <v>17.25Y</v>
      </c>
      <c r="CE84" s="405">
        <v>0.51494699459876703</v>
      </c>
      <c r="CF84" s="284">
        <f>IF(CC84,_xll.qDateYears(CC83,CC84,CF$13),0)</f>
        <v>0.26111111111111113</v>
      </c>
      <c r="CG84" s="284">
        <f t="shared" si="43"/>
        <v>1323.6480988882072</v>
      </c>
      <c r="CO84" s="560">
        <v>46986</v>
      </c>
      <c r="CP84" s="155" t="str">
        <f t="shared" si="38"/>
        <v>17.25Y</v>
      </c>
      <c r="CQ84" s="405">
        <v>0.49875979748158361</v>
      </c>
      <c r="CR84" s="284">
        <f>IF(CO84,_xll.qDateYears(CO83,CO84,CR$13),0)</f>
        <v>0.25753424657534246</v>
      </c>
      <c r="CS84" s="284">
        <f t="shared" si="44"/>
        <v>1289.2825388704464</v>
      </c>
      <c r="DA84" s="560">
        <v>46986</v>
      </c>
      <c r="DB84" s="155" t="str">
        <f t="shared" si="39"/>
        <v>17.25Y</v>
      </c>
      <c r="DC84" s="405">
        <v>0.35942628815964561</v>
      </c>
      <c r="DD84" s="284">
        <f>IF(DA84,_xll.qDateYears(DA83,DA84,DD$13),0)</f>
        <v>0.25753424657534246</v>
      </c>
      <c r="DE84" s="284">
        <f t="shared" si="45"/>
        <v>1109.9749903001709</v>
      </c>
      <c r="DM84" s="560">
        <v>46986</v>
      </c>
      <c r="DN84" s="155" t="str">
        <f t="shared" si="40"/>
        <v>17.25Y</v>
      </c>
      <c r="DO84" s="405">
        <v>0.5019478597795598</v>
      </c>
      <c r="DP84" s="284">
        <f>IF(DM84,_xll.qDateYears(DM83,DM84,DP$13),0)</f>
        <v>0.26111111111111113</v>
      </c>
      <c r="DQ84" s="284">
        <f t="shared" si="46"/>
        <v>1337.2097942115925</v>
      </c>
    </row>
    <row r="85" spans="59:121">
      <c r="BG85" s="560">
        <v>47077</v>
      </c>
      <c r="BH85" s="154" t="str">
        <f t="shared" si="35"/>
        <v>17.5Y</v>
      </c>
      <c r="BI85" s="405">
        <v>0.49607629351089888</v>
      </c>
      <c r="BJ85" s="284">
        <f>IF(BG85,_xll.qDateYears(BG84,BG85,$BJ$13),0)</f>
        <v>0.25277777777777777</v>
      </c>
      <c r="BK85" s="284">
        <f t="shared" si="41"/>
        <v>1349.7495005197845</v>
      </c>
      <c r="BQ85" s="560">
        <v>47077</v>
      </c>
      <c r="BR85" s="155" t="str">
        <f t="shared" si="36"/>
        <v>17.5Y</v>
      </c>
      <c r="BS85" s="405">
        <v>0.3477525413244778</v>
      </c>
      <c r="BT85" s="284">
        <f>IF(BQ85,_xll.qDateYears(BQ84,BQ85,BT$13),0)</f>
        <v>0.24931506849315069</v>
      </c>
      <c r="BU85" s="284">
        <f t="shared" si="42"/>
        <v>1075.021273483874</v>
      </c>
      <c r="CC85" s="560">
        <v>47077</v>
      </c>
      <c r="CD85" s="155" t="str">
        <f t="shared" si="37"/>
        <v>17.5Y</v>
      </c>
      <c r="CE85" s="405">
        <v>0.5093299998856734</v>
      </c>
      <c r="CF85" s="284">
        <f>IF(CC85,_xll.qDateYears(CC84,CC85,CF$13),0)</f>
        <v>0.25277777777777777</v>
      </c>
      <c r="CG85" s="284">
        <f t="shared" si="43"/>
        <v>1336.5228294408728</v>
      </c>
      <c r="CO85" s="560">
        <v>47077</v>
      </c>
      <c r="CP85" s="155" t="str">
        <f t="shared" si="38"/>
        <v>17.5Y</v>
      </c>
      <c r="CQ85" s="405">
        <v>0.49332693362298424</v>
      </c>
      <c r="CR85" s="284">
        <f>IF(CO85,_xll.qDateYears(CO84,CO85,CR$13),0)</f>
        <v>0.24931506849315069</v>
      </c>
      <c r="CS85" s="284">
        <f t="shared" si="44"/>
        <v>1301.5819226950193</v>
      </c>
      <c r="DA85" s="560">
        <v>47077</v>
      </c>
      <c r="DB85" s="155" t="str">
        <f t="shared" si="39"/>
        <v>17.5Y</v>
      </c>
      <c r="DC85" s="405">
        <v>0.35415247458882526</v>
      </c>
      <c r="DD85" s="284">
        <f>IF(DA85,_xll.qDateYears(DA84,DA85,DD$13),0)</f>
        <v>0.24931506849315069</v>
      </c>
      <c r="DE85" s="284">
        <f t="shared" si="45"/>
        <v>1118.8045451460841</v>
      </c>
      <c r="DM85" s="560">
        <v>47077</v>
      </c>
      <c r="DN85" s="155" t="str">
        <f t="shared" si="40"/>
        <v>17.5Y</v>
      </c>
      <c r="DO85" s="405">
        <v>0.49607629351089888</v>
      </c>
      <c r="DP85" s="284">
        <f>IF(DM85,_xll.qDateYears(DM84,DM85,DP$13),0)</f>
        <v>0.25277777777777777</v>
      </c>
      <c r="DQ85" s="284">
        <f t="shared" si="46"/>
        <v>1349.7495005197845</v>
      </c>
    </row>
    <row r="86" spans="59:121">
      <c r="BG86" s="560">
        <v>47169</v>
      </c>
      <c r="BH86" s="154" t="str">
        <f t="shared" si="35"/>
        <v>17.75Y</v>
      </c>
      <c r="BI86" s="405">
        <v>0.49018424142840827</v>
      </c>
      <c r="BJ86" s="284">
        <f>IF(BG86,_xll.qDateYears(BG85,BG86,$BJ$13),0)</f>
        <v>0.25555555555555554</v>
      </c>
      <c r="BK86" s="284">
        <f t="shared" si="41"/>
        <v>1362.2764311340661</v>
      </c>
      <c r="BQ86" s="560">
        <v>47169</v>
      </c>
      <c r="BR86" s="155" t="str">
        <f t="shared" si="36"/>
        <v>17.75Y</v>
      </c>
      <c r="BS86" s="405">
        <v>0.34332984042293974</v>
      </c>
      <c r="BT86" s="284">
        <f>IF(BQ86,_xll.qDateYears(BQ85,BQ86,BT$13),0)</f>
        <v>0.25205479452054796</v>
      </c>
      <c r="BU86" s="284">
        <f t="shared" si="42"/>
        <v>1083.6750667219317</v>
      </c>
      <c r="CC86" s="560">
        <v>47169</v>
      </c>
      <c r="CD86" s="155" t="str">
        <f t="shared" si="37"/>
        <v>17.75Y</v>
      </c>
      <c r="CE86" s="405">
        <v>0.50369332110185339</v>
      </c>
      <c r="CF86" s="284">
        <f>IF(CC86,_xll.qDateYears(CC85,CC86,CF$13),0)</f>
        <v>0.25555555555555554</v>
      </c>
      <c r="CG86" s="284">
        <f t="shared" si="43"/>
        <v>1349.3949920912535</v>
      </c>
      <c r="CO86" s="560">
        <v>47169</v>
      </c>
      <c r="CP86" s="155" t="str">
        <f t="shared" si="38"/>
        <v>17.75Y</v>
      </c>
      <c r="CQ86" s="405">
        <v>0.48788163147649838</v>
      </c>
      <c r="CR86" s="284">
        <f>IF(CO86,_xll.qDateYears(CO85,CO86,CR$13),0)</f>
        <v>0.25205479452054796</v>
      </c>
      <c r="CS86" s="284">
        <f t="shared" si="44"/>
        <v>1313.8792131322352</v>
      </c>
      <c r="DA86" s="560">
        <v>47169</v>
      </c>
      <c r="DB86" s="155" t="str">
        <f t="shared" si="39"/>
        <v>17.75Y</v>
      </c>
      <c r="DC86" s="405">
        <v>0.34889920936510083</v>
      </c>
      <c r="DD86" s="284">
        <f>IF(DA86,_xll.qDateYears(DA85,DA86,DD$13),0)</f>
        <v>0.25205479452054796</v>
      </c>
      <c r="DE86" s="284">
        <f t="shared" si="45"/>
        <v>1127.5987169985744</v>
      </c>
      <c r="DM86" s="560">
        <v>47169</v>
      </c>
      <c r="DN86" s="155" t="str">
        <f t="shared" si="40"/>
        <v>17.75Y</v>
      </c>
      <c r="DO86" s="405">
        <v>0.49018424142840827</v>
      </c>
      <c r="DP86" s="284">
        <f>IF(DM86,_xll.qDateYears(DM85,DM86,DP$13),0)</f>
        <v>0.25555555555555554</v>
      </c>
      <c r="DQ86" s="284">
        <f t="shared" si="46"/>
        <v>1362.2764311340661</v>
      </c>
    </row>
    <row r="87" spans="59:121">
      <c r="BG87" s="560">
        <v>47259</v>
      </c>
      <c r="BH87" s="154" t="str">
        <f t="shared" si="35"/>
        <v>18Y</v>
      </c>
      <c r="BI87" s="405">
        <v>0.48446321205883297</v>
      </c>
      <c r="BJ87" s="284">
        <f>IF(BG87,_xll.qDateYears(BG86,BG87,$BJ$13),0)</f>
        <v>0.25</v>
      </c>
      <c r="BK87" s="284">
        <f t="shared" si="41"/>
        <v>1374.388011435537</v>
      </c>
      <c r="BQ87" s="560">
        <v>47259</v>
      </c>
      <c r="BR87" s="155" t="str">
        <f t="shared" si="36"/>
        <v>18Y</v>
      </c>
      <c r="BS87" s="405">
        <v>0.33907999166241826</v>
      </c>
      <c r="BT87" s="284">
        <f>IF(BQ87,_xll.qDateYears(BQ86,BQ87,BT$13),0)</f>
        <v>0.24657534246575341</v>
      </c>
      <c r="BU87" s="284">
        <f t="shared" si="42"/>
        <v>1092.0359432286762</v>
      </c>
      <c r="CC87" s="560">
        <v>47259</v>
      </c>
      <c r="CD87" s="155" t="str">
        <f t="shared" si="37"/>
        <v>18Y</v>
      </c>
      <c r="CE87" s="405">
        <v>0.49822006762732163</v>
      </c>
      <c r="CF87" s="284">
        <f>IF(CC87,_xll.qDateYears(CC86,CC87,CF$13),0)</f>
        <v>0.25</v>
      </c>
      <c r="CG87" s="284">
        <f t="shared" si="43"/>
        <v>1361.8504937819366</v>
      </c>
      <c r="CO87" s="560">
        <v>47259</v>
      </c>
      <c r="CP87" s="155" t="str">
        <f t="shared" si="38"/>
        <v>18Y</v>
      </c>
      <c r="CQ87" s="405">
        <v>0.48260046244863741</v>
      </c>
      <c r="CR87" s="284">
        <f>IF(CO87,_xll.qDateYears(CO86,CO87,CR$13),0)</f>
        <v>0.24657534246575341</v>
      </c>
      <c r="CS87" s="284">
        <f t="shared" si="44"/>
        <v>1325.7789505624755</v>
      </c>
      <c r="DA87" s="560">
        <v>47259</v>
      </c>
      <c r="DB87" s="155" t="str">
        <f t="shared" si="39"/>
        <v>18Y</v>
      </c>
      <c r="DC87" s="405">
        <v>0.34383540545085922</v>
      </c>
      <c r="DD87" s="284">
        <f>IF(DA87,_xll.qDateYears(DA86,DA87,DD$13),0)</f>
        <v>0.24657534246575341</v>
      </c>
      <c r="DE87" s="284">
        <f t="shared" si="45"/>
        <v>1136.076850283664</v>
      </c>
      <c r="DM87" s="560">
        <v>47259</v>
      </c>
      <c r="DN87" s="155" t="str">
        <f t="shared" si="40"/>
        <v>18Y</v>
      </c>
      <c r="DO87" s="405">
        <v>0.48446321205883297</v>
      </c>
      <c r="DP87" s="284">
        <f>IF(DM87,_xll.qDateYears(DM86,DM87,DP$13),0)</f>
        <v>0.25</v>
      </c>
      <c r="DQ87" s="284">
        <f t="shared" si="46"/>
        <v>1374.388011435537</v>
      </c>
    </row>
    <row r="88" spans="59:121">
      <c r="BG88" s="560">
        <v>47350</v>
      </c>
      <c r="BH88" s="154" t="str">
        <f t="shared" si="35"/>
        <v>18.25Y</v>
      </c>
      <c r="BI88" s="405">
        <v>0.47872187204575145</v>
      </c>
      <c r="BJ88" s="284">
        <f>IF(BG88,_xll.qDateYears(BG87,BG88,$BJ$13),0)</f>
        <v>0.25277777777777777</v>
      </c>
      <c r="BK88" s="284">
        <f t="shared" si="41"/>
        <v>1386.4890365344713</v>
      </c>
      <c r="BQ88" s="560">
        <v>47350</v>
      </c>
      <c r="BR88" s="155" t="str">
        <f t="shared" si="36"/>
        <v>18.25Y</v>
      </c>
      <c r="BS88" s="405">
        <v>0.33485852652532438</v>
      </c>
      <c r="BT88" s="284">
        <f>IF(BQ88,_xll.qDateYears(BQ87,BQ88,BT$13),0)</f>
        <v>0.24931506849315069</v>
      </c>
      <c r="BU88" s="284">
        <f t="shared" si="42"/>
        <v>1100.3844708762938</v>
      </c>
      <c r="CC88" s="560">
        <v>47350</v>
      </c>
      <c r="CD88" s="155" t="str">
        <f t="shared" si="37"/>
        <v>18.25Y</v>
      </c>
      <c r="CE88" s="405">
        <v>0.49272709775112139</v>
      </c>
      <c r="CF88" s="284">
        <f>IF(CC88,_xll.qDateYears(CC87,CC88,CF$13),0)</f>
        <v>0.25277777777777777</v>
      </c>
      <c r="CG88" s="284">
        <f t="shared" si="43"/>
        <v>1374.3055398639788</v>
      </c>
      <c r="CO88" s="560">
        <v>47350</v>
      </c>
      <c r="CP88" s="155" t="str">
        <f t="shared" si="38"/>
        <v>18.25Y</v>
      </c>
      <c r="CQ88" s="405">
        <v>0.47730639620574333</v>
      </c>
      <c r="CR88" s="284">
        <f>IF(CO88,_xll.qDateYears(CO87,CO88,CR$13),0)</f>
        <v>0.24931506849315069</v>
      </c>
      <c r="CS88" s="284">
        <f t="shared" si="44"/>
        <v>1337.6789182487009</v>
      </c>
      <c r="DA88" s="560">
        <v>47350</v>
      </c>
      <c r="DB88" s="155" t="str">
        <f t="shared" si="39"/>
        <v>18.25Y</v>
      </c>
      <c r="DC88" s="405">
        <v>0.33878990899163963</v>
      </c>
      <c r="DD88" s="284">
        <f>IF(DA88,_xll.qDateYears(DA87,DA88,DD$13),0)</f>
        <v>0.24931506849315069</v>
      </c>
      <c r="DE88" s="284">
        <f t="shared" si="45"/>
        <v>1144.5233932201679</v>
      </c>
      <c r="DM88" s="560">
        <v>47350</v>
      </c>
      <c r="DN88" s="155" t="str">
        <f t="shared" si="40"/>
        <v>18.25Y</v>
      </c>
      <c r="DO88" s="405">
        <v>0.47872187204575145</v>
      </c>
      <c r="DP88" s="284">
        <f>IF(DM88,_xll.qDateYears(DM87,DM88,DP$13),0)</f>
        <v>0.25277777777777777</v>
      </c>
      <c r="DQ88" s="284">
        <f t="shared" si="46"/>
        <v>1386.4890365344713</v>
      </c>
    </row>
    <row r="89" spans="59:121">
      <c r="BG89" s="560">
        <v>47441</v>
      </c>
      <c r="BH89" s="154" t="str">
        <f t="shared" si="35"/>
        <v>18.5Y</v>
      </c>
      <c r="BI89" s="405">
        <v>0.47302410301530096</v>
      </c>
      <c r="BJ89" s="284">
        <f>IF(BG89,_xll.qDateYears(BG88,BG89,$BJ$13),0)</f>
        <v>0.25277777777777777</v>
      </c>
      <c r="BK89" s="284">
        <f t="shared" si="41"/>
        <v>1398.4460346940248</v>
      </c>
      <c r="BQ89" s="560">
        <v>47441</v>
      </c>
      <c r="BR89" s="155" t="str">
        <f t="shared" si="36"/>
        <v>18.5Y</v>
      </c>
      <c r="BS89" s="405">
        <v>0.33071158606347106</v>
      </c>
      <c r="BT89" s="284">
        <f>IF(BQ89,_xll.qDateYears(BQ88,BQ89,BT$13),0)</f>
        <v>0.24931506849315069</v>
      </c>
      <c r="BU89" s="284">
        <f t="shared" si="42"/>
        <v>1108.6296090493831</v>
      </c>
      <c r="CC89" s="560">
        <v>47441</v>
      </c>
      <c r="CD89" s="155" t="str">
        <f t="shared" si="37"/>
        <v>18.5Y</v>
      </c>
      <c r="CE89" s="405">
        <v>0.48727542930593887</v>
      </c>
      <c r="CF89" s="284">
        <f>IF(CC89,_xll.qDateYears(CC88,CC89,CF$13),0)</f>
        <v>0.25277777777777777</v>
      </c>
      <c r="CG89" s="284">
        <f t="shared" si="43"/>
        <v>1386.6227798825455</v>
      </c>
      <c r="CO89" s="560">
        <v>47441</v>
      </c>
      <c r="CP89" s="155" t="str">
        <f t="shared" si="38"/>
        <v>18.5Y</v>
      </c>
      <c r="CQ89" s="405">
        <v>0.47205813512041472</v>
      </c>
      <c r="CR89" s="284">
        <f>IF(CO89,_xll.qDateYears(CO88,CO89,CR$13),0)</f>
        <v>0.24931506849315069</v>
      </c>
      <c r="CS89" s="284">
        <f t="shared" si="44"/>
        <v>1349.4480388777304</v>
      </c>
      <c r="DA89" s="560">
        <v>47441</v>
      </c>
      <c r="DB89" s="155" t="str">
        <f t="shared" si="39"/>
        <v>18.5Y</v>
      </c>
      <c r="DC89" s="405">
        <v>0.33381830454168043</v>
      </c>
      <c r="DD89" s="284">
        <f>IF(DA89,_xll.qDateYears(DA88,DA89,DD$13),0)</f>
        <v>0.24931506849315069</v>
      </c>
      <c r="DE89" s="284">
        <f t="shared" si="45"/>
        <v>1152.8459865662755</v>
      </c>
      <c r="DM89" s="560">
        <v>47441</v>
      </c>
      <c r="DN89" s="155" t="str">
        <f t="shared" si="40"/>
        <v>18.5Y</v>
      </c>
      <c r="DO89" s="405">
        <v>0.47302410301530096</v>
      </c>
      <c r="DP89" s="284">
        <f>IF(DM89,_xll.qDateYears(DM88,DM89,DP$13),0)</f>
        <v>0.25277777777777777</v>
      </c>
      <c r="DQ89" s="284">
        <f t="shared" si="46"/>
        <v>1398.4460346940248</v>
      </c>
    </row>
    <row r="90" spans="59:121">
      <c r="BG90" s="560">
        <v>47533</v>
      </c>
      <c r="BH90" s="154" t="str">
        <f t="shared" si="35"/>
        <v>18.75Y</v>
      </c>
      <c r="BI90" s="405">
        <v>0.4673080826076671</v>
      </c>
      <c r="BJ90" s="284">
        <f>IF(BG90,_xll.qDateYears(BG89,BG90,$BJ$13),0)</f>
        <v>0.25555555555555554</v>
      </c>
      <c r="BK90" s="284">
        <f t="shared" si="41"/>
        <v>1410.3883523606651</v>
      </c>
      <c r="BQ90" s="560">
        <v>47533</v>
      </c>
      <c r="BR90" s="155" t="str">
        <f t="shared" si="36"/>
        <v>18.75Y</v>
      </c>
      <c r="BS90" s="405">
        <v>0.32659333333035684</v>
      </c>
      <c r="BT90" s="284">
        <f>IF(BQ90,_xll.qDateYears(BQ89,BQ90,BT$13),0)</f>
        <v>0.25205479452054796</v>
      </c>
      <c r="BU90" s="284">
        <f t="shared" si="42"/>
        <v>1116.8615506018195</v>
      </c>
      <c r="CC90" s="560">
        <v>47533</v>
      </c>
      <c r="CD90" s="155" t="str">
        <f t="shared" si="37"/>
        <v>18.75Y</v>
      </c>
      <c r="CE90" s="405">
        <v>0.48180580869868694</v>
      </c>
      <c r="CF90" s="284">
        <f>IF(CC90,_xll.qDateYears(CC89,CC90,CF$13),0)</f>
        <v>0.25555555555555554</v>
      </c>
      <c r="CG90" s="284">
        <f t="shared" si="43"/>
        <v>1398.9355949937342</v>
      </c>
      <c r="CO90" s="560">
        <v>47533</v>
      </c>
      <c r="CP90" s="155" t="str">
        <f t="shared" si="38"/>
        <v>18.75Y</v>
      </c>
      <c r="CQ90" s="405">
        <v>0.46679852699223245</v>
      </c>
      <c r="CR90" s="284">
        <f>IF(CO90,_xll.qDateYears(CO89,CO90,CR$13),0)</f>
        <v>0.25205479452054796</v>
      </c>
      <c r="CS90" s="284">
        <f t="shared" si="44"/>
        <v>1361.2139195580826</v>
      </c>
      <c r="DA90" s="560">
        <v>47533</v>
      </c>
      <c r="DB90" s="155" t="str">
        <f t="shared" si="39"/>
        <v>18.75Y</v>
      </c>
      <c r="DC90" s="405">
        <v>0.32886607969621112</v>
      </c>
      <c r="DD90" s="284">
        <f>IF(DA90,_xll.qDateYears(DA89,DA90,DD$13),0)</f>
        <v>0.25205479452054796</v>
      </c>
      <c r="DE90" s="284">
        <f t="shared" si="45"/>
        <v>1161.1352137805361</v>
      </c>
      <c r="DM90" s="560">
        <v>47533</v>
      </c>
      <c r="DN90" s="155" t="str">
        <f t="shared" si="40"/>
        <v>18.75Y</v>
      </c>
      <c r="DO90" s="405">
        <v>0.4673080826076671</v>
      </c>
      <c r="DP90" s="284">
        <f>IF(DM90,_xll.qDateYears(DM89,DM90,DP$13),0)</f>
        <v>0.25555555555555554</v>
      </c>
      <c r="DQ90" s="284">
        <f t="shared" si="46"/>
        <v>1410.3883523606651</v>
      </c>
    </row>
    <row r="91" spans="59:121">
      <c r="BG91" s="560">
        <v>47623</v>
      </c>
      <c r="BH91" s="154" t="str">
        <f t="shared" si="35"/>
        <v>19Y</v>
      </c>
      <c r="BI91" s="405">
        <v>0.46175954348333503</v>
      </c>
      <c r="BJ91" s="284">
        <f>IF(BG91,_xll.qDateYears(BG90,BG91,$BJ$13),0)</f>
        <v>0.25</v>
      </c>
      <c r="BK91" s="284">
        <f t="shared" si="41"/>
        <v>1421.9323409477483</v>
      </c>
      <c r="BQ91" s="560">
        <v>47623</v>
      </c>
      <c r="BR91" s="155" t="str">
        <f t="shared" si="36"/>
        <v>19Y</v>
      </c>
      <c r="BS91" s="405">
        <v>0.32263543410039197</v>
      </c>
      <c r="BT91" s="284">
        <f>IF(BQ91,_xll.qDateYears(BQ90,BQ91,BT$13),0)</f>
        <v>0.24657534246575341</v>
      </c>
      <c r="BU91" s="284">
        <f t="shared" si="42"/>
        <v>1124.8169448673086</v>
      </c>
      <c r="CC91" s="560">
        <v>47623</v>
      </c>
      <c r="CD91" s="155" t="str">
        <f t="shared" si="37"/>
        <v>19Y</v>
      </c>
      <c r="CE91" s="405">
        <v>0.47649588070117532</v>
      </c>
      <c r="CF91" s="284">
        <f>IF(CC91,_xll.qDateYears(CC90,CC91,CF$13),0)</f>
        <v>0.25</v>
      </c>
      <c r="CG91" s="284">
        <f t="shared" si="43"/>
        <v>1410.8479920112636</v>
      </c>
      <c r="CO91" s="560">
        <v>47623</v>
      </c>
      <c r="CP91" s="155" t="str">
        <f t="shared" si="38"/>
        <v>19Y</v>
      </c>
      <c r="CQ91" s="405">
        <v>0.46169809907253351</v>
      </c>
      <c r="CR91" s="284">
        <f>IF(CO91,_xll.qDateYears(CO90,CO91,CR$13),0)</f>
        <v>0.24657534246575341</v>
      </c>
      <c r="CS91" s="284">
        <f t="shared" si="44"/>
        <v>1372.5982562475424</v>
      </c>
      <c r="DA91" s="560">
        <v>47623</v>
      </c>
      <c r="DB91" s="155" t="str">
        <f t="shared" si="39"/>
        <v>19Y</v>
      </c>
      <c r="DC91" s="405">
        <v>0.32409246740011566</v>
      </c>
      <c r="DD91" s="284">
        <f>IF(DA91,_xll.qDateYears(DA90,DA91,DD$13),0)</f>
        <v>0.24657534246575341</v>
      </c>
      <c r="DE91" s="284">
        <f t="shared" si="45"/>
        <v>1169.1265348945115</v>
      </c>
      <c r="DM91" s="560">
        <v>47623</v>
      </c>
      <c r="DN91" s="155" t="str">
        <f t="shared" si="40"/>
        <v>19Y</v>
      </c>
      <c r="DO91" s="405">
        <v>0.46175954348333503</v>
      </c>
      <c r="DP91" s="284">
        <f>IF(DM91,_xll.qDateYears(DM90,DM91,DP$13),0)</f>
        <v>0.25</v>
      </c>
      <c r="DQ91" s="284">
        <f t="shared" si="46"/>
        <v>1421.9323409477483</v>
      </c>
    </row>
    <row r="92" spans="59:121">
      <c r="BG92" s="560">
        <v>47714</v>
      </c>
      <c r="BH92" s="154" t="str">
        <f t="shared" si="35"/>
        <v>19.25Y</v>
      </c>
      <c r="BI92" s="405">
        <v>0.45619286690248967</v>
      </c>
      <c r="BJ92" s="284">
        <f>IF(BG92,_xll.qDateYears(BG91,BG92,$BJ$13),0)</f>
        <v>0.25277777777777777</v>
      </c>
      <c r="BK92" s="284">
        <f t="shared" si="41"/>
        <v>1433.4638828611169</v>
      </c>
      <c r="BQ92" s="560">
        <v>47714</v>
      </c>
      <c r="BR92" s="155" t="str">
        <f t="shared" si="36"/>
        <v>19.25Y</v>
      </c>
      <c r="BS92" s="405">
        <v>0.31870338073553189</v>
      </c>
      <c r="BT92" s="284">
        <f>IF(BQ92,_xll.qDateYears(BQ91,BQ92,BT$13),0)</f>
        <v>0.24931506849315069</v>
      </c>
      <c r="BU92" s="284">
        <f t="shared" si="42"/>
        <v>1132.7627003870164</v>
      </c>
      <c r="CC92" s="560">
        <v>47714</v>
      </c>
      <c r="CD92" s="155" t="str">
        <f t="shared" si="37"/>
        <v>19.25Y</v>
      </c>
      <c r="CE92" s="405">
        <v>0.47116793115272193</v>
      </c>
      <c r="CF92" s="284">
        <f>IF(CC92,_xll.qDateYears(CC91,CC92,CF$13),0)</f>
        <v>0.25277777777777777</v>
      </c>
      <c r="CG92" s="284">
        <f t="shared" si="43"/>
        <v>1422.7580702709574</v>
      </c>
      <c r="CO92" s="560">
        <v>47714</v>
      </c>
      <c r="CP92" s="155" t="str">
        <f t="shared" si="38"/>
        <v>19.25Y</v>
      </c>
      <c r="CQ92" s="405">
        <v>0.45658585700278553</v>
      </c>
      <c r="CR92" s="284">
        <f>IF(CO92,_xll.qDateYears(CO91,CO92,CR$13),0)</f>
        <v>0.24931506849315069</v>
      </c>
      <c r="CS92" s="284">
        <f t="shared" si="44"/>
        <v>1383.9816296687077</v>
      </c>
      <c r="DA92" s="560">
        <v>47714</v>
      </c>
      <c r="DB92" s="155" t="str">
        <f t="shared" si="39"/>
        <v>19.25Y</v>
      </c>
      <c r="DC92" s="405">
        <v>0.31933612172888376</v>
      </c>
      <c r="DD92" s="284">
        <f>IF(DA92,_xll.qDateYears(DA91,DA92,DD$13),0)</f>
        <v>0.24931506849315069</v>
      </c>
      <c r="DE92" s="284">
        <f t="shared" si="45"/>
        <v>1177.0880656006289</v>
      </c>
      <c r="DM92" s="560">
        <v>47714</v>
      </c>
      <c r="DN92" s="155" t="str">
        <f t="shared" si="40"/>
        <v>19.25Y</v>
      </c>
      <c r="DO92" s="405">
        <v>0.45619286690248967</v>
      </c>
      <c r="DP92" s="284">
        <f>IF(DM92,_xll.qDateYears(DM91,DM92,DP$13),0)</f>
        <v>0.25277777777777777</v>
      </c>
      <c r="DQ92" s="284">
        <f t="shared" si="46"/>
        <v>1433.4638828611169</v>
      </c>
    </row>
    <row r="93" spans="59:121">
      <c r="BG93" s="560">
        <v>47806</v>
      </c>
      <c r="BH93" s="154" t="str">
        <f t="shared" si="35"/>
        <v>19.5Y</v>
      </c>
      <c r="BI93" s="405">
        <v>0.45060954178942297</v>
      </c>
      <c r="BJ93" s="284">
        <f>IF(BG93,_xll.qDateYears(BG92,BG93,$BJ$13),0)</f>
        <v>0.25555555555555554</v>
      </c>
      <c r="BK93" s="284">
        <f t="shared" si="41"/>
        <v>1444.9794600401799</v>
      </c>
      <c r="BQ93" s="560">
        <v>47806</v>
      </c>
      <c r="BR93" s="155" t="str">
        <f t="shared" si="36"/>
        <v>19.5Y</v>
      </c>
      <c r="BS93" s="405">
        <v>0.31479809124339242</v>
      </c>
      <c r="BT93" s="284">
        <f>IF(BQ93,_xll.qDateYears(BQ92,BQ93,BT$13),0)</f>
        <v>0.25205479452054796</v>
      </c>
      <c r="BU93" s="284">
        <f t="shared" si="42"/>
        <v>1140.6973372073978</v>
      </c>
      <c r="CC93" s="560">
        <v>47806</v>
      </c>
      <c r="CD93" s="155" t="str">
        <f t="shared" si="37"/>
        <v>19.5Y</v>
      </c>
      <c r="CE93" s="405">
        <v>0.46582327629994752</v>
      </c>
      <c r="CF93" s="284">
        <f>IF(CC93,_xll.qDateYears(CC92,CC93,CF$13),0)</f>
        <v>0.25555555555555554</v>
      </c>
      <c r="CG93" s="284">
        <f t="shared" si="43"/>
        <v>1434.6624428875116</v>
      </c>
      <c r="CO93" s="560">
        <v>47806</v>
      </c>
      <c r="CP93" s="155" t="str">
        <f t="shared" si="38"/>
        <v>19.5Y</v>
      </c>
      <c r="CQ93" s="405">
        <v>0.45146304892590722</v>
      </c>
      <c r="CR93" s="284">
        <f>IF(CO93,_xll.qDateYears(CO92,CO93,CR$13),0)</f>
        <v>0.25205479452054796</v>
      </c>
      <c r="CS93" s="284">
        <f t="shared" si="44"/>
        <v>1395.3609722717717</v>
      </c>
      <c r="DA93" s="560">
        <v>47806</v>
      </c>
      <c r="DB93" s="155" t="str">
        <f t="shared" si="39"/>
        <v>19.5Y</v>
      </c>
      <c r="DC93" s="405">
        <v>0.31459832285210593</v>
      </c>
      <c r="DD93" s="284">
        <f>IF(DA93,_xll.qDateYears(DA92,DA93,DD$13),0)</f>
        <v>0.25205479452054796</v>
      </c>
      <c r="DE93" s="284">
        <f t="shared" si="45"/>
        <v>1185.0176671629285</v>
      </c>
      <c r="DM93" s="560">
        <v>47806</v>
      </c>
      <c r="DN93" s="155" t="str">
        <f t="shared" si="40"/>
        <v>19.5Y</v>
      </c>
      <c r="DO93" s="405">
        <v>0.45060954178942297</v>
      </c>
      <c r="DP93" s="284">
        <f>IF(DM93,_xll.qDateYears(DM92,DM93,DP$13),0)</f>
        <v>0.25555555555555554</v>
      </c>
      <c r="DQ93" s="284">
        <f t="shared" si="46"/>
        <v>1444.9794600401799</v>
      </c>
    </row>
    <row r="94" spans="59:121">
      <c r="BG94" s="560">
        <v>47898</v>
      </c>
      <c r="BH94" s="154" t="str">
        <f t="shared" si="35"/>
        <v>19.75Y</v>
      </c>
      <c r="BI94" s="405">
        <v>0.44507102323736975</v>
      </c>
      <c r="BJ94" s="284">
        <f>IF(BG94,_xll.qDateYears(BG93,BG94,$BJ$13),0)</f>
        <v>0.25555555555555554</v>
      </c>
      <c r="BK94" s="284">
        <f t="shared" si="41"/>
        <v>1456.3534973006904</v>
      </c>
      <c r="BQ94" s="560">
        <v>47898</v>
      </c>
      <c r="BR94" s="155" t="str">
        <f t="shared" si="36"/>
        <v>19.75Y</v>
      </c>
      <c r="BS94" s="405">
        <v>0.31096177417570542</v>
      </c>
      <c r="BT94" s="284">
        <f>IF(BQ94,_xll.qDateYears(BQ93,BQ94,BT$13),0)</f>
        <v>0.25205479452054796</v>
      </c>
      <c r="BU94" s="284">
        <f t="shared" si="42"/>
        <v>1148.535277816758</v>
      </c>
      <c r="CC94" s="560">
        <v>47898</v>
      </c>
      <c r="CD94" s="155" t="str">
        <f t="shared" si="37"/>
        <v>19.75Y</v>
      </c>
      <c r="CE94" s="405">
        <v>0.46052064647397889</v>
      </c>
      <c r="CF94" s="284">
        <f>IF(CC94,_xll.qDateYears(CC93,CC94,CF$13),0)</f>
        <v>0.25555555555555554</v>
      </c>
      <c r="CG94" s="284">
        <f t="shared" si="43"/>
        <v>1446.4313038529576</v>
      </c>
      <c r="CO94" s="560">
        <v>47898</v>
      </c>
      <c r="CP94" s="155" t="str">
        <f t="shared" si="38"/>
        <v>19.75Y</v>
      </c>
      <c r="CQ94" s="405">
        <v>0.44638585976117012</v>
      </c>
      <c r="CR94" s="284">
        <f>IF(CO94,_xll.qDateYears(CO93,CO94,CR$13),0)</f>
        <v>0.25205479452054796</v>
      </c>
      <c r="CS94" s="284">
        <f t="shared" si="44"/>
        <v>1406.6123418876698</v>
      </c>
      <c r="DA94" s="560">
        <v>47898</v>
      </c>
      <c r="DB94" s="155" t="str">
        <f t="shared" si="39"/>
        <v>19.75Y</v>
      </c>
      <c r="DC94" s="405">
        <v>0.30993067691157411</v>
      </c>
      <c r="DD94" s="284">
        <f>IF(DA94,_xll.qDateYears(DA93,DA94,DD$13),0)</f>
        <v>0.25205479452054796</v>
      </c>
      <c r="DE94" s="284">
        <f t="shared" si="45"/>
        <v>1192.8296184713847</v>
      </c>
      <c r="DM94" s="560">
        <v>47898</v>
      </c>
      <c r="DN94" s="155" t="str">
        <f t="shared" si="40"/>
        <v>19.75Y</v>
      </c>
      <c r="DO94" s="405">
        <v>0.44507102323736975</v>
      </c>
      <c r="DP94" s="284">
        <f>IF(DM94,_xll.qDateYears(DM93,DM94,DP$13),0)</f>
        <v>0.25555555555555554</v>
      </c>
      <c r="DQ94" s="284">
        <f t="shared" si="46"/>
        <v>1456.3534973006904</v>
      </c>
    </row>
    <row r="95" spans="59:121">
      <c r="BG95" s="560">
        <v>47987</v>
      </c>
      <c r="BH95" s="154" t="str">
        <f t="shared" si="35"/>
        <v>20Y</v>
      </c>
      <c r="BI95" s="405">
        <v>0.43975577758712536</v>
      </c>
      <c r="BJ95" s="284">
        <f>IF(BG95,_xll.qDateYears(BG94,BG95,$BJ$13),0)</f>
        <v>0.24722222222222223</v>
      </c>
      <c r="BK95" s="284">
        <f t="shared" si="41"/>
        <v>1467.2252373577055</v>
      </c>
      <c r="BQ95" s="560">
        <v>47987</v>
      </c>
      <c r="BR95" s="155" t="str">
        <f t="shared" si="36"/>
        <v>20Y</v>
      </c>
      <c r="BS95" s="405">
        <v>0.30731491191350296</v>
      </c>
      <c r="BT95" s="284">
        <f>IF(BQ95,_xll.qDateYears(BQ94,BQ95,BT$13),0)</f>
        <v>0.24383561643835616</v>
      </c>
      <c r="BU95" s="284">
        <f t="shared" si="42"/>
        <v>1156.0287099154709</v>
      </c>
      <c r="CC95" s="560">
        <v>47987</v>
      </c>
      <c r="CD95" s="155" t="str">
        <f t="shared" si="37"/>
        <v>20Y</v>
      </c>
      <c r="CE95" s="405">
        <v>0.45543087145005001</v>
      </c>
      <c r="CF95" s="284">
        <f>IF(CC95,_xll.qDateYears(CC94,CC95,CF$13),0)</f>
        <v>0.24722222222222223</v>
      </c>
      <c r="CG95" s="284">
        <f t="shared" si="43"/>
        <v>1457.6905670638062</v>
      </c>
      <c r="CO95" s="560">
        <v>47987</v>
      </c>
      <c r="CP95" s="155" t="str">
        <f t="shared" si="38"/>
        <v>20Y</v>
      </c>
      <c r="CQ95" s="405">
        <v>0.44151741270881434</v>
      </c>
      <c r="CR95" s="284">
        <f>IF(CO95,_xll.qDateYears(CO94,CO95,CR$13),0)</f>
        <v>0.24383561643835616</v>
      </c>
      <c r="CS95" s="284">
        <f t="shared" si="44"/>
        <v>1417.3781089372819</v>
      </c>
      <c r="DA95" s="560">
        <v>47987</v>
      </c>
      <c r="DB95" s="155" t="str">
        <f t="shared" si="39"/>
        <v>20Y</v>
      </c>
      <c r="DC95" s="405">
        <v>0.30548101972567065</v>
      </c>
      <c r="DD95" s="284">
        <f>IF(DA95,_xll.qDateYears(DA94,DA95,DD$13),0)</f>
        <v>0.24383561643835616</v>
      </c>
      <c r="DE95" s="284">
        <f t="shared" si="45"/>
        <v>1200.2783337468875</v>
      </c>
      <c r="DM95" s="560">
        <v>47987</v>
      </c>
      <c r="DN95" s="155" t="str">
        <f t="shared" si="40"/>
        <v>20Y</v>
      </c>
      <c r="DO95" s="405">
        <v>0.43975577758712536</v>
      </c>
      <c r="DP95" s="284">
        <f>IF(DM95,_xll.qDateYears(DM94,DM95,DP$13),0)</f>
        <v>0.24722222222222223</v>
      </c>
      <c r="DQ95" s="284">
        <f t="shared" si="46"/>
        <v>1467.2252373577055</v>
      </c>
    </row>
    <row r="96" spans="59:121">
      <c r="BG96" s="560">
        <v>48079</v>
      </c>
      <c r="BH96" s="154" t="str">
        <f t="shared" si="35"/>
        <v>20.25Y</v>
      </c>
      <c r="BI96" s="405">
        <v>0.43485006710265556</v>
      </c>
      <c r="BJ96" s="284">
        <f>IF(BG96,_xll.qDateYears(BG95,BG96,$BJ$13),0)</f>
        <v>0.25555555555555554</v>
      </c>
      <c r="BK96" s="284">
        <f t="shared" si="41"/>
        <v>1478.3380724058845</v>
      </c>
      <c r="BQ96" s="560">
        <v>48079</v>
      </c>
      <c r="BR96" s="155" t="str">
        <f t="shared" si="36"/>
        <v>20.25Y</v>
      </c>
      <c r="BS96" s="405">
        <v>0.30387226455197303</v>
      </c>
      <c r="BT96" s="284">
        <f>IF(BQ96,_xll.qDateYears(BQ95,BQ96,BT$13),0)</f>
        <v>0.25205479452054796</v>
      </c>
      <c r="BU96" s="284">
        <f t="shared" si="42"/>
        <v>1163.6879560356851</v>
      </c>
      <c r="CC96" s="560">
        <v>48079</v>
      </c>
      <c r="CD96" s="155" t="str">
        <f t="shared" si="37"/>
        <v>20.25Y</v>
      </c>
      <c r="CE96" s="405">
        <v>0.45114909240165529</v>
      </c>
      <c r="CF96" s="284">
        <f>IF(CC96,_xll.qDateYears(CC95,CC96,CF$13),0)</f>
        <v>0.25555555555555554</v>
      </c>
      <c r="CG96" s="284">
        <f t="shared" si="43"/>
        <v>1469.2199327585151</v>
      </c>
      <c r="CO96" s="560">
        <v>48079</v>
      </c>
      <c r="CP96" s="155" t="str">
        <f t="shared" si="38"/>
        <v>20.25Y</v>
      </c>
      <c r="CQ96" s="405">
        <v>0.43669079662644439</v>
      </c>
      <c r="CR96" s="284">
        <f>IF(CO96,_xll.qDateYears(CO95,CO96,CR$13),0)</f>
        <v>0.25205479452054796</v>
      </c>
      <c r="CS96" s="284">
        <f t="shared" si="44"/>
        <v>1428.3851098385512</v>
      </c>
      <c r="DA96" s="560">
        <v>48079</v>
      </c>
      <c r="DB96" s="155" t="str">
        <f t="shared" si="39"/>
        <v>20.25Y</v>
      </c>
      <c r="DC96" s="405">
        <v>0.30095380592676652</v>
      </c>
      <c r="DD96" s="284">
        <f>IF(DA96,_xll.qDateYears(DA95,DA96,DD$13),0)</f>
        <v>0.25205479452054796</v>
      </c>
      <c r="DE96" s="284">
        <f t="shared" si="45"/>
        <v>1207.8640187181923</v>
      </c>
      <c r="DM96" s="560">
        <v>48079</v>
      </c>
      <c r="DN96" s="155" t="str">
        <f t="shared" si="40"/>
        <v>20.25Y</v>
      </c>
      <c r="DO96" s="405">
        <v>0.43485006710265556</v>
      </c>
      <c r="DP96" s="284">
        <f>IF(DM96,_xll.qDateYears(DM95,DM96,DP$13),0)</f>
        <v>0.25555555555555554</v>
      </c>
      <c r="DQ96" s="284">
        <f t="shared" si="46"/>
        <v>1478.3380724058845</v>
      </c>
    </row>
    <row r="97" spans="59:121">
      <c r="BG97" s="560">
        <v>48171</v>
      </c>
      <c r="BH97" s="154" t="str">
        <f t="shared" si="35"/>
        <v>20.5Y</v>
      </c>
      <c r="BI97" s="405">
        <v>0.42998973484989589</v>
      </c>
      <c r="BJ97" s="284">
        <f>IF(BG97,_xll.qDateYears(BG96,BG97,$BJ$13),0)</f>
        <v>0.25555555555555554</v>
      </c>
      <c r="BK97" s="284">
        <f t="shared" si="41"/>
        <v>1489.3266989631597</v>
      </c>
      <c r="BQ97" s="560">
        <v>48171</v>
      </c>
      <c r="BR97" s="155" t="str">
        <f t="shared" si="36"/>
        <v>20.5Y</v>
      </c>
      <c r="BS97" s="405">
        <v>0.30049505690441131</v>
      </c>
      <c r="BT97" s="284">
        <f>IF(BQ97,_xll.qDateYears(BQ96,BQ97,BT$13),0)</f>
        <v>0.25205479452054796</v>
      </c>
      <c r="BU97" s="284">
        <f t="shared" si="42"/>
        <v>1171.2620780179334</v>
      </c>
      <c r="CC97" s="560">
        <v>48171</v>
      </c>
      <c r="CD97" s="155" t="str">
        <f t="shared" si="37"/>
        <v>20.5Y</v>
      </c>
      <c r="CE97" s="405">
        <v>0.44691264497166272</v>
      </c>
      <c r="CF97" s="284">
        <f>IF(CC97,_xll.qDateYears(CC96,CC97,CF$13),0)</f>
        <v>0.25555555555555554</v>
      </c>
      <c r="CG97" s="284">
        <f t="shared" si="43"/>
        <v>1480.6410336855688</v>
      </c>
      <c r="CO97" s="560">
        <v>48171</v>
      </c>
      <c r="CP97" s="155" t="str">
        <f t="shared" si="38"/>
        <v>20.5Y</v>
      </c>
      <c r="CQ97" s="405">
        <v>0.43190944219824517</v>
      </c>
      <c r="CR97" s="284">
        <f>IF(CO97,_xll.qDateYears(CO96,CO97,CR$13),0)</f>
        <v>0.25205479452054796</v>
      </c>
      <c r="CS97" s="284">
        <f t="shared" si="44"/>
        <v>1439.2715944090276</v>
      </c>
      <c r="DA97" s="560">
        <v>48171</v>
      </c>
      <c r="DB97" s="155" t="str">
        <f t="shared" si="39"/>
        <v>20.5Y</v>
      </c>
      <c r="DC97" s="405">
        <v>0.29649368521534586</v>
      </c>
      <c r="DD97" s="284">
        <f>IF(DA97,_xll.qDateYears(DA96,DA97,DD$13),0)</f>
        <v>0.25205479452054796</v>
      </c>
      <c r="DE97" s="284">
        <f t="shared" si="45"/>
        <v>1215.3372842085516</v>
      </c>
      <c r="DM97" s="560">
        <v>48171</v>
      </c>
      <c r="DN97" s="155" t="str">
        <f t="shared" si="40"/>
        <v>20.5Y</v>
      </c>
      <c r="DO97" s="405">
        <v>0.42998973484989589</v>
      </c>
      <c r="DP97" s="284">
        <f>IF(DM97,_xll.qDateYears(DM96,DM97,DP$13),0)</f>
        <v>0.25555555555555554</v>
      </c>
      <c r="DQ97" s="284">
        <f t="shared" si="46"/>
        <v>1489.3266989631597</v>
      </c>
    </row>
    <row r="98" spans="59:121">
      <c r="BG98" s="560">
        <v>48263</v>
      </c>
      <c r="BH98" s="154" t="str">
        <f t="shared" si="35"/>
        <v>20.75Y</v>
      </c>
      <c r="BI98" s="405">
        <v>0.42517448391537788</v>
      </c>
      <c r="BJ98" s="284">
        <f>IF(BG98,_xll.qDateYears(BG97,BG98,$BJ$13),0)</f>
        <v>0.25555555555555554</v>
      </c>
      <c r="BK98" s="284">
        <f t="shared" si="41"/>
        <v>1500.1922691076638</v>
      </c>
      <c r="BQ98" s="560">
        <v>48263</v>
      </c>
      <c r="BR98" s="155" t="str">
        <f t="shared" si="36"/>
        <v>20.75Y</v>
      </c>
      <c r="BS98" s="405">
        <v>0.29718196268577918</v>
      </c>
      <c r="BT98" s="284">
        <f>IF(BQ98,_xll.qDateYears(BQ97,BQ98,BT$13),0)</f>
        <v>0.25205479452054796</v>
      </c>
      <c r="BU98" s="284">
        <f t="shared" si="42"/>
        <v>1178.7526918719311</v>
      </c>
      <c r="CC98" s="560">
        <v>48263</v>
      </c>
      <c r="CD98" s="155" t="str">
        <f t="shared" si="37"/>
        <v>20.75Y</v>
      </c>
      <c r="CE98" s="405">
        <v>0.44272100773769391</v>
      </c>
      <c r="CF98" s="284">
        <f>IF(CC98,_xll.qDateYears(CC97,CC98,CF$13),0)</f>
        <v>0.25555555555555554</v>
      </c>
      <c r="CG98" s="284">
        <f t="shared" si="43"/>
        <v>1491.9550149944209</v>
      </c>
      <c r="CO98" s="560">
        <v>48263</v>
      </c>
      <c r="CP98" s="155" t="str">
        <f t="shared" si="38"/>
        <v>20.75Y</v>
      </c>
      <c r="CQ98" s="405">
        <v>0.42717301914115302</v>
      </c>
      <c r="CR98" s="284">
        <f>IF(CO98,_xll.qDateYears(CO97,CO98,CR$13),0)</f>
        <v>0.25205479452054796</v>
      </c>
      <c r="CS98" s="284">
        <f t="shared" si="44"/>
        <v>1450.0386951654621</v>
      </c>
      <c r="DA98" s="560">
        <v>48263</v>
      </c>
      <c r="DB98" s="155" t="str">
        <f t="shared" si="39"/>
        <v>20.75Y</v>
      </c>
      <c r="DC98" s="405">
        <v>0.29209966327512754</v>
      </c>
      <c r="DD98" s="284">
        <f>IF(DA98,_xll.qDateYears(DA97,DA98,DD$13),0)</f>
        <v>0.25205479452054796</v>
      </c>
      <c r="DE98" s="284">
        <f t="shared" si="45"/>
        <v>1222.6997962691851</v>
      </c>
      <c r="DM98" s="560">
        <v>48263</v>
      </c>
      <c r="DN98" s="155" t="str">
        <f t="shared" si="40"/>
        <v>20.75Y</v>
      </c>
      <c r="DO98" s="405">
        <v>0.42517448391537788</v>
      </c>
      <c r="DP98" s="284">
        <f>IF(DM98,_xll.qDateYears(DM97,DM98,DP$13),0)</f>
        <v>0.25555555555555554</v>
      </c>
      <c r="DQ98" s="284">
        <f t="shared" si="46"/>
        <v>1500.1922691076638</v>
      </c>
    </row>
    <row r="99" spans="59:121">
      <c r="BG99" s="560">
        <v>48353</v>
      </c>
      <c r="BH99" s="154" t="str">
        <f t="shared" si="35"/>
        <v>21Y</v>
      </c>
      <c r="BI99" s="405">
        <v>0.42050724943262952</v>
      </c>
      <c r="BJ99" s="284">
        <f>IF(BG99,_xll.qDateYears(BG98,BG99,$BJ$13),0)</f>
        <v>0.25</v>
      </c>
      <c r="BK99" s="284">
        <f t="shared" si="41"/>
        <v>1510.7049503434796</v>
      </c>
      <c r="BQ99" s="560">
        <v>48353</v>
      </c>
      <c r="BR99" s="155" t="str">
        <f t="shared" si="36"/>
        <v>21Y</v>
      </c>
      <c r="BS99" s="405">
        <v>0.29400168644707408</v>
      </c>
      <c r="BT99" s="284">
        <f>IF(BQ99,_xll.qDateYears(BQ98,BQ99,BT$13),0)</f>
        <v>0.24657534246575341</v>
      </c>
      <c r="BU99" s="284">
        <f t="shared" si="42"/>
        <v>1186.0020485240507</v>
      </c>
      <c r="CC99" s="560">
        <v>48353</v>
      </c>
      <c r="CD99" s="155" t="str">
        <f t="shared" si="37"/>
        <v>21Y</v>
      </c>
      <c r="CE99" s="405">
        <v>0.43866335787440441</v>
      </c>
      <c r="CF99" s="284">
        <f>IF(CC99,_xll.qDateYears(CC98,CC99,CF$13),0)</f>
        <v>0.25</v>
      </c>
      <c r="CG99" s="284">
        <f t="shared" si="43"/>
        <v>1502.921598941281</v>
      </c>
      <c r="CO99" s="560">
        <v>48353</v>
      </c>
      <c r="CP99" s="155" t="str">
        <f t="shared" si="38"/>
        <v>21Y</v>
      </c>
      <c r="CQ99" s="405">
        <v>0.42258272259230806</v>
      </c>
      <c r="CR99" s="284">
        <f>IF(CO99,_xll.qDateYears(CO98,CO99,CR$13),0)</f>
        <v>0.24657534246575341</v>
      </c>
      <c r="CS99" s="284">
        <f t="shared" si="44"/>
        <v>1460.4585431197929</v>
      </c>
      <c r="DA99" s="560">
        <v>48353</v>
      </c>
      <c r="DB99" s="155" t="str">
        <f t="shared" si="39"/>
        <v>21Y</v>
      </c>
      <c r="DC99" s="405">
        <v>0.28786418146970016</v>
      </c>
      <c r="DD99" s="284">
        <f>IF(DA99,_xll.qDateYears(DA98,DA99,DD$13),0)</f>
        <v>0.24657534246575341</v>
      </c>
      <c r="DE99" s="284">
        <f t="shared" si="45"/>
        <v>1229.7978171821367</v>
      </c>
      <c r="DM99" s="560">
        <v>48353</v>
      </c>
      <c r="DN99" s="155" t="str">
        <f t="shared" si="40"/>
        <v>21Y</v>
      </c>
      <c r="DO99" s="405">
        <v>0.42050724943262952</v>
      </c>
      <c r="DP99" s="284">
        <f>IF(DM99,_xll.qDateYears(DM98,DM99,DP$13),0)</f>
        <v>0.25</v>
      </c>
      <c r="DQ99" s="284">
        <f t="shared" si="46"/>
        <v>1510.7049503434796</v>
      </c>
    </row>
    <row r="100" spans="59:121">
      <c r="BG100" s="560">
        <v>48445</v>
      </c>
      <c r="BH100" s="154" t="str">
        <f t="shared" si="35"/>
        <v>21.25Y</v>
      </c>
      <c r="BI100" s="405">
        <v>0.41578030798872484</v>
      </c>
      <c r="BJ100" s="284">
        <f>IF(BG100,_xll.qDateYears(BG99,BG100,$BJ$13),0)</f>
        <v>0.25555555555555554</v>
      </c>
      <c r="BK100" s="284">
        <f t="shared" si="41"/>
        <v>1521.3304471031915</v>
      </c>
      <c r="BQ100" s="560">
        <v>48445</v>
      </c>
      <c r="BR100" s="155" t="str">
        <f t="shared" si="36"/>
        <v>21.25Y</v>
      </c>
      <c r="BS100" s="405">
        <v>0.29081164141576482</v>
      </c>
      <c r="BT100" s="284">
        <f>IF(BQ100,_xll.qDateYears(BQ99,BQ100,BT$13),0)</f>
        <v>0.25205479452054796</v>
      </c>
      <c r="BU100" s="284">
        <f t="shared" si="42"/>
        <v>1193.332095376174</v>
      </c>
      <c r="CC100" s="560">
        <v>48445</v>
      </c>
      <c r="CD100" s="155" t="str">
        <f t="shared" si="37"/>
        <v>21.25Y</v>
      </c>
      <c r="CE100" s="405">
        <v>0.43455885581424386</v>
      </c>
      <c r="CF100" s="284">
        <f>IF(CC100,_xll.qDateYears(CC99,CC100,CF$13),0)</f>
        <v>0.25555555555555554</v>
      </c>
      <c r="CG100" s="284">
        <f t="shared" si="43"/>
        <v>1514.0269919232005</v>
      </c>
      <c r="CO100" s="560">
        <v>48445</v>
      </c>
      <c r="CP100" s="155" t="str">
        <f t="shared" si="38"/>
        <v>21.25Y</v>
      </c>
      <c r="CQ100" s="405">
        <v>0.41793421756914195</v>
      </c>
      <c r="CR100" s="284">
        <f>IF(CO100,_xll.qDateYears(CO99,CO100,CR$13),0)</f>
        <v>0.25205479452054796</v>
      </c>
      <c r="CS100" s="284">
        <f t="shared" si="44"/>
        <v>1470.9927754530424</v>
      </c>
      <c r="DA100" s="560">
        <v>48445</v>
      </c>
      <c r="DB100" s="155" t="str">
        <f t="shared" si="39"/>
        <v>21.25Y</v>
      </c>
      <c r="DC100" s="405">
        <v>0.28359804835370434</v>
      </c>
      <c r="DD100" s="284">
        <f>IF(DA100,_xll.qDateYears(DA99,DA100,DD$13),0)</f>
        <v>0.25205479452054796</v>
      </c>
      <c r="DE100" s="284">
        <f t="shared" si="45"/>
        <v>1236.9460419625589</v>
      </c>
      <c r="DM100" s="560">
        <v>48445</v>
      </c>
      <c r="DN100" s="155" t="str">
        <f t="shared" si="40"/>
        <v>21.25Y</v>
      </c>
      <c r="DO100" s="405">
        <v>0.41578030798872484</v>
      </c>
      <c r="DP100" s="284">
        <f>IF(DM100,_xll.qDateYears(DM99,DM100,DP$13),0)</f>
        <v>0.25555555555555554</v>
      </c>
      <c r="DQ100" s="284">
        <f t="shared" si="46"/>
        <v>1521.3304471031915</v>
      </c>
    </row>
    <row r="101" spans="59:121">
      <c r="BG101" s="560">
        <v>48537</v>
      </c>
      <c r="BH101" s="154" t="str">
        <f t="shared" si="35"/>
        <v>21.5Y</v>
      </c>
      <c r="BI101" s="405">
        <v>0.41109756599022484</v>
      </c>
      <c r="BJ101" s="284">
        <f>IF(BG101,_xll.qDateYears(BG100,BG101,$BJ$13),0)</f>
        <v>0.25555555555555554</v>
      </c>
      <c r="BK101" s="284">
        <f t="shared" si="41"/>
        <v>1531.8362737896084</v>
      </c>
      <c r="BQ101" s="560">
        <v>48537</v>
      </c>
      <c r="BR101" s="155" t="str">
        <f t="shared" si="36"/>
        <v>21.5Y</v>
      </c>
      <c r="BS101" s="405">
        <v>0.28768194463751978</v>
      </c>
      <c r="BT101" s="284">
        <f>IF(BQ101,_xll.qDateYears(BQ100,BQ101,BT$13),0)</f>
        <v>0.25205479452054796</v>
      </c>
      <c r="BU101" s="284">
        <f t="shared" si="42"/>
        <v>1200.5832567204623</v>
      </c>
      <c r="CC101" s="560">
        <v>48537</v>
      </c>
      <c r="CD101" s="155" t="str">
        <f t="shared" si="37"/>
        <v>21.5Y</v>
      </c>
      <c r="CE101" s="405">
        <v>0.43049764867884682</v>
      </c>
      <c r="CF101" s="284">
        <f>IF(CC101,_xll.qDateYears(CC100,CC101,CF$13),0)</f>
        <v>0.25555555555555554</v>
      </c>
      <c r="CG101" s="284">
        <f t="shared" si="43"/>
        <v>1525.0285985005489</v>
      </c>
      <c r="CO101" s="560">
        <v>48537</v>
      </c>
      <c r="CP101" s="155" t="str">
        <f t="shared" si="38"/>
        <v>21.5Y</v>
      </c>
      <c r="CQ101" s="405">
        <v>0.41332966790869935</v>
      </c>
      <c r="CR101" s="284">
        <f>IF(CO101,_xll.qDateYears(CO100,CO101,CR$13),0)</f>
        <v>0.25205479452054796</v>
      </c>
      <c r="CS101" s="284">
        <f t="shared" si="44"/>
        <v>1481.4109479044398</v>
      </c>
      <c r="DA101" s="560">
        <v>48537</v>
      </c>
      <c r="DB101" s="155" t="str">
        <f t="shared" si="39"/>
        <v>21.5Y</v>
      </c>
      <c r="DC101" s="405">
        <v>0.27939513912221703</v>
      </c>
      <c r="DD101" s="284">
        <f>IF(DA101,_xll.qDateYears(DA100,DA101,DD$13),0)</f>
        <v>0.25205479452054796</v>
      </c>
      <c r="DE101" s="284">
        <f t="shared" si="45"/>
        <v>1243.9883304007078</v>
      </c>
      <c r="DM101" s="560">
        <v>48537</v>
      </c>
      <c r="DN101" s="155" t="str">
        <f t="shared" si="40"/>
        <v>21.5Y</v>
      </c>
      <c r="DO101" s="405">
        <v>0.41109756599022484</v>
      </c>
      <c r="DP101" s="284">
        <f>IF(DM101,_xll.qDateYears(DM100,DM101,DP$13),0)</f>
        <v>0.25555555555555554</v>
      </c>
      <c r="DQ101" s="284">
        <f t="shared" si="46"/>
        <v>1531.8362737896084</v>
      </c>
    </row>
    <row r="102" spans="59:121">
      <c r="BG102" s="560">
        <v>48632</v>
      </c>
      <c r="BH102" s="154" t="str">
        <f t="shared" si="35"/>
        <v>21.75Y</v>
      </c>
      <c r="BI102" s="405">
        <v>0.40630819757269498</v>
      </c>
      <c r="BJ102" s="284">
        <f>IF(BG102,_xll.qDateYears(BG101,BG102,$BJ$13),0)</f>
        <v>0.2638888888888889</v>
      </c>
      <c r="BK102" s="284">
        <f t="shared" si="41"/>
        <v>1542.5582956699989</v>
      </c>
      <c r="BQ102" s="560">
        <v>48632</v>
      </c>
      <c r="BR102" s="155" t="str">
        <f t="shared" si="36"/>
        <v>21.75Y</v>
      </c>
      <c r="BS102" s="405">
        <v>0.2845122468730783</v>
      </c>
      <c r="BT102" s="284">
        <f>IF(BQ102,_xll.qDateYears(BQ101,BQ102,BT$13),0)</f>
        <v>0.26027397260273971</v>
      </c>
      <c r="BU102" s="284">
        <f t="shared" si="42"/>
        <v>1207.9883699952411</v>
      </c>
      <c r="CC102" s="560">
        <v>48632</v>
      </c>
      <c r="CD102" s="155" t="str">
        <f t="shared" si="37"/>
        <v>21.75Y</v>
      </c>
      <c r="CE102" s="405">
        <v>0.42634891994779056</v>
      </c>
      <c r="CF102" s="284">
        <f>IF(CC102,_xll.qDateYears(CC101,CC102,CF$13),0)</f>
        <v>0.2638888888888889</v>
      </c>
      <c r="CG102" s="284">
        <f t="shared" si="43"/>
        <v>1536.279472776949</v>
      </c>
      <c r="CO102" s="560">
        <v>48632</v>
      </c>
      <c r="CP102" s="155" t="str">
        <f t="shared" si="38"/>
        <v>21.75Y</v>
      </c>
      <c r="CQ102" s="405">
        <v>0.40862075372969164</v>
      </c>
      <c r="CR102" s="284">
        <f>IF(CO102,_xll.qDateYears(CO101,CO102,CR$13),0)</f>
        <v>0.26027397260273971</v>
      </c>
      <c r="CS102" s="284">
        <f t="shared" si="44"/>
        <v>1492.0462825905552</v>
      </c>
      <c r="DA102" s="560">
        <v>48632</v>
      </c>
      <c r="DB102" s="155" t="str">
        <f t="shared" si="39"/>
        <v>21.75Y</v>
      </c>
      <c r="DC102" s="405">
        <v>0.27512053460272451</v>
      </c>
      <c r="DD102" s="284">
        <f>IF(DA102,_xll.qDateYears(DA101,DA102,DD$13),0)</f>
        <v>0.26027397260273971</v>
      </c>
      <c r="DE102" s="284">
        <f t="shared" si="45"/>
        <v>1251.1490018492718</v>
      </c>
      <c r="DM102" s="560">
        <v>48632</v>
      </c>
      <c r="DN102" s="155" t="str">
        <f t="shared" si="40"/>
        <v>21.75Y</v>
      </c>
      <c r="DO102" s="405">
        <v>0.40630819757269498</v>
      </c>
      <c r="DP102" s="284">
        <f>IF(DM102,_xll.qDateYears(DM101,DM102,DP$13),0)</f>
        <v>0.2638888888888889</v>
      </c>
      <c r="DQ102" s="284">
        <f t="shared" si="46"/>
        <v>1542.5582956699989</v>
      </c>
    </row>
    <row r="103" spans="59:121">
      <c r="BG103" s="560">
        <v>48718</v>
      </c>
      <c r="BH103" s="154" t="str">
        <f t="shared" si="35"/>
        <v>22Y</v>
      </c>
      <c r="BI103" s="405">
        <v>0.40201265951900128</v>
      </c>
      <c r="BJ103" s="284">
        <f>IF(BG103,_xll.qDateYears(BG102,BG103,$BJ$13),0)</f>
        <v>0.2388888888888889</v>
      </c>
      <c r="BK103" s="284">
        <f t="shared" si="41"/>
        <v>1552.161931425175</v>
      </c>
      <c r="BQ103" s="560">
        <v>48718</v>
      </c>
      <c r="BR103" s="155" t="str">
        <f t="shared" si="36"/>
        <v>22Y</v>
      </c>
      <c r="BS103" s="405">
        <v>0.28169613963496337</v>
      </c>
      <c r="BT103" s="284">
        <f>IF(BQ103,_xll.qDateYears(BQ102,BQ103,BT$13),0)</f>
        <v>0.23561643835616439</v>
      </c>
      <c r="BU103" s="284">
        <f t="shared" si="42"/>
        <v>1214.6255941071881</v>
      </c>
      <c r="CC103" s="560">
        <v>48718</v>
      </c>
      <c r="CD103" s="155" t="str">
        <f t="shared" si="37"/>
        <v>22Y</v>
      </c>
      <c r="CE103" s="405">
        <v>0.42263213281440681</v>
      </c>
      <c r="CF103" s="284">
        <f>IF(CC103,_xll.qDateYears(CC102,CC103,CF$13),0)</f>
        <v>0.2388888888888889</v>
      </c>
      <c r="CG103" s="284">
        <f t="shared" si="43"/>
        <v>1546.3756848386265</v>
      </c>
      <c r="CO103" s="560">
        <v>48718</v>
      </c>
      <c r="CP103" s="155" t="str">
        <f t="shared" si="38"/>
        <v>22Y</v>
      </c>
      <c r="CQ103" s="405">
        <v>0.40439776929945631</v>
      </c>
      <c r="CR103" s="284">
        <f>IF(CO103,_xll.qDateYears(CO102,CO103,CR$13),0)</f>
        <v>0.23561643835616439</v>
      </c>
      <c r="CS103" s="284">
        <f t="shared" si="44"/>
        <v>1501.5745587987067</v>
      </c>
      <c r="DA103" s="560">
        <v>48718</v>
      </c>
      <c r="DB103" s="155" t="str">
        <f t="shared" si="39"/>
        <v>22Y</v>
      </c>
      <c r="DC103" s="405">
        <v>0.27130731916878414</v>
      </c>
      <c r="DD103" s="284">
        <f>IF(DA103,_xll.qDateYears(DA102,DA103,DD$13),0)</f>
        <v>0.23561643835616439</v>
      </c>
      <c r="DE103" s="284">
        <f t="shared" si="45"/>
        <v>1257.5414482735225</v>
      </c>
      <c r="DM103" s="560">
        <v>48718</v>
      </c>
      <c r="DN103" s="155" t="str">
        <f t="shared" si="40"/>
        <v>22Y</v>
      </c>
      <c r="DO103" s="405">
        <v>0.40201265951900128</v>
      </c>
      <c r="DP103" s="284">
        <f>IF(DM103,_xll.qDateYears(DM102,DM103,DP$13),0)</f>
        <v>0.2388888888888889</v>
      </c>
      <c r="DQ103" s="284">
        <f t="shared" si="46"/>
        <v>1552.161931425175</v>
      </c>
    </row>
    <row r="104" spans="59:121">
      <c r="BG104" s="560">
        <v>48810</v>
      </c>
      <c r="BH104" s="154" t="str">
        <f t="shared" si="35"/>
        <v>22.25Y</v>
      </c>
      <c r="BI104" s="405">
        <v>0.39745933862372651</v>
      </c>
      <c r="BJ104" s="284">
        <f>IF(BG104,_xll.qDateYears(BG103,BG104,$BJ$13),0)</f>
        <v>0.25555555555555554</v>
      </c>
      <c r="BK104" s="284">
        <f t="shared" si="41"/>
        <v>1562.319225634448</v>
      </c>
      <c r="BQ104" s="560">
        <v>48810</v>
      </c>
      <c r="BR104" s="155" t="str">
        <f t="shared" si="36"/>
        <v>22.25Y</v>
      </c>
      <c r="BS104" s="405">
        <v>0.27873853801302945</v>
      </c>
      <c r="BT104" s="284">
        <f>IF(BQ104,_xll.qDateYears(BQ103,BQ104,BT$13),0)</f>
        <v>0.25205479452054796</v>
      </c>
      <c r="BU104" s="284">
        <f t="shared" si="42"/>
        <v>1221.6513325995713</v>
      </c>
      <c r="CC104" s="560">
        <v>48810</v>
      </c>
      <c r="CD104" s="155" t="str">
        <f t="shared" si="37"/>
        <v>22.25Y</v>
      </c>
      <c r="CE104" s="405">
        <v>0.41869650005462938</v>
      </c>
      <c r="CF104" s="284">
        <f>IF(CC104,_xll.qDateYears(CC103,CC104,CF$13),0)</f>
        <v>0.25555555555555554</v>
      </c>
      <c r="CG104" s="284">
        <f t="shared" si="43"/>
        <v>1557.0757065066894</v>
      </c>
      <c r="CO104" s="560">
        <v>48810</v>
      </c>
      <c r="CP104" s="155" t="str">
        <f t="shared" si="38"/>
        <v>22.25Y</v>
      </c>
      <c r="CQ104" s="405">
        <v>0.39992174377395912</v>
      </c>
      <c r="CR104" s="284">
        <f>IF(CO104,_xll.qDateYears(CO103,CO104,CR$13),0)</f>
        <v>0.25205479452054796</v>
      </c>
      <c r="CS104" s="284">
        <f t="shared" si="44"/>
        <v>1511.6547780938311</v>
      </c>
      <c r="DA104" s="560">
        <v>48810</v>
      </c>
      <c r="DB104" s="155" t="str">
        <f t="shared" si="39"/>
        <v>22.25Y</v>
      </c>
      <c r="DC104" s="405">
        <v>0.26728655794379019</v>
      </c>
      <c r="DD104" s="284">
        <f>IF(DA104,_xll.qDateYears(DA103,DA104,DD$13),0)</f>
        <v>0.25205479452054796</v>
      </c>
      <c r="DE104" s="284">
        <f t="shared" si="45"/>
        <v>1264.2785341175852</v>
      </c>
      <c r="DM104" s="560">
        <v>48810</v>
      </c>
      <c r="DN104" s="155" t="str">
        <f t="shared" si="40"/>
        <v>22.25Y</v>
      </c>
      <c r="DO104" s="405">
        <v>0.39745933862372651</v>
      </c>
      <c r="DP104" s="284">
        <f>IF(DM104,_xll.qDateYears(DM103,DM104,DP$13),0)</f>
        <v>0.25555555555555554</v>
      </c>
      <c r="DQ104" s="284">
        <f t="shared" si="46"/>
        <v>1562.319225634448</v>
      </c>
    </row>
    <row r="105" spans="59:121">
      <c r="BG105" s="560">
        <v>48904</v>
      </c>
      <c r="BH105" s="154" t="str">
        <f t="shared" si="35"/>
        <v>22.5Y</v>
      </c>
      <c r="BI105" s="405">
        <v>0.39285147471076598</v>
      </c>
      <c r="BJ105" s="284">
        <f>IF(BG105,_xll.qDateYears(BG104,BG105,$BJ$13),0)</f>
        <v>0.26111111111111113</v>
      </c>
      <c r="BK105" s="284">
        <f t="shared" si="41"/>
        <v>1572.5770141407847</v>
      </c>
      <c r="BQ105" s="560">
        <v>48904</v>
      </c>
      <c r="BR105" s="155" t="str">
        <f t="shared" si="36"/>
        <v>22.5Y</v>
      </c>
      <c r="BS105" s="405">
        <v>0.27577419745498583</v>
      </c>
      <c r="BT105" s="284">
        <f>IF(BQ105,_xll.qDateYears(BQ104,BQ105,BT$13),0)</f>
        <v>0.25753424657534246</v>
      </c>
      <c r="BU105" s="284">
        <f t="shared" si="42"/>
        <v>1228.7534626162203</v>
      </c>
      <c r="CC105" s="560">
        <v>48904</v>
      </c>
      <c r="CD105" s="155" t="str">
        <f t="shared" si="37"/>
        <v>22.5Y</v>
      </c>
      <c r="CE105" s="405">
        <v>0.41471802603785007</v>
      </c>
      <c r="CF105" s="284">
        <f>IF(CC105,_xll.qDateYears(CC104,CC105,CF$13),0)</f>
        <v>0.26111111111111113</v>
      </c>
      <c r="CG105" s="284">
        <f t="shared" si="43"/>
        <v>1567.9044549643443</v>
      </c>
      <c r="CO105" s="560">
        <v>48904</v>
      </c>
      <c r="CP105" s="155" t="str">
        <f t="shared" si="38"/>
        <v>22.5Y</v>
      </c>
      <c r="CQ105" s="405">
        <v>0.39539248588049908</v>
      </c>
      <c r="CR105" s="284">
        <f>IF(CO105,_xll.qDateYears(CO104,CO105,CR$13),0)</f>
        <v>0.25753424657534246</v>
      </c>
      <c r="CS105" s="284">
        <f t="shared" si="44"/>
        <v>1521.8374886891097</v>
      </c>
      <c r="DA105" s="560">
        <v>48904</v>
      </c>
      <c r="DB105" s="155" t="str">
        <f t="shared" si="39"/>
        <v>22.5Y</v>
      </c>
      <c r="DC105" s="405">
        <v>0.26323992686809189</v>
      </c>
      <c r="DD105" s="284">
        <f>IF(DA105,_xll.qDateYears(DA104,DA105,DD$13),0)</f>
        <v>0.25753424657534246</v>
      </c>
      <c r="DE105" s="284">
        <f t="shared" si="45"/>
        <v>1271.0578637410374</v>
      </c>
      <c r="DM105" s="560">
        <v>48904</v>
      </c>
      <c r="DN105" s="155" t="str">
        <f t="shared" si="40"/>
        <v>22.5Y</v>
      </c>
      <c r="DO105" s="405">
        <v>0.39285147471076598</v>
      </c>
      <c r="DP105" s="284">
        <f>IF(DM105,_xll.qDateYears(DM104,DM105,DP$13),0)</f>
        <v>0.26111111111111113</v>
      </c>
      <c r="DQ105" s="284">
        <f t="shared" si="46"/>
        <v>1572.5770141407847</v>
      </c>
    </row>
    <row r="106" spans="59:121">
      <c r="BG106" s="560">
        <v>48996</v>
      </c>
      <c r="BH106" s="154" t="str">
        <f t="shared" si="35"/>
        <v>22.75Y</v>
      </c>
      <c r="BI106" s="405">
        <v>0.38838484855107991</v>
      </c>
      <c r="BJ106" s="284">
        <f>IF(BG106,_xll.qDateYears(BG105,BG106,$BJ$13),0)</f>
        <v>0.25555555555555554</v>
      </c>
      <c r="BK106" s="284">
        <f t="shared" si="41"/>
        <v>1582.5024047148679</v>
      </c>
      <c r="BQ106" s="560">
        <v>48996</v>
      </c>
      <c r="BR106" s="155" t="str">
        <f t="shared" si="36"/>
        <v>22.75Y</v>
      </c>
      <c r="BS106" s="405">
        <v>0.27292814520293285</v>
      </c>
      <c r="BT106" s="284">
        <f>IF(BQ106,_xll.qDateYears(BQ105,BQ106,BT$13),0)</f>
        <v>0.25205479452054796</v>
      </c>
      <c r="BU106" s="284">
        <f t="shared" si="42"/>
        <v>1235.6327473720203</v>
      </c>
      <c r="CC106" s="560">
        <v>48996</v>
      </c>
      <c r="CD106" s="155" t="str">
        <f t="shared" si="37"/>
        <v>22.75Y</v>
      </c>
      <c r="CE106" s="405">
        <v>0.41086552627857537</v>
      </c>
      <c r="CF106" s="284">
        <f>IF(CC106,_xll.qDateYears(CC105,CC106,CF$13),0)</f>
        <v>0.25555555555555554</v>
      </c>
      <c r="CG106" s="284">
        <f t="shared" si="43"/>
        <v>1578.4043517470191</v>
      </c>
      <c r="CO106" s="560">
        <v>48996</v>
      </c>
      <c r="CP106" s="155" t="str">
        <f t="shared" si="38"/>
        <v>22.75Y</v>
      </c>
      <c r="CQ106" s="405">
        <v>0.39100240436795242</v>
      </c>
      <c r="CR106" s="284">
        <f>IF(CO106,_xll.qDateYears(CO105,CO106,CR$13),0)</f>
        <v>0.25205479452054796</v>
      </c>
      <c r="CS106" s="284">
        <f t="shared" si="44"/>
        <v>1531.6928917581101</v>
      </c>
      <c r="DA106" s="560">
        <v>48996</v>
      </c>
      <c r="DB106" s="155" t="str">
        <f t="shared" si="39"/>
        <v>22.75Y</v>
      </c>
      <c r="DC106" s="405">
        <v>0.25933872400314811</v>
      </c>
      <c r="DD106" s="284">
        <f>IF(DA106,_xll.qDateYears(DA105,DA106,DD$13),0)</f>
        <v>0.25205479452054796</v>
      </c>
      <c r="DE106" s="284">
        <f t="shared" si="45"/>
        <v>1277.5946206200208</v>
      </c>
      <c r="DM106" s="560">
        <v>48996</v>
      </c>
      <c r="DN106" s="155" t="str">
        <f t="shared" si="40"/>
        <v>22.75Y</v>
      </c>
      <c r="DO106" s="405">
        <v>0.38838484855107991</v>
      </c>
      <c r="DP106" s="284">
        <f>IF(DM106,_xll.qDateYears(DM105,DM106,DP$13),0)</f>
        <v>0.25555555555555554</v>
      </c>
      <c r="DQ106" s="284">
        <f t="shared" si="46"/>
        <v>1582.5024047148679</v>
      </c>
    </row>
    <row r="107" spans="59:121">
      <c r="BG107" s="560">
        <v>49083</v>
      </c>
      <c r="BH107" s="154" t="str">
        <f t="shared" si="35"/>
        <v>23Y</v>
      </c>
      <c r="BI107" s="405">
        <v>0.38420002049957974</v>
      </c>
      <c r="BJ107" s="284">
        <f>IF(BG107,_xll.qDateYears(BG106,BG107,$BJ$13),0)</f>
        <v>0.24166666666666667</v>
      </c>
      <c r="BK107" s="284">
        <f t="shared" si="41"/>
        <v>1591.7872385436078</v>
      </c>
      <c r="BQ107" s="560">
        <v>49083</v>
      </c>
      <c r="BR107" s="155" t="str">
        <f t="shared" si="36"/>
        <v>23Y</v>
      </c>
      <c r="BS107" s="405">
        <v>0.2702860478509147</v>
      </c>
      <c r="BT107" s="284">
        <f>IF(BQ107,_xll.qDateYears(BQ106,BQ107,BT$13),0)</f>
        <v>0.23835616438356164</v>
      </c>
      <c r="BU107" s="284">
        <f t="shared" si="42"/>
        <v>1242.0751819372338</v>
      </c>
      <c r="CC107" s="560">
        <v>49083</v>
      </c>
      <c r="CD107" s="155" t="str">
        <f t="shared" si="37"/>
        <v>23Y</v>
      </c>
      <c r="CE107" s="405">
        <v>0.4072595857836237</v>
      </c>
      <c r="CF107" s="284">
        <f>IF(CC107,_xll.qDateYears(CC106,CC107,CF$13),0)</f>
        <v>0.24166666666666667</v>
      </c>
      <c r="CG107" s="284">
        <f t="shared" si="43"/>
        <v>1588.2464584034567</v>
      </c>
      <c r="CO107" s="560">
        <v>49083</v>
      </c>
      <c r="CP107" s="155" t="str">
        <f t="shared" si="38"/>
        <v>23Y</v>
      </c>
      <c r="CQ107" s="405">
        <v>0.38688958351379615</v>
      </c>
      <c r="CR107" s="284">
        <f>IF(CO107,_xll.qDateYears(CO106,CO107,CR$13),0)</f>
        <v>0.23835616438356164</v>
      </c>
      <c r="CS107" s="284">
        <f t="shared" si="44"/>
        <v>1540.9146434747404</v>
      </c>
      <c r="DA107" s="560">
        <v>49083</v>
      </c>
      <c r="DB107" s="155" t="str">
        <f t="shared" si="39"/>
        <v>23Y</v>
      </c>
      <c r="DC107" s="405">
        <v>0.25570274515831093</v>
      </c>
      <c r="DD107" s="284">
        <f>IF(DA107,_xll.qDateYears(DA106,DA107,DD$13),0)</f>
        <v>0.23835616438356164</v>
      </c>
      <c r="DE107" s="284">
        <f t="shared" si="45"/>
        <v>1283.6894531758489</v>
      </c>
      <c r="DM107" s="560">
        <v>49083</v>
      </c>
      <c r="DN107" s="155" t="str">
        <f t="shared" si="40"/>
        <v>23Y</v>
      </c>
      <c r="DO107" s="405">
        <v>0.38420002049957974</v>
      </c>
      <c r="DP107" s="284">
        <f>IF(DM107,_xll.qDateYears(DM106,DM107,DP$13),0)</f>
        <v>0.24166666666666667</v>
      </c>
      <c r="DQ107" s="284">
        <f t="shared" si="46"/>
        <v>1591.7872385436078</v>
      </c>
    </row>
    <row r="108" spans="59:121">
      <c r="BG108" s="560">
        <v>49177</v>
      </c>
      <c r="BH108" s="154" t="str">
        <f t="shared" si="35"/>
        <v>23.25Y</v>
      </c>
      <c r="BI108" s="405">
        <v>0.37972085151777135</v>
      </c>
      <c r="BJ108" s="284">
        <f>IF(BG108,_xll.qDateYears(BG107,BG108,$BJ$13),0)</f>
        <v>0.26111111111111113</v>
      </c>
      <c r="BK108" s="284">
        <f t="shared" si="41"/>
        <v>1601.7021718887941</v>
      </c>
      <c r="BQ108" s="560">
        <v>49177</v>
      </c>
      <c r="BR108" s="155" t="str">
        <f t="shared" si="36"/>
        <v>23.25Y</v>
      </c>
      <c r="BS108" s="405">
        <v>0.26748416788576063</v>
      </c>
      <c r="BT108" s="284">
        <f>IF(BQ108,_xll.qDateYears(BQ107,BQ108,BT$13),0)</f>
        <v>0.25753424657534246</v>
      </c>
      <c r="BU108" s="284">
        <f t="shared" si="42"/>
        <v>1248.963815301963</v>
      </c>
      <c r="CC108" s="560">
        <v>49177</v>
      </c>
      <c r="CD108" s="155" t="str">
        <f t="shared" si="37"/>
        <v>23.25Y</v>
      </c>
      <c r="CE108" s="405">
        <v>0.40340367862170246</v>
      </c>
      <c r="CF108" s="284">
        <f>IF(CC108,_xll.qDateYears(CC107,CC108,CF$13),0)</f>
        <v>0.26111111111111113</v>
      </c>
      <c r="CG108" s="284">
        <f t="shared" si="43"/>
        <v>1598.7797766785789</v>
      </c>
      <c r="CO108" s="560">
        <v>49177</v>
      </c>
      <c r="CP108" s="155" t="str">
        <f t="shared" si="38"/>
        <v>23.25Y</v>
      </c>
      <c r="CQ108" s="405">
        <v>0.38248777819048707</v>
      </c>
      <c r="CR108" s="284">
        <f>IF(CO108,_xll.qDateYears(CO107,CO108,CR$13),0)</f>
        <v>0.25753424657534246</v>
      </c>
      <c r="CS108" s="284">
        <f t="shared" si="44"/>
        <v>1550.7650136527968</v>
      </c>
      <c r="DA108" s="560">
        <v>49177</v>
      </c>
      <c r="DB108" s="155" t="str">
        <f t="shared" si="39"/>
        <v>23.25Y</v>
      </c>
      <c r="DC108" s="405">
        <v>0.25183148921989373</v>
      </c>
      <c r="DD108" s="284">
        <f>IF(DA108,_xll.qDateYears(DA107,DA108,DD$13),0)</f>
        <v>0.25753424657534246</v>
      </c>
      <c r="DE108" s="284">
        <f t="shared" si="45"/>
        <v>1290.174976459868</v>
      </c>
      <c r="DM108" s="560">
        <v>49177</v>
      </c>
      <c r="DN108" s="155" t="str">
        <f t="shared" si="40"/>
        <v>23.25Y</v>
      </c>
      <c r="DO108" s="405">
        <v>0.37972085151777135</v>
      </c>
      <c r="DP108" s="284">
        <f>IF(DM108,_xll.qDateYears(DM107,DM108,DP$13),0)</f>
        <v>0.26111111111111113</v>
      </c>
      <c r="DQ108" s="284">
        <f t="shared" si="46"/>
        <v>1601.7021718887941</v>
      </c>
    </row>
    <row r="109" spans="59:121">
      <c r="BG109" s="560">
        <v>49268</v>
      </c>
      <c r="BH109" s="154" t="str">
        <f t="shared" si="35"/>
        <v>23.5Y</v>
      </c>
      <c r="BI109" s="405">
        <v>0.37542627265510164</v>
      </c>
      <c r="BJ109" s="284">
        <f>IF(BG109,_xll.qDateYears(BG108,BG109,$BJ$13),0)</f>
        <v>0.25277777777777777</v>
      </c>
      <c r="BK109" s="284">
        <f t="shared" si="41"/>
        <v>1611.192113780909</v>
      </c>
      <c r="BQ109" s="560">
        <v>49268</v>
      </c>
      <c r="BR109" s="155" t="str">
        <f t="shared" si="36"/>
        <v>23.5Y</v>
      </c>
      <c r="BS109" s="405">
        <v>0.26482295459694744</v>
      </c>
      <c r="BT109" s="284">
        <f>IF(BQ109,_xll.qDateYears(BQ108,BQ109,BT$13),0)</f>
        <v>0.24931506849315069</v>
      </c>
      <c r="BU109" s="284">
        <f t="shared" si="42"/>
        <v>1255.5662506083527</v>
      </c>
      <c r="CC109" s="560">
        <v>49268</v>
      </c>
      <c r="CD109" s="155" t="str">
        <f t="shared" si="37"/>
        <v>23.5Y</v>
      </c>
      <c r="CE109" s="405">
        <v>0.39971012963246433</v>
      </c>
      <c r="CF109" s="284">
        <f>IF(CC109,_xll.qDateYears(CC108,CC109,CF$13),0)</f>
        <v>0.25277777777777777</v>
      </c>
      <c r="CG109" s="284">
        <f t="shared" si="43"/>
        <v>1608.883560510955</v>
      </c>
      <c r="CO109" s="560">
        <v>49268</v>
      </c>
      <c r="CP109" s="155" t="str">
        <f t="shared" si="38"/>
        <v>23.5Y</v>
      </c>
      <c r="CQ109" s="405">
        <v>0.37826763752834908</v>
      </c>
      <c r="CR109" s="284">
        <f>IF(CO109,_xll.qDateYears(CO108,CO109,CR$13),0)</f>
        <v>0.24931506849315069</v>
      </c>
      <c r="CS109" s="284">
        <f t="shared" si="44"/>
        <v>1560.1957958487092</v>
      </c>
      <c r="DA109" s="560">
        <v>49268</v>
      </c>
      <c r="DB109" s="155" t="str">
        <f t="shared" si="39"/>
        <v>23.5Y</v>
      </c>
      <c r="DC109" s="405">
        <v>0.2481396266521245</v>
      </c>
      <c r="DD109" s="284">
        <f>IF(DA109,_xll.qDateYears(DA108,DA109,DD$13),0)</f>
        <v>0.24931506849315069</v>
      </c>
      <c r="DE109" s="284">
        <f t="shared" si="45"/>
        <v>1296.3614712613319</v>
      </c>
      <c r="DM109" s="560">
        <v>49268</v>
      </c>
      <c r="DN109" s="155" t="str">
        <f t="shared" si="40"/>
        <v>23.5Y</v>
      </c>
      <c r="DO109" s="405">
        <v>0.37542627265510164</v>
      </c>
      <c r="DP109" s="284">
        <f>IF(DM109,_xll.qDateYears(DM108,DM109,DP$13),0)</f>
        <v>0.25277777777777777</v>
      </c>
      <c r="DQ109" s="284">
        <f t="shared" si="46"/>
        <v>1611.192113780909</v>
      </c>
    </row>
    <row r="110" spans="59:121">
      <c r="BG110" s="560">
        <v>49360</v>
      </c>
      <c r="BH110" s="154" t="str">
        <f t="shared" si="35"/>
        <v>23.75Y</v>
      </c>
      <c r="BI110" s="405">
        <v>0.37112585064566417</v>
      </c>
      <c r="BJ110" s="284">
        <f>IF(BG110,_xll.qDateYears(BG109,BG110,$BJ$13),0)</f>
        <v>0.25555555555555554</v>
      </c>
      <c r="BK110" s="284">
        <f t="shared" si="41"/>
        <v>1620.6764410751871</v>
      </c>
      <c r="BQ110" s="560">
        <v>49360</v>
      </c>
      <c r="BR110" s="155" t="str">
        <f t="shared" si="36"/>
        <v>23.75Y</v>
      </c>
      <c r="BS110" s="405">
        <v>0.26218275104443206</v>
      </c>
      <c r="BT110" s="284">
        <f>IF(BQ110,_xll.qDateYears(BQ109,BQ110,BT$13),0)</f>
        <v>0.25205479452054796</v>
      </c>
      <c r="BU110" s="284">
        <f t="shared" si="42"/>
        <v>1262.1746925524862</v>
      </c>
      <c r="CC110" s="560">
        <v>49360</v>
      </c>
      <c r="CD110" s="155" t="str">
        <f t="shared" si="37"/>
        <v>23.75Y</v>
      </c>
      <c r="CE110" s="405">
        <v>0.39601484249631969</v>
      </c>
      <c r="CF110" s="284">
        <f>IF(CC110,_xll.qDateYears(CC109,CC110,CF$13),0)</f>
        <v>0.25555555555555554</v>
      </c>
      <c r="CG110" s="284">
        <f t="shared" si="43"/>
        <v>1619.0039398191943</v>
      </c>
      <c r="CO110" s="560">
        <v>49360</v>
      </c>
      <c r="CP110" s="155" t="str">
        <f t="shared" si="38"/>
        <v>23.75Y</v>
      </c>
      <c r="CQ110" s="405">
        <v>0.37404199181784836</v>
      </c>
      <c r="CR110" s="284">
        <f>IF(CO110,_xll.qDateYears(CO109,CO110,CR$13),0)</f>
        <v>0.25205479452054796</v>
      </c>
      <c r="CS110" s="284">
        <f t="shared" si="44"/>
        <v>1569.6237035876795</v>
      </c>
      <c r="DA110" s="560">
        <v>49360</v>
      </c>
      <c r="DB110" s="155" t="str">
        <f t="shared" si="39"/>
        <v>23.75Y</v>
      </c>
      <c r="DC110" s="405">
        <v>0.24446220949919226</v>
      </c>
      <c r="DD110" s="284">
        <f>IF(DA110,_xll.qDateYears(DA109,DA110,DD$13),0)</f>
        <v>0.25205479452054796</v>
      </c>
      <c r="DE110" s="284">
        <f t="shared" si="45"/>
        <v>1302.5232584596677</v>
      </c>
      <c r="DM110" s="560">
        <v>49360</v>
      </c>
      <c r="DN110" s="155" t="str">
        <f t="shared" si="40"/>
        <v>23.75Y</v>
      </c>
      <c r="DO110" s="405">
        <v>0.37112585064566417</v>
      </c>
      <c r="DP110" s="284">
        <f>IF(DM110,_xll.qDateYears(DM109,DM110,DP$13),0)</f>
        <v>0.25555555555555554</v>
      </c>
      <c r="DQ110" s="284">
        <f t="shared" si="46"/>
        <v>1620.6764410751871</v>
      </c>
    </row>
    <row r="111" spans="59:121">
      <c r="BG111" s="560">
        <v>49450</v>
      </c>
      <c r="BH111" s="154" t="str">
        <f t="shared" si="35"/>
        <v>24Y</v>
      </c>
      <c r="BI111" s="405">
        <v>0.36695886832172614</v>
      </c>
      <c r="BJ111" s="284">
        <f>IF(BG111,_xll.qDateYears(BG110,BG111,$BJ$13),0)</f>
        <v>0.25</v>
      </c>
      <c r="BK111" s="284">
        <f t="shared" si="41"/>
        <v>1629.8504127832302</v>
      </c>
      <c r="BQ111" s="560">
        <v>49450</v>
      </c>
      <c r="BR111" s="155" t="str">
        <f t="shared" si="36"/>
        <v>24Y</v>
      </c>
      <c r="BS111" s="405">
        <v>0.25964790502360896</v>
      </c>
      <c r="BT111" s="284">
        <f>IF(BQ111,_xll.qDateYears(BQ110,BQ111,BT$13),0)</f>
        <v>0.24657534246575341</v>
      </c>
      <c r="BU111" s="284">
        <f t="shared" si="42"/>
        <v>1268.5769696626573</v>
      </c>
      <c r="CC111" s="560">
        <v>49450</v>
      </c>
      <c r="CD111" s="155" t="str">
        <f t="shared" si="37"/>
        <v>24Y</v>
      </c>
      <c r="CE111" s="405">
        <v>0.39243726012473895</v>
      </c>
      <c r="CF111" s="284">
        <f>IF(CC111,_xll.qDateYears(CC110,CC111,CF$13),0)</f>
        <v>0.25</v>
      </c>
      <c r="CG111" s="284">
        <f t="shared" si="43"/>
        <v>1628.8148713223129</v>
      </c>
      <c r="CO111" s="560">
        <v>49450</v>
      </c>
      <c r="CP111" s="155" t="str">
        <f t="shared" si="38"/>
        <v>24Y</v>
      </c>
      <c r="CQ111" s="405">
        <v>0.36994767152372476</v>
      </c>
      <c r="CR111" s="284">
        <f>IF(CO111,_xll.qDateYears(CO110,CO111,CR$13),0)</f>
        <v>0.24657534246575341</v>
      </c>
      <c r="CS111" s="284">
        <f t="shared" si="44"/>
        <v>1578.7457009677166</v>
      </c>
      <c r="DA111" s="560">
        <v>49450</v>
      </c>
      <c r="DB111" s="155" t="str">
        <f t="shared" si="39"/>
        <v>24Y</v>
      </c>
      <c r="DC111" s="405">
        <v>0.24091747675681605</v>
      </c>
      <c r="DD111" s="284">
        <f>IF(DA111,_xll.qDateYears(DA110,DA111,DD$13),0)</f>
        <v>0.24657534246575341</v>
      </c>
      <c r="DE111" s="284">
        <f t="shared" si="45"/>
        <v>1308.4636893933973</v>
      </c>
      <c r="DM111" s="560">
        <v>49450</v>
      </c>
      <c r="DN111" s="155" t="str">
        <f t="shared" si="40"/>
        <v>24Y</v>
      </c>
      <c r="DO111" s="405">
        <v>0.36695886832172614</v>
      </c>
      <c r="DP111" s="284">
        <f>IF(DM111,_xll.qDateYears(DM110,DM111,DP$13),0)</f>
        <v>0.25</v>
      </c>
      <c r="DQ111" s="284">
        <f t="shared" si="46"/>
        <v>1629.8504127832302</v>
      </c>
    </row>
    <row r="112" spans="59:121">
      <c r="BG112" s="560">
        <v>49541</v>
      </c>
      <c r="BH112" s="154" t="str">
        <f t="shared" si="35"/>
        <v>24.25Y</v>
      </c>
      <c r="BI112" s="405">
        <v>0.36278548165504626</v>
      </c>
      <c r="BJ112" s="284">
        <f>IF(BG112,_xll.qDateYears(BG111,BG112,$BJ$13),0)</f>
        <v>0.25277777777777777</v>
      </c>
      <c r="BK112" s="284">
        <f t="shared" si="41"/>
        <v>1639.0208235695106</v>
      </c>
      <c r="BQ112" s="560">
        <v>49541</v>
      </c>
      <c r="BR112" s="155" t="str">
        <f t="shared" si="36"/>
        <v>24.25Y</v>
      </c>
      <c r="BS112" s="405">
        <v>0.25713220797018288</v>
      </c>
      <c r="BT112" s="284">
        <f>IF(BQ112,_xll.qDateYears(BQ111,BQ112,BT$13),0)</f>
        <v>0.24931506849315069</v>
      </c>
      <c r="BU112" s="284">
        <f t="shared" si="42"/>
        <v>1274.9876630668455</v>
      </c>
      <c r="CC112" s="560">
        <v>49541</v>
      </c>
      <c r="CD112" s="155" t="str">
        <f t="shared" si="37"/>
        <v>24.25Y</v>
      </c>
      <c r="CE112" s="405">
        <v>0.38885708407676517</v>
      </c>
      <c r="CF112" s="284">
        <f>IF(CC112,_xll.qDateYears(CC111,CC112,CF$13),0)</f>
        <v>0.25277777777777777</v>
      </c>
      <c r="CG112" s="284">
        <f t="shared" si="43"/>
        <v>1638.6443142809201</v>
      </c>
      <c r="CO112" s="560">
        <v>49541</v>
      </c>
      <c r="CP112" s="155" t="str">
        <f t="shared" si="38"/>
        <v>24.25Y</v>
      </c>
      <c r="CQ112" s="405">
        <v>0.36584724161914417</v>
      </c>
      <c r="CR112" s="284">
        <f>IF(CO112,_xll.qDateYears(CO111,CO112,CR$13),0)</f>
        <v>0.24931506849315069</v>
      </c>
      <c r="CS112" s="284">
        <f t="shared" si="44"/>
        <v>1587.8668239779474</v>
      </c>
      <c r="DA112" s="560">
        <v>49541</v>
      </c>
      <c r="DB112" s="155" t="str">
        <f t="shared" si="39"/>
        <v>24.25Y</v>
      </c>
      <c r="DC112" s="405">
        <v>0.23738561417237461</v>
      </c>
      <c r="DD112" s="284">
        <f>IF(DA112,_xll.qDateYears(DA111,DA112,DD$13),0)</f>
        <v>0.24931506849315069</v>
      </c>
      <c r="DE112" s="284">
        <f t="shared" si="45"/>
        <v>1314.3820704590648</v>
      </c>
      <c r="DM112" s="560">
        <v>49541</v>
      </c>
      <c r="DN112" s="155" t="str">
        <f t="shared" si="40"/>
        <v>24.25Y</v>
      </c>
      <c r="DO112" s="405">
        <v>0.36278548165504626</v>
      </c>
      <c r="DP112" s="284">
        <f>IF(DM112,_xll.qDateYears(DM111,DM112,DP$13),0)</f>
        <v>0.25277777777777777</v>
      </c>
      <c r="DQ112" s="284">
        <f t="shared" si="46"/>
        <v>1639.0208235695106</v>
      </c>
    </row>
    <row r="113" spans="59:121">
      <c r="BG113" s="560">
        <v>49632</v>
      </c>
      <c r="BH113" s="154" t="str">
        <f t="shared" si="35"/>
        <v>24.5Y</v>
      </c>
      <c r="BI113" s="405">
        <v>0.35865193223991482</v>
      </c>
      <c r="BJ113" s="284">
        <f>IF(BG113,_xll.qDateYears(BG112,BG113,$BJ$13),0)</f>
        <v>0.25277777777777777</v>
      </c>
      <c r="BK113" s="284">
        <f t="shared" si="41"/>
        <v>1648.0867474122417</v>
      </c>
      <c r="BQ113" s="560">
        <v>49632</v>
      </c>
      <c r="BR113" s="155" t="str">
        <f t="shared" si="36"/>
        <v>24.5Y</v>
      </c>
      <c r="BS113" s="405">
        <v>0.25466319149287747</v>
      </c>
      <c r="BT113" s="284">
        <f>IF(BQ113,_xll.qDateYears(BQ112,BQ113,BT$13),0)</f>
        <v>0.24931506849315069</v>
      </c>
      <c r="BU113" s="284">
        <f t="shared" si="42"/>
        <v>1281.3368001698186</v>
      </c>
      <c r="CC113" s="560">
        <v>49632</v>
      </c>
      <c r="CD113" s="155" t="str">
        <f t="shared" si="37"/>
        <v>24.5Y</v>
      </c>
      <c r="CE113" s="405">
        <v>0.38531385205759094</v>
      </c>
      <c r="CF113" s="284">
        <f>IF(CC113,_xll.qDateYears(CC112,CC113,CF$13),0)</f>
        <v>0.25277777777777777</v>
      </c>
      <c r="CG113" s="284">
        <f t="shared" si="43"/>
        <v>1648.3841922079314</v>
      </c>
      <c r="CO113" s="560">
        <v>49632</v>
      </c>
      <c r="CP113" s="155" t="str">
        <f t="shared" si="38"/>
        <v>24.5Y</v>
      </c>
      <c r="CQ113" s="405">
        <v>0.36178611295188656</v>
      </c>
      <c r="CR113" s="284">
        <f>IF(CO113,_xll.qDateYears(CO112,CO113,CR$13),0)</f>
        <v>0.24931506849315069</v>
      </c>
      <c r="CS113" s="284">
        <f t="shared" si="44"/>
        <v>1596.8866969309945</v>
      </c>
      <c r="DA113" s="560">
        <v>49632</v>
      </c>
      <c r="DB113" s="155" t="str">
        <f t="shared" si="39"/>
        <v>24.5Y</v>
      </c>
      <c r="DC113" s="405">
        <v>0.23390552887484189</v>
      </c>
      <c r="DD113" s="284">
        <f>IF(DA113,_xll.qDateYears(DA112,DA113,DD$13),0)</f>
        <v>0.24931506849315069</v>
      </c>
      <c r="DE113" s="284">
        <f t="shared" si="45"/>
        <v>1320.2136877543005</v>
      </c>
      <c r="DM113" s="560">
        <v>49632</v>
      </c>
      <c r="DN113" s="155" t="str">
        <f t="shared" si="40"/>
        <v>24.5Y</v>
      </c>
      <c r="DO113" s="405">
        <v>0.35865193223991482</v>
      </c>
      <c r="DP113" s="284">
        <f>IF(DM113,_xll.qDateYears(DM112,DM113,DP$13),0)</f>
        <v>0.25277777777777777</v>
      </c>
      <c r="DQ113" s="284">
        <f t="shared" si="46"/>
        <v>1648.0867474122417</v>
      </c>
    </row>
    <row r="114" spans="59:121">
      <c r="BG114" s="560">
        <v>49724</v>
      </c>
      <c r="BH114" s="154" t="str">
        <f t="shared" si="35"/>
        <v>24.75Y</v>
      </c>
      <c r="BI114" s="405">
        <v>0.35451317086712592</v>
      </c>
      <c r="BJ114" s="284">
        <f>IF(BG114,_xll.qDateYears(BG113,BG114,$BJ$13),0)</f>
        <v>0.25555555555555554</v>
      </c>
      <c r="BK114" s="284">
        <f t="shared" si="41"/>
        <v>1657.1465284455128</v>
      </c>
      <c r="BQ114" s="560">
        <v>49724</v>
      </c>
      <c r="BR114" s="155" t="str">
        <f t="shared" si="36"/>
        <v>24.75Y</v>
      </c>
      <c r="BS114" s="405">
        <v>0.25221360082885969</v>
      </c>
      <c r="BT114" s="284">
        <f>IF(BQ114,_xll.qDateYears(BQ113,BQ114,BT$13),0)</f>
        <v>0.25205479452054796</v>
      </c>
      <c r="BU114" s="284">
        <f t="shared" si="42"/>
        <v>1287.6939649030392</v>
      </c>
      <c r="CC114" s="560">
        <v>49724</v>
      </c>
      <c r="CD114" s="155" t="str">
        <f t="shared" si="37"/>
        <v>24.75Y</v>
      </c>
      <c r="CE114" s="405">
        <v>0.38176881525661926</v>
      </c>
      <c r="CF114" s="284">
        <f>IF(CC114,_xll.qDateYears(CC113,CC114,CF$13),0)</f>
        <v>0.25555555555555554</v>
      </c>
      <c r="CG114" s="284">
        <f t="shared" si="43"/>
        <v>1658.1405063756006</v>
      </c>
      <c r="CO114" s="560">
        <v>49724</v>
      </c>
      <c r="CP114" s="155" t="str">
        <f t="shared" si="38"/>
        <v>24.75Y</v>
      </c>
      <c r="CQ114" s="405">
        <v>0.35772000292252376</v>
      </c>
      <c r="CR114" s="284">
        <f>IF(CO114,_xll.qDateYears(CO113,CO114,CR$13),0)</f>
        <v>0.25205479452054796</v>
      </c>
      <c r="CS114" s="284">
        <f t="shared" si="44"/>
        <v>1605.9032011142472</v>
      </c>
      <c r="DA114" s="560">
        <v>49724</v>
      </c>
      <c r="DB114" s="155" t="str">
        <f t="shared" si="39"/>
        <v>24.75Y</v>
      </c>
      <c r="DC114" s="405">
        <v>0.23043906035606745</v>
      </c>
      <c r="DD114" s="284">
        <f>IF(DA114,_xll.qDateYears(DA113,DA114,DD$13),0)</f>
        <v>0.25205479452054796</v>
      </c>
      <c r="DE114" s="284">
        <f t="shared" si="45"/>
        <v>1326.0220147550563</v>
      </c>
      <c r="DM114" s="560">
        <v>49724</v>
      </c>
      <c r="DN114" s="155" t="str">
        <f t="shared" si="40"/>
        <v>24.75Y</v>
      </c>
      <c r="DO114" s="405">
        <v>0.35451317086712592</v>
      </c>
      <c r="DP114" s="284">
        <f>IF(DM114,_xll.qDateYears(DM113,DM114,DP$13),0)</f>
        <v>0.25555555555555554</v>
      </c>
      <c r="DQ114" s="284">
        <f t="shared" si="46"/>
        <v>1657.1465284455128</v>
      </c>
    </row>
    <row r="115" spans="59:121">
      <c r="BG115" s="560">
        <v>49814</v>
      </c>
      <c r="BH115" s="154" t="str">
        <f t="shared" si="35"/>
        <v>25Y</v>
      </c>
      <c r="BI115" s="405">
        <v>0.35050322983372845</v>
      </c>
      <c r="BJ115" s="284">
        <f>IF(BG115,_xll.qDateYears(BG114,BG115,$BJ$13),0)</f>
        <v>0.25</v>
      </c>
      <c r="BK115" s="284">
        <f t="shared" si="41"/>
        <v>1665.909109191356</v>
      </c>
      <c r="BQ115" s="560">
        <v>49814</v>
      </c>
      <c r="BR115" s="155" t="str">
        <f t="shared" si="36"/>
        <v>25Y</v>
      </c>
      <c r="BS115" s="405">
        <v>0.24986171151312839</v>
      </c>
      <c r="BT115" s="284">
        <f>IF(BQ115,_xll.qDateYears(BQ114,BQ115,BT$13),0)</f>
        <v>0.24657534246575341</v>
      </c>
      <c r="BU115" s="284">
        <f t="shared" si="42"/>
        <v>1293.8549386115822</v>
      </c>
      <c r="CC115" s="560">
        <v>49814</v>
      </c>
      <c r="CD115" s="155" t="str">
        <f t="shared" si="37"/>
        <v>25Y</v>
      </c>
      <c r="CE115" s="405">
        <v>0.3783365651112135</v>
      </c>
      <c r="CF115" s="284">
        <f>IF(CC115,_xll.qDateYears(CC114,CC115,CF$13),0)</f>
        <v>0.25</v>
      </c>
      <c r="CG115" s="284">
        <f t="shared" si="43"/>
        <v>1667.5989205033809</v>
      </c>
      <c r="CO115" s="560">
        <v>49814</v>
      </c>
      <c r="CP115" s="155" t="str">
        <f t="shared" si="38"/>
        <v>25Y</v>
      </c>
      <c r="CQ115" s="405">
        <v>0.35378056486205117</v>
      </c>
      <c r="CR115" s="284">
        <f>IF(CO115,_xll.qDateYears(CO114,CO115,CR$13),0)</f>
        <v>0.24657534246575341</v>
      </c>
      <c r="CS115" s="284">
        <f t="shared" si="44"/>
        <v>1614.6265575081059</v>
      </c>
      <c r="DA115" s="560">
        <v>49814</v>
      </c>
      <c r="DB115" s="155" t="str">
        <f t="shared" si="39"/>
        <v>25Y</v>
      </c>
      <c r="DC115" s="405">
        <v>0.22709766503758469</v>
      </c>
      <c r="DD115" s="284">
        <f>IF(DA115,_xll.qDateYears(DA114,DA115,DD$13),0)</f>
        <v>0.24657534246575341</v>
      </c>
      <c r="DE115" s="284">
        <f t="shared" si="45"/>
        <v>1331.6216832080379</v>
      </c>
      <c r="DM115" s="560">
        <v>49814</v>
      </c>
      <c r="DN115" s="155" t="str">
        <f t="shared" si="40"/>
        <v>25Y</v>
      </c>
      <c r="DO115" s="405">
        <v>0.35050322983372845</v>
      </c>
      <c r="DP115" s="284">
        <f>IF(DM115,_xll.qDateYears(DM114,DM115,DP$13),0)</f>
        <v>0.25</v>
      </c>
      <c r="DQ115" s="284">
        <f t="shared" si="46"/>
        <v>1665.909109191356</v>
      </c>
    </row>
    <row r="116" spans="59:121">
      <c r="BG116" s="560">
        <v>49906</v>
      </c>
      <c r="BH116" s="154" t="str">
        <f t="shared" si="35"/>
        <v>25.25Y</v>
      </c>
      <c r="BI116" s="405">
        <v>0.34660142686665601</v>
      </c>
      <c r="BJ116" s="284">
        <f>IF(BG116,_xll.qDateYears(BG115,BG116,$BJ$13),0)</f>
        <v>0.25555555555555554</v>
      </c>
      <c r="BK116" s="284">
        <f t="shared" si="41"/>
        <v>1674.7667012112818</v>
      </c>
      <c r="BQ116" s="560">
        <v>49906</v>
      </c>
      <c r="BR116" s="155" t="str">
        <f t="shared" si="36"/>
        <v>25.25Y</v>
      </c>
      <c r="BS116" s="405">
        <v>0.24756180075401868</v>
      </c>
      <c r="BT116" s="284">
        <f>IF(BQ116,_xll.qDateYears(BQ115,BQ116,BT$13),0)</f>
        <v>0.25205479452054796</v>
      </c>
      <c r="BU116" s="284">
        <f t="shared" si="42"/>
        <v>1300.0948524936014</v>
      </c>
      <c r="CC116" s="560">
        <v>49906</v>
      </c>
      <c r="CD116" s="155" t="str">
        <f t="shared" si="37"/>
        <v>25.25Y</v>
      </c>
      <c r="CE116" s="405">
        <v>0.37519334916178948</v>
      </c>
      <c r="CF116" s="284">
        <f>IF(CC116,_xll.qDateYears(CC115,CC116,CF$13),0)</f>
        <v>0.25555555555555554</v>
      </c>
      <c r="CG116" s="284">
        <f t="shared" si="43"/>
        <v>1677.1871949819599</v>
      </c>
      <c r="CO116" s="560">
        <v>49906</v>
      </c>
      <c r="CP116" s="155" t="str">
        <f t="shared" si="38"/>
        <v>25.25Y</v>
      </c>
      <c r="CQ116" s="405">
        <v>0.35009311385830111</v>
      </c>
      <c r="CR116" s="284">
        <f>IF(CO116,_xll.qDateYears(CO115,CO116,CR$13),0)</f>
        <v>0.25205479452054796</v>
      </c>
      <c r="CS116" s="284">
        <f t="shared" si="44"/>
        <v>1623.4508222957672</v>
      </c>
      <c r="DA116" s="560">
        <v>49906</v>
      </c>
      <c r="DB116" s="155" t="str">
        <f t="shared" si="39"/>
        <v>25.25Y</v>
      </c>
      <c r="DC116" s="405">
        <v>0.22373208872852191</v>
      </c>
      <c r="DD116" s="284">
        <f>IF(DA116,_xll.qDateYears(DA115,DA116,DD$13),0)</f>
        <v>0.25205479452054796</v>
      </c>
      <c r="DE116" s="284">
        <f t="shared" si="45"/>
        <v>1337.2609577732499</v>
      </c>
      <c r="DM116" s="560">
        <v>49906</v>
      </c>
      <c r="DN116" s="155" t="str">
        <f t="shared" si="40"/>
        <v>25.25Y</v>
      </c>
      <c r="DO116" s="405">
        <v>0.34660142686665601</v>
      </c>
      <c r="DP116" s="284">
        <f>IF(DM116,_xll.qDateYears(DM115,DM116,DP$13),0)</f>
        <v>0.25555555555555554</v>
      </c>
      <c r="DQ116" s="284">
        <f t="shared" si="46"/>
        <v>1674.7667012112818</v>
      </c>
    </row>
    <row r="117" spans="59:121">
      <c r="BG117" s="560">
        <v>49998</v>
      </c>
      <c r="BH117" s="154" t="str">
        <f t="shared" si="35"/>
        <v>25.5Y</v>
      </c>
      <c r="BI117" s="405">
        <v>0.3427387208297506</v>
      </c>
      <c r="BJ117" s="284">
        <f>IF(BG117,_xll.qDateYears(BG116,BG117,$BJ$13),0)</f>
        <v>0.25555555555555554</v>
      </c>
      <c r="BK117" s="284">
        <f t="shared" si="41"/>
        <v>1683.5255796324866</v>
      </c>
      <c r="BQ117" s="560">
        <v>49998</v>
      </c>
      <c r="BR117" s="155" t="str">
        <f t="shared" si="36"/>
        <v>25.5Y</v>
      </c>
      <c r="BS117" s="405">
        <v>0.24530621173344258</v>
      </c>
      <c r="BT117" s="284">
        <f>IF(BQ117,_xll.qDateYears(BQ116,BQ117,BT$13),0)</f>
        <v>0.25205479452054796</v>
      </c>
      <c r="BU117" s="284">
        <f t="shared" si="42"/>
        <v>1306.2779131729101</v>
      </c>
      <c r="CC117" s="560">
        <v>49998</v>
      </c>
      <c r="CD117" s="155" t="str">
        <f t="shared" si="37"/>
        <v>25.5Y</v>
      </c>
      <c r="CE117" s="405">
        <v>0.3720869942502088</v>
      </c>
      <c r="CF117" s="284">
        <f>IF(CC117,_xll.qDateYears(CC116,CC117,CF$13),0)</f>
        <v>0.25555555555555554</v>
      </c>
      <c r="CG117" s="284">
        <f t="shared" si="43"/>
        <v>1686.6960848350209</v>
      </c>
      <c r="CO117" s="560">
        <v>49998</v>
      </c>
      <c r="CP117" s="155" t="str">
        <f t="shared" si="38"/>
        <v>25.5Y</v>
      </c>
      <c r="CQ117" s="405">
        <v>0.34644401542462139</v>
      </c>
      <c r="CR117" s="284">
        <f>IF(CO117,_xll.qDateYears(CO116,CO117,CR$13),0)</f>
        <v>0.25205479452054796</v>
      </c>
      <c r="CS117" s="284">
        <f t="shared" si="44"/>
        <v>1632.1831098078399</v>
      </c>
      <c r="DA117" s="560">
        <v>49998</v>
      </c>
      <c r="DB117" s="155" t="str">
        <f t="shared" si="39"/>
        <v>25.5Y</v>
      </c>
      <c r="DC117" s="405">
        <v>0.22041639009605365</v>
      </c>
      <c r="DD117" s="284">
        <f>IF(DA117,_xll.qDateYears(DA116,DA117,DD$13),0)</f>
        <v>0.25205479452054796</v>
      </c>
      <c r="DE117" s="284">
        <f t="shared" si="45"/>
        <v>1342.816658564712</v>
      </c>
      <c r="DM117" s="560">
        <v>49998</v>
      </c>
      <c r="DN117" s="155" t="str">
        <f t="shared" si="40"/>
        <v>25.5Y</v>
      </c>
      <c r="DO117" s="405">
        <v>0.3427387208297506</v>
      </c>
      <c r="DP117" s="284">
        <f>IF(DM117,_xll.qDateYears(DM116,DM117,DP$13),0)</f>
        <v>0.25555555555555554</v>
      </c>
      <c r="DQ117" s="284">
        <f t="shared" si="46"/>
        <v>1683.5255796324866</v>
      </c>
    </row>
    <row r="118" spans="59:121">
      <c r="BG118" s="560">
        <v>50090</v>
      </c>
      <c r="BH118" s="154" t="str">
        <f t="shared" si="35"/>
        <v>25.75Y</v>
      </c>
      <c r="BI118" s="405">
        <v>0.33891477327878011</v>
      </c>
      <c r="BJ118" s="284">
        <f>IF(BG118,_xll.qDateYears(BG117,BG118,$BJ$13),0)</f>
        <v>0.25555555555555554</v>
      </c>
      <c r="BK118" s="284">
        <f t="shared" si="41"/>
        <v>1692.186734949611</v>
      </c>
      <c r="BQ118" s="560">
        <v>50090</v>
      </c>
      <c r="BR118" s="155" t="str">
        <f t="shared" si="36"/>
        <v>25.75Y</v>
      </c>
      <c r="BS118" s="405">
        <v>0.24309411837564024</v>
      </c>
      <c r="BT118" s="284">
        <f>IF(BQ118,_xll.qDateYears(BQ117,BQ118,BT$13),0)</f>
        <v>0.25205479452054796</v>
      </c>
      <c r="BU118" s="284">
        <f t="shared" si="42"/>
        <v>1312.4052169785427</v>
      </c>
      <c r="CC118" s="560">
        <v>50090</v>
      </c>
      <c r="CD118" s="155" t="str">
        <f t="shared" si="37"/>
        <v>25.75Y</v>
      </c>
      <c r="CE118" s="405">
        <v>0.36901701670890258</v>
      </c>
      <c r="CF118" s="284">
        <f>IF(CC118,_xll.qDateYears(CC117,CC118,CF$13),0)</f>
        <v>0.25555555555555554</v>
      </c>
      <c r="CG118" s="284">
        <f t="shared" si="43"/>
        <v>1696.1265197064706</v>
      </c>
      <c r="CO118" s="560">
        <v>50090</v>
      </c>
      <c r="CP118" s="155" t="str">
        <f t="shared" si="38"/>
        <v>25.75Y</v>
      </c>
      <c r="CQ118" s="405">
        <v>0.34283287151560715</v>
      </c>
      <c r="CR118" s="284">
        <f>IF(CO118,_xll.qDateYears(CO117,CO118,CR$13),0)</f>
        <v>0.25205479452054796</v>
      </c>
      <c r="CS118" s="284">
        <f t="shared" si="44"/>
        <v>1640.8243767063154</v>
      </c>
      <c r="DA118" s="560">
        <v>50090</v>
      </c>
      <c r="DB118" s="155" t="str">
        <f t="shared" si="39"/>
        <v>25.75Y</v>
      </c>
      <c r="DC118" s="405">
        <v>0.21714982995544788</v>
      </c>
      <c r="DD118" s="284">
        <f>IF(DA118,_xll.qDateYears(DA117,DA118,DD$13),0)</f>
        <v>0.25205479452054796</v>
      </c>
      <c r="DE118" s="284">
        <f t="shared" si="45"/>
        <v>1348.2900241416712</v>
      </c>
      <c r="DM118" s="560">
        <v>50090</v>
      </c>
      <c r="DN118" s="155" t="str">
        <f t="shared" si="40"/>
        <v>25.75Y</v>
      </c>
      <c r="DO118" s="405">
        <v>0.33891477327878011</v>
      </c>
      <c r="DP118" s="284">
        <f>IF(DM118,_xll.qDateYears(DM117,DM118,DP$13),0)</f>
        <v>0.25555555555555554</v>
      </c>
      <c r="DQ118" s="284">
        <f t="shared" si="46"/>
        <v>1692.186734949611</v>
      </c>
    </row>
    <row r="119" spans="59:121">
      <c r="BG119" s="560">
        <v>50179</v>
      </c>
      <c r="BH119" s="154" t="str">
        <f t="shared" si="35"/>
        <v>26Y</v>
      </c>
      <c r="BI119" s="405">
        <v>0.33525208655338534</v>
      </c>
      <c r="BJ119" s="284">
        <f>IF(BG119,_xll.qDateYears(BG118,BG119,$BJ$13),0)</f>
        <v>0.24722222222222223</v>
      </c>
      <c r="BK119" s="284">
        <f t="shared" si="41"/>
        <v>1700.4749115338475</v>
      </c>
      <c r="BQ119" s="560">
        <v>50179</v>
      </c>
      <c r="BR119" s="155" t="str">
        <f t="shared" si="36"/>
        <v>26Y</v>
      </c>
      <c r="BS119" s="405">
        <v>0.24099479061513118</v>
      </c>
      <c r="BT119" s="284">
        <f>IF(BQ119,_xll.qDateYears(BQ118,BQ119,BT$13),0)</f>
        <v>0.24383561643835616</v>
      </c>
      <c r="BU119" s="284">
        <f t="shared" si="42"/>
        <v>1318.28152831135</v>
      </c>
      <c r="CC119" s="560">
        <v>50179</v>
      </c>
      <c r="CD119" s="155" t="str">
        <f t="shared" si="37"/>
        <v>26Y</v>
      </c>
      <c r="CE119" s="405">
        <v>0.36608131590800458</v>
      </c>
      <c r="CF119" s="284">
        <f>IF(CC119,_xll.qDateYears(CC118,CC119,CF$13),0)</f>
        <v>0.24722222222222223</v>
      </c>
      <c r="CG119" s="284">
        <f t="shared" si="43"/>
        <v>1705.1768633497518</v>
      </c>
      <c r="CO119" s="560">
        <v>50179</v>
      </c>
      <c r="CP119" s="155" t="str">
        <f t="shared" si="38"/>
        <v>26Y</v>
      </c>
      <c r="CQ119" s="405">
        <v>0.33937522971031597</v>
      </c>
      <c r="CR119" s="284">
        <f>IF(CO119,_xll.qDateYears(CO118,CO119,CR$13),0)</f>
        <v>0.24383561643835616</v>
      </c>
      <c r="CS119" s="284">
        <f t="shared" si="44"/>
        <v>1649.0995535403479</v>
      </c>
      <c r="DA119" s="560">
        <v>50179</v>
      </c>
      <c r="DB119" s="155" t="str">
        <f t="shared" si="39"/>
        <v>26Y</v>
      </c>
      <c r="DC119" s="405">
        <v>0.2140358636363478</v>
      </c>
      <c r="DD119" s="284">
        <f>IF(DA119,_xll.qDateYears(DA118,DA119,DD$13),0)</f>
        <v>0.24383561643835616</v>
      </c>
      <c r="DE119" s="284">
        <f t="shared" si="45"/>
        <v>1353.5089808166397</v>
      </c>
      <c r="DM119" s="560">
        <v>50179</v>
      </c>
      <c r="DN119" s="155" t="str">
        <f t="shared" si="40"/>
        <v>26Y</v>
      </c>
      <c r="DO119" s="405">
        <v>0.33525208655338534</v>
      </c>
      <c r="DP119" s="284">
        <f>IF(DM119,_xll.qDateYears(DM118,DM119,DP$13),0)</f>
        <v>0.24722222222222223</v>
      </c>
      <c r="DQ119" s="284">
        <f t="shared" si="46"/>
        <v>1700.4749115338475</v>
      </c>
    </row>
    <row r="120" spans="59:121">
      <c r="BG120" s="560">
        <v>50271</v>
      </c>
      <c r="BH120" s="154" t="str">
        <f t="shared" si="35"/>
        <v>26.25Y</v>
      </c>
      <c r="BI120" s="405">
        <v>0.33150341309423775</v>
      </c>
      <c r="BJ120" s="284">
        <f>IF(BG120,_xll.qDateYears(BG119,BG120,$BJ$13),0)</f>
        <v>0.25555555555555554</v>
      </c>
      <c r="BK120" s="284">
        <f t="shared" si="41"/>
        <v>1708.9466654240337</v>
      </c>
      <c r="BQ120" s="560">
        <v>50271</v>
      </c>
      <c r="BR120" s="155" t="str">
        <f t="shared" si="36"/>
        <v>26.25Y</v>
      </c>
      <c r="BS120" s="405">
        <v>0.23886593454433674</v>
      </c>
      <c r="BT120" s="284">
        <f>IF(BQ120,_xll.qDateYears(BQ119,BQ120,BT$13),0)</f>
        <v>0.25205479452054796</v>
      </c>
      <c r="BU120" s="284">
        <f t="shared" si="42"/>
        <v>1324.3022587163032</v>
      </c>
      <c r="CC120" s="560">
        <v>50271</v>
      </c>
      <c r="CD120" s="155" t="str">
        <f t="shared" si="37"/>
        <v>26.25Y</v>
      </c>
      <c r="CE120" s="405">
        <v>0.36308152248054548</v>
      </c>
      <c r="CF120" s="284">
        <f>IF(CC120,_xll.qDateYears(CC119,CC120,CF$13),0)</f>
        <v>0.25555555555555554</v>
      </c>
      <c r="CG120" s="284">
        <f t="shared" si="43"/>
        <v>1714.455613368699</v>
      </c>
      <c r="CO120" s="560">
        <v>50271</v>
      </c>
      <c r="CP120" s="155" t="str">
        <f t="shared" si="38"/>
        <v>26.25Y</v>
      </c>
      <c r="CQ120" s="405">
        <v>0.33583761117792177</v>
      </c>
      <c r="CR120" s="284">
        <f>IF(CO120,_xll.qDateYears(CO119,CO120,CR$13),0)</f>
        <v>0.25205479452054796</v>
      </c>
      <c r="CS120" s="284">
        <f t="shared" si="44"/>
        <v>1657.5645015481202</v>
      </c>
      <c r="DA120" s="560">
        <v>50271</v>
      </c>
      <c r="DB120" s="155" t="str">
        <f t="shared" si="39"/>
        <v>26.25Y</v>
      </c>
      <c r="DC120" s="405">
        <v>0.21086386258638076</v>
      </c>
      <c r="DD120" s="284">
        <f>IF(DA120,_xll.qDateYears(DA119,DA120,DD$13),0)</f>
        <v>0.25205479452054796</v>
      </c>
      <c r="DE120" s="284">
        <f t="shared" si="45"/>
        <v>1358.8239055722415</v>
      </c>
      <c r="DM120" s="560">
        <v>50271</v>
      </c>
      <c r="DN120" s="155" t="str">
        <f t="shared" si="40"/>
        <v>26.25Y</v>
      </c>
      <c r="DO120" s="405">
        <v>0.33150341309423775</v>
      </c>
      <c r="DP120" s="284">
        <f>IF(DM120,_xll.qDateYears(DM119,DM120,DP$13),0)</f>
        <v>0.25555555555555554</v>
      </c>
      <c r="DQ120" s="284">
        <f t="shared" si="46"/>
        <v>1708.9466654240337</v>
      </c>
    </row>
    <row r="121" spans="59:121">
      <c r="BG121" s="560">
        <v>50363</v>
      </c>
      <c r="BH121" s="154" t="str">
        <f t="shared" si="35"/>
        <v>26.5Y</v>
      </c>
      <c r="BI121" s="405">
        <v>0.32779250738300186</v>
      </c>
      <c r="BJ121" s="284">
        <f>IF(BG121,_xll.qDateYears(BG120,BG121,$BJ$13),0)</f>
        <v>0.25555555555555554</v>
      </c>
      <c r="BK121" s="284">
        <f t="shared" si="41"/>
        <v>1717.3235850571548</v>
      </c>
      <c r="BQ121" s="560">
        <v>50363</v>
      </c>
      <c r="BR121" s="155" t="str">
        <f t="shared" si="36"/>
        <v>26.5Y</v>
      </c>
      <c r="BS121" s="405">
        <v>0.23677823700390643</v>
      </c>
      <c r="BT121" s="284">
        <f>IF(BQ121,_xll.qDateYears(BQ120,BQ121,BT$13),0)</f>
        <v>0.25205479452054796</v>
      </c>
      <c r="BU121" s="284">
        <f t="shared" si="42"/>
        <v>1330.2703677037989</v>
      </c>
      <c r="CC121" s="560">
        <v>50363</v>
      </c>
      <c r="CD121" s="155" t="str">
        <f t="shared" si="37"/>
        <v>26.5Y</v>
      </c>
      <c r="CE121" s="405">
        <v>0.36011671273288132</v>
      </c>
      <c r="CF121" s="284">
        <f>IF(CC121,_xll.qDateYears(CC120,CC121,CF$13),0)</f>
        <v>0.25555555555555554</v>
      </c>
      <c r="CG121" s="284">
        <f t="shared" si="43"/>
        <v>1723.6585960274283</v>
      </c>
      <c r="CO121" s="560">
        <v>50363</v>
      </c>
      <c r="CP121" s="155" t="str">
        <f t="shared" si="38"/>
        <v>26.5Y</v>
      </c>
      <c r="CQ121" s="405">
        <v>0.33233679011492812</v>
      </c>
      <c r="CR121" s="284">
        <f>IF(CO121,_xll.qDateYears(CO120,CO121,CR$13),0)</f>
        <v>0.25205479452054796</v>
      </c>
      <c r="CS121" s="284">
        <f t="shared" si="44"/>
        <v>1665.941209682524</v>
      </c>
      <c r="DA121" s="560">
        <v>50363</v>
      </c>
      <c r="DB121" s="155" t="str">
        <f t="shared" si="39"/>
        <v>26.5Y</v>
      </c>
      <c r="DC121" s="405">
        <v>0.20773887043711867</v>
      </c>
      <c r="DD121" s="284">
        <f>IF(DA121,_xll.qDateYears(DA120,DA121,DD$13),0)</f>
        <v>0.25205479452054796</v>
      </c>
      <c r="DE121" s="284">
        <f t="shared" si="45"/>
        <v>1364.0600634024374</v>
      </c>
      <c r="DM121" s="560">
        <v>50363</v>
      </c>
      <c r="DN121" s="155" t="str">
        <f t="shared" si="40"/>
        <v>26.5Y</v>
      </c>
      <c r="DO121" s="405">
        <v>0.32779250738300186</v>
      </c>
      <c r="DP121" s="284">
        <f>IF(DM121,_xll.qDateYears(DM120,DM121,DP$13),0)</f>
        <v>0.25555555555555554</v>
      </c>
      <c r="DQ121" s="284">
        <f t="shared" si="46"/>
        <v>1717.3235850571548</v>
      </c>
    </row>
    <row r="122" spans="59:121">
      <c r="BG122" s="560">
        <v>50455</v>
      </c>
      <c r="BH122" s="154" t="str">
        <f t="shared" si="35"/>
        <v>26.75Y</v>
      </c>
      <c r="BI122" s="405">
        <v>0.32411904008465509</v>
      </c>
      <c r="BJ122" s="284">
        <f>IF(BG122,_xll.qDateYears(BG121,BG122,$BJ$13),0)</f>
        <v>0.25555555555555554</v>
      </c>
      <c r="BK122" s="284">
        <f t="shared" si="41"/>
        <v>1725.6066271926516</v>
      </c>
      <c r="BQ122" s="560">
        <v>50455</v>
      </c>
      <c r="BR122" s="155" t="str">
        <f t="shared" si="36"/>
        <v>26.75Y</v>
      </c>
      <c r="BS122" s="405">
        <v>0.23473094732832606</v>
      </c>
      <c r="BT122" s="284">
        <f>IF(BQ122,_xll.qDateYears(BQ121,BQ122,BT$13),0)</f>
        <v>0.25205479452054796</v>
      </c>
      <c r="BU122" s="284">
        <f t="shared" si="42"/>
        <v>1336.1868737734444</v>
      </c>
      <c r="CC122" s="560">
        <v>50455</v>
      </c>
      <c r="CD122" s="155" t="str">
        <f t="shared" si="37"/>
        <v>26.75Y</v>
      </c>
      <c r="CE122" s="405">
        <v>0.35718643062870603</v>
      </c>
      <c r="CF122" s="284">
        <f>IF(CC122,_xll.qDateYears(CC121,CC122,CF$13),0)</f>
        <v>0.25555555555555554</v>
      </c>
      <c r="CG122" s="284">
        <f t="shared" si="43"/>
        <v>1732.7866936990508</v>
      </c>
      <c r="CO122" s="560">
        <v>50455</v>
      </c>
      <c r="CP122" s="155" t="str">
        <f t="shared" si="38"/>
        <v>26.75Y</v>
      </c>
      <c r="CQ122" s="405">
        <v>0.32887238458145907</v>
      </c>
      <c r="CR122" s="284">
        <f>IF(CO122,_xll.qDateYears(CO121,CO122,CR$13),0)</f>
        <v>0.25205479452054796</v>
      </c>
      <c r="CS122" s="284">
        <f t="shared" si="44"/>
        <v>1674.2305958144402</v>
      </c>
      <c r="DA122" s="560">
        <v>50455</v>
      </c>
      <c r="DB122" s="155" t="str">
        <f t="shared" si="39"/>
        <v>26.75Y</v>
      </c>
      <c r="DC122" s="405">
        <v>0.20466019051894815</v>
      </c>
      <c r="DD122" s="284">
        <f>IF(DA122,_xll.qDateYears(DA121,DA122,DD$13),0)</f>
        <v>0.25205479452054796</v>
      </c>
      <c r="DE122" s="284">
        <f t="shared" si="45"/>
        <v>1369.2186216292164</v>
      </c>
      <c r="DM122" s="560">
        <v>50455</v>
      </c>
      <c r="DN122" s="155" t="str">
        <f t="shared" si="40"/>
        <v>26.75Y</v>
      </c>
      <c r="DO122" s="405">
        <v>0.32411904008465509</v>
      </c>
      <c r="DP122" s="284">
        <f>IF(DM122,_xll.qDateYears(DM121,DM122,DP$13),0)</f>
        <v>0.25555555555555554</v>
      </c>
      <c r="DQ122" s="284">
        <f t="shared" si="46"/>
        <v>1725.6066271926516</v>
      </c>
    </row>
    <row r="123" spans="59:121">
      <c r="BG123" s="560">
        <v>50544</v>
      </c>
      <c r="BH123" s="154" t="str">
        <f t="shared" si="35"/>
        <v>27Y</v>
      </c>
      <c r="BI123" s="405">
        <v>0.32060067898238348</v>
      </c>
      <c r="BJ123" s="284">
        <f>IF(BG123,_xll.qDateYears(BG122,BG123,$BJ$13),0)</f>
        <v>0.24722222222222223</v>
      </c>
      <c r="BK123" s="284">
        <f t="shared" si="41"/>
        <v>1733.5325884230494</v>
      </c>
      <c r="BQ123" s="560">
        <v>50544</v>
      </c>
      <c r="BR123" s="155" t="str">
        <f t="shared" si="36"/>
        <v>27Y</v>
      </c>
      <c r="BS123" s="405">
        <v>0.23278818008939534</v>
      </c>
      <c r="BT123" s="284">
        <f>IF(BQ123,_xll.qDateYears(BQ122,BQ123,BT$13),0)</f>
        <v>0.24383561643835616</v>
      </c>
      <c r="BU123" s="284">
        <f t="shared" si="42"/>
        <v>1341.8630787126106</v>
      </c>
      <c r="CC123" s="560">
        <v>50544</v>
      </c>
      <c r="CD123" s="155" t="str">
        <f t="shared" si="37"/>
        <v>27Y</v>
      </c>
      <c r="CE123" s="405">
        <v>0.35438413534307361</v>
      </c>
      <c r="CF123" s="284">
        <f>IF(CC123,_xll.qDateYears(CC122,CC123,CF$13),0)</f>
        <v>0.24722222222222223</v>
      </c>
      <c r="CG123" s="284">
        <f t="shared" si="43"/>
        <v>1741.5478570450323</v>
      </c>
      <c r="CO123" s="560">
        <v>50544</v>
      </c>
      <c r="CP123" s="155" t="str">
        <f t="shared" si="38"/>
        <v>27Y</v>
      </c>
      <c r="CQ123" s="405">
        <v>0.32555524667257157</v>
      </c>
      <c r="CR123" s="284">
        <f>IF(CO123,_xll.qDateYears(CO122,CO123,CR$13),0)</f>
        <v>0.24383561643835616</v>
      </c>
      <c r="CS123" s="284">
        <f t="shared" si="44"/>
        <v>1682.168792240155</v>
      </c>
      <c r="DA123" s="560">
        <v>50544</v>
      </c>
      <c r="DB123" s="155" t="str">
        <f t="shared" si="39"/>
        <v>27Y</v>
      </c>
      <c r="DC123" s="405">
        <v>0.20172532780103877</v>
      </c>
      <c r="DD123" s="284">
        <f>IF(DA123,_xll.qDateYears(DA122,DA123,DD$13),0)</f>
        <v>0.24383561643835616</v>
      </c>
      <c r="DE123" s="284">
        <f t="shared" si="45"/>
        <v>1374.1374035947761</v>
      </c>
      <c r="DM123" s="560">
        <v>50544</v>
      </c>
      <c r="DN123" s="155" t="str">
        <f t="shared" si="40"/>
        <v>27Y</v>
      </c>
      <c r="DO123" s="405">
        <v>0.32060067898238348</v>
      </c>
      <c r="DP123" s="284">
        <f>IF(DM123,_xll.qDateYears(DM122,DM123,DP$13),0)</f>
        <v>0.24722222222222223</v>
      </c>
      <c r="DQ123" s="284">
        <f t="shared" si="46"/>
        <v>1733.5325884230494</v>
      </c>
    </row>
    <row r="124" spans="59:121">
      <c r="BG124" s="560">
        <v>50636</v>
      </c>
      <c r="BH124" s="154" t="str">
        <f t="shared" si="35"/>
        <v>27.25Y</v>
      </c>
      <c r="BI124" s="405">
        <v>0.31699991512927589</v>
      </c>
      <c r="BJ124" s="284">
        <f>IF(BG124,_xll.qDateYears(BG123,BG124,$BJ$13),0)</f>
        <v>0.25555555555555554</v>
      </c>
      <c r="BK124" s="284">
        <f t="shared" si="41"/>
        <v>1741.6336973652421</v>
      </c>
      <c r="BQ124" s="560">
        <v>50636</v>
      </c>
      <c r="BR124" s="155" t="str">
        <f t="shared" si="36"/>
        <v>27.25Y</v>
      </c>
      <c r="BS124" s="405">
        <v>0.230818265922865</v>
      </c>
      <c r="BT124" s="284">
        <f>IF(BQ124,_xll.qDateYears(BQ123,BQ124,BT$13),0)</f>
        <v>0.25205479452054796</v>
      </c>
      <c r="BU124" s="284">
        <f t="shared" si="42"/>
        <v>1347.6809637714882</v>
      </c>
      <c r="CC124" s="560">
        <v>50636</v>
      </c>
      <c r="CD124" s="155" t="str">
        <f t="shared" si="37"/>
        <v>27.25Y</v>
      </c>
      <c r="CE124" s="405">
        <v>0.35152047718404361</v>
      </c>
      <c r="CF124" s="284">
        <f>IF(CC124,_xll.qDateYears(CC123,CC124,CF$13),0)</f>
        <v>0.25555555555555554</v>
      </c>
      <c r="CG124" s="284">
        <f t="shared" si="43"/>
        <v>1750.5311581286246</v>
      </c>
      <c r="CO124" s="560">
        <v>50636</v>
      </c>
      <c r="CP124" s="155" t="str">
        <f t="shared" si="38"/>
        <v>27.25Y</v>
      </c>
      <c r="CQ124" s="405">
        <v>0.32216138508134895</v>
      </c>
      <c r="CR124" s="284">
        <f>IF(CO124,_xll.qDateYears(CO123,CO124,CR$13),0)</f>
        <v>0.25205479452054796</v>
      </c>
      <c r="CS124" s="284">
        <f t="shared" si="44"/>
        <v>1690.2890244120683</v>
      </c>
      <c r="DA124" s="560">
        <v>50636</v>
      </c>
      <c r="DB124" s="155" t="str">
        <f t="shared" si="39"/>
        <v>27.25Y</v>
      </c>
      <c r="DC124" s="405">
        <v>0.19873576829115683</v>
      </c>
      <c r="DD124" s="284">
        <f>IF(DA124,_xll.qDateYears(DA123,DA124,DD$13),0)</f>
        <v>0.25205479452054796</v>
      </c>
      <c r="DE124" s="284">
        <f t="shared" si="45"/>
        <v>1379.1466339188271</v>
      </c>
      <c r="DM124" s="560">
        <v>50636</v>
      </c>
      <c r="DN124" s="155" t="str">
        <f t="shared" si="40"/>
        <v>27.25Y</v>
      </c>
      <c r="DO124" s="405">
        <v>0.31699991512927589</v>
      </c>
      <c r="DP124" s="284">
        <f>IF(DM124,_xll.qDateYears(DM123,DM124,DP$13),0)</f>
        <v>0.25555555555555554</v>
      </c>
      <c r="DQ124" s="284">
        <f t="shared" si="46"/>
        <v>1741.6336973652421</v>
      </c>
    </row>
    <row r="125" spans="59:121">
      <c r="BG125" s="560">
        <v>50728</v>
      </c>
      <c r="BH125" s="154" t="str">
        <f t="shared" si="35"/>
        <v>27.5Y</v>
      </c>
      <c r="BI125" s="405">
        <v>0.31343562577350376</v>
      </c>
      <c r="BJ125" s="284">
        <f>IF(BG125,_xll.qDateYears(BG124,BG125,$BJ$13),0)</f>
        <v>0.25555555555555554</v>
      </c>
      <c r="BK125" s="284">
        <f t="shared" si="41"/>
        <v>1749.6437189127873</v>
      </c>
      <c r="BQ125" s="560">
        <v>50728</v>
      </c>
      <c r="BR125" s="155" t="str">
        <f t="shared" si="36"/>
        <v>27.5Y</v>
      </c>
      <c r="BS125" s="405">
        <v>0.22888663571659901</v>
      </c>
      <c r="BT125" s="284">
        <f>IF(BQ125,_xll.qDateYears(BQ124,BQ125,BT$13),0)</f>
        <v>0.25205479452054796</v>
      </c>
      <c r="BU125" s="284">
        <f t="shared" si="42"/>
        <v>1353.450161164893</v>
      </c>
      <c r="CC125" s="560">
        <v>50728</v>
      </c>
      <c r="CD125" s="155" t="str">
        <f t="shared" si="37"/>
        <v>27.5Y</v>
      </c>
      <c r="CE125" s="405">
        <v>0.34869003241456287</v>
      </c>
      <c r="CF125" s="284">
        <f>IF(CC125,_xll.qDateYears(CC124,CC125,CF$13),0)</f>
        <v>0.25555555555555554</v>
      </c>
      <c r="CG125" s="284">
        <f t="shared" si="43"/>
        <v>1759.4421256236635</v>
      </c>
      <c r="CO125" s="560">
        <v>50728</v>
      </c>
      <c r="CP125" s="155" t="str">
        <f t="shared" si="38"/>
        <v>27.5Y</v>
      </c>
      <c r="CQ125" s="405">
        <v>0.31880282878267152</v>
      </c>
      <c r="CR125" s="284">
        <f>IF(CO125,_xll.qDateYears(CO124,CO125,CR$13),0)</f>
        <v>0.25205479452054796</v>
      </c>
      <c r="CS125" s="284">
        <f t="shared" si="44"/>
        <v>1698.3246025622068</v>
      </c>
      <c r="DA125" s="560">
        <v>50728</v>
      </c>
      <c r="DB125" s="155" t="str">
        <f t="shared" si="39"/>
        <v>27.5Y</v>
      </c>
      <c r="DC125" s="405">
        <v>0.19579051390726249</v>
      </c>
      <c r="DD125" s="284">
        <f>IF(DA125,_xll.qDateYears(DA124,DA125,DD$13),0)</f>
        <v>0.25205479452054796</v>
      </c>
      <c r="DE125" s="284">
        <f t="shared" si="45"/>
        <v>1384.0816276940238</v>
      </c>
      <c r="DM125" s="560">
        <v>50728</v>
      </c>
      <c r="DN125" s="155" t="str">
        <f t="shared" si="40"/>
        <v>27.5Y</v>
      </c>
      <c r="DO125" s="405">
        <v>0.31343562577350376</v>
      </c>
      <c r="DP125" s="284">
        <f>IF(DM125,_xll.qDateYears(DM124,DM125,DP$13),0)</f>
        <v>0.25555555555555554</v>
      </c>
      <c r="DQ125" s="284">
        <f t="shared" si="46"/>
        <v>1749.6437189127873</v>
      </c>
    </row>
    <row r="126" spans="59:121">
      <c r="BG126" s="560">
        <v>50823</v>
      </c>
      <c r="BH126" s="154" t="str">
        <f t="shared" si="35"/>
        <v>27.75Y</v>
      </c>
      <c r="BI126" s="405">
        <v>0.30979304771691507</v>
      </c>
      <c r="BJ126" s="284">
        <f>IF(BG126,_xll.qDateYears(BG125,BG126,$BJ$13),0)</f>
        <v>0.2638888888888889</v>
      </c>
      <c r="BK126" s="284">
        <f t="shared" si="41"/>
        <v>1757.8188132275393</v>
      </c>
      <c r="BQ126" s="560">
        <v>50823</v>
      </c>
      <c r="BR126" s="155" t="str">
        <f t="shared" si="36"/>
        <v>27.75Y</v>
      </c>
      <c r="BS126" s="405">
        <v>0.22693147089591229</v>
      </c>
      <c r="BT126" s="284">
        <f>IF(BQ126,_xll.qDateYears(BQ125,BQ126,BT$13),0)</f>
        <v>0.26027397260273971</v>
      </c>
      <c r="BU126" s="284">
        <f t="shared" si="42"/>
        <v>1359.3565967087591</v>
      </c>
      <c r="CC126" s="560">
        <v>50823</v>
      </c>
      <c r="CD126" s="155" t="str">
        <f t="shared" si="37"/>
        <v>27.75Y</v>
      </c>
      <c r="CE126" s="405">
        <v>0.34580168992714316</v>
      </c>
      <c r="CF126" s="284">
        <f>IF(CC126,_xll.qDateYears(CC125,CC126,CF$13),0)</f>
        <v>0.2638888888888889</v>
      </c>
      <c r="CG126" s="284">
        <f t="shared" si="43"/>
        <v>1768.5674479967408</v>
      </c>
      <c r="CO126" s="560">
        <v>50823</v>
      </c>
      <c r="CP126" s="155" t="str">
        <f t="shared" si="38"/>
        <v>27.75Y</v>
      </c>
      <c r="CQ126" s="405">
        <v>0.31537141654327089</v>
      </c>
      <c r="CR126" s="284">
        <f>IF(CO126,_xll.qDateYears(CO125,CO126,CR$13),0)</f>
        <v>0.26027397260273971</v>
      </c>
      <c r="CS126" s="284">
        <f t="shared" si="44"/>
        <v>1706.5328997051138</v>
      </c>
      <c r="DA126" s="560">
        <v>50823</v>
      </c>
      <c r="DB126" s="155" t="str">
        <f t="shared" si="39"/>
        <v>27.75Y</v>
      </c>
      <c r="DC126" s="405">
        <v>0.19279501792887452</v>
      </c>
      <c r="DD126" s="284">
        <f>IF(DA126,_xll.qDateYears(DA125,DA126,DD$13),0)</f>
        <v>0.26027397260273971</v>
      </c>
      <c r="DE126" s="284">
        <f t="shared" si="45"/>
        <v>1389.0995802154603</v>
      </c>
      <c r="DM126" s="560">
        <v>50823</v>
      </c>
      <c r="DN126" s="155" t="str">
        <f t="shared" si="40"/>
        <v>27.75Y</v>
      </c>
      <c r="DO126" s="405">
        <v>0.30979304771691507</v>
      </c>
      <c r="DP126" s="284">
        <f>IF(DM126,_xll.qDateYears(DM125,DM126,DP$13),0)</f>
        <v>0.2638888888888889</v>
      </c>
      <c r="DQ126" s="284">
        <f t="shared" si="46"/>
        <v>1757.8188132275393</v>
      </c>
    </row>
    <row r="127" spans="59:121">
      <c r="BG127" s="560">
        <v>50909</v>
      </c>
      <c r="BH127" s="154" t="str">
        <f t="shared" si="35"/>
        <v>28Y</v>
      </c>
      <c r="BI127" s="405">
        <v>0.30652850869131426</v>
      </c>
      <c r="BJ127" s="284">
        <f>IF(BG127,_xll.qDateYears(BG126,BG127,$BJ$13),0)</f>
        <v>0.2388888888888889</v>
      </c>
      <c r="BK127" s="284">
        <f t="shared" si="41"/>
        <v>1765.141438712943</v>
      </c>
      <c r="BQ127" s="560">
        <v>50909</v>
      </c>
      <c r="BR127" s="155" t="str">
        <f t="shared" si="36"/>
        <v>28Y</v>
      </c>
      <c r="BS127" s="405">
        <v>0.22519549619011425</v>
      </c>
      <c r="BT127" s="284">
        <f>IF(BQ127,_xll.qDateYears(BQ126,BQ127,BT$13),0)</f>
        <v>0.23561643835616439</v>
      </c>
      <c r="BU127" s="284">
        <f t="shared" si="42"/>
        <v>1364.6625727833755</v>
      </c>
      <c r="CC127" s="560">
        <v>50909</v>
      </c>
      <c r="CD127" s="155" t="str">
        <f t="shared" si="37"/>
        <v>28Y</v>
      </c>
      <c r="CE127" s="405">
        <v>0.34321673574386258</v>
      </c>
      <c r="CF127" s="284">
        <f>IF(CC127,_xll.qDateYears(CC126,CC127,CF$13),0)</f>
        <v>0.2388888888888889</v>
      </c>
      <c r="CG127" s="284">
        <f t="shared" si="43"/>
        <v>1776.7665144617331</v>
      </c>
      <c r="CO127" s="560">
        <v>50909</v>
      </c>
      <c r="CP127" s="155" t="str">
        <f t="shared" si="38"/>
        <v>28Y</v>
      </c>
      <c r="CQ127" s="405">
        <v>0.31229687963404079</v>
      </c>
      <c r="CR127" s="284">
        <f>IF(CO127,_xll.qDateYears(CO126,CO127,CR$13),0)</f>
        <v>0.23561643835616439</v>
      </c>
      <c r="CS127" s="284">
        <f t="shared" si="44"/>
        <v>1713.8911275540254</v>
      </c>
      <c r="DA127" s="560">
        <v>50909</v>
      </c>
      <c r="DB127" s="155" t="str">
        <f t="shared" si="39"/>
        <v>28Y</v>
      </c>
      <c r="DC127" s="405">
        <v>0.19012284756901832</v>
      </c>
      <c r="DD127" s="284">
        <f>IF(DA127,_xll.qDateYears(DA126,DA127,DD$13),0)</f>
        <v>0.23561643835616439</v>
      </c>
      <c r="DE127" s="284">
        <f t="shared" si="45"/>
        <v>1393.5791870348946</v>
      </c>
      <c r="DM127" s="560">
        <v>50909</v>
      </c>
      <c r="DN127" s="155" t="str">
        <f t="shared" si="40"/>
        <v>28Y</v>
      </c>
      <c r="DO127" s="405">
        <v>0.30652850869131426</v>
      </c>
      <c r="DP127" s="284">
        <f>IF(DM127,_xll.qDateYears(DM126,DM127,DP$13),0)</f>
        <v>0.2388888888888889</v>
      </c>
      <c r="DQ127" s="284">
        <f t="shared" si="46"/>
        <v>1765.141438712943</v>
      </c>
    </row>
    <row r="128" spans="59:121">
      <c r="BG128" s="560">
        <v>51001</v>
      </c>
      <c r="BH128" s="154" t="str">
        <f t="shared" si="35"/>
        <v>28.25Y</v>
      </c>
      <c r="BI128" s="405">
        <v>0.30307057626572287</v>
      </c>
      <c r="BJ128" s="284">
        <f>IF(BG128,_xll.qDateYears(BG127,BG128,$BJ$13),0)</f>
        <v>0.25555555555555554</v>
      </c>
      <c r="BK128" s="284">
        <f t="shared" si="41"/>
        <v>1772.8865756619559</v>
      </c>
      <c r="BQ128" s="560">
        <v>51001</v>
      </c>
      <c r="BR128" s="155" t="str">
        <f t="shared" si="36"/>
        <v>28.25Y</v>
      </c>
      <c r="BS128" s="405">
        <v>0.22337351613790235</v>
      </c>
      <c r="BT128" s="284">
        <f>IF(BQ128,_xll.qDateYears(BQ127,BQ128,BT$13),0)</f>
        <v>0.25205479452054796</v>
      </c>
      <c r="BU128" s="284">
        <f t="shared" si="42"/>
        <v>1370.2928093545227</v>
      </c>
      <c r="CC128" s="560">
        <v>51001</v>
      </c>
      <c r="CD128" s="155" t="str">
        <f t="shared" si="37"/>
        <v>28.25Y</v>
      </c>
      <c r="CE128" s="405">
        <v>0.34048234049181703</v>
      </c>
      <c r="CF128" s="284">
        <f>IF(CC128,_xll.qDateYears(CC127,CC128,CF$13),0)</f>
        <v>0.25555555555555554</v>
      </c>
      <c r="CG128" s="284">
        <f t="shared" si="43"/>
        <v>1785.4677298298573</v>
      </c>
      <c r="CO128" s="560">
        <v>51001</v>
      </c>
      <c r="CP128" s="155" t="str">
        <f t="shared" si="38"/>
        <v>28.25Y</v>
      </c>
      <c r="CQ128" s="405">
        <v>0.3090409452952344</v>
      </c>
      <c r="CR128" s="284">
        <f>IF(CO128,_xll.qDateYears(CO127,CO128,CR$13),0)</f>
        <v>0.25205479452054796</v>
      </c>
      <c r="CS128" s="284">
        <f t="shared" si="44"/>
        <v>1721.680652750508</v>
      </c>
      <c r="DA128" s="560">
        <v>51001</v>
      </c>
      <c r="DB128" s="155" t="str">
        <f t="shared" si="39"/>
        <v>28.25Y</v>
      </c>
      <c r="DC128" s="405">
        <v>0.18730523624974765</v>
      </c>
      <c r="DD128" s="284">
        <f>IF(DA128,_xll.qDateYears(DA127,DA128,DD$13),0)</f>
        <v>0.25205479452054796</v>
      </c>
      <c r="DE128" s="284">
        <f t="shared" si="45"/>
        <v>1398.30030531845</v>
      </c>
      <c r="DM128" s="560">
        <v>51001</v>
      </c>
      <c r="DN128" s="155" t="str">
        <f t="shared" si="40"/>
        <v>28.25Y</v>
      </c>
      <c r="DO128" s="405">
        <v>0.30307057626572287</v>
      </c>
      <c r="DP128" s="284">
        <f>IF(DM128,_xll.qDateYears(DM127,DM128,DP$13),0)</f>
        <v>0.25555555555555554</v>
      </c>
      <c r="DQ128" s="284">
        <f t="shared" si="46"/>
        <v>1772.8865756619559</v>
      </c>
    </row>
    <row r="129" spans="59:121">
      <c r="BG129" s="560">
        <v>51095</v>
      </c>
      <c r="BH129" s="154" t="str">
        <f t="shared" si="35"/>
        <v>28.5Y</v>
      </c>
      <c r="BI129" s="405">
        <v>0.2995738423654869</v>
      </c>
      <c r="BJ129" s="284">
        <f>IF(BG129,_xll.qDateYears(BG128,BG129,$BJ$13),0)</f>
        <v>0.26111111111111113</v>
      </c>
      <c r="BK129" s="284">
        <f t="shared" si="41"/>
        <v>1780.7087815459436</v>
      </c>
      <c r="BQ129" s="560">
        <v>51095</v>
      </c>
      <c r="BR129" s="155" t="str">
        <f t="shared" si="36"/>
        <v>28.5Y</v>
      </c>
      <c r="BS129" s="405">
        <v>0.22154876637277671</v>
      </c>
      <c r="BT129" s="284">
        <f>IF(BQ129,_xll.qDateYears(BQ128,BQ129,BT$13),0)</f>
        <v>0.25753424657534246</v>
      </c>
      <c r="BU129" s="284">
        <f t="shared" si="42"/>
        <v>1375.9984488172736</v>
      </c>
      <c r="CC129" s="560">
        <v>51095</v>
      </c>
      <c r="CD129" s="155" t="str">
        <f t="shared" si="37"/>
        <v>28.5Y</v>
      </c>
      <c r="CE129" s="405">
        <v>0.33772107846240196</v>
      </c>
      <c r="CF129" s="284">
        <f>IF(CC129,_xll.qDateYears(CC128,CC129,CF$13),0)</f>
        <v>0.26111111111111113</v>
      </c>
      <c r="CG129" s="284">
        <f t="shared" si="43"/>
        <v>1794.2860024341533</v>
      </c>
      <c r="CO129" s="560">
        <v>51095</v>
      </c>
      <c r="CP129" s="155" t="str">
        <f t="shared" si="38"/>
        <v>28.5Y</v>
      </c>
      <c r="CQ129" s="405">
        <v>0.30574921321009357</v>
      </c>
      <c r="CR129" s="284">
        <f>IF(CO129,_xll.qDateYears(CO128,CO129,CR$13),0)</f>
        <v>0.25753424657534246</v>
      </c>
      <c r="CS129" s="284">
        <f t="shared" si="44"/>
        <v>1729.5547420770145</v>
      </c>
      <c r="DA129" s="560">
        <v>51095</v>
      </c>
      <c r="DB129" s="155" t="str">
        <f t="shared" si="39"/>
        <v>28.5Y</v>
      </c>
      <c r="DC129" s="405">
        <v>0.18446949622795186</v>
      </c>
      <c r="DD129" s="284">
        <f>IF(DA129,_xll.qDateYears(DA128,DA129,DD$13),0)</f>
        <v>0.25753424657534246</v>
      </c>
      <c r="DE129" s="284">
        <f t="shared" si="45"/>
        <v>1403.0510265911698</v>
      </c>
      <c r="DM129" s="560">
        <v>51095</v>
      </c>
      <c r="DN129" s="155" t="str">
        <f t="shared" si="40"/>
        <v>28.5Y</v>
      </c>
      <c r="DO129" s="405">
        <v>0.2995738423654869</v>
      </c>
      <c r="DP129" s="284">
        <f>IF(DM129,_xll.qDateYears(DM128,DM129,DP$13),0)</f>
        <v>0.26111111111111113</v>
      </c>
      <c r="DQ129" s="284">
        <f t="shared" si="46"/>
        <v>1780.7087815459436</v>
      </c>
    </row>
    <row r="130" spans="59:121">
      <c r="BG130" s="560">
        <v>51187</v>
      </c>
      <c r="BH130" s="154" t="str">
        <f t="shared" si="35"/>
        <v>28.75Y</v>
      </c>
      <c r="BI130" s="405">
        <v>0.29618678699210027</v>
      </c>
      <c r="BJ130" s="284">
        <f>IF(BG130,_xll.qDateYears(BG129,BG130,$BJ$13),0)</f>
        <v>0.25555555555555554</v>
      </c>
      <c r="BK130" s="284">
        <f t="shared" si="41"/>
        <v>1788.2779994357418</v>
      </c>
      <c r="BQ130" s="560">
        <v>51187</v>
      </c>
      <c r="BR130" s="155" t="str">
        <f t="shared" si="36"/>
        <v>28.75Y</v>
      </c>
      <c r="BS130" s="405">
        <v>0.21979826475580225</v>
      </c>
      <c r="BT130" s="284">
        <f>IF(BQ130,_xll.qDateYears(BQ129,BQ130,BT$13),0)</f>
        <v>0.25205479452054796</v>
      </c>
      <c r="BU130" s="284">
        <f t="shared" si="42"/>
        <v>1381.5385694631732</v>
      </c>
      <c r="CC130" s="560">
        <v>51187</v>
      </c>
      <c r="CD130" s="155" t="str">
        <f t="shared" si="37"/>
        <v>28.75Y</v>
      </c>
      <c r="CE130" s="405">
        <v>0.3350500370924876</v>
      </c>
      <c r="CF130" s="284">
        <f>IF(CC130,_xll.qDateYears(CC129,CC130,CF$13),0)</f>
        <v>0.25555555555555554</v>
      </c>
      <c r="CG130" s="284">
        <f t="shared" si="43"/>
        <v>1802.8483922709613</v>
      </c>
      <c r="CO130" s="560">
        <v>51187</v>
      </c>
      <c r="CP130" s="155" t="str">
        <f t="shared" si="38"/>
        <v>28.75Y</v>
      </c>
      <c r="CQ130" s="405">
        <v>0.30256139907311191</v>
      </c>
      <c r="CR130" s="284">
        <f>IF(CO130,_xll.qDateYears(CO129,CO130,CR$13),0)</f>
        <v>0.25205479452054796</v>
      </c>
      <c r="CS130" s="284">
        <f t="shared" si="44"/>
        <v>1737.1809472043367</v>
      </c>
      <c r="DA130" s="560">
        <v>51187</v>
      </c>
      <c r="DB130" s="155" t="str">
        <f t="shared" si="39"/>
        <v>28.75Y</v>
      </c>
      <c r="DC130" s="405">
        <v>0.18173566729956198</v>
      </c>
      <c r="DD130" s="284">
        <f>IF(DA130,_xll.qDateYears(DA129,DA130,DD$13),0)</f>
        <v>0.25205479452054796</v>
      </c>
      <c r="DE130" s="284">
        <f t="shared" si="45"/>
        <v>1407.6317612189944</v>
      </c>
      <c r="DM130" s="560">
        <v>51187</v>
      </c>
      <c r="DN130" s="155" t="str">
        <f t="shared" si="40"/>
        <v>28.75Y</v>
      </c>
      <c r="DO130" s="405">
        <v>0.29618678699210027</v>
      </c>
      <c r="DP130" s="284">
        <f>IF(DM130,_xll.qDateYears(DM129,DM130,DP$13),0)</f>
        <v>0.25555555555555554</v>
      </c>
      <c r="DQ130" s="284">
        <f t="shared" si="46"/>
        <v>1788.2779994357418</v>
      </c>
    </row>
    <row r="131" spans="59:121">
      <c r="BG131" s="560">
        <v>51277</v>
      </c>
      <c r="BH131" s="154" t="str">
        <f t="shared" si="35"/>
        <v>29Y</v>
      </c>
      <c r="BI131" s="405">
        <v>0.2929068347177618</v>
      </c>
      <c r="BJ131" s="284">
        <f>IF(BG131,_xll.qDateYears(BG130,BG131,$BJ$13),0)</f>
        <v>0.25</v>
      </c>
      <c r="BK131" s="284">
        <f t="shared" si="41"/>
        <v>1795.6006703036858</v>
      </c>
      <c r="BQ131" s="560">
        <v>51277</v>
      </c>
      <c r="BR131" s="155" t="str">
        <f t="shared" si="36"/>
        <v>29Y</v>
      </c>
      <c r="BS131" s="405">
        <v>0.21811914047083769</v>
      </c>
      <c r="BT131" s="284">
        <f>IF(BQ131,_xll.qDateYears(BQ130,BQ131,BT$13),0)</f>
        <v>0.24657534246575341</v>
      </c>
      <c r="BU131" s="284">
        <f t="shared" si="42"/>
        <v>1386.9168496391665</v>
      </c>
      <c r="CC131" s="560">
        <v>51277</v>
      </c>
      <c r="CD131" s="155" t="str">
        <f t="shared" si="37"/>
        <v>29Y</v>
      </c>
      <c r="CE131" s="405">
        <v>0.33246679918001881</v>
      </c>
      <c r="CF131" s="284">
        <f>IF(CC131,_xll.qDateYears(CC130,CC131,CF$13),0)</f>
        <v>0.25</v>
      </c>
      <c r="CG131" s="284">
        <f t="shared" si="43"/>
        <v>1811.1600622504618</v>
      </c>
      <c r="CO131" s="560">
        <v>51277</v>
      </c>
      <c r="CP131" s="155" t="str">
        <f t="shared" si="38"/>
        <v>29Y</v>
      </c>
      <c r="CQ131" s="405">
        <v>0.29947498030054442</v>
      </c>
      <c r="CR131" s="284">
        <f>IF(CO131,_xll.qDateYears(CO130,CO131,CR$13),0)</f>
        <v>0.24657534246575341</v>
      </c>
      <c r="CS131" s="284">
        <f t="shared" si="44"/>
        <v>1744.5652617870899</v>
      </c>
      <c r="DA131" s="560">
        <v>51277</v>
      </c>
      <c r="DB131" s="155" t="str">
        <f t="shared" si="39"/>
        <v>29Y</v>
      </c>
      <c r="DC131" s="405">
        <v>0.17910047729758141</v>
      </c>
      <c r="DD131" s="284">
        <f>IF(DA131,_xll.qDateYears(DA130,DA131,DD$13),0)</f>
        <v>0.24657534246575341</v>
      </c>
      <c r="DE131" s="284">
        <f t="shared" si="45"/>
        <v>1412.0479373715375</v>
      </c>
      <c r="DM131" s="560">
        <v>51277</v>
      </c>
      <c r="DN131" s="155" t="str">
        <f t="shared" si="40"/>
        <v>29Y</v>
      </c>
      <c r="DO131" s="405">
        <v>0.2929068347177618</v>
      </c>
      <c r="DP131" s="284">
        <f>IF(DM131,_xll.qDateYears(DM130,DM131,DP$13),0)</f>
        <v>0.25</v>
      </c>
      <c r="DQ131" s="284">
        <f t="shared" si="46"/>
        <v>1795.6006703036858</v>
      </c>
    </row>
    <row r="132" spans="59:121">
      <c r="BG132" s="560">
        <v>51368</v>
      </c>
      <c r="BH132" s="154" t="str">
        <f t="shared" si="35"/>
        <v>29.25Y</v>
      </c>
      <c r="BI132" s="405">
        <v>0.2896238003517973</v>
      </c>
      <c r="BJ132" s="284">
        <f>IF(BG132,_xll.qDateYears(BG131,BG132,$BJ$13),0)</f>
        <v>0.25277777777777777</v>
      </c>
      <c r="BK132" s="284">
        <f t="shared" si="41"/>
        <v>1802.921716368134</v>
      </c>
      <c r="BQ132" s="560">
        <v>51368</v>
      </c>
      <c r="BR132" s="155" t="str">
        <f t="shared" si="36"/>
        <v>29.25Y</v>
      </c>
      <c r="BS132" s="405">
        <v>0.21645429891784912</v>
      </c>
      <c r="BT132" s="284">
        <f>IF(BQ132,_xll.qDateYears(BQ131,BQ132,BT$13),0)</f>
        <v>0.24931506849315069</v>
      </c>
      <c r="BU132" s="284">
        <f t="shared" si="42"/>
        <v>1392.3133814752005</v>
      </c>
      <c r="CC132" s="560">
        <v>51368</v>
      </c>
      <c r="CD132" s="155" t="str">
        <f t="shared" si="37"/>
        <v>29.25Y</v>
      </c>
      <c r="CE132" s="405">
        <v>0.32988438196998654</v>
      </c>
      <c r="CF132" s="284">
        <f>IF(CC132,_xll.qDateYears(CC131,CC132,CF$13),0)</f>
        <v>0.25277777777777777</v>
      </c>
      <c r="CG132" s="284">
        <f t="shared" si="43"/>
        <v>1819.4988063502587</v>
      </c>
      <c r="CO132" s="560">
        <v>51368</v>
      </c>
      <c r="CP132" s="155" t="str">
        <f t="shared" si="38"/>
        <v>29.25Y</v>
      </c>
      <c r="CQ132" s="405">
        <v>0.29638620991199488</v>
      </c>
      <c r="CR132" s="284">
        <f>IF(CO132,_xll.qDateYears(CO131,CO132,CR$13),0)</f>
        <v>0.24931506849315069</v>
      </c>
      <c r="CS132" s="284">
        <f t="shared" si="44"/>
        <v>1751.9546166095533</v>
      </c>
      <c r="DA132" s="560">
        <v>51368</v>
      </c>
      <c r="DB132" s="155" t="str">
        <f t="shared" si="39"/>
        <v>29.25Y</v>
      </c>
      <c r="DC132" s="405">
        <v>0.17647485510056063</v>
      </c>
      <c r="DD132" s="284">
        <f>IF(DA132,_xll.qDateYears(DA131,DA132,DD$13),0)</f>
        <v>0.24931506849315069</v>
      </c>
      <c r="DE132" s="284">
        <f t="shared" si="45"/>
        <v>1416.447721430209</v>
      </c>
      <c r="DM132" s="560">
        <v>51368</v>
      </c>
      <c r="DN132" s="155" t="str">
        <f t="shared" si="40"/>
        <v>29.25Y</v>
      </c>
      <c r="DO132" s="405">
        <v>0.2896238003517973</v>
      </c>
      <c r="DP132" s="284">
        <f>IF(DM132,_xll.qDateYears(DM131,DM132,DP$13),0)</f>
        <v>0.25277777777777777</v>
      </c>
      <c r="DQ132" s="284">
        <f t="shared" si="46"/>
        <v>1802.921716368134</v>
      </c>
    </row>
    <row r="133" spans="59:121">
      <c r="BG133" s="560">
        <v>51459</v>
      </c>
      <c r="BH133" s="154" t="str">
        <f t="shared" si="35"/>
        <v>29.5Y</v>
      </c>
      <c r="BI133" s="405">
        <v>0.28637401807474788</v>
      </c>
      <c r="BJ133" s="284">
        <f>IF(BG133,_xll.qDateYears(BG132,BG133,$BJ$13),0)</f>
        <v>0.25277777777777777</v>
      </c>
      <c r="BK133" s="284">
        <f t="shared" si="41"/>
        <v>1810.1606151583567</v>
      </c>
      <c r="BQ133" s="560">
        <v>51459</v>
      </c>
      <c r="BR133" s="155" t="str">
        <f t="shared" si="36"/>
        <v>29.5Y</v>
      </c>
      <c r="BS133" s="405">
        <v>0.2148220230234045</v>
      </c>
      <c r="BT133" s="284">
        <f>IF(BQ133,_xll.qDateYears(BQ132,BQ133,BT$13),0)</f>
        <v>0.24931506849315069</v>
      </c>
      <c r="BU133" s="284">
        <f t="shared" si="42"/>
        <v>1397.6692182135921</v>
      </c>
      <c r="CC133" s="560">
        <v>51459</v>
      </c>
      <c r="CD133" s="155" t="str">
        <f t="shared" si="37"/>
        <v>29.5Y</v>
      </c>
      <c r="CE133" s="405">
        <v>0.32733127676796892</v>
      </c>
      <c r="CF133" s="284">
        <f>IF(CC133,_xll.qDateYears(CC132,CC133,CF$13),0)</f>
        <v>0.25277777777777777</v>
      </c>
      <c r="CG133" s="284">
        <f t="shared" si="43"/>
        <v>1827.7730136241157</v>
      </c>
      <c r="CO133" s="560">
        <v>51459</v>
      </c>
      <c r="CP133" s="155" t="str">
        <f t="shared" si="38"/>
        <v>29.5Y</v>
      </c>
      <c r="CQ133" s="405">
        <v>0.29332922927936561</v>
      </c>
      <c r="CR133" s="284">
        <f>IF(CO133,_xll.qDateYears(CO132,CO133,CR$13),0)</f>
        <v>0.24931506849315069</v>
      </c>
      <c r="CS133" s="284">
        <f t="shared" si="44"/>
        <v>1759.2677562984361</v>
      </c>
      <c r="DA133" s="560">
        <v>51459</v>
      </c>
      <c r="DB133" s="155" t="str">
        <f t="shared" si="39"/>
        <v>29.5Y</v>
      </c>
      <c r="DC133" s="405">
        <v>0.17388772465981828</v>
      </c>
      <c r="DD133" s="284">
        <f>IF(DA133,_xll.qDateYears(DA132,DA133,DD$13),0)</f>
        <v>0.24931506849315069</v>
      </c>
      <c r="DE133" s="284">
        <f t="shared" si="45"/>
        <v>1420.783004428577</v>
      </c>
      <c r="DM133" s="560">
        <v>51459</v>
      </c>
      <c r="DN133" s="155" t="str">
        <f t="shared" si="40"/>
        <v>29.5Y</v>
      </c>
      <c r="DO133" s="405">
        <v>0.28637401807474788</v>
      </c>
      <c r="DP133" s="284">
        <f>IF(DM133,_xll.qDateYears(DM132,DM133,DP$13),0)</f>
        <v>0.25277777777777777</v>
      </c>
      <c r="DQ133" s="284">
        <f t="shared" si="46"/>
        <v>1810.1606151583567</v>
      </c>
    </row>
    <row r="134" spans="59:121">
      <c r="BG134" s="560">
        <v>51551</v>
      </c>
      <c r="BH134" s="154" t="str">
        <f t="shared" si="35"/>
        <v>29.75Y</v>
      </c>
      <c r="BI134" s="405">
        <v>0.28312202711948936</v>
      </c>
      <c r="BJ134" s="284">
        <f>IF(BG134,_xll.qDateYears(BG133,BG134,$BJ$13),0)</f>
        <v>0.25555555555555554</v>
      </c>
      <c r="BK134" s="284">
        <f t="shared" si="41"/>
        <v>1817.3959558514102</v>
      </c>
      <c r="BQ134" s="560">
        <v>51551</v>
      </c>
      <c r="BR134" s="155" t="str">
        <f t="shared" si="36"/>
        <v>29.75Y</v>
      </c>
      <c r="BS134" s="405">
        <v>0.21320435856807021</v>
      </c>
      <c r="BT134" s="284">
        <f>IF(BQ134,_xll.qDateYears(BQ133,BQ134,BT$13),0)</f>
        <v>0.25205479452054796</v>
      </c>
      <c r="BU134" s="284">
        <f t="shared" si="42"/>
        <v>1403.0431362925681</v>
      </c>
      <c r="CC134" s="560">
        <v>51551</v>
      </c>
      <c r="CD134" s="155" t="str">
        <f t="shared" si="37"/>
        <v>29.75Y</v>
      </c>
      <c r="CE134" s="405">
        <v>0.32477953445823526</v>
      </c>
      <c r="CF134" s="284">
        <f>IF(CC134,_xll.qDateYears(CC133,CC134,CF$13),0)</f>
        <v>0.25555555555555554</v>
      </c>
      <c r="CG134" s="284">
        <f t="shared" si="43"/>
        <v>1836.0729350602705</v>
      </c>
      <c r="CO134" s="560">
        <v>51551</v>
      </c>
      <c r="CP134" s="155" t="str">
        <f t="shared" si="38"/>
        <v>29.75Y</v>
      </c>
      <c r="CQ134" s="405">
        <v>0.29027063804574121</v>
      </c>
      <c r="CR134" s="284">
        <f>IF(CO134,_xll.qDateYears(CO133,CO134,CR$13),0)</f>
        <v>0.25205479452054796</v>
      </c>
      <c r="CS134" s="284">
        <f t="shared" si="44"/>
        <v>1766.5841669012329</v>
      </c>
      <c r="DA134" s="560">
        <v>51551</v>
      </c>
      <c r="DB134" s="155" t="str">
        <f t="shared" si="39"/>
        <v>29.75Y</v>
      </c>
      <c r="DC134" s="405">
        <v>0.17131071706947137</v>
      </c>
      <c r="DD134" s="284">
        <f>IF(DA134,_xll.qDateYears(DA133,DA134,DD$13),0)</f>
        <v>0.25205479452054796</v>
      </c>
      <c r="DE134" s="284">
        <f t="shared" si="45"/>
        <v>1425.1009731875884</v>
      </c>
      <c r="DM134" s="560">
        <v>51551</v>
      </c>
      <c r="DN134" s="155" t="str">
        <f t="shared" si="40"/>
        <v>29.75Y</v>
      </c>
      <c r="DO134" s="405">
        <v>0.28312202711948936</v>
      </c>
      <c r="DP134" s="284">
        <f>IF(DM134,_xll.qDateYears(DM133,DM134,DP$13),0)</f>
        <v>0.25555555555555554</v>
      </c>
      <c r="DQ134" s="284">
        <f t="shared" si="46"/>
        <v>1817.3959558514102</v>
      </c>
    </row>
    <row r="135" spans="59:121">
      <c r="BG135" s="560">
        <v>51641</v>
      </c>
      <c r="BH135" s="154" t="str">
        <f t="shared" si="35"/>
        <v>30Y</v>
      </c>
      <c r="BI135" s="405">
        <v>0.2799730396219075</v>
      </c>
      <c r="BJ135" s="284">
        <f>IF(BG135,_xll.qDateYears(BG134,BG135,$BJ$13),0)</f>
        <v>0.25</v>
      </c>
      <c r="BK135" s="284">
        <f t="shared" si="41"/>
        <v>1824.395281841958</v>
      </c>
      <c r="BQ135" s="560">
        <v>51641</v>
      </c>
      <c r="BR135" s="155" t="str">
        <f t="shared" si="36"/>
        <v>30Y</v>
      </c>
      <c r="BS135" s="405">
        <v>0.21165300160135117</v>
      </c>
      <c r="BT135" s="284">
        <f>IF(BQ135,_xll.qDateYears(BQ134,BQ135,BT$13),0)</f>
        <v>0.24657534246575341</v>
      </c>
      <c r="BU135" s="284">
        <f t="shared" si="42"/>
        <v>1408.2619774279437</v>
      </c>
      <c r="CC135" s="560">
        <v>51641</v>
      </c>
      <c r="CD135" s="155" t="str">
        <f t="shared" si="37"/>
        <v>30Y</v>
      </c>
      <c r="CE135" s="405">
        <v>0.32231152586600986</v>
      </c>
      <c r="CF135" s="284">
        <f>IF(CC135,_xll.qDateYears(CC134,CC135,CF$13),0)</f>
        <v>0.25</v>
      </c>
      <c r="CG135" s="284">
        <f t="shared" si="43"/>
        <v>1844.1307232069207</v>
      </c>
      <c r="CO135" s="560">
        <v>51641</v>
      </c>
      <c r="CP135" s="155" t="str">
        <f t="shared" si="38"/>
        <v>30Y</v>
      </c>
      <c r="CQ135" s="405">
        <v>0.28731117497676117</v>
      </c>
      <c r="CR135" s="284">
        <f>IF(CO135,_xll.qDateYears(CO134,CO135,CR$13),0)</f>
        <v>0.24657534246575341</v>
      </c>
      <c r="CS135" s="284">
        <f t="shared" si="44"/>
        <v>1773.6685520376464</v>
      </c>
      <c r="DA135" s="560">
        <v>51641</v>
      </c>
      <c r="DB135" s="155" t="str">
        <f t="shared" si="39"/>
        <v>30Y</v>
      </c>
      <c r="DC135" s="405">
        <v>0.16882669015520876</v>
      </c>
      <c r="DD135" s="284">
        <f>IF(DA135,_xll.qDateYears(DA134,DA135,DD$13),0)</f>
        <v>0.24657534246575341</v>
      </c>
      <c r="DE135" s="284">
        <f t="shared" si="45"/>
        <v>1429.2638230818263</v>
      </c>
      <c r="DM135" s="560">
        <v>51641</v>
      </c>
      <c r="DN135" s="155" t="str">
        <f t="shared" si="40"/>
        <v>30Y</v>
      </c>
      <c r="DO135" s="405">
        <v>0.2799730396219075</v>
      </c>
      <c r="DP135" s="284">
        <f>IF(DM135,_xll.qDateYears(DM134,DM135,DP$13),0)</f>
        <v>0.25</v>
      </c>
      <c r="DQ135" s="284">
        <f t="shared" si="46"/>
        <v>1824.395281841958</v>
      </c>
    </row>
    <row r="136" spans="59:121">
      <c r="BG136" s="560">
        <v>51732</v>
      </c>
      <c r="BH136" s="154" t="str">
        <f t="shared" si="35"/>
        <v>30.25Y</v>
      </c>
      <c r="BI136" s="405">
        <v>0.27714544846309108</v>
      </c>
      <c r="BJ136" s="284">
        <f>IF(BG136,_xll.qDateYears(BG135,BG136,$BJ$13),0)</f>
        <v>0.25277777777777777</v>
      </c>
      <c r="BK136" s="284">
        <f t="shared" si="41"/>
        <v>1831.4009029003305</v>
      </c>
      <c r="BQ136" s="560">
        <v>51732</v>
      </c>
      <c r="BR136" s="155" t="str">
        <f t="shared" si="36"/>
        <v>30.25Y</v>
      </c>
      <c r="BS136" s="405">
        <v>0.21010604392321988</v>
      </c>
      <c r="BT136" s="284">
        <f>IF(BQ136,_xll.qDateYears(BQ135,BQ136,BT$13),0)</f>
        <v>0.24931506849315069</v>
      </c>
      <c r="BU136" s="284">
        <f t="shared" si="42"/>
        <v>1413.5002377010981</v>
      </c>
      <c r="CC136" s="560">
        <v>51732</v>
      </c>
      <c r="CD136" s="155" t="str">
        <f t="shared" si="37"/>
        <v>30.25Y</v>
      </c>
      <c r="CE136" s="405">
        <v>0.31965033340490867</v>
      </c>
      <c r="CF136" s="284">
        <f>IF(CC136,_xll.qDateYears(CC135,CC136,CF$13),0)</f>
        <v>0.25277777777777777</v>
      </c>
      <c r="CG136" s="284">
        <f t="shared" si="43"/>
        <v>1852.2107733013227</v>
      </c>
      <c r="CO136" s="560">
        <v>51732</v>
      </c>
      <c r="CP136" s="155" t="str">
        <f t="shared" si="38"/>
        <v>30.25Y</v>
      </c>
      <c r="CQ136" s="405">
        <v>0.28440956252749866</v>
      </c>
      <c r="CR136" s="284">
        <f>IF(CO136,_xll.qDateYears(CO135,CO136,CR$13),0)</f>
        <v>0.24931506849315069</v>
      </c>
      <c r="CS136" s="284">
        <f t="shared" si="44"/>
        <v>1780.7593109938114</v>
      </c>
      <c r="DA136" s="560">
        <v>51732</v>
      </c>
      <c r="DB136" s="155" t="str">
        <f t="shared" si="39"/>
        <v>30.25Y</v>
      </c>
      <c r="DC136" s="405">
        <v>0.16635168220542784</v>
      </c>
      <c r="DD136" s="284">
        <f>IF(DA136,_xll.qDateYears(DA135,DA136,DD$13),0)</f>
        <v>0.24931506849315069</v>
      </c>
      <c r="DE136" s="284">
        <f t="shared" si="45"/>
        <v>1433.4112211861261</v>
      </c>
      <c r="DM136" s="560">
        <v>51732</v>
      </c>
      <c r="DN136" s="155" t="str">
        <f t="shared" si="40"/>
        <v>30.25Y</v>
      </c>
      <c r="DO136" s="405">
        <v>0.27714544846309108</v>
      </c>
      <c r="DP136" s="284">
        <f>IF(DM136,_xll.qDateYears(DM135,DM136,DP$13),0)</f>
        <v>0.25277777777777777</v>
      </c>
      <c r="DQ136" s="284">
        <f t="shared" si="46"/>
        <v>1831.4009029003305</v>
      </c>
    </row>
    <row r="137" spans="59:121">
      <c r="BG137" s="560">
        <v>51824</v>
      </c>
      <c r="BH137" s="154" t="str">
        <f t="shared" si="35"/>
        <v>30.5Y</v>
      </c>
      <c r="BI137" s="405">
        <v>0.27431773484307126</v>
      </c>
      <c r="BJ137" s="284">
        <f>IF(BG137,_xll.qDateYears(BG136,BG137,$BJ$13),0)</f>
        <v>0.25555555555555554</v>
      </c>
      <c r="BK137" s="284">
        <f t="shared" si="41"/>
        <v>1838.4112450129867</v>
      </c>
      <c r="BQ137" s="560">
        <v>51824</v>
      </c>
      <c r="BR137" s="155" t="str">
        <f t="shared" si="36"/>
        <v>30.5Y</v>
      </c>
      <c r="BS137" s="405">
        <v>0.20857303213483636</v>
      </c>
      <c r="BT137" s="284">
        <f>IF(BQ137,_xll.qDateYears(BQ136,BQ137,BT$13),0)</f>
        <v>0.25205479452054796</v>
      </c>
      <c r="BU137" s="284">
        <f t="shared" si="42"/>
        <v>1418.7574209768254</v>
      </c>
      <c r="CC137" s="560">
        <v>51824</v>
      </c>
      <c r="CD137" s="155" t="str">
        <f t="shared" si="37"/>
        <v>30.5Y</v>
      </c>
      <c r="CE137" s="405">
        <v>0.31698812107261781</v>
      </c>
      <c r="CF137" s="284">
        <f>IF(CC137,_xll.qDateYears(CC136,CC137,CF$13),0)</f>
        <v>0.25555555555555554</v>
      </c>
      <c r="CG137" s="284">
        <f t="shared" si="43"/>
        <v>1860.3115808398452</v>
      </c>
      <c r="CO137" s="560">
        <v>51824</v>
      </c>
      <c r="CP137" s="155" t="str">
        <f t="shared" si="38"/>
        <v>30.5Y</v>
      </c>
      <c r="CQ137" s="405">
        <v>0.28150681250647558</v>
      </c>
      <c r="CR137" s="284">
        <f>IF(CO137,_xll.qDateYears(CO136,CO137,CR$13),0)</f>
        <v>0.25205479452054796</v>
      </c>
      <c r="CS137" s="284">
        <f t="shared" si="44"/>
        <v>1787.8548251720567</v>
      </c>
      <c r="DA137" s="560">
        <v>51824</v>
      </c>
      <c r="DB137" s="155" t="str">
        <f t="shared" si="39"/>
        <v>30.5Y</v>
      </c>
      <c r="DC137" s="405">
        <v>0.16388635839634919</v>
      </c>
      <c r="DD137" s="284">
        <f>IF(DA137,_xll.qDateYears(DA136,DA137,DD$13),0)</f>
        <v>0.25205479452054796</v>
      </c>
      <c r="DE137" s="284">
        <f t="shared" si="45"/>
        <v>1437.5420554251573</v>
      </c>
      <c r="DM137" s="560">
        <v>51824</v>
      </c>
      <c r="DN137" s="155" t="str">
        <f t="shared" si="40"/>
        <v>30.5Y</v>
      </c>
      <c r="DO137" s="405">
        <v>0.27431773484307126</v>
      </c>
      <c r="DP137" s="284">
        <f>IF(DM137,_xll.qDateYears(DM136,DM137,DP$13),0)</f>
        <v>0.25555555555555554</v>
      </c>
      <c r="DQ137" s="284">
        <f t="shared" si="46"/>
        <v>1838.4112450129867</v>
      </c>
    </row>
    <row r="138" spans="59:121">
      <c r="BG138" s="560">
        <v>51916</v>
      </c>
      <c r="BH138" s="154" t="str">
        <f t="shared" si="35"/>
        <v>30.75Y</v>
      </c>
      <c r="BI138" s="405">
        <v>0.27152078448812411</v>
      </c>
      <c r="BJ138" s="284">
        <f>IF(BG138,_xll.qDateYears(BG137,BG138,$BJ$13),0)</f>
        <v>0.25555555555555554</v>
      </c>
      <c r="BK138" s="284">
        <f t="shared" si="41"/>
        <v>1845.350109505461</v>
      </c>
      <c r="BQ138" s="560">
        <v>51916</v>
      </c>
      <c r="BR138" s="155" t="str">
        <f t="shared" si="36"/>
        <v>30.75Y</v>
      </c>
      <c r="BS138" s="405">
        <v>0.20707062459079437</v>
      </c>
      <c r="BT138" s="284">
        <f>IF(BQ138,_xll.qDateYears(BQ137,BQ138,BT$13),0)</f>
        <v>0.25205479452054796</v>
      </c>
      <c r="BU138" s="284">
        <f t="shared" si="42"/>
        <v>1423.9767353500729</v>
      </c>
      <c r="CC138" s="560">
        <v>51916</v>
      </c>
      <c r="CD138" s="155" t="str">
        <f t="shared" si="37"/>
        <v>30.75Y</v>
      </c>
      <c r="CE138" s="405">
        <v>0.31435395287837958</v>
      </c>
      <c r="CF138" s="284">
        <f>IF(CC138,_xll.qDateYears(CC137,CC138,CF$13),0)</f>
        <v>0.25555555555555554</v>
      </c>
      <c r="CG138" s="284">
        <f t="shared" si="43"/>
        <v>1868.3450707467371</v>
      </c>
      <c r="CO138" s="560">
        <v>51916</v>
      </c>
      <c r="CP138" s="155" t="str">
        <f t="shared" si="38"/>
        <v>30.75Y</v>
      </c>
      <c r="CQ138" s="405">
        <v>0.27863464464688215</v>
      </c>
      <c r="CR138" s="284">
        <f>IF(CO138,_xll.qDateYears(CO137,CO138,CR$13),0)</f>
        <v>0.25205479452054796</v>
      </c>
      <c r="CS138" s="284">
        <f t="shared" si="44"/>
        <v>1794.8779449823344</v>
      </c>
      <c r="DA138" s="560">
        <v>51916</v>
      </c>
      <c r="DB138" s="155" t="str">
        <f t="shared" si="39"/>
        <v>30.75Y</v>
      </c>
      <c r="DC138" s="405">
        <v>0.16145757056576521</v>
      </c>
      <c r="DD138" s="284">
        <f>IF(DA138,_xll.qDateYears(DA137,DA138,DD$13),0)</f>
        <v>0.25205479452054796</v>
      </c>
      <c r="DE138" s="284">
        <f t="shared" si="45"/>
        <v>1441.6116709024313</v>
      </c>
      <c r="DM138" s="560">
        <v>51916</v>
      </c>
      <c r="DN138" s="155" t="str">
        <f t="shared" si="40"/>
        <v>30.75Y</v>
      </c>
      <c r="DO138" s="405">
        <v>0.27152078448812411</v>
      </c>
      <c r="DP138" s="284">
        <f>IF(DM138,_xll.qDateYears(DM137,DM138,DP$13),0)</f>
        <v>0.25555555555555554</v>
      </c>
      <c r="DQ138" s="284">
        <f t="shared" si="46"/>
        <v>1845.350109505461</v>
      </c>
    </row>
    <row r="139" spans="59:121">
      <c r="BG139" s="560">
        <v>52005</v>
      </c>
      <c r="BH139" s="154" t="str">
        <f t="shared" si="35"/>
        <v>31Y</v>
      </c>
      <c r="BI139" s="405">
        <v>0.26884398177393976</v>
      </c>
      <c r="BJ139" s="284">
        <f>IF(BG139,_xll.qDateYears(BG138,BG139,$BJ$13),0)</f>
        <v>0.24722222222222223</v>
      </c>
      <c r="BK139" s="284">
        <f t="shared" si="41"/>
        <v>1851.9965301659834</v>
      </c>
      <c r="BQ139" s="560">
        <v>52005</v>
      </c>
      <c r="BR139" s="155" t="str">
        <f t="shared" si="36"/>
        <v>31Y</v>
      </c>
      <c r="BS139" s="405">
        <v>0.2056458615234785</v>
      </c>
      <c r="BT139" s="284">
        <f>IF(BQ139,_xll.qDateYears(BQ138,BQ139,BT$13),0)</f>
        <v>0.24383561643835616</v>
      </c>
      <c r="BU139" s="284">
        <f t="shared" si="42"/>
        <v>1428.9911138913303</v>
      </c>
      <c r="CC139" s="560">
        <v>52005</v>
      </c>
      <c r="CD139" s="155" t="str">
        <f t="shared" si="37"/>
        <v>31Y</v>
      </c>
      <c r="CE139" s="405">
        <v>0.31183205723236312</v>
      </c>
      <c r="CF139" s="284">
        <f>IF(CC139,_xll.qDateYears(CC138,CC139,CF$13),0)</f>
        <v>0.24722222222222223</v>
      </c>
      <c r="CG139" s="284">
        <f t="shared" si="43"/>
        <v>1876.0542521616483</v>
      </c>
      <c r="CO139" s="560">
        <v>52005</v>
      </c>
      <c r="CP139" s="155" t="str">
        <f t="shared" si="38"/>
        <v>31Y</v>
      </c>
      <c r="CQ139" s="405">
        <v>0.27588492480456211</v>
      </c>
      <c r="CR139" s="284">
        <f>IF(CO139,_xll.qDateYears(CO138,CO139,CR$13),0)</f>
        <v>0.24383561643835616</v>
      </c>
      <c r="CS139" s="284">
        <f t="shared" si="44"/>
        <v>1801.6050020529115</v>
      </c>
      <c r="DA139" s="560">
        <v>52005</v>
      </c>
      <c r="DB139" s="155" t="str">
        <f t="shared" si="39"/>
        <v>31Y</v>
      </c>
      <c r="DC139" s="405">
        <v>0.15914224092996182</v>
      </c>
      <c r="DD139" s="284">
        <f>IF(DA139,_xll.qDateYears(DA138,DA139,DD$13),0)</f>
        <v>0.24383561643835616</v>
      </c>
      <c r="DE139" s="284">
        <f t="shared" si="45"/>
        <v>1445.4921255442853</v>
      </c>
      <c r="DM139" s="560">
        <v>52005</v>
      </c>
      <c r="DN139" s="155" t="str">
        <f t="shared" si="40"/>
        <v>31Y</v>
      </c>
      <c r="DO139" s="405">
        <v>0.26884398177393976</v>
      </c>
      <c r="DP139" s="284">
        <f>IF(DM139,_xll.qDateYears(DM138,DM139,DP$13),0)</f>
        <v>0.24722222222222223</v>
      </c>
      <c r="DQ139" s="284">
        <f t="shared" si="46"/>
        <v>1851.9965301659834</v>
      </c>
    </row>
    <row r="140" spans="59:121">
      <c r="BG140" s="560">
        <v>52097</v>
      </c>
      <c r="BH140" s="154" t="str">
        <f t="shared" si="35"/>
        <v>31.25Y</v>
      </c>
      <c r="BI140" s="405">
        <v>0.26610652882429386</v>
      </c>
      <c r="BJ140" s="284">
        <f>IF(BG140,_xll.qDateYears(BG139,BG140,$BJ$13),0)</f>
        <v>0.25555555555555554</v>
      </c>
      <c r="BK140" s="284">
        <f t="shared" si="41"/>
        <v>1858.7970303470486</v>
      </c>
      <c r="BQ140" s="560">
        <v>52097</v>
      </c>
      <c r="BR140" s="155" t="str">
        <f t="shared" si="36"/>
        <v>31.25Y</v>
      </c>
      <c r="BS140" s="405">
        <v>0.20420221655743218</v>
      </c>
      <c r="BT140" s="284">
        <f>IF(BQ140,_xll.qDateYears(BQ139,BQ140,BT$13),0)</f>
        <v>0.25205479452054796</v>
      </c>
      <c r="BU140" s="284">
        <f t="shared" si="42"/>
        <v>1434.1381286648327</v>
      </c>
      <c r="CC140" s="560">
        <v>52097</v>
      </c>
      <c r="CD140" s="155" t="str">
        <f t="shared" si="37"/>
        <v>31.25Y</v>
      </c>
      <c r="CE140" s="405">
        <v>0.30925210077363913</v>
      </c>
      <c r="CF140" s="284">
        <f>IF(CC140,_xll.qDateYears(CC139,CC140,CF$13),0)</f>
        <v>0.25555555555555554</v>
      </c>
      <c r="CG140" s="284">
        <f t="shared" si="43"/>
        <v>1883.9573614036412</v>
      </c>
      <c r="CO140" s="560">
        <v>52097</v>
      </c>
      <c r="CP140" s="155" t="str">
        <f t="shared" si="38"/>
        <v>31.25Y</v>
      </c>
      <c r="CQ140" s="405">
        <v>0.27307195946477442</v>
      </c>
      <c r="CR140" s="284">
        <f>IF(CO140,_xll.qDateYears(CO139,CO140,CR$13),0)</f>
        <v>0.25205479452054796</v>
      </c>
      <c r="CS140" s="284">
        <f t="shared" si="44"/>
        <v>1808.4879117161331</v>
      </c>
      <c r="DA140" s="560">
        <v>52097</v>
      </c>
      <c r="DB140" s="155" t="str">
        <f t="shared" si="39"/>
        <v>31.25Y</v>
      </c>
      <c r="DC140" s="405">
        <v>0.15678376068862421</v>
      </c>
      <c r="DD140" s="284">
        <f>IF(DA140,_xll.qDateYears(DA139,DA140,DD$13),0)</f>
        <v>0.25205479452054796</v>
      </c>
      <c r="DE140" s="284">
        <f t="shared" si="45"/>
        <v>1449.4439354027384</v>
      </c>
      <c r="DM140" s="560">
        <v>52097</v>
      </c>
      <c r="DN140" s="155" t="str">
        <f t="shared" si="40"/>
        <v>31.25Y</v>
      </c>
      <c r="DO140" s="405">
        <v>0.26610652882429386</v>
      </c>
      <c r="DP140" s="284">
        <f>IF(DM140,_xll.qDateYears(DM139,DM140,DP$13),0)</f>
        <v>0.25555555555555554</v>
      </c>
      <c r="DQ140" s="284">
        <f t="shared" si="46"/>
        <v>1858.7970303470486</v>
      </c>
    </row>
    <row r="141" spans="59:121">
      <c r="BG141" s="560">
        <v>52189</v>
      </c>
      <c r="BH141" s="154" t="str">
        <f t="shared" si="35"/>
        <v>31.5Y</v>
      </c>
      <c r="BI141" s="405">
        <v>0.2633988044197012</v>
      </c>
      <c r="BJ141" s="284">
        <f>IF(BG141,_xll.qDateYears(BG140,BG141,$BJ$13),0)</f>
        <v>0.25555555555555554</v>
      </c>
      <c r="BK141" s="284">
        <f t="shared" si="41"/>
        <v>1865.5283331266633</v>
      </c>
      <c r="BQ141" s="560">
        <v>52189</v>
      </c>
      <c r="BR141" s="155" t="str">
        <f t="shared" si="36"/>
        <v>31.5Y</v>
      </c>
      <c r="BS141" s="405">
        <v>0.202787727162305</v>
      </c>
      <c r="BT141" s="284">
        <f>IF(BQ141,_xll.qDateYears(BQ140,BQ141,BT$13),0)</f>
        <v>0.25205479452054796</v>
      </c>
      <c r="BU141" s="284">
        <f t="shared" si="42"/>
        <v>1439.2494905549511</v>
      </c>
      <c r="CC141" s="560">
        <v>52189</v>
      </c>
      <c r="CD141" s="155" t="str">
        <f t="shared" si="37"/>
        <v>31.5Y</v>
      </c>
      <c r="CE141" s="405">
        <v>0.30669921881382539</v>
      </c>
      <c r="CF141" s="284">
        <f>IF(CC141,_xll.qDateYears(CC140,CC141,CF$13),0)</f>
        <v>0.25555555555555554</v>
      </c>
      <c r="CG141" s="284">
        <f t="shared" si="43"/>
        <v>1891.7952303288835</v>
      </c>
      <c r="CO141" s="560">
        <v>52189</v>
      </c>
      <c r="CP141" s="155" t="str">
        <f t="shared" si="38"/>
        <v>31.5Y</v>
      </c>
      <c r="CQ141" s="405">
        <v>0.27028860294625556</v>
      </c>
      <c r="CR141" s="284">
        <f>IF(CO141,_xll.qDateYears(CO140,CO141,CR$13),0)</f>
        <v>0.25205479452054796</v>
      </c>
      <c r="CS141" s="284">
        <f t="shared" si="44"/>
        <v>1815.3006655438196</v>
      </c>
      <c r="DA141" s="560">
        <v>52189</v>
      </c>
      <c r="DB141" s="155" t="str">
        <f t="shared" si="39"/>
        <v>31.5Y</v>
      </c>
      <c r="DC141" s="405">
        <v>0.15446023300932346</v>
      </c>
      <c r="DD141" s="284">
        <f>IF(DA141,_xll.qDateYears(DA140,DA141,DD$13),0)</f>
        <v>0.25205479452054796</v>
      </c>
      <c r="DE141" s="284">
        <f t="shared" si="45"/>
        <v>1453.3371796320146</v>
      </c>
      <c r="DM141" s="560">
        <v>52189</v>
      </c>
      <c r="DN141" s="155" t="str">
        <f t="shared" si="40"/>
        <v>31.5Y</v>
      </c>
      <c r="DO141" s="405">
        <v>0.2633988044197012</v>
      </c>
      <c r="DP141" s="284">
        <f>IF(DM141,_xll.qDateYears(DM140,DM141,DP$13),0)</f>
        <v>0.25555555555555554</v>
      </c>
      <c r="DQ141" s="284">
        <f t="shared" si="46"/>
        <v>1865.5283331266633</v>
      </c>
    </row>
    <row r="142" spans="59:121">
      <c r="BG142" s="560">
        <v>52281</v>
      </c>
      <c r="BH142" s="154" t="str">
        <f t="shared" si="35"/>
        <v>31.75Y</v>
      </c>
      <c r="BI142" s="405">
        <v>0.26072046812784461</v>
      </c>
      <c r="BJ142" s="284">
        <f>IF(BG142,_xll.qDateYears(BG141,BG142,$BJ$13),0)</f>
        <v>0.25555555555555554</v>
      </c>
      <c r="BK142" s="284">
        <f t="shared" si="41"/>
        <v>1872.1911895343749</v>
      </c>
      <c r="BQ142" s="560">
        <v>52281</v>
      </c>
      <c r="BR142" s="155" t="str">
        <f t="shared" si="36"/>
        <v>31.75Y</v>
      </c>
      <c r="BS142" s="405">
        <v>0.2014019282373925</v>
      </c>
      <c r="BT142" s="284">
        <f>IF(BQ142,_xll.qDateYears(BQ141,BQ142,BT$13),0)</f>
        <v>0.25205479452054796</v>
      </c>
      <c r="BU142" s="284">
        <f t="shared" si="42"/>
        <v>1444.325922718743</v>
      </c>
      <c r="CC142" s="560">
        <v>52281</v>
      </c>
      <c r="CD142" s="155" t="str">
        <f t="shared" si="37"/>
        <v>31.75Y</v>
      </c>
      <c r="CE142" s="405">
        <v>0.30417309294694173</v>
      </c>
      <c r="CF142" s="284">
        <f>IF(CC142,_xll.qDateYears(CC141,CC142,CF$13),0)</f>
        <v>0.25555555555555554</v>
      </c>
      <c r="CG142" s="284">
        <f t="shared" si="43"/>
        <v>1899.5685427041942</v>
      </c>
      <c r="CO142" s="560">
        <v>52281</v>
      </c>
      <c r="CP142" s="155" t="str">
        <f t="shared" si="38"/>
        <v>31.75Y</v>
      </c>
      <c r="CQ142" s="405">
        <v>0.26753453445299508</v>
      </c>
      <c r="CR142" s="284">
        <f>IF(CO142,_xll.qDateYears(CO141,CO142,CR$13),0)</f>
        <v>0.25205479452054796</v>
      </c>
      <c r="CS142" s="284">
        <f t="shared" si="44"/>
        <v>1822.0440017546896</v>
      </c>
      <c r="DA142" s="560">
        <v>52281</v>
      </c>
      <c r="DB142" s="155" t="str">
        <f t="shared" si="39"/>
        <v>31.75Y</v>
      </c>
      <c r="DC142" s="405">
        <v>0.15217113989679645</v>
      </c>
      <c r="DD142" s="284">
        <f>IF(DA142,_xll.qDateYears(DA141,DA142,DD$13),0)</f>
        <v>0.25205479452054796</v>
      </c>
      <c r="DE142" s="284">
        <f t="shared" si="45"/>
        <v>1457.172726171879</v>
      </c>
      <c r="DM142" s="560">
        <v>52281</v>
      </c>
      <c r="DN142" s="155" t="str">
        <f t="shared" si="40"/>
        <v>31.75Y</v>
      </c>
      <c r="DO142" s="405">
        <v>0.26072046812784461</v>
      </c>
      <c r="DP142" s="284">
        <f>IF(DM142,_xll.qDateYears(DM141,DM142,DP$13),0)</f>
        <v>0.25555555555555554</v>
      </c>
      <c r="DQ142" s="284">
        <f t="shared" si="46"/>
        <v>1872.1911895343749</v>
      </c>
    </row>
    <row r="143" spans="59:121">
      <c r="BG143" s="560">
        <v>52370</v>
      </c>
      <c r="BH143" s="154" t="str">
        <f t="shared" ref="BH143:BH206" si="47">IF(BG143,ROUND((BG143-$BG$15)/365/0.25,0)*0.25&amp;"Y","")</f>
        <v>32Y</v>
      </c>
      <c r="BI143" s="405">
        <v>0.25815711853349577</v>
      </c>
      <c r="BJ143" s="284">
        <f>IF(BG143,_xll.qDateYears(BG142,BG143,$BJ$13),0)</f>
        <v>0.24722222222222223</v>
      </c>
      <c r="BK143" s="284">
        <f t="shared" si="41"/>
        <v>1878.5734071870086</v>
      </c>
      <c r="BQ143" s="560">
        <v>52370</v>
      </c>
      <c r="BR143" s="155" t="str">
        <f t="shared" ref="BR143:BR206" si="48">IF(BQ143,ROUND((BQ143-$BG$15)/365/0.25,0)*0.25&amp;"Y","")</f>
        <v>32Y</v>
      </c>
      <c r="BS143" s="405">
        <v>0.20008819348225626</v>
      </c>
      <c r="BT143" s="284">
        <f>IF(BQ143,_xll.qDateYears(BQ142,BQ143,BT$13),0)</f>
        <v>0.24383561643835616</v>
      </c>
      <c r="BU143" s="284">
        <f t="shared" si="42"/>
        <v>1449.2047855187213</v>
      </c>
      <c r="CC143" s="560">
        <v>52370</v>
      </c>
      <c r="CD143" s="155" t="str">
        <f t="shared" ref="CD143:CD206" si="49">IF(CC143,ROUND((CC143-$BG$15)/365/0.25,0)*0.25&amp;"Y","")</f>
        <v>32Y</v>
      </c>
      <c r="CE143" s="405">
        <v>0.30175450648211793</v>
      </c>
      <c r="CF143" s="284">
        <f>IF(CC143,_xll.qDateYears(CC142,CC143,CF$13),0)</f>
        <v>0.24722222222222223</v>
      </c>
      <c r="CG143" s="284">
        <f t="shared" si="43"/>
        <v>1907.0285846700021</v>
      </c>
      <c r="CO143" s="560">
        <v>52370</v>
      </c>
      <c r="CP143" s="155" t="str">
        <f t="shared" ref="CP143:CP206" si="50">IF(CO143,ROUND((CO143-$BG$15)/365/0.25,0)*0.25&amp;"Y","")</f>
        <v>32Y</v>
      </c>
      <c r="CQ143" s="405">
        <v>0.26489784494640173</v>
      </c>
      <c r="CR143" s="284">
        <f>IF(CO143,_xll.qDateYears(CO142,CO143,CR$13),0)</f>
        <v>0.24383561643835616</v>
      </c>
      <c r="CS143" s="284">
        <f t="shared" si="44"/>
        <v>1828.5031546862594</v>
      </c>
      <c r="DA143" s="560">
        <v>52370</v>
      </c>
      <c r="DB143" s="155" t="str">
        <f t="shared" ref="DB143:DB206" si="51">IF(DA143,ROUND((DA143-$BG$15)/365/0.25,0)*0.25&amp;"Y","")</f>
        <v>32Y</v>
      </c>
      <c r="DC143" s="405">
        <v>0.14998897929149041</v>
      </c>
      <c r="DD143" s="284">
        <f>IF(DA143,_xll.qDateYears(DA142,DA143,DD$13),0)</f>
        <v>0.24383561643835616</v>
      </c>
      <c r="DE143" s="284">
        <f t="shared" si="45"/>
        <v>1460.829991694329</v>
      </c>
      <c r="DM143" s="560">
        <v>52370</v>
      </c>
      <c r="DN143" s="155" t="str">
        <f t="shared" ref="DN143:DN206" si="52">IF(DM143,ROUND((DM143-$BG$15)/365/0.25,0)*0.25&amp;"Y","")</f>
        <v>32Y</v>
      </c>
      <c r="DO143" s="405">
        <v>0.25815711853349577</v>
      </c>
      <c r="DP143" s="284">
        <f>IF(DM143,_xll.qDateYears(DM142,DM143,DP$13),0)</f>
        <v>0.24722222222222223</v>
      </c>
      <c r="DQ143" s="284">
        <f t="shared" si="46"/>
        <v>1878.5734071870086</v>
      </c>
    </row>
    <row r="144" spans="59:121">
      <c r="BG144" s="560">
        <v>52462</v>
      </c>
      <c r="BH144" s="154" t="str">
        <f t="shared" si="47"/>
        <v>32.25Y</v>
      </c>
      <c r="BI144" s="405">
        <v>0.255535622137186</v>
      </c>
      <c r="BJ144" s="284">
        <f>IF(BG144,_xll.qDateYears(BG143,BG144,$BJ$13),0)</f>
        <v>0.25555555555555554</v>
      </c>
      <c r="BK144" s="284">
        <f t="shared" si="41"/>
        <v>1885.1037619749588</v>
      </c>
      <c r="BQ144" s="560">
        <v>52462</v>
      </c>
      <c r="BR144" s="155" t="str">
        <f t="shared" si="48"/>
        <v>32.25Y</v>
      </c>
      <c r="BS144" s="405">
        <v>0.19875752538808519</v>
      </c>
      <c r="BT144" s="284">
        <f>IF(BQ144,_xll.qDateYears(BQ143,BQ144,BT$13),0)</f>
        <v>0.25205479452054796</v>
      </c>
      <c r="BU144" s="284">
        <f t="shared" si="42"/>
        <v>1454.214564240832</v>
      </c>
      <c r="CC144" s="560">
        <v>52462</v>
      </c>
      <c r="CD144" s="155" t="str">
        <f t="shared" si="49"/>
        <v>32.25Y</v>
      </c>
      <c r="CE144" s="405">
        <v>0.29928010672828304</v>
      </c>
      <c r="CF144" s="284">
        <f>IF(CC144,_xll.qDateYears(CC143,CC144,CF$13),0)</f>
        <v>0.25555555555555554</v>
      </c>
      <c r="CG144" s="284">
        <f t="shared" si="43"/>
        <v>1914.6768540641694</v>
      </c>
      <c r="CO144" s="560">
        <v>52462</v>
      </c>
      <c r="CP144" s="155" t="str">
        <f t="shared" si="50"/>
        <v>32.25Y</v>
      </c>
      <c r="CQ144" s="405">
        <v>0.26220047479252268</v>
      </c>
      <c r="CR144" s="284">
        <f>IF(CO144,_xll.qDateYears(CO143,CO144,CR$13),0)</f>
        <v>0.25205479452054796</v>
      </c>
      <c r="CS144" s="284">
        <f t="shared" si="44"/>
        <v>1835.1120433659614</v>
      </c>
      <c r="DA144" s="560">
        <v>52462</v>
      </c>
      <c r="DB144" s="155" t="str">
        <f t="shared" si="51"/>
        <v>32.25Y</v>
      </c>
      <c r="DC144" s="405">
        <v>0.14776614994077733</v>
      </c>
      <c r="DD144" s="284">
        <f>IF(DA144,_xll.qDateYears(DA143,DA144,DD$13),0)</f>
        <v>0.25205479452054796</v>
      </c>
      <c r="DE144" s="284">
        <f t="shared" si="45"/>
        <v>1464.5545083503705</v>
      </c>
      <c r="DM144" s="560">
        <v>52462</v>
      </c>
      <c r="DN144" s="155" t="str">
        <f t="shared" si="52"/>
        <v>32.25Y</v>
      </c>
      <c r="DO144" s="405">
        <v>0.255535622137186</v>
      </c>
      <c r="DP144" s="284">
        <f>IF(DM144,_xll.qDateYears(DM143,DM144,DP$13),0)</f>
        <v>0.25555555555555554</v>
      </c>
      <c r="DQ144" s="284">
        <f t="shared" si="46"/>
        <v>1885.1037619749588</v>
      </c>
    </row>
    <row r="145" spans="59:121">
      <c r="BG145" s="560">
        <v>52554</v>
      </c>
      <c r="BH145" s="154" t="str">
        <f t="shared" si="47"/>
        <v>32.5Y</v>
      </c>
      <c r="BI145" s="405">
        <v>0.25294252747986506</v>
      </c>
      <c r="BJ145" s="284">
        <f>IF(BG145,_xll.qDateYears(BG144,BG145,$BJ$13),0)</f>
        <v>0.25555555555555554</v>
      </c>
      <c r="BK145" s="284">
        <f t="shared" ref="BK145:BK208" si="53">BK144+BJ145*BI145*100</f>
        <v>1891.5678487883331</v>
      </c>
      <c r="BQ145" s="560">
        <v>52554</v>
      </c>
      <c r="BR145" s="155" t="str">
        <f t="shared" si="48"/>
        <v>32.5Y</v>
      </c>
      <c r="BS145" s="405">
        <v>0.19745423273213047</v>
      </c>
      <c r="BT145" s="284">
        <f>IF(BQ145,_xll.qDateYears(BQ144,BQ145,BT$13),0)</f>
        <v>0.25205479452054796</v>
      </c>
      <c r="BU145" s="284">
        <f t="shared" ref="BU145:BU208" si="54">BU144+BT145*BS145*100</f>
        <v>1459.1914928466831</v>
      </c>
      <c r="CC145" s="560">
        <v>52554</v>
      </c>
      <c r="CD145" s="155" t="str">
        <f t="shared" si="49"/>
        <v>32.5Y</v>
      </c>
      <c r="CE145" s="405">
        <v>0.29683154224535113</v>
      </c>
      <c r="CF145" s="284">
        <f>IF(CC145,_xll.qDateYears(CC144,CC145,CF$13),0)</f>
        <v>0.25555555555555554</v>
      </c>
      <c r="CG145" s="284">
        <f t="shared" ref="CG145:CG208" si="55">CG144+CF145*CE145*100</f>
        <v>1922.2625490326618</v>
      </c>
      <c r="CO145" s="560">
        <v>52554</v>
      </c>
      <c r="CP145" s="155" t="str">
        <f t="shared" si="50"/>
        <v>32.5Y</v>
      </c>
      <c r="CQ145" s="405">
        <v>0.25953146158930068</v>
      </c>
      <c r="CR145" s="284">
        <f>IF(CO145,_xll.qDateYears(CO144,CO145,CR$13),0)</f>
        <v>0.25205479452054796</v>
      </c>
      <c r="CS145" s="284">
        <f t="shared" ref="CS145:CS208" si="56">CS144+CR145*CQ145*100</f>
        <v>1841.6536582882122</v>
      </c>
      <c r="DA145" s="560">
        <v>52554</v>
      </c>
      <c r="DB145" s="155" t="str">
        <f t="shared" si="51"/>
        <v>32.5Y</v>
      </c>
      <c r="DC145" s="405">
        <v>0.14557626281252437</v>
      </c>
      <c r="DD145" s="284">
        <f>IF(DA145,_xll.qDateYears(DA144,DA145,DD$13),0)</f>
        <v>0.25205479452054796</v>
      </c>
      <c r="DE145" s="284">
        <f t="shared" ref="DE145:DE208" si="57">DE144+DD145*DC145*100</f>
        <v>1468.2238278513985</v>
      </c>
      <c r="DM145" s="560">
        <v>52554</v>
      </c>
      <c r="DN145" s="155" t="str">
        <f t="shared" si="52"/>
        <v>32.5Y</v>
      </c>
      <c r="DO145" s="405">
        <v>0.25294252747986506</v>
      </c>
      <c r="DP145" s="284">
        <f>IF(DM145,_xll.qDateYears(DM144,DM145,DP$13),0)</f>
        <v>0.25555555555555554</v>
      </c>
      <c r="DQ145" s="284">
        <f t="shared" ref="DQ145:DQ208" si="58">DQ144+DP145*DO145*100</f>
        <v>1891.5678487883331</v>
      </c>
    </row>
    <row r="146" spans="59:121">
      <c r="BG146" s="560">
        <v>52646</v>
      </c>
      <c r="BH146" s="154" t="str">
        <f t="shared" si="47"/>
        <v>32.75Y</v>
      </c>
      <c r="BI146" s="405">
        <v>0.25037751002009789</v>
      </c>
      <c r="BJ146" s="284">
        <f>IF(BG146,_xll.qDateYears(BG145,BG146,$BJ$13),0)</f>
        <v>0.25555555555555554</v>
      </c>
      <c r="BK146" s="284">
        <f t="shared" si="53"/>
        <v>1897.9663851555133</v>
      </c>
      <c r="BQ146" s="560">
        <v>52646</v>
      </c>
      <c r="BR146" s="155" t="str">
        <f t="shared" si="48"/>
        <v>32.75Y</v>
      </c>
      <c r="BS146" s="405">
        <v>0.19617789350909703</v>
      </c>
      <c r="BT146" s="284">
        <f>IF(BQ146,_xll.qDateYears(BQ145,BQ146,BT$13),0)</f>
        <v>0.25205479452054796</v>
      </c>
      <c r="BU146" s="284">
        <f t="shared" si="54"/>
        <v>1464.1362507104741</v>
      </c>
      <c r="CC146" s="560">
        <v>52646</v>
      </c>
      <c r="CD146" s="155" t="str">
        <f t="shared" si="49"/>
        <v>32.75Y</v>
      </c>
      <c r="CE146" s="405">
        <v>0.29440851062665935</v>
      </c>
      <c r="CF146" s="284">
        <f>IF(CC146,_xll.qDateYears(CC145,CC146,CF$13),0)</f>
        <v>0.25555555555555554</v>
      </c>
      <c r="CG146" s="284">
        <f t="shared" si="55"/>
        <v>1929.7863220820097</v>
      </c>
      <c r="CO146" s="560">
        <v>52646</v>
      </c>
      <c r="CP146" s="155" t="str">
        <f t="shared" si="50"/>
        <v>32.75Y</v>
      </c>
      <c r="CQ146" s="405">
        <v>0.25689049846307627</v>
      </c>
      <c r="CR146" s="284">
        <f>IF(CO146,_xll.qDateYears(CO145,CO146,CR$13),0)</f>
        <v>0.25205479452054796</v>
      </c>
      <c r="CS146" s="284">
        <f t="shared" si="56"/>
        <v>1848.1287064686514</v>
      </c>
      <c r="DA146" s="560">
        <v>52646</v>
      </c>
      <c r="DB146" s="155" t="str">
        <f t="shared" si="51"/>
        <v>32.75Y</v>
      </c>
      <c r="DC146" s="405">
        <v>0.14341882970460298</v>
      </c>
      <c r="DD146" s="284">
        <f>IF(DA146,_xll.qDateYears(DA145,DA146,DD$13),0)</f>
        <v>0.25205479452054796</v>
      </c>
      <c r="DE146" s="284">
        <f t="shared" si="57"/>
        <v>1471.8387682165555</v>
      </c>
      <c r="DM146" s="560">
        <v>52646</v>
      </c>
      <c r="DN146" s="155" t="str">
        <f t="shared" si="52"/>
        <v>32.75Y</v>
      </c>
      <c r="DO146" s="405">
        <v>0.25037751002009789</v>
      </c>
      <c r="DP146" s="284">
        <f>IF(DM146,_xll.qDateYears(DM145,DM146,DP$13),0)</f>
        <v>0.25555555555555554</v>
      </c>
      <c r="DQ146" s="284">
        <f t="shared" si="58"/>
        <v>1897.9663851555133</v>
      </c>
    </row>
    <row r="147" spans="59:121">
      <c r="BG147" s="560">
        <v>52736</v>
      </c>
      <c r="BH147" s="154" t="str">
        <f t="shared" si="47"/>
        <v>33Y</v>
      </c>
      <c r="BI147" s="405">
        <v>0.24789511403023975</v>
      </c>
      <c r="BJ147" s="284">
        <f>IF(BG147,_xll.qDateYears(BG146,BG147,$BJ$13),0)</f>
        <v>0.25</v>
      </c>
      <c r="BK147" s="284">
        <f t="shared" si="53"/>
        <v>1904.1637630062694</v>
      </c>
      <c r="BQ147" s="560">
        <v>52736</v>
      </c>
      <c r="BR147" s="155" t="str">
        <f t="shared" si="48"/>
        <v>33Y</v>
      </c>
      <c r="BS147" s="405">
        <v>0.19495498611939227</v>
      </c>
      <c r="BT147" s="284">
        <f>IF(BQ147,_xll.qDateYears(BQ146,BQ147,BT$13),0)</f>
        <v>0.24657534246575341</v>
      </c>
      <c r="BU147" s="284">
        <f t="shared" si="54"/>
        <v>1468.9433599572537</v>
      </c>
      <c r="CC147" s="560">
        <v>52736</v>
      </c>
      <c r="CD147" s="155" t="str">
        <f t="shared" si="49"/>
        <v>33Y</v>
      </c>
      <c r="CE147" s="405">
        <v>0.29206257313702794</v>
      </c>
      <c r="CF147" s="284">
        <f>IF(CC147,_xll.qDateYears(CC146,CC147,CF$13),0)</f>
        <v>0.25</v>
      </c>
      <c r="CG147" s="284">
        <f t="shared" si="55"/>
        <v>1937.0878864104354</v>
      </c>
      <c r="CO147" s="560">
        <v>52736</v>
      </c>
      <c r="CP147" s="155" t="str">
        <f t="shared" si="50"/>
        <v>33Y</v>
      </c>
      <c r="CQ147" s="405">
        <v>0.25433379807820622</v>
      </c>
      <c r="CR147" s="284">
        <f>IF(CO147,_xll.qDateYears(CO146,CO147,CR$13),0)</f>
        <v>0.24657534246575341</v>
      </c>
      <c r="CS147" s="284">
        <f t="shared" si="56"/>
        <v>1854.3999508048264</v>
      </c>
      <c r="DA147" s="560">
        <v>52736</v>
      </c>
      <c r="DB147" s="155" t="str">
        <f t="shared" si="51"/>
        <v>33Y</v>
      </c>
      <c r="DC147" s="405">
        <v>0.14133923866037304</v>
      </c>
      <c r="DD147" s="284">
        <f>IF(DA147,_xll.qDateYears(DA146,DA147,DD$13),0)</f>
        <v>0.24657534246575341</v>
      </c>
      <c r="DE147" s="284">
        <f t="shared" si="57"/>
        <v>1475.3238453342085</v>
      </c>
      <c r="DM147" s="560">
        <v>52736</v>
      </c>
      <c r="DN147" s="155" t="str">
        <f t="shared" si="52"/>
        <v>33Y</v>
      </c>
      <c r="DO147" s="405">
        <v>0.24789511403023975</v>
      </c>
      <c r="DP147" s="284">
        <f>IF(DM147,_xll.qDateYears(DM146,DM147,DP$13),0)</f>
        <v>0.25</v>
      </c>
      <c r="DQ147" s="284">
        <f t="shared" si="58"/>
        <v>1904.1637630062694</v>
      </c>
    </row>
    <row r="148" spans="59:121">
      <c r="BG148" s="560">
        <v>52828</v>
      </c>
      <c r="BH148" s="154" t="str">
        <f t="shared" si="47"/>
        <v>33.25Y</v>
      </c>
      <c r="BI148" s="405">
        <v>0.24538469964818044</v>
      </c>
      <c r="BJ148" s="284">
        <f>IF(BG148,_xll.qDateYears(BG147,BG148,$BJ$13),0)</f>
        <v>0.25555555555555554</v>
      </c>
      <c r="BK148" s="284">
        <f t="shared" si="53"/>
        <v>1910.4347053306117</v>
      </c>
      <c r="BQ148" s="560">
        <v>52828</v>
      </c>
      <c r="BR148" s="155" t="str">
        <f t="shared" si="48"/>
        <v>33.25Y</v>
      </c>
      <c r="BS148" s="405">
        <v>0.19373076460895816</v>
      </c>
      <c r="BT148" s="284">
        <f>IF(BQ148,_xll.qDateYears(BQ147,BQ148,BT$13),0)</f>
        <v>0.25205479452054796</v>
      </c>
      <c r="BU148" s="284">
        <f t="shared" si="54"/>
        <v>1473.8264367638358</v>
      </c>
      <c r="CC148" s="560">
        <v>52828</v>
      </c>
      <c r="CD148" s="155" t="str">
        <f t="shared" si="49"/>
        <v>33.25Y</v>
      </c>
      <c r="CE148" s="405">
        <v>0.28968917649108106</v>
      </c>
      <c r="CF148" s="284">
        <f>IF(CC148,_xll.qDateYears(CC147,CC148,CF$13),0)</f>
        <v>0.25555555555555554</v>
      </c>
      <c r="CG148" s="284">
        <f t="shared" si="55"/>
        <v>1944.4910542540963</v>
      </c>
      <c r="CO148" s="560">
        <v>52828</v>
      </c>
      <c r="CP148" s="155" t="str">
        <f t="shared" si="50"/>
        <v>33.25Y</v>
      </c>
      <c r="CQ148" s="405">
        <v>0.25174743459193721</v>
      </c>
      <c r="CR148" s="284">
        <f>IF(CO148,_xll.qDateYears(CO147,CO148,CR$13),0)</f>
        <v>0.25205479452054796</v>
      </c>
      <c r="CS148" s="284">
        <f t="shared" si="56"/>
        <v>1860.745365594541</v>
      </c>
      <c r="DA148" s="560">
        <v>52828</v>
      </c>
      <c r="DB148" s="155" t="str">
        <f t="shared" si="51"/>
        <v>33.25Y</v>
      </c>
      <c r="DC148" s="405">
        <v>0.13924459804353714</v>
      </c>
      <c r="DD148" s="284">
        <f>IF(DA148,_xll.qDateYears(DA147,DA148,DD$13),0)</f>
        <v>0.25205479452054796</v>
      </c>
      <c r="DE148" s="284">
        <f t="shared" si="57"/>
        <v>1478.8335721890046</v>
      </c>
      <c r="DM148" s="560">
        <v>52828</v>
      </c>
      <c r="DN148" s="155" t="str">
        <f t="shared" si="52"/>
        <v>33.25Y</v>
      </c>
      <c r="DO148" s="405">
        <v>0.24538469964818044</v>
      </c>
      <c r="DP148" s="284">
        <f>IF(DM148,_xll.qDateYears(DM147,DM148,DP$13),0)</f>
        <v>0.25555555555555554</v>
      </c>
      <c r="DQ148" s="284">
        <f t="shared" si="58"/>
        <v>1910.4347053306117</v>
      </c>
    </row>
    <row r="149" spans="59:121">
      <c r="BG149" s="560">
        <v>52922</v>
      </c>
      <c r="BH149" s="154" t="str">
        <f t="shared" si="47"/>
        <v>33.5Y</v>
      </c>
      <c r="BI149" s="405">
        <v>0.24284773335416493</v>
      </c>
      <c r="BJ149" s="284">
        <f>IF(BG149,_xll.qDateYears(BG148,BG149,$BJ$13),0)</f>
        <v>0.26111111111111113</v>
      </c>
      <c r="BK149" s="284">
        <f t="shared" si="53"/>
        <v>1916.7757294793037</v>
      </c>
      <c r="BQ149" s="560">
        <v>52922</v>
      </c>
      <c r="BR149" s="155" t="str">
        <f t="shared" si="48"/>
        <v>33.5Y</v>
      </c>
      <c r="BS149" s="405">
        <v>0.19250652935950882</v>
      </c>
      <c r="BT149" s="284">
        <f>IF(BQ149,_xll.qDateYears(BQ148,BQ149,BT$13),0)</f>
        <v>0.25753424657534246</v>
      </c>
      <c r="BU149" s="284">
        <f t="shared" si="54"/>
        <v>1478.7841391637794</v>
      </c>
      <c r="CC149" s="560">
        <v>52922</v>
      </c>
      <c r="CD149" s="155" t="str">
        <f t="shared" si="49"/>
        <v>33.5Y</v>
      </c>
      <c r="CE149" s="405">
        <v>0.28728964698581988</v>
      </c>
      <c r="CF149" s="284">
        <f>IF(CC149,_xll.qDateYears(CC148,CC149,CF$13),0)</f>
        <v>0.26111111111111113</v>
      </c>
      <c r="CG149" s="284">
        <f t="shared" si="55"/>
        <v>1951.9925061476149</v>
      </c>
      <c r="CO149" s="560">
        <v>52922</v>
      </c>
      <c r="CP149" s="155" t="str">
        <f t="shared" si="50"/>
        <v>33.5Y</v>
      </c>
      <c r="CQ149" s="405">
        <v>0.24913289173386793</v>
      </c>
      <c r="CR149" s="284">
        <f>IF(CO149,_xll.qDateYears(CO148,CO149,CR$13),0)</f>
        <v>0.25753424657534246</v>
      </c>
      <c r="CS149" s="284">
        <f t="shared" si="56"/>
        <v>1867.1613907515227</v>
      </c>
      <c r="DA149" s="560">
        <v>52922</v>
      </c>
      <c r="DB149" s="155" t="str">
        <f t="shared" si="51"/>
        <v>33.5Y</v>
      </c>
      <c r="DC149" s="405">
        <v>0.13713648036676049</v>
      </c>
      <c r="DD149" s="284">
        <f>IF(DA149,_xll.qDateYears(DA148,DA149,DD$13),0)</f>
        <v>0.25753424657534246</v>
      </c>
      <c r="DE149" s="284">
        <f t="shared" si="57"/>
        <v>1482.3653062039293</v>
      </c>
      <c r="DM149" s="560">
        <v>52922</v>
      </c>
      <c r="DN149" s="155" t="str">
        <f t="shared" si="52"/>
        <v>33.5Y</v>
      </c>
      <c r="DO149" s="405">
        <v>0.24284773335416493</v>
      </c>
      <c r="DP149" s="284">
        <f>IF(DM149,_xll.qDateYears(DM148,DM149,DP$13),0)</f>
        <v>0.26111111111111113</v>
      </c>
      <c r="DQ149" s="284">
        <f t="shared" si="58"/>
        <v>1916.7757294793037</v>
      </c>
    </row>
    <row r="150" spans="59:121">
      <c r="BG150" s="560">
        <v>53014</v>
      </c>
      <c r="BH150" s="154" t="str">
        <f t="shared" si="47"/>
        <v>33.75Y</v>
      </c>
      <c r="BI150" s="405">
        <v>0.240391856191328</v>
      </c>
      <c r="BJ150" s="284">
        <f>IF(BG150,_xll.qDateYears(BG149,BG150,$BJ$13),0)</f>
        <v>0.25555555555555554</v>
      </c>
      <c r="BK150" s="284">
        <f t="shared" si="53"/>
        <v>1922.9190769153042</v>
      </c>
      <c r="BQ150" s="560">
        <v>53014</v>
      </c>
      <c r="BR150" s="155" t="str">
        <f t="shared" si="48"/>
        <v>33.75Y</v>
      </c>
      <c r="BS150" s="405">
        <v>0.19133398627356382</v>
      </c>
      <c r="BT150" s="284">
        <f>IF(BQ150,_xll.qDateYears(BQ149,BQ150,BT$13),0)</f>
        <v>0.25205479452054796</v>
      </c>
      <c r="BU150" s="284">
        <f t="shared" si="54"/>
        <v>1483.6068040232774</v>
      </c>
      <c r="CC150" s="560">
        <v>53014</v>
      </c>
      <c r="CD150" s="155" t="str">
        <f t="shared" si="49"/>
        <v>33.75Y</v>
      </c>
      <c r="CE150" s="405">
        <v>0.2849657998452142</v>
      </c>
      <c r="CF150" s="284">
        <f>IF(CC150,_xll.qDateYears(CC149,CC150,CF$13),0)</f>
        <v>0.25555555555555554</v>
      </c>
      <c r="CG150" s="284">
        <f t="shared" si="55"/>
        <v>1959.2749654769925</v>
      </c>
      <c r="CO150" s="560">
        <v>53014</v>
      </c>
      <c r="CP150" s="155" t="str">
        <f t="shared" si="50"/>
        <v>33.75Y</v>
      </c>
      <c r="CQ150" s="405">
        <v>0.24660112780787341</v>
      </c>
      <c r="CR150" s="284">
        <f>IF(CO150,_xll.qDateYears(CO149,CO150,CR$13),0)</f>
        <v>0.25205479452054796</v>
      </c>
      <c r="CS150" s="284">
        <f t="shared" si="56"/>
        <v>1873.3770904113376</v>
      </c>
      <c r="DA150" s="560">
        <v>53014</v>
      </c>
      <c r="DB150" s="155" t="str">
        <f t="shared" si="51"/>
        <v>33.75Y</v>
      </c>
      <c r="DC150" s="405">
        <v>0.13510412442265929</v>
      </c>
      <c r="DD150" s="284">
        <f>IF(DA150,_xll.qDateYears(DA149,DA150,DD$13),0)</f>
        <v>0.25205479452054796</v>
      </c>
      <c r="DE150" s="284">
        <f t="shared" si="57"/>
        <v>1485.7706704359525</v>
      </c>
      <c r="DM150" s="560">
        <v>53014</v>
      </c>
      <c r="DN150" s="155" t="str">
        <f t="shared" si="52"/>
        <v>33.75Y</v>
      </c>
      <c r="DO150" s="405">
        <v>0.240391856191328</v>
      </c>
      <c r="DP150" s="284">
        <f>IF(DM150,_xll.qDateYears(DM149,DM150,DP$13),0)</f>
        <v>0.25555555555555554</v>
      </c>
      <c r="DQ150" s="284">
        <f t="shared" si="58"/>
        <v>1922.9190769153042</v>
      </c>
    </row>
    <row r="151" spans="59:121">
      <c r="BG151" s="560">
        <v>53101</v>
      </c>
      <c r="BH151" s="154" t="str">
        <f t="shared" si="47"/>
        <v>34Y</v>
      </c>
      <c r="BI151" s="405">
        <v>0.23809384529499103</v>
      </c>
      <c r="BJ151" s="284">
        <f>IF(BG151,_xll.qDateYears(BG150,BG151,$BJ$13),0)</f>
        <v>0.24166666666666667</v>
      </c>
      <c r="BK151" s="284">
        <f t="shared" si="53"/>
        <v>1928.6730115099331</v>
      </c>
      <c r="BQ151" s="560">
        <v>53101</v>
      </c>
      <c r="BR151" s="155" t="str">
        <f t="shared" si="48"/>
        <v>34Y</v>
      </c>
      <c r="BS151" s="405">
        <v>0.19024816725211191</v>
      </c>
      <c r="BT151" s="284">
        <f>IF(BQ151,_xll.qDateYears(BQ150,BQ151,BT$13),0)</f>
        <v>0.23835616438356164</v>
      </c>
      <c r="BU151" s="284">
        <f t="shared" si="54"/>
        <v>1488.1414863659991</v>
      </c>
      <c r="CC151" s="560">
        <v>53101</v>
      </c>
      <c r="CD151" s="155" t="str">
        <f t="shared" si="49"/>
        <v>34Y</v>
      </c>
      <c r="CE151" s="405">
        <v>0.28279040427145558</v>
      </c>
      <c r="CF151" s="284">
        <f>IF(CC151,_xll.qDateYears(CC150,CC151,CF$13),0)</f>
        <v>0.24166666666666667</v>
      </c>
      <c r="CG151" s="284">
        <f t="shared" si="55"/>
        <v>1966.1090669135526</v>
      </c>
      <c r="CO151" s="560">
        <v>53101</v>
      </c>
      <c r="CP151" s="155" t="str">
        <f t="shared" si="50"/>
        <v>34Y</v>
      </c>
      <c r="CQ151" s="405">
        <v>0.2442314041590844</v>
      </c>
      <c r="CR151" s="284">
        <f>IF(CO151,_xll.qDateYears(CO150,CO151,CR$13),0)</f>
        <v>0.23835616438356164</v>
      </c>
      <c r="CS151" s="284">
        <f t="shared" si="56"/>
        <v>1879.1984964830747</v>
      </c>
      <c r="DA151" s="560">
        <v>53101</v>
      </c>
      <c r="DB151" s="155" t="str">
        <f t="shared" si="51"/>
        <v>34Y</v>
      </c>
      <c r="DC151" s="405">
        <v>0.1332099385846621</v>
      </c>
      <c r="DD151" s="284">
        <f>IF(DA151,_xll.qDateYears(DA150,DA151,DD$13),0)</f>
        <v>0.23835616438356164</v>
      </c>
      <c r="DE151" s="284">
        <f t="shared" si="57"/>
        <v>1488.9458114378335</v>
      </c>
      <c r="DM151" s="560">
        <v>53101</v>
      </c>
      <c r="DN151" s="155" t="str">
        <f t="shared" si="52"/>
        <v>34Y</v>
      </c>
      <c r="DO151" s="405">
        <v>0.23809384529499103</v>
      </c>
      <c r="DP151" s="284">
        <f>IF(DM151,_xll.qDateYears(DM150,DM151,DP$13),0)</f>
        <v>0.24166666666666667</v>
      </c>
      <c r="DQ151" s="284">
        <f t="shared" si="58"/>
        <v>1928.6730115099331</v>
      </c>
    </row>
    <row r="152" spans="59:121">
      <c r="BG152" s="560">
        <v>53195</v>
      </c>
      <c r="BH152" s="154" t="str">
        <f t="shared" si="47"/>
        <v>34.25Y</v>
      </c>
      <c r="BI152" s="405">
        <v>0.23563728866428113</v>
      </c>
      <c r="BJ152" s="284">
        <f>IF(BG152,_xll.qDateYears(BG151,BG152,$BJ$13),0)</f>
        <v>0.26111111111111113</v>
      </c>
      <c r="BK152" s="284">
        <f t="shared" si="53"/>
        <v>1934.8257629361672</v>
      </c>
      <c r="BQ152" s="560">
        <v>53195</v>
      </c>
      <c r="BR152" s="155" t="str">
        <f t="shared" si="48"/>
        <v>34.25Y</v>
      </c>
      <c r="BS152" s="405">
        <v>0.1890997489744424</v>
      </c>
      <c r="BT152" s="284">
        <f>IF(BQ152,_xll.qDateYears(BQ151,BQ152,BT$13),0)</f>
        <v>0.25753424657534246</v>
      </c>
      <c r="BU152" s="284">
        <f t="shared" si="54"/>
        <v>1493.011452503971</v>
      </c>
      <c r="CC152" s="560">
        <v>53195</v>
      </c>
      <c r="CD152" s="155" t="str">
        <f t="shared" si="49"/>
        <v>34.25Y</v>
      </c>
      <c r="CE152" s="405">
        <v>0.2804639042154739</v>
      </c>
      <c r="CF152" s="284">
        <f>IF(CC152,_xll.qDateYears(CC151,CC152,CF$13),0)</f>
        <v>0.26111111111111113</v>
      </c>
      <c r="CG152" s="284">
        <f t="shared" si="55"/>
        <v>1973.4322910791789</v>
      </c>
      <c r="CO152" s="560">
        <v>53195</v>
      </c>
      <c r="CP152" s="155" t="str">
        <f t="shared" si="50"/>
        <v>34.25Y</v>
      </c>
      <c r="CQ152" s="405">
        <v>0.24169743401431343</v>
      </c>
      <c r="CR152" s="284">
        <f>IF(CO152,_xll.qDateYears(CO151,CO152,CR$13),0)</f>
        <v>0.25753424657534246</v>
      </c>
      <c r="CS152" s="284">
        <f t="shared" si="56"/>
        <v>1885.4230331398817</v>
      </c>
      <c r="DA152" s="560">
        <v>53195</v>
      </c>
      <c r="DB152" s="155" t="str">
        <f t="shared" si="51"/>
        <v>34.25Y</v>
      </c>
      <c r="DC152" s="405">
        <v>0.13119318367855901</v>
      </c>
      <c r="DD152" s="284">
        <f>IF(DA152,_xll.qDateYears(DA151,DA152,DD$13),0)</f>
        <v>0.25753424657534246</v>
      </c>
      <c r="DE152" s="284">
        <f t="shared" si="57"/>
        <v>1492.3244852092814</v>
      </c>
      <c r="DM152" s="560">
        <v>53195</v>
      </c>
      <c r="DN152" s="155" t="str">
        <f t="shared" si="52"/>
        <v>34.25Y</v>
      </c>
      <c r="DO152" s="405">
        <v>0.23563728866428113</v>
      </c>
      <c r="DP152" s="284">
        <f>IF(DM152,_xll.qDateYears(DM151,DM152,DP$13),0)</f>
        <v>0.26111111111111113</v>
      </c>
      <c r="DQ152" s="284">
        <f t="shared" si="58"/>
        <v>1934.8257629361672</v>
      </c>
    </row>
    <row r="153" spans="59:121">
      <c r="BG153" s="560">
        <v>53286</v>
      </c>
      <c r="BH153" s="154" t="str">
        <f t="shared" si="47"/>
        <v>34.5Y</v>
      </c>
      <c r="BI153" s="405">
        <v>0.23328491469653884</v>
      </c>
      <c r="BJ153" s="284">
        <f>IF(BG153,_xll.qDateYears(BG152,BG153,$BJ$13),0)</f>
        <v>0.25277777777777777</v>
      </c>
      <c r="BK153" s="284">
        <f t="shared" si="53"/>
        <v>1940.7226871687742</v>
      </c>
      <c r="BQ153" s="560">
        <v>53286</v>
      </c>
      <c r="BR153" s="155" t="str">
        <f t="shared" si="48"/>
        <v>34.5Y</v>
      </c>
      <c r="BS153" s="405">
        <v>0.18801213964722358</v>
      </c>
      <c r="BT153" s="284">
        <f>IF(BQ153,_xll.qDateYears(BQ152,BQ153,BT$13),0)</f>
        <v>0.24931506849315069</v>
      </c>
      <c r="BU153" s="284">
        <f t="shared" si="54"/>
        <v>1497.6988784513401</v>
      </c>
      <c r="CC153" s="560">
        <v>53286</v>
      </c>
      <c r="CD153" s="155" t="str">
        <f t="shared" si="49"/>
        <v>34.5Y</v>
      </c>
      <c r="CE153" s="405">
        <v>0.27823505890876066</v>
      </c>
      <c r="CF153" s="284">
        <f>IF(CC153,_xll.qDateYears(CC152,CC153,CF$13),0)</f>
        <v>0.25277777777777777</v>
      </c>
      <c r="CG153" s="284">
        <f t="shared" si="55"/>
        <v>1980.4654550682615</v>
      </c>
      <c r="CO153" s="560">
        <v>53286</v>
      </c>
      <c r="CP153" s="155" t="str">
        <f t="shared" si="50"/>
        <v>34.5Y</v>
      </c>
      <c r="CQ153" s="405">
        <v>0.23927019996106946</v>
      </c>
      <c r="CR153" s="284">
        <f>IF(CO153,_xll.qDateYears(CO152,CO153,CR$13),0)</f>
        <v>0.24931506849315069</v>
      </c>
      <c r="CS153" s="284">
        <f t="shared" si="56"/>
        <v>1891.388399769048</v>
      </c>
      <c r="DA153" s="560">
        <v>53286</v>
      </c>
      <c r="DB153" s="155" t="str">
        <f t="shared" si="51"/>
        <v>34.5Y</v>
      </c>
      <c r="DC153" s="405">
        <v>0.12926988486684274</v>
      </c>
      <c r="DD153" s="284">
        <f>IF(DA153,_xll.qDateYears(DA152,DA153,DD$13),0)</f>
        <v>0.24931506849315069</v>
      </c>
      <c r="DE153" s="284">
        <f t="shared" si="57"/>
        <v>1495.5473782292493</v>
      </c>
      <c r="DM153" s="560">
        <v>53286</v>
      </c>
      <c r="DN153" s="155" t="str">
        <f t="shared" si="52"/>
        <v>34.5Y</v>
      </c>
      <c r="DO153" s="405">
        <v>0.23328491469653884</v>
      </c>
      <c r="DP153" s="284">
        <f>IF(DM153,_xll.qDateYears(DM152,DM153,DP$13),0)</f>
        <v>0.25277777777777777</v>
      </c>
      <c r="DQ153" s="284">
        <f t="shared" si="58"/>
        <v>1940.7226871687742</v>
      </c>
    </row>
    <row r="154" spans="59:121">
      <c r="BG154" s="560">
        <v>53378</v>
      </c>
      <c r="BH154" s="154" t="str">
        <f t="shared" si="47"/>
        <v>34.75Y</v>
      </c>
      <c r="BI154" s="405">
        <v>0.23093217949896486</v>
      </c>
      <c r="BJ154" s="284">
        <f>IF(BG154,_xll.qDateYears(BG153,BG154,$BJ$13),0)</f>
        <v>0.25555555555555554</v>
      </c>
      <c r="BK154" s="284">
        <f t="shared" si="53"/>
        <v>1946.6242873115254</v>
      </c>
      <c r="BQ154" s="560">
        <v>53378</v>
      </c>
      <c r="BR154" s="155" t="str">
        <f t="shared" si="48"/>
        <v>34.75Y</v>
      </c>
      <c r="BS154" s="405">
        <v>0.18693639202368595</v>
      </c>
      <c r="BT154" s="284">
        <f>IF(BQ154,_xll.qDateYears(BQ153,BQ154,BT$13),0)</f>
        <v>0.25205479452054796</v>
      </c>
      <c r="BU154" s="284">
        <f t="shared" si="54"/>
        <v>1502.4106998393343</v>
      </c>
      <c r="CC154" s="560">
        <v>53378</v>
      </c>
      <c r="CD154" s="155" t="str">
        <f t="shared" si="49"/>
        <v>34.75Y</v>
      </c>
      <c r="CE154" s="405">
        <v>0.27600485456423435</v>
      </c>
      <c r="CF154" s="284">
        <f>IF(CC154,_xll.qDateYears(CC153,CC154,CF$13),0)</f>
        <v>0.25555555555555554</v>
      </c>
      <c r="CG154" s="284">
        <f t="shared" si="55"/>
        <v>1987.5189124626809</v>
      </c>
      <c r="CO154" s="560">
        <v>53378</v>
      </c>
      <c r="CP154" s="155" t="str">
        <f t="shared" si="50"/>
        <v>34.75Y</v>
      </c>
      <c r="CQ154" s="405">
        <v>0.23684187897157599</v>
      </c>
      <c r="CR154" s="284">
        <f>IF(CO154,_xll.qDateYears(CO153,CO154,CR$13),0)</f>
        <v>0.25205479452054796</v>
      </c>
      <c r="CS154" s="284">
        <f t="shared" si="56"/>
        <v>1897.3581128828521</v>
      </c>
      <c r="DA154" s="560">
        <v>53378</v>
      </c>
      <c r="DB154" s="155" t="str">
        <f t="shared" si="51"/>
        <v>34.75Y</v>
      </c>
      <c r="DC154" s="405">
        <v>0.12735411148400716</v>
      </c>
      <c r="DD154" s="284">
        <f>IF(DA154,_xll.qDateYears(DA153,DA154,DD$13),0)</f>
        <v>0.25205479452054796</v>
      </c>
      <c r="DE154" s="284">
        <f t="shared" si="57"/>
        <v>1498.7573996693941</v>
      </c>
      <c r="DM154" s="560">
        <v>53378</v>
      </c>
      <c r="DN154" s="155" t="str">
        <f t="shared" si="52"/>
        <v>34.75Y</v>
      </c>
      <c r="DO154" s="405">
        <v>0.23093217949896486</v>
      </c>
      <c r="DP154" s="284">
        <f>IF(DM154,_xll.qDateYears(DM153,DM154,DP$13),0)</f>
        <v>0.25555555555555554</v>
      </c>
      <c r="DQ154" s="284">
        <f t="shared" si="58"/>
        <v>1946.6242873115254</v>
      </c>
    </row>
    <row r="155" spans="59:121">
      <c r="BG155" s="560">
        <v>53468</v>
      </c>
      <c r="BH155" s="154" t="str">
        <f t="shared" si="47"/>
        <v>35Y</v>
      </c>
      <c r="BI155" s="405">
        <v>0.22865511043427589</v>
      </c>
      <c r="BJ155" s="284">
        <f>IF(BG155,_xll.qDateYears(BG154,BG155,$BJ$13),0)</f>
        <v>0.25</v>
      </c>
      <c r="BK155" s="284">
        <f t="shared" si="53"/>
        <v>1952.3406650723823</v>
      </c>
      <c r="BQ155" s="560">
        <v>53468</v>
      </c>
      <c r="BR155" s="155" t="str">
        <f t="shared" si="48"/>
        <v>35Y</v>
      </c>
      <c r="BS155" s="405">
        <v>0.1859068759131888</v>
      </c>
      <c r="BT155" s="284">
        <f>IF(BQ155,_xll.qDateYears(BQ154,BQ155,BT$13),0)</f>
        <v>0.24657534246575341</v>
      </c>
      <c r="BU155" s="284">
        <f t="shared" si="54"/>
        <v>1506.9947049988375</v>
      </c>
      <c r="CC155" s="560">
        <v>53468</v>
      </c>
      <c r="CD155" s="155" t="str">
        <f t="shared" si="49"/>
        <v>35Y</v>
      </c>
      <c r="CE155" s="405">
        <v>0.27384538227855731</v>
      </c>
      <c r="CF155" s="284">
        <f>IF(CC155,_xll.qDateYears(CC154,CC155,CF$13),0)</f>
        <v>0.25</v>
      </c>
      <c r="CG155" s="284">
        <f t="shared" si="55"/>
        <v>1994.3650470196449</v>
      </c>
      <c r="CO155" s="560">
        <v>53468</v>
      </c>
      <c r="CP155" s="155" t="str">
        <f t="shared" si="50"/>
        <v>35Y</v>
      </c>
      <c r="CQ155" s="405">
        <v>0.23449097476911673</v>
      </c>
      <c r="CR155" s="284">
        <f>IF(CO155,_xll.qDateYears(CO154,CO155,CR$13),0)</f>
        <v>0.24657534246575341</v>
      </c>
      <c r="CS155" s="284">
        <f t="shared" si="56"/>
        <v>1903.1400821237344</v>
      </c>
      <c r="DA155" s="560">
        <v>53468</v>
      </c>
      <c r="DB155" s="155" t="str">
        <f t="shared" si="51"/>
        <v>35Y</v>
      </c>
      <c r="DC155" s="405">
        <v>0.12550746087171658</v>
      </c>
      <c r="DD155" s="284">
        <f>IF(DA155,_xll.qDateYears(DA154,DA155,DD$13),0)</f>
        <v>0.24657534246575341</v>
      </c>
      <c r="DE155" s="284">
        <f t="shared" si="57"/>
        <v>1501.8521041840393</v>
      </c>
      <c r="DM155" s="560">
        <v>53468</v>
      </c>
      <c r="DN155" s="155" t="str">
        <f t="shared" si="52"/>
        <v>35Y</v>
      </c>
      <c r="DO155" s="405">
        <v>0.22865511043427589</v>
      </c>
      <c r="DP155" s="284">
        <f>IF(DM155,_xll.qDateYears(DM154,DM155,DP$13),0)</f>
        <v>0.25</v>
      </c>
      <c r="DQ155" s="284">
        <f t="shared" si="58"/>
        <v>1952.3406650723823</v>
      </c>
    </row>
    <row r="156" spans="59:121">
      <c r="BG156" s="560">
        <v>53559</v>
      </c>
      <c r="BH156" s="154" t="str">
        <f t="shared" si="47"/>
        <v>35.25Y</v>
      </c>
      <c r="BI156" s="405">
        <v>0.22633813287165697</v>
      </c>
      <c r="BJ156" s="284">
        <f>IF(BG156,_xll.qDateYears(BG155,BG156,$BJ$13),0)</f>
        <v>0.25277777777777777</v>
      </c>
      <c r="BK156" s="284">
        <f t="shared" si="53"/>
        <v>1958.0619900977492</v>
      </c>
      <c r="BQ156" s="560">
        <v>53559</v>
      </c>
      <c r="BR156" s="155" t="str">
        <f t="shared" si="48"/>
        <v>35.25Y</v>
      </c>
      <c r="BS156" s="405">
        <v>0.18488857689730126</v>
      </c>
      <c r="BT156" s="284">
        <f>IF(BQ156,_xll.qDateYears(BQ155,BQ156,BT$13),0)</f>
        <v>0.24931506849315069</v>
      </c>
      <c r="BU156" s="284">
        <f t="shared" si="54"/>
        <v>1511.6042558201127</v>
      </c>
      <c r="CC156" s="560">
        <v>53559</v>
      </c>
      <c r="CD156" s="155" t="str">
        <f t="shared" si="49"/>
        <v>35.25Y</v>
      </c>
      <c r="CE156" s="405">
        <v>0.27168403282294779</v>
      </c>
      <c r="CF156" s="284">
        <f>IF(CC156,_xll.qDateYears(CC155,CC156,CF$13),0)</f>
        <v>0.25277777777777777</v>
      </c>
      <c r="CG156" s="284">
        <f t="shared" si="55"/>
        <v>2001.2326156271138</v>
      </c>
      <c r="CO156" s="560">
        <v>53559</v>
      </c>
      <c r="CP156" s="155" t="str">
        <f t="shared" si="50"/>
        <v>35.25Y</v>
      </c>
      <c r="CQ156" s="405">
        <v>0.23213844910714609</v>
      </c>
      <c r="CR156" s="284">
        <f>IF(CO156,_xll.qDateYears(CO155,CO156,CR$13),0)</f>
        <v>0.24931506849315069</v>
      </c>
      <c r="CS156" s="284">
        <f t="shared" si="56"/>
        <v>1908.9276434576386</v>
      </c>
      <c r="DA156" s="560">
        <v>53559</v>
      </c>
      <c r="DB156" s="155" t="str">
        <f t="shared" si="51"/>
        <v>35.25Y</v>
      </c>
      <c r="DC156" s="405">
        <v>0.12366751504840665</v>
      </c>
      <c r="DD156" s="284">
        <f>IF(DA156,_xll.qDateYears(DA155,DA156,DD$13),0)</f>
        <v>0.24931506849315069</v>
      </c>
      <c r="DE156" s="284">
        <f t="shared" si="57"/>
        <v>1504.9353216825064</v>
      </c>
      <c r="DM156" s="560">
        <v>53559</v>
      </c>
      <c r="DN156" s="155" t="str">
        <f t="shared" si="52"/>
        <v>35.25Y</v>
      </c>
      <c r="DO156" s="405">
        <v>0.22633813287165697</v>
      </c>
      <c r="DP156" s="284">
        <f>IF(DM156,_xll.qDateYears(DM155,DM156,DP$13),0)</f>
        <v>0.25277777777777777</v>
      </c>
      <c r="DQ156" s="284">
        <f t="shared" si="58"/>
        <v>1958.0619900977492</v>
      </c>
    </row>
    <row r="157" spans="59:121">
      <c r="BG157" s="560">
        <v>53650</v>
      </c>
      <c r="BH157" s="154" t="str">
        <f t="shared" si="47"/>
        <v>35.5Y</v>
      </c>
      <c r="BI157" s="405">
        <v>0.22404563169436878</v>
      </c>
      <c r="BJ157" s="284">
        <f>IF(BG157,_xll.qDateYears(BG156,BG157,$BJ$13),0)</f>
        <v>0.25277777777777777</v>
      </c>
      <c r="BK157" s="284">
        <f t="shared" si="53"/>
        <v>1963.7253657878014</v>
      </c>
      <c r="BQ157" s="560">
        <v>53650</v>
      </c>
      <c r="BR157" s="155" t="str">
        <f t="shared" si="48"/>
        <v>35.5Y</v>
      </c>
      <c r="BS157" s="405">
        <v>0.1838927501507796</v>
      </c>
      <c r="BT157" s="284">
        <f>IF(BQ157,_xll.qDateYears(BQ156,BQ157,BT$13),0)</f>
        <v>0.24931506849315069</v>
      </c>
      <c r="BU157" s="284">
        <f t="shared" si="54"/>
        <v>1516.1889791800363</v>
      </c>
      <c r="CC157" s="560">
        <v>53650</v>
      </c>
      <c r="CD157" s="155" t="str">
        <f t="shared" si="49"/>
        <v>35.5Y</v>
      </c>
      <c r="CE157" s="405">
        <v>0.26954466929421644</v>
      </c>
      <c r="CF157" s="284">
        <f>IF(CC157,_xll.qDateYears(CC156,CC157,CF$13),0)</f>
        <v>0.25277777777777777</v>
      </c>
      <c r="CG157" s="284">
        <f t="shared" si="55"/>
        <v>2008.0461058787175</v>
      </c>
      <c r="CO157" s="560">
        <v>53650</v>
      </c>
      <c r="CP157" s="155" t="str">
        <f t="shared" si="50"/>
        <v>35.5Y</v>
      </c>
      <c r="CQ157" s="405">
        <v>0.22981029659734079</v>
      </c>
      <c r="CR157" s="284">
        <f>IF(CO157,_xll.qDateYears(CO156,CO157,CR$13),0)</f>
        <v>0.24931506849315069</v>
      </c>
      <c r="CS157" s="284">
        <f t="shared" si="56"/>
        <v>1914.6571604412984</v>
      </c>
      <c r="DA157" s="560">
        <v>53650</v>
      </c>
      <c r="DB157" s="155" t="str">
        <f t="shared" si="51"/>
        <v>35.5Y</v>
      </c>
      <c r="DC157" s="405">
        <v>0.12185454292537883</v>
      </c>
      <c r="DD157" s="284">
        <f>IF(DA157,_xll.qDateYears(DA156,DA157,DD$13),0)</f>
        <v>0.24931506849315069</v>
      </c>
      <c r="DE157" s="284">
        <f t="shared" si="57"/>
        <v>1507.9733390540705</v>
      </c>
      <c r="DM157" s="560">
        <v>53650</v>
      </c>
      <c r="DN157" s="155" t="str">
        <f t="shared" si="52"/>
        <v>35.5Y</v>
      </c>
      <c r="DO157" s="405">
        <v>0.22404563169436878</v>
      </c>
      <c r="DP157" s="284">
        <f>IF(DM157,_xll.qDateYears(DM156,DM157,DP$13),0)</f>
        <v>0.25277777777777777</v>
      </c>
      <c r="DQ157" s="284">
        <f t="shared" si="58"/>
        <v>1963.7253657878014</v>
      </c>
    </row>
    <row r="158" spans="59:121">
      <c r="BG158" s="560">
        <v>53742</v>
      </c>
      <c r="BH158" s="154" t="str">
        <f t="shared" si="47"/>
        <v>35.75Y</v>
      </c>
      <c r="BI158" s="405">
        <v>0.2217525458526251</v>
      </c>
      <c r="BJ158" s="284">
        <f>IF(BG158,_xll.qDateYears(BG157,BG158,$BJ$13),0)</f>
        <v>0.25555555555555554</v>
      </c>
      <c r="BK158" s="284">
        <f t="shared" si="53"/>
        <v>1969.392375292924</v>
      </c>
      <c r="BQ158" s="560">
        <v>53742</v>
      </c>
      <c r="BR158" s="155" t="str">
        <f t="shared" si="48"/>
        <v>35.75Y</v>
      </c>
      <c r="BS158" s="405">
        <v>0.18290851581478121</v>
      </c>
      <c r="BT158" s="284">
        <f>IF(BQ158,_xll.qDateYears(BQ157,BQ158,BT$13),0)</f>
        <v>0.25205479452054796</v>
      </c>
      <c r="BU158" s="284">
        <f t="shared" si="54"/>
        <v>1520.7992760170116</v>
      </c>
      <c r="CC158" s="560">
        <v>53742</v>
      </c>
      <c r="CD158" s="155" t="str">
        <f t="shared" si="49"/>
        <v>35.75Y</v>
      </c>
      <c r="CE158" s="405">
        <v>0.26740388988868702</v>
      </c>
      <c r="CF158" s="284">
        <f>IF(CC158,_xll.qDateYears(CC157,CC158,CF$13),0)</f>
        <v>0.25555555555555554</v>
      </c>
      <c r="CG158" s="284">
        <f t="shared" si="55"/>
        <v>2014.8797608425396</v>
      </c>
      <c r="CO158" s="560">
        <v>53742</v>
      </c>
      <c r="CP158" s="155" t="str">
        <f t="shared" si="50"/>
        <v>35.75Y</v>
      </c>
      <c r="CQ158" s="405">
        <v>0.22748107111828844</v>
      </c>
      <c r="CR158" s="284">
        <f>IF(CO158,_xll.qDateYears(CO157,CO158,CR$13),0)</f>
        <v>0.25205479452054796</v>
      </c>
      <c r="CS158" s="284">
        <f t="shared" si="56"/>
        <v>1920.3909299051018</v>
      </c>
      <c r="DA158" s="560">
        <v>53742</v>
      </c>
      <c r="DB158" s="155" t="str">
        <f t="shared" si="51"/>
        <v>35.75Y</v>
      </c>
      <c r="DC158" s="405">
        <v>0.12004866454810244</v>
      </c>
      <c r="DD158" s="284">
        <f>IF(DA158,_xll.qDateYears(DA157,DA158,DD$13),0)</f>
        <v>0.25205479452054796</v>
      </c>
      <c r="DE158" s="284">
        <f t="shared" si="57"/>
        <v>1510.9992232015843</v>
      </c>
      <c r="DM158" s="560">
        <v>53742</v>
      </c>
      <c r="DN158" s="155" t="str">
        <f t="shared" si="52"/>
        <v>35.75Y</v>
      </c>
      <c r="DO158" s="405">
        <v>0.2217525458526251</v>
      </c>
      <c r="DP158" s="284">
        <f>IF(DM158,_xll.qDateYears(DM157,DM158,DP$13),0)</f>
        <v>0.25555555555555554</v>
      </c>
      <c r="DQ158" s="284">
        <f t="shared" si="58"/>
        <v>1969.392375292924</v>
      </c>
    </row>
    <row r="159" spans="59:121">
      <c r="BG159" s="560">
        <v>53832</v>
      </c>
      <c r="BH159" s="154" t="str">
        <f t="shared" si="47"/>
        <v>36Y</v>
      </c>
      <c r="BI159" s="405">
        <v>0.21953298858998094</v>
      </c>
      <c r="BJ159" s="284">
        <f>IF(BG159,_xll.qDateYears(BG158,BG159,$BJ$13),0)</f>
        <v>0.25</v>
      </c>
      <c r="BK159" s="284">
        <f t="shared" si="53"/>
        <v>1974.8807000076736</v>
      </c>
      <c r="BQ159" s="560">
        <v>53832</v>
      </c>
      <c r="BR159" s="155" t="str">
        <f t="shared" si="48"/>
        <v>36Y</v>
      </c>
      <c r="BS159" s="405">
        <v>0.18196731163796281</v>
      </c>
      <c r="BT159" s="284">
        <f>IF(BQ159,_xll.qDateYears(BQ158,BQ159,BT$13),0)</f>
        <v>0.24657534246575341</v>
      </c>
      <c r="BU159" s="284">
        <f t="shared" si="54"/>
        <v>1525.2861412354819</v>
      </c>
      <c r="CC159" s="560">
        <v>53832</v>
      </c>
      <c r="CD159" s="155" t="str">
        <f t="shared" si="49"/>
        <v>36Y</v>
      </c>
      <c r="CE159" s="405">
        <v>0.2653308992987633</v>
      </c>
      <c r="CF159" s="284">
        <f>IF(CC159,_xll.qDateYears(CC158,CC159,CF$13),0)</f>
        <v>0.25</v>
      </c>
      <c r="CG159" s="284">
        <f t="shared" si="55"/>
        <v>2021.5130333250086</v>
      </c>
      <c r="CO159" s="560">
        <v>53832</v>
      </c>
      <c r="CP159" s="155" t="str">
        <f t="shared" si="50"/>
        <v>36Y</v>
      </c>
      <c r="CQ159" s="405">
        <v>0.22522607390934696</v>
      </c>
      <c r="CR159" s="284">
        <f>IF(CO159,_xll.qDateYears(CO158,CO159,CR$13),0)</f>
        <v>0.24657534246575341</v>
      </c>
      <c r="CS159" s="284">
        <f t="shared" si="56"/>
        <v>1925.9444495357432</v>
      </c>
      <c r="DA159" s="560">
        <v>53832</v>
      </c>
      <c r="DB159" s="155" t="str">
        <f t="shared" si="51"/>
        <v>36Y</v>
      </c>
      <c r="DC159" s="405">
        <v>0.11830794383395213</v>
      </c>
      <c r="DD159" s="284">
        <f>IF(DA159,_xll.qDateYears(DA158,DA159,DD$13),0)</f>
        <v>0.24657534246575341</v>
      </c>
      <c r="DE159" s="284">
        <f t="shared" si="57"/>
        <v>1513.916405378312</v>
      </c>
      <c r="DM159" s="560">
        <v>53832</v>
      </c>
      <c r="DN159" s="155" t="str">
        <f t="shared" si="52"/>
        <v>36Y</v>
      </c>
      <c r="DO159" s="405">
        <v>0.21953298858998094</v>
      </c>
      <c r="DP159" s="284">
        <f>IF(DM159,_xll.qDateYears(DM158,DM159,DP$13),0)</f>
        <v>0.25</v>
      </c>
      <c r="DQ159" s="284">
        <f t="shared" si="58"/>
        <v>1974.8807000076736</v>
      </c>
    </row>
    <row r="160" spans="59:121">
      <c r="BG160" s="560">
        <v>53923</v>
      </c>
      <c r="BH160" s="154" t="str">
        <f t="shared" si="47"/>
        <v>36.25Y</v>
      </c>
      <c r="BI160" s="405">
        <v>0.21731231926987168</v>
      </c>
      <c r="BJ160" s="284">
        <f>IF(BG160,_xll.qDateYears(BG159,BG160,$BJ$13),0)</f>
        <v>0.25277777777777777</v>
      </c>
      <c r="BK160" s="284">
        <f t="shared" si="53"/>
        <v>1980.373872522551</v>
      </c>
      <c r="BQ160" s="560">
        <v>53923</v>
      </c>
      <c r="BR160" s="155" t="str">
        <f t="shared" si="48"/>
        <v>36.25Y</v>
      </c>
      <c r="BS160" s="405">
        <v>0.1810371180383131</v>
      </c>
      <c r="BT160" s="284">
        <f>IF(BQ160,_xll.qDateYears(BQ159,BQ160,BT$13),0)</f>
        <v>0.24931506849315069</v>
      </c>
      <c r="BU160" s="284">
        <f t="shared" si="54"/>
        <v>1529.7996693838343</v>
      </c>
      <c r="CC160" s="560">
        <v>53923</v>
      </c>
      <c r="CD160" s="155" t="str">
        <f t="shared" si="49"/>
        <v>36.25Y</v>
      </c>
      <c r="CE160" s="405">
        <v>0.26325600032911006</v>
      </c>
      <c r="CF160" s="284">
        <f>IF(CC160,_xll.qDateYears(CC159,CC160,CF$13),0)</f>
        <v>0.25277777777777777</v>
      </c>
      <c r="CG160" s="284">
        <f t="shared" si="55"/>
        <v>2028.1675599999944</v>
      </c>
      <c r="CO160" s="560">
        <v>53923</v>
      </c>
      <c r="CP160" s="155" t="str">
        <f t="shared" si="50"/>
        <v>36.25Y</v>
      </c>
      <c r="CQ160" s="405">
        <v>0.222969492258318</v>
      </c>
      <c r="CR160" s="284">
        <f>IF(CO160,_xll.qDateYears(CO159,CO160,CR$13),0)</f>
        <v>0.24931506849315069</v>
      </c>
      <c r="CS160" s="284">
        <f t="shared" si="56"/>
        <v>1931.5034149591697</v>
      </c>
      <c r="DA160" s="560">
        <v>53923</v>
      </c>
      <c r="DB160" s="155" t="str">
        <f t="shared" si="51"/>
        <v>36.25Y</v>
      </c>
      <c r="DC160" s="405">
        <v>0.11657354330023278</v>
      </c>
      <c r="DD160" s="284">
        <f>IF(DA160,_xll.qDateYears(DA159,DA160,DD$13),0)</f>
        <v>0.24931506849315069</v>
      </c>
      <c r="DE160" s="284">
        <f t="shared" si="57"/>
        <v>1516.8227594715506</v>
      </c>
      <c r="DM160" s="560">
        <v>53923</v>
      </c>
      <c r="DN160" s="155" t="str">
        <f t="shared" si="52"/>
        <v>36.25Y</v>
      </c>
      <c r="DO160" s="405">
        <v>0.21731231926987168</v>
      </c>
      <c r="DP160" s="284">
        <f>IF(DM160,_xll.qDateYears(DM159,DM160,DP$13),0)</f>
        <v>0.25277777777777777</v>
      </c>
      <c r="DQ160" s="284">
        <f t="shared" si="58"/>
        <v>1980.373872522551</v>
      </c>
    </row>
    <row r="161" spans="59:121">
      <c r="BG161" s="560">
        <v>54015</v>
      </c>
      <c r="BH161" s="154" t="str">
        <f t="shared" si="47"/>
        <v>36.5Y</v>
      </c>
      <c r="BI161" s="405">
        <v>0.21509105504532902</v>
      </c>
      <c r="BJ161" s="284">
        <f>IF(BG161,_xll.qDateYears(BG160,BG161,$BJ$13),0)</f>
        <v>0.25555555555555554</v>
      </c>
      <c r="BK161" s="284">
        <f t="shared" si="53"/>
        <v>1985.870643929265</v>
      </c>
      <c r="BQ161" s="560">
        <v>54015</v>
      </c>
      <c r="BR161" s="155" t="str">
        <f t="shared" si="48"/>
        <v>36.5Y</v>
      </c>
      <c r="BS161" s="405">
        <v>0.1801183623432375</v>
      </c>
      <c r="BT161" s="284">
        <f>IF(BQ161,_xll.qDateYears(BQ160,BQ161,BT$13),0)</f>
        <v>0.25205479452054796</v>
      </c>
      <c r="BU161" s="284">
        <f t="shared" si="54"/>
        <v>1534.3396390648145</v>
      </c>
      <c r="CC161" s="560">
        <v>54015</v>
      </c>
      <c r="CD161" s="155" t="str">
        <f t="shared" si="49"/>
        <v>36.5Y</v>
      </c>
      <c r="CE161" s="405">
        <v>0.26117964765233403</v>
      </c>
      <c r="CF161" s="284">
        <f>IF(CC161,_xll.qDateYears(CC160,CC161,CF$13),0)</f>
        <v>0.25555555555555554</v>
      </c>
      <c r="CG161" s="284">
        <f t="shared" si="55"/>
        <v>2034.842150995554</v>
      </c>
      <c r="CO161" s="560">
        <v>54015</v>
      </c>
      <c r="CP161" s="155" t="str">
        <f t="shared" si="50"/>
        <v>36.5Y</v>
      </c>
      <c r="CQ161" s="405">
        <v>0.22071184852305867</v>
      </c>
      <c r="CR161" s="284">
        <f>IF(CO161,_xll.qDateYears(CO160,CO161,CR$13),0)</f>
        <v>0.25205479452054796</v>
      </c>
      <c r="CS161" s="284">
        <f t="shared" si="56"/>
        <v>1937.0665629219427</v>
      </c>
      <c r="DA161" s="560">
        <v>54015</v>
      </c>
      <c r="DB161" s="155" t="str">
        <f t="shared" si="51"/>
        <v>36.5Y</v>
      </c>
      <c r="DC161" s="405">
        <v>0.11484592907958531</v>
      </c>
      <c r="DD161" s="284">
        <f>IF(DA161,_xll.qDateYears(DA160,DA161,DD$13),0)</f>
        <v>0.25205479452054796</v>
      </c>
      <c r="DE161" s="284">
        <f t="shared" si="57"/>
        <v>1519.7175061771184</v>
      </c>
      <c r="DM161" s="560">
        <v>54015</v>
      </c>
      <c r="DN161" s="155" t="str">
        <f t="shared" si="52"/>
        <v>36.5Y</v>
      </c>
      <c r="DO161" s="405">
        <v>0.21509105504532902</v>
      </c>
      <c r="DP161" s="284">
        <f>IF(DM161,_xll.qDateYears(DM160,DM161,DP$13),0)</f>
        <v>0.25555555555555554</v>
      </c>
      <c r="DQ161" s="284">
        <f t="shared" si="58"/>
        <v>1985.870643929265</v>
      </c>
    </row>
    <row r="162" spans="59:121">
      <c r="BG162" s="560">
        <v>54107</v>
      </c>
      <c r="BH162" s="154" t="str">
        <f t="shared" si="47"/>
        <v>36.75Y</v>
      </c>
      <c r="BI162" s="405">
        <v>0.21289346512186105</v>
      </c>
      <c r="BJ162" s="284">
        <f>IF(BG162,_xll.qDateYears(BG161,BG162,$BJ$13),0)</f>
        <v>0.25555555555555554</v>
      </c>
      <c r="BK162" s="284">
        <f t="shared" si="53"/>
        <v>1991.3112547046014</v>
      </c>
      <c r="BQ162" s="560">
        <v>54107</v>
      </c>
      <c r="BR162" s="155" t="str">
        <f t="shared" si="48"/>
        <v>36.75Y</v>
      </c>
      <c r="BS162" s="405">
        <v>0.1792211043338888</v>
      </c>
      <c r="BT162" s="284">
        <f>IF(BQ162,_xll.qDateYears(BQ161,BQ162,BT$13),0)</f>
        <v>0.25205479452054796</v>
      </c>
      <c r="BU162" s="284">
        <f t="shared" si="54"/>
        <v>1538.856992927477</v>
      </c>
      <c r="CC162" s="560">
        <v>54107</v>
      </c>
      <c r="CD162" s="155" t="str">
        <f t="shared" si="49"/>
        <v>36.75Y</v>
      </c>
      <c r="CE162" s="405">
        <v>0.25912451338951836</v>
      </c>
      <c r="CF162" s="284">
        <f>IF(CC162,_xll.qDateYears(CC161,CC162,CF$13),0)</f>
        <v>0.25555555555555554</v>
      </c>
      <c r="CG162" s="284">
        <f t="shared" si="55"/>
        <v>2041.4642218932861</v>
      </c>
      <c r="CO162" s="560">
        <v>54107</v>
      </c>
      <c r="CP162" s="155" t="str">
        <f t="shared" si="50"/>
        <v>36.75Y</v>
      </c>
      <c r="CQ162" s="405">
        <v>0.21847781387943735</v>
      </c>
      <c r="CR162" s="284">
        <f>IF(CO162,_xll.qDateYears(CO161,CO162,CR$13),0)</f>
        <v>0.25205479452054796</v>
      </c>
      <c r="CS162" s="284">
        <f t="shared" si="56"/>
        <v>1942.5734009704106</v>
      </c>
      <c r="DA162" s="560">
        <v>54107</v>
      </c>
      <c r="DB162" s="155" t="str">
        <f t="shared" si="51"/>
        <v>36.75Y</v>
      </c>
      <c r="DC162" s="405">
        <v>0.11314391801734658</v>
      </c>
      <c r="DD162" s="284">
        <f>IF(DA162,_xll.qDateYears(DA161,DA162,DD$13),0)</f>
        <v>0.25205479452054796</v>
      </c>
      <c r="DE162" s="284">
        <f t="shared" si="57"/>
        <v>1522.5693528778295</v>
      </c>
      <c r="DM162" s="560">
        <v>54107</v>
      </c>
      <c r="DN162" s="155" t="str">
        <f t="shared" si="52"/>
        <v>36.75Y</v>
      </c>
      <c r="DO162" s="405">
        <v>0.21289346512186105</v>
      </c>
      <c r="DP162" s="284">
        <f>IF(DM162,_xll.qDateYears(DM161,DM162,DP$13),0)</f>
        <v>0.25555555555555554</v>
      </c>
      <c r="DQ162" s="284">
        <f t="shared" si="58"/>
        <v>1991.3112547046014</v>
      </c>
    </row>
    <row r="163" spans="59:121">
      <c r="BG163" s="560">
        <v>54197</v>
      </c>
      <c r="BH163" s="154" t="str">
        <f t="shared" si="47"/>
        <v>37Y</v>
      </c>
      <c r="BI163" s="405">
        <v>0.2107663053018167</v>
      </c>
      <c r="BJ163" s="284">
        <f>IF(BG163,_xll.qDateYears(BG162,BG163,$BJ$13),0)</f>
        <v>0.25</v>
      </c>
      <c r="BK163" s="284">
        <f t="shared" si="53"/>
        <v>1996.5804123371468</v>
      </c>
      <c r="BQ163" s="560">
        <v>54197</v>
      </c>
      <c r="BR163" s="155" t="str">
        <f t="shared" si="48"/>
        <v>37Y</v>
      </c>
      <c r="BS163" s="405">
        <v>0.17836389035863129</v>
      </c>
      <c r="BT163" s="284">
        <f>IF(BQ163,_xll.qDateYears(BQ162,BQ163,BT$13),0)</f>
        <v>0.24657534246575341</v>
      </c>
      <c r="BU163" s="284">
        <f t="shared" si="54"/>
        <v>1543.2550066623473</v>
      </c>
      <c r="CC163" s="560">
        <v>54197</v>
      </c>
      <c r="CD163" s="155" t="str">
        <f t="shared" si="49"/>
        <v>37Y</v>
      </c>
      <c r="CE163" s="405">
        <v>0.25713435365591347</v>
      </c>
      <c r="CF163" s="284">
        <f>IF(CC163,_xll.qDateYears(CC162,CC163,CF$13),0)</f>
        <v>0.25</v>
      </c>
      <c r="CG163" s="284">
        <f t="shared" si="55"/>
        <v>2047.8925807346839</v>
      </c>
      <c r="CO163" s="560">
        <v>54197</v>
      </c>
      <c r="CP163" s="155" t="str">
        <f t="shared" si="50"/>
        <v>37Y</v>
      </c>
      <c r="CQ163" s="405">
        <v>0.21631494579067581</v>
      </c>
      <c r="CR163" s="284">
        <f>IF(CO163,_xll.qDateYears(CO162,CO163,CR$13),0)</f>
        <v>0.24657534246575341</v>
      </c>
      <c r="CS163" s="284">
        <f t="shared" si="56"/>
        <v>1947.9071941542902</v>
      </c>
      <c r="DA163" s="560">
        <v>54197</v>
      </c>
      <c r="DB163" s="155" t="str">
        <f t="shared" si="51"/>
        <v>37Y</v>
      </c>
      <c r="DC163" s="405">
        <v>0.11150331699513361</v>
      </c>
      <c r="DD163" s="284">
        <f>IF(DA163,_xll.qDateYears(DA162,DA163,DD$13),0)</f>
        <v>0.24657534246575341</v>
      </c>
      <c r="DE163" s="284">
        <f t="shared" si="57"/>
        <v>1525.3187497352437</v>
      </c>
      <c r="DM163" s="560">
        <v>54197</v>
      </c>
      <c r="DN163" s="155" t="str">
        <f t="shared" si="52"/>
        <v>37Y</v>
      </c>
      <c r="DO163" s="405">
        <v>0.2107663053018167</v>
      </c>
      <c r="DP163" s="284">
        <f>IF(DM163,_xll.qDateYears(DM162,DM163,DP$13),0)</f>
        <v>0.25</v>
      </c>
      <c r="DQ163" s="284">
        <f t="shared" si="58"/>
        <v>1996.5804123371468</v>
      </c>
    </row>
    <row r="164" spans="59:121">
      <c r="BG164" s="560">
        <v>54289</v>
      </c>
      <c r="BH164" s="154" t="str">
        <f t="shared" si="47"/>
        <v>37.25Y</v>
      </c>
      <c r="BI164" s="405">
        <v>0.20861478098490549</v>
      </c>
      <c r="BJ164" s="284">
        <f>IF(BG164,_xll.qDateYears(BG163,BG164,$BJ$13),0)</f>
        <v>0.25555555555555554</v>
      </c>
      <c r="BK164" s="284">
        <f t="shared" si="53"/>
        <v>2001.9116789623165</v>
      </c>
      <c r="BQ164" s="560">
        <v>54289</v>
      </c>
      <c r="BR164" s="155" t="str">
        <f t="shared" si="48"/>
        <v>37.25Y</v>
      </c>
      <c r="BS164" s="405">
        <v>0.17750835997090375</v>
      </c>
      <c r="BT164" s="284">
        <f>IF(BQ164,_xll.qDateYears(BQ163,BQ164,BT$13),0)</f>
        <v>0.25205479452054796</v>
      </c>
      <c r="BU164" s="284">
        <f t="shared" si="54"/>
        <v>1547.7291899821619</v>
      </c>
      <c r="CC164" s="560">
        <v>54289</v>
      </c>
      <c r="CD164" s="155" t="str">
        <f t="shared" si="49"/>
        <v>37.25Y</v>
      </c>
      <c r="CE164" s="405">
        <v>0.25512048089700323</v>
      </c>
      <c r="CF164" s="284">
        <f>IF(CC164,_xll.qDateYears(CC163,CC164,CF$13),0)</f>
        <v>0.25555555555555554</v>
      </c>
      <c r="CG164" s="284">
        <f t="shared" si="55"/>
        <v>2054.4123263576071</v>
      </c>
      <c r="CO164" s="560">
        <v>54289</v>
      </c>
      <c r="CP164" s="155" t="str">
        <f t="shared" si="50"/>
        <v>37.25Y</v>
      </c>
      <c r="CQ164" s="405">
        <v>0.21412686988110982</v>
      </c>
      <c r="CR164" s="284">
        <f>IF(CO164,_xll.qDateYears(CO163,CO164,CR$13),0)</f>
        <v>0.25205479452054796</v>
      </c>
      <c r="CS164" s="284">
        <f t="shared" si="56"/>
        <v>1953.3043645732114</v>
      </c>
      <c r="DA164" s="560">
        <v>54289</v>
      </c>
      <c r="DB164" s="155" t="str">
        <f t="shared" si="51"/>
        <v>37.25Y</v>
      </c>
      <c r="DC164" s="405">
        <v>0.10985084328080175</v>
      </c>
      <c r="DD164" s="284">
        <f>IF(DA164,_xll.qDateYears(DA163,DA164,DD$13),0)</f>
        <v>0.25205479452054796</v>
      </c>
      <c r="DE164" s="284">
        <f t="shared" si="57"/>
        <v>1528.0875929083488</v>
      </c>
      <c r="DM164" s="560">
        <v>54289</v>
      </c>
      <c r="DN164" s="155" t="str">
        <f t="shared" si="52"/>
        <v>37.25Y</v>
      </c>
      <c r="DO164" s="405">
        <v>0.20861478098490549</v>
      </c>
      <c r="DP164" s="284">
        <f>IF(DM164,_xll.qDateYears(DM163,DM164,DP$13),0)</f>
        <v>0.25555555555555554</v>
      </c>
      <c r="DQ164" s="284">
        <f t="shared" si="58"/>
        <v>2001.9116789623165</v>
      </c>
    </row>
    <row r="165" spans="59:121">
      <c r="BG165" s="560">
        <v>54381</v>
      </c>
      <c r="BH165" s="154" t="str">
        <f t="shared" si="47"/>
        <v>37.5Y</v>
      </c>
      <c r="BI165" s="405">
        <v>0.20648616006383522</v>
      </c>
      <c r="BJ165" s="284">
        <f>IF(BG165,_xll.qDateYears(BG164,BG165,$BJ$13),0)</f>
        <v>0.25555555555555554</v>
      </c>
      <c r="BK165" s="284">
        <f t="shared" si="53"/>
        <v>2007.1885474972812</v>
      </c>
      <c r="BQ165" s="560">
        <v>54381</v>
      </c>
      <c r="BR165" s="155" t="str">
        <f t="shared" si="48"/>
        <v>37.5Y</v>
      </c>
      <c r="BS165" s="405">
        <v>0.17667353235436184</v>
      </c>
      <c r="BT165" s="284">
        <f>IF(BQ165,_xll.qDateYears(BQ164,BQ165,BT$13),0)</f>
        <v>0.25205479452054796</v>
      </c>
      <c r="BU165" s="284">
        <f t="shared" si="54"/>
        <v>1552.1823310716418</v>
      </c>
      <c r="CC165" s="560">
        <v>54381</v>
      </c>
      <c r="CD165" s="155" t="str">
        <f t="shared" si="49"/>
        <v>37.5Y</v>
      </c>
      <c r="CE165" s="405">
        <v>0.25312711069774657</v>
      </c>
      <c r="CF165" s="284">
        <f>IF(CC165,_xll.qDateYears(CC164,CC165,CF$13),0)</f>
        <v>0.25555555555555554</v>
      </c>
      <c r="CG165" s="284">
        <f t="shared" si="55"/>
        <v>2060.8811302976605</v>
      </c>
      <c r="CO165" s="560">
        <v>54381</v>
      </c>
      <c r="CP165" s="155" t="str">
        <f t="shared" si="50"/>
        <v>37.5Y</v>
      </c>
      <c r="CQ165" s="405">
        <v>0.2119616541769527</v>
      </c>
      <c r="CR165" s="284">
        <f>IF(CO165,_xll.qDateYears(CO164,CO165,CR$13),0)</f>
        <v>0.25205479452054796</v>
      </c>
      <c r="CS165" s="284">
        <f t="shared" si="56"/>
        <v>1958.646959692192</v>
      </c>
      <c r="DA165" s="560">
        <v>54381</v>
      </c>
      <c r="DB165" s="155" t="str">
        <f t="shared" si="51"/>
        <v>37.5Y</v>
      </c>
      <c r="DC165" s="405">
        <v>0.1082228591462434</v>
      </c>
      <c r="DD165" s="284">
        <f>IF(DA165,_xll.qDateYears(DA164,DA165,DD$13),0)</f>
        <v>0.25205479452054796</v>
      </c>
      <c r="DE165" s="284">
        <f t="shared" si="57"/>
        <v>1530.8154019608021</v>
      </c>
      <c r="DM165" s="560">
        <v>54381</v>
      </c>
      <c r="DN165" s="155" t="str">
        <f t="shared" si="52"/>
        <v>37.5Y</v>
      </c>
      <c r="DO165" s="405">
        <v>0.20648616006383522</v>
      </c>
      <c r="DP165" s="284">
        <f>IF(DM165,_xll.qDateYears(DM164,DM165,DP$13),0)</f>
        <v>0.25555555555555554</v>
      </c>
      <c r="DQ165" s="284">
        <f t="shared" si="58"/>
        <v>2007.1885474972812</v>
      </c>
    </row>
    <row r="166" spans="59:121">
      <c r="BG166" s="560">
        <v>54473</v>
      </c>
      <c r="BH166" s="154" t="str">
        <f t="shared" si="47"/>
        <v>37.75Y</v>
      </c>
      <c r="BI166" s="405">
        <v>0.20438018955453865</v>
      </c>
      <c r="BJ166" s="284">
        <f>IF(BG166,_xll.qDateYears(BG165,BG166,$BJ$13),0)</f>
        <v>0.25555555555555554</v>
      </c>
      <c r="BK166" s="284">
        <f t="shared" si="53"/>
        <v>2012.4115967858972</v>
      </c>
      <c r="BQ166" s="560">
        <v>54473</v>
      </c>
      <c r="BR166" s="155" t="str">
        <f t="shared" si="48"/>
        <v>37.75Y</v>
      </c>
      <c r="BS166" s="405">
        <v>0.17585915477894851</v>
      </c>
      <c r="BT166" s="284">
        <f>IF(BQ166,_xll.qDateYears(BQ165,BQ166,BT$13),0)</f>
        <v>0.25205479452054796</v>
      </c>
      <c r="BU166" s="284">
        <f t="shared" si="54"/>
        <v>1556.6149453838782</v>
      </c>
      <c r="CC166" s="560">
        <v>54473</v>
      </c>
      <c r="CD166" s="155" t="str">
        <f t="shared" si="49"/>
        <v>37.75Y</v>
      </c>
      <c r="CE166" s="405">
        <v>0.25115400872017929</v>
      </c>
      <c r="CF166" s="284">
        <f>IF(CC166,_xll.qDateYears(CC165,CC166,CF$13),0)</f>
        <v>0.25555555555555554</v>
      </c>
      <c r="CG166" s="284">
        <f t="shared" si="55"/>
        <v>2067.2995105205096</v>
      </c>
      <c r="CO166" s="560">
        <v>54473</v>
      </c>
      <c r="CP166" s="155" t="str">
        <f t="shared" si="50"/>
        <v>37.75Y</v>
      </c>
      <c r="CQ166" s="405">
        <v>0.20981905273735851</v>
      </c>
      <c r="CR166" s="284">
        <f>IF(CO166,_xll.qDateYears(CO165,CO166,CR$13),0)</f>
        <v>0.25205479452054796</v>
      </c>
      <c r="CS166" s="284">
        <f t="shared" si="56"/>
        <v>1963.9355495146131</v>
      </c>
      <c r="DA166" s="560">
        <v>54473</v>
      </c>
      <c r="DB166" s="155" t="str">
        <f t="shared" si="51"/>
        <v>37.75Y</v>
      </c>
      <c r="DC166" s="405">
        <v>0.10661900165708184</v>
      </c>
      <c r="DD166" s="284">
        <f>IF(DA166,_xll.qDateYears(DA165,DA166,DD$13),0)</f>
        <v>0.25205479452054796</v>
      </c>
      <c r="DE166" s="284">
        <f t="shared" si="57"/>
        <v>1533.5027850162683</v>
      </c>
      <c r="DM166" s="560">
        <v>54473</v>
      </c>
      <c r="DN166" s="155" t="str">
        <f t="shared" si="52"/>
        <v>37.75Y</v>
      </c>
      <c r="DO166" s="405">
        <v>0.20438018955453865</v>
      </c>
      <c r="DP166" s="284">
        <f>IF(DM166,_xll.qDateYears(DM165,DM166,DP$13),0)</f>
        <v>0.25555555555555554</v>
      </c>
      <c r="DQ166" s="284">
        <f t="shared" si="58"/>
        <v>2012.4115967858972</v>
      </c>
    </row>
    <row r="167" spans="59:121">
      <c r="BG167" s="560">
        <v>54562</v>
      </c>
      <c r="BH167" s="154" t="str">
        <f t="shared" si="47"/>
        <v>38Y</v>
      </c>
      <c r="BI167" s="405">
        <v>0.20236421111965028</v>
      </c>
      <c r="BJ167" s="284">
        <f>IF(BG167,_xll.qDateYears(BG166,BG167,$BJ$13),0)</f>
        <v>0.24722222222222223</v>
      </c>
      <c r="BK167" s="284">
        <f t="shared" si="53"/>
        <v>2017.414489783022</v>
      </c>
      <c r="BQ167" s="560">
        <v>54562</v>
      </c>
      <c r="BR167" s="155" t="str">
        <f t="shared" si="48"/>
        <v>38Y</v>
      </c>
      <c r="BS167" s="405">
        <v>0.17509056219969227</v>
      </c>
      <c r="BT167" s="284">
        <f>IF(BQ167,_xll.qDateYears(BQ166,BQ167,BT$13),0)</f>
        <v>0.24383561643835616</v>
      </c>
      <c r="BU167" s="284">
        <f t="shared" si="54"/>
        <v>1560.8842769005282</v>
      </c>
      <c r="CC167" s="560">
        <v>54562</v>
      </c>
      <c r="CD167" s="155" t="str">
        <f t="shared" si="49"/>
        <v>38Y</v>
      </c>
      <c r="CE167" s="405">
        <v>0.24926431682806044</v>
      </c>
      <c r="CF167" s="284">
        <f>IF(CC167,_xll.qDateYears(CC166,CC167,CF$13),0)</f>
        <v>0.24722222222222223</v>
      </c>
      <c r="CG167" s="284">
        <f t="shared" si="55"/>
        <v>2073.4618783532032</v>
      </c>
      <c r="CO167" s="560">
        <v>54562</v>
      </c>
      <c r="CP167" s="155" t="str">
        <f t="shared" si="50"/>
        <v>38Y</v>
      </c>
      <c r="CQ167" s="405">
        <v>0.20776760993106808</v>
      </c>
      <c r="CR167" s="284">
        <f>IF(CO167,_xll.qDateYears(CO166,CO167,CR$13),0)</f>
        <v>0.24383561643835616</v>
      </c>
      <c r="CS167" s="284">
        <f t="shared" si="56"/>
        <v>1969.0016638389598</v>
      </c>
      <c r="DA167" s="560">
        <v>54562</v>
      </c>
      <c r="DB167" s="155" t="str">
        <f t="shared" si="51"/>
        <v>38Y</v>
      </c>
      <c r="DC167" s="405">
        <v>0.10509006663463978</v>
      </c>
      <c r="DD167" s="284">
        <f>IF(DA167,_xll.qDateYears(DA166,DA167,DD$13),0)</f>
        <v>0.24383561643835616</v>
      </c>
      <c r="DE167" s="284">
        <f t="shared" si="57"/>
        <v>1536.0652551342089</v>
      </c>
      <c r="DM167" s="560">
        <v>54562</v>
      </c>
      <c r="DN167" s="155" t="str">
        <f t="shared" si="52"/>
        <v>38Y</v>
      </c>
      <c r="DO167" s="405">
        <v>0.20236421111965028</v>
      </c>
      <c r="DP167" s="284">
        <f>IF(DM167,_xll.qDateYears(DM166,DM167,DP$13),0)</f>
        <v>0.24722222222222223</v>
      </c>
      <c r="DQ167" s="284">
        <f t="shared" si="58"/>
        <v>2017.414489783022</v>
      </c>
    </row>
    <row r="168" spans="59:121">
      <c r="BG168" s="560">
        <v>54654</v>
      </c>
      <c r="BH168" s="154" t="str">
        <f t="shared" si="47"/>
        <v>38.25Y</v>
      </c>
      <c r="BI168" s="405">
        <v>0.20030207548951695</v>
      </c>
      <c r="BJ168" s="284">
        <f>IF(BG168,_xll.qDateYears(BG167,BG168,$BJ$13),0)</f>
        <v>0.25555555555555554</v>
      </c>
      <c r="BK168" s="284">
        <f t="shared" si="53"/>
        <v>2022.5333206010873</v>
      </c>
      <c r="BQ168" s="560">
        <v>54654</v>
      </c>
      <c r="BR168" s="155" t="str">
        <f t="shared" si="48"/>
        <v>38.25Y</v>
      </c>
      <c r="BS168" s="405">
        <v>0.17431570670463495</v>
      </c>
      <c r="BT168" s="284">
        <f>IF(BQ168,_xll.qDateYears(BQ167,BQ168,BT$13),0)</f>
        <v>0.25205479452054796</v>
      </c>
      <c r="BU168" s="284">
        <f t="shared" si="54"/>
        <v>1565.2779878640424</v>
      </c>
      <c r="CC168" s="560">
        <v>54654</v>
      </c>
      <c r="CD168" s="155" t="str">
        <f t="shared" si="49"/>
        <v>38.25Y</v>
      </c>
      <c r="CE168" s="405">
        <v>0.24733041772416761</v>
      </c>
      <c r="CF168" s="284">
        <f>IF(CC168,_xll.qDateYears(CC167,CC168,CF$13),0)</f>
        <v>0.25555555555555554</v>
      </c>
      <c r="CG168" s="284">
        <f t="shared" si="55"/>
        <v>2079.7825445839321</v>
      </c>
      <c r="CO168" s="560">
        <v>54654</v>
      </c>
      <c r="CP168" s="155" t="str">
        <f t="shared" si="50"/>
        <v>38.25Y</v>
      </c>
      <c r="CQ168" s="405">
        <v>0.20566879215887265</v>
      </c>
      <c r="CR168" s="284">
        <f>IF(CO168,_xll.qDateYears(CO167,CO168,CR$13),0)</f>
        <v>0.25205479452054796</v>
      </c>
      <c r="CS168" s="284">
        <f t="shared" si="56"/>
        <v>1974.1856443536492</v>
      </c>
      <c r="DA168" s="560">
        <v>54654</v>
      </c>
      <c r="DB168" s="155" t="str">
        <f t="shared" si="51"/>
        <v>38.25Y</v>
      </c>
      <c r="DC168" s="405">
        <v>0.10353263697755878</v>
      </c>
      <c r="DD168" s="284">
        <f>IF(DA168,_xll.qDateYears(DA167,DA168,DD$13),0)</f>
        <v>0.25205479452054796</v>
      </c>
      <c r="DE168" s="284">
        <f t="shared" si="57"/>
        <v>1538.6748448881638</v>
      </c>
      <c r="DM168" s="560">
        <v>54654</v>
      </c>
      <c r="DN168" s="155" t="str">
        <f t="shared" si="52"/>
        <v>38.25Y</v>
      </c>
      <c r="DO168" s="405">
        <v>0.20030207548951695</v>
      </c>
      <c r="DP168" s="284">
        <f>IF(DM168,_xll.qDateYears(DM167,DM168,DP$13),0)</f>
        <v>0.25555555555555554</v>
      </c>
      <c r="DQ168" s="284">
        <f t="shared" si="58"/>
        <v>2022.5333206010873</v>
      </c>
    </row>
    <row r="169" spans="59:121">
      <c r="BG169" s="560">
        <v>54746</v>
      </c>
      <c r="BH169" s="154" t="str">
        <f t="shared" si="47"/>
        <v>38.5Y</v>
      </c>
      <c r="BI169" s="405">
        <v>0.19826185644094027</v>
      </c>
      <c r="BJ169" s="284">
        <f>IF(BG169,_xll.qDateYears(BG168,BG169,$BJ$13),0)</f>
        <v>0.25555555555555554</v>
      </c>
      <c r="BK169" s="284">
        <f t="shared" si="53"/>
        <v>2027.6000124879113</v>
      </c>
      <c r="BQ169" s="560">
        <v>54746</v>
      </c>
      <c r="BR169" s="155" t="str">
        <f t="shared" si="48"/>
        <v>38.5Y</v>
      </c>
      <c r="BS169" s="405">
        <v>0.17356059151867617</v>
      </c>
      <c r="BT169" s="284">
        <f>IF(BQ169,_xll.qDateYears(BQ168,BQ169,BT$13),0)</f>
        <v>0.25205479452054796</v>
      </c>
      <c r="BU169" s="284">
        <f t="shared" si="54"/>
        <v>1569.6526657872528</v>
      </c>
      <c r="CC169" s="560">
        <v>54746</v>
      </c>
      <c r="CD169" s="155" t="str">
        <f t="shared" si="49"/>
        <v>38.5Y</v>
      </c>
      <c r="CE169" s="405">
        <v>0.24541610873313818</v>
      </c>
      <c r="CF169" s="284">
        <f>IF(CC169,_xll.qDateYears(CC168,CC169,CF$13),0)</f>
        <v>0.25555555555555554</v>
      </c>
      <c r="CG169" s="284">
        <f t="shared" si="55"/>
        <v>2086.0542895848903</v>
      </c>
      <c r="CO169" s="560">
        <v>54746</v>
      </c>
      <c r="CP169" s="155" t="str">
        <f t="shared" si="50"/>
        <v>38.5Y</v>
      </c>
      <c r="CQ169" s="405">
        <v>0.2035918747295285</v>
      </c>
      <c r="CR169" s="284">
        <f>IF(CO169,_xll.qDateYears(CO168,CO169,CR$13),0)</f>
        <v>0.25205479452054796</v>
      </c>
      <c r="CS169" s="284">
        <f t="shared" si="56"/>
        <v>1979.3172751687496</v>
      </c>
      <c r="DA169" s="560">
        <v>54746</v>
      </c>
      <c r="DB169" s="155" t="str">
        <f t="shared" si="51"/>
        <v>38.5Y</v>
      </c>
      <c r="DC169" s="405">
        <v>0.10199828835196283</v>
      </c>
      <c r="DD169" s="284">
        <f>IF(DA169,_xll.qDateYears(DA168,DA169,DD$13),0)</f>
        <v>0.25205479452054796</v>
      </c>
      <c r="DE169" s="284">
        <f t="shared" si="57"/>
        <v>1541.245760649364</v>
      </c>
      <c r="DM169" s="560">
        <v>54746</v>
      </c>
      <c r="DN169" s="155" t="str">
        <f t="shared" si="52"/>
        <v>38.5Y</v>
      </c>
      <c r="DO169" s="405">
        <v>0.19826185644094027</v>
      </c>
      <c r="DP169" s="284">
        <f>IF(DM169,_xll.qDateYears(DM168,DM169,DP$13),0)</f>
        <v>0.25555555555555554</v>
      </c>
      <c r="DQ169" s="284">
        <f t="shared" si="58"/>
        <v>2027.6000124879113</v>
      </c>
    </row>
    <row r="170" spans="59:121">
      <c r="BG170" s="560">
        <v>54841</v>
      </c>
      <c r="BH170" s="154" t="str">
        <f t="shared" si="47"/>
        <v>38.75Y</v>
      </c>
      <c r="BI170" s="405">
        <v>0.19617785234306859</v>
      </c>
      <c r="BJ170" s="284">
        <f>IF(BG170,_xll.qDateYears(BG169,BG170,$BJ$13),0)</f>
        <v>0.2638888888888889</v>
      </c>
      <c r="BK170" s="284">
        <f t="shared" si="53"/>
        <v>2032.7769280358534</v>
      </c>
      <c r="BQ170" s="560">
        <v>54841</v>
      </c>
      <c r="BR170" s="155" t="str">
        <f t="shared" si="48"/>
        <v>38.75Y</v>
      </c>
      <c r="BS170" s="405">
        <v>0.17280132965972009</v>
      </c>
      <c r="BT170" s="284">
        <f>IF(BQ170,_xll.qDateYears(BQ169,BQ170,BT$13),0)</f>
        <v>0.26027397260273971</v>
      </c>
      <c r="BU170" s="284">
        <f t="shared" si="54"/>
        <v>1574.15023464141</v>
      </c>
      <c r="CC170" s="560">
        <v>54841</v>
      </c>
      <c r="CD170" s="155" t="str">
        <f t="shared" si="49"/>
        <v>38.75Y</v>
      </c>
      <c r="CE170" s="405">
        <v>0.24345969899484207</v>
      </c>
      <c r="CF170" s="284">
        <f>IF(CC170,_xll.qDateYears(CC169,CC170,CF$13),0)</f>
        <v>0.2638888888888889</v>
      </c>
      <c r="CG170" s="284">
        <f t="shared" si="55"/>
        <v>2092.4789205305874</v>
      </c>
      <c r="CO170" s="560">
        <v>54841</v>
      </c>
      <c r="CP170" s="155" t="str">
        <f t="shared" si="50"/>
        <v>38.75Y</v>
      </c>
      <c r="CQ170" s="405">
        <v>0.20146996529541203</v>
      </c>
      <c r="CR170" s="284">
        <f>IF(CO170,_xll.qDateYears(CO169,CO170,CR$13),0)</f>
        <v>0.26027397260273971</v>
      </c>
      <c r="CS170" s="284">
        <f t="shared" si="56"/>
        <v>1984.5610139915068</v>
      </c>
      <c r="DA170" s="560">
        <v>54841</v>
      </c>
      <c r="DB170" s="155" t="str">
        <f t="shared" si="51"/>
        <v>38.75Y</v>
      </c>
      <c r="DC170" s="405">
        <v>0.10043776605461863</v>
      </c>
      <c r="DD170" s="284">
        <f>IF(DA170,_xll.qDateYears(DA169,DA170,DD$13),0)</f>
        <v>0.26027397260273971</v>
      </c>
      <c r="DE170" s="284">
        <f t="shared" si="57"/>
        <v>1543.8598942864021</v>
      </c>
      <c r="DM170" s="560">
        <v>54841</v>
      </c>
      <c r="DN170" s="155" t="str">
        <f t="shared" si="52"/>
        <v>38.75Y</v>
      </c>
      <c r="DO170" s="405">
        <v>0.19617785234306859</v>
      </c>
      <c r="DP170" s="284">
        <f>IF(DM170,_xll.qDateYears(DM169,DM170,DP$13),0)</f>
        <v>0.2638888888888889</v>
      </c>
      <c r="DQ170" s="284">
        <f t="shared" si="58"/>
        <v>2032.7769280358534</v>
      </c>
    </row>
    <row r="171" spans="59:121">
      <c r="BG171" s="560">
        <v>54927</v>
      </c>
      <c r="BH171" s="154" t="str">
        <f t="shared" si="47"/>
        <v>39Y</v>
      </c>
      <c r="BI171" s="405">
        <v>0.194310991400682</v>
      </c>
      <c r="BJ171" s="284">
        <f>IF(BG171,_xll.qDateYears(BG170,BG171,$BJ$13),0)</f>
        <v>0.2388888888888889</v>
      </c>
      <c r="BK171" s="284">
        <f t="shared" si="53"/>
        <v>2037.4188017193142</v>
      </c>
      <c r="BQ171" s="560">
        <v>54927</v>
      </c>
      <c r="BR171" s="155" t="str">
        <f t="shared" si="48"/>
        <v>39Y</v>
      </c>
      <c r="BS171" s="405">
        <v>0.17213174015392249</v>
      </c>
      <c r="BT171" s="284">
        <f>IF(BQ171,_xll.qDateYears(BQ170,BQ171,BT$13),0)</f>
        <v>0.23561643835616439</v>
      </c>
      <c r="BU171" s="284">
        <f t="shared" si="54"/>
        <v>1578.2059413957215</v>
      </c>
      <c r="CC171" s="560">
        <v>54927</v>
      </c>
      <c r="CD171" s="155" t="str">
        <f t="shared" si="49"/>
        <v>39Y</v>
      </c>
      <c r="CE171" s="405">
        <v>0.24170624002306262</v>
      </c>
      <c r="CF171" s="284">
        <f>IF(CC171,_xll.qDateYears(CC170,CC171,CF$13),0)</f>
        <v>0.2388888888888889</v>
      </c>
      <c r="CG171" s="284">
        <f t="shared" si="55"/>
        <v>2098.2530140422496</v>
      </c>
      <c r="CO171" s="560">
        <v>54927</v>
      </c>
      <c r="CP171" s="155" t="str">
        <f t="shared" si="50"/>
        <v>39Y</v>
      </c>
      <c r="CQ171" s="405">
        <v>0.19956878671449332</v>
      </c>
      <c r="CR171" s="284">
        <f>IF(CO171,_xll.qDateYears(CO170,CO171,CR$13),0)</f>
        <v>0.23561643835616439</v>
      </c>
      <c r="CS171" s="284">
        <f t="shared" si="56"/>
        <v>1989.2631826647798</v>
      </c>
      <c r="DA171" s="560">
        <v>54927</v>
      </c>
      <c r="DB171" s="155" t="str">
        <f t="shared" si="51"/>
        <v>39Y</v>
      </c>
      <c r="DC171" s="405">
        <v>9.9045682253156866E-2</v>
      </c>
      <c r="DD171" s="284">
        <f>IF(DA171,_xll.qDateYears(DA170,DA171,DD$13),0)</f>
        <v>0.23561643835616439</v>
      </c>
      <c r="DE171" s="284">
        <f t="shared" si="57"/>
        <v>1546.1935733751066</v>
      </c>
      <c r="DM171" s="560">
        <v>54927</v>
      </c>
      <c r="DN171" s="155" t="str">
        <f t="shared" si="52"/>
        <v>39Y</v>
      </c>
      <c r="DO171" s="405">
        <v>0.194310991400682</v>
      </c>
      <c r="DP171" s="284">
        <f>IF(DM171,_xll.qDateYears(DM170,DM171,DP$13),0)</f>
        <v>0.2388888888888889</v>
      </c>
      <c r="DQ171" s="284">
        <f t="shared" si="58"/>
        <v>2037.4188017193142</v>
      </c>
    </row>
    <row r="172" spans="59:121">
      <c r="BG172" s="560">
        <v>55019</v>
      </c>
      <c r="BH172" s="154" t="str">
        <f t="shared" si="47"/>
        <v>39.25Y</v>
      </c>
      <c r="BI172" s="405">
        <v>0.19233439515949435</v>
      </c>
      <c r="BJ172" s="284">
        <f>IF(BG172,_xll.qDateYears(BG171,BG172,$BJ$13),0)</f>
        <v>0.25555555555555554</v>
      </c>
      <c r="BK172" s="284">
        <f t="shared" si="53"/>
        <v>2042.3340140400569</v>
      </c>
      <c r="BQ172" s="560">
        <v>55019</v>
      </c>
      <c r="BR172" s="155" t="str">
        <f t="shared" si="48"/>
        <v>39.25Y</v>
      </c>
      <c r="BS172" s="405">
        <v>0.17143389654065899</v>
      </c>
      <c r="BT172" s="284">
        <f>IF(BQ172,_xll.qDateYears(BQ171,BQ172,BT$13),0)</f>
        <v>0.25205479452054796</v>
      </c>
      <c r="BU172" s="284">
        <f t="shared" si="54"/>
        <v>1582.5270149523628</v>
      </c>
      <c r="CC172" s="560">
        <v>55019</v>
      </c>
      <c r="CD172" s="155" t="str">
        <f t="shared" si="49"/>
        <v>39.25Y</v>
      </c>
      <c r="CE172" s="405">
        <v>0.23984876166339383</v>
      </c>
      <c r="CF172" s="284">
        <f>IF(CC172,_xll.qDateYears(CC171,CC172,CF$13),0)</f>
        <v>0.25555555555555554</v>
      </c>
      <c r="CG172" s="284">
        <f t="shared" si="55"/>
        <v>2104.3824823958698</v>
      </c>
      <c r="CO172" s="560">
        <v>55019</v>
      </c>
      <c r="CP172" s="155" t="str">
        <f t="shared" si="50"/>
        <v>39.25Y</v>
      </c>
      <c r="CQ172" s="405">
        <v>0.19755548088456185</v>
      </c>
      <c r="CR172" s="284">
        <f>IF(CO172,_xll.qDateYears(CO171,CO172,CR$13),0)</f>
        <v>0.25205479452054796</v>
      </c>
      <c r="CS172" s="284">
        <f t="shared" si="56"/>
        <v>1994.2426632788565</v>
      </c>
      <c r="DA172" s="560">
        <v>55019</v>
      </c>
      <c r="DB172" s="155" t="str">
        <f t="shared" si="51"/>
        <v>39.25Y</v>
      </c>
      <c r="DC172" s="405">
        <v>9.7577830077525629E-2</v>
      </c>
      <c r="DD172" s="284">
        <f>IF(DA172,_xll.qDateYears(DA171,DA172,DD$13),0)</f>
        <v>0.25205479452054796</v>
      </c>
      <c r="DE172" s="284">
        <f t="shared" si="57"/>
        <v>1548.6530693661018</v>
      </c>
      <c r="DM172" s="560">
        <v>55019</v>
      </c>
      <c r="DN172" s="155" t="str">
        <f t="shared" si="52"/>
        <v>39.25Y</v>
      </c>
      <c r="DO172" s="405">
        <v>0.19233439515949435</v>
      </c>
      <c r="DP172" s="284">
        <f>IF(DM172,_xll.qDateYears(DM171,DM172,DP$13),0)</f>
        <v>0.25555555555555554</v>
      </c>
      <c r="DQ172" s="284">
        <f t="shared" si="58"/>
        <v>2042.3340140400569</v>
      </c>
    </row>
    <row r="173" spans="59:121">
      <c r="BG173" s="560">
        <v>55113</v>
      </c>
      <c r="BH173" s="154" t="str">
        <f t="shared" si="47"/>
        <v>39.5Y</v>
      </c>
      <c r="BI173" s="405">
        <v>0.19033649025432048</v>
      </c>
      <c r="BJ173" s="284">
        <f>IF(BG173,_xll.qDateYears(BG172,BG173,$BJ$13),0)</f>
        <v>0.26111111111111113</v>
      </c>
      <c r="BK173" s="284">
        <f t="shared" si="53"/>
        <v>2047.3039112855863</v>
      </c>
      <c r="BQ173" s="560">
        <v>55113</v>
      </c>
      <c r="BR173" s="155" t="str">
        <f t="shared" si="48"/>
        <v>39.5Y</v>
      </c>
      <c r="BS173" s="405">
        <v>0.17074038218052051</v>
      </c>
      <c r="BT173" s="284">
        <f>IF(BQ173,_xll.qDateYears(BQ172,BQ173,BT$13),0)</f>
        <v>0.25753424657534246</v>
      </c>
      <c r="BU173" s="284">
        <f t="shared" si="54"/>
        <v>1586.9241645208474</v>
      </c>
      <c r="CC173" s="560">
        <v>55113</v>
      </c>
      <c r="CD173" s="155" t="str">
        <f t="shared" si="49"/>
        <v>39.5Y</v>
      </c>
      <c r="CE173" s="405">
        <v>0.23797023908540901</v>
      </c>
      <c r="CF173" s="284">
        <f>IF(CC173,_xll.qDateYears(CC172,CC173,CF$13),0)</f>
        <v>0.26111111111111113</v>
      </c>
      <c r="CG173" s="284">
        <f t="shared" si="55"/>
        <v>2110.5961497497665</v>
      </c>
      <c r="CO173" s="560">
        <v>55113</v>
      </c>
      <c r="CP173" s="155" t="str">
        <f t="shared" si="50"/>
        <v>39.5Y</v>
      </c>
      <c r="CQ173" s="405">
        <v>0.19552007684284498</v>
      </c>
      <c r="CR173" s="284">
        <f>IF(CO173,_xll.qDateYears(CO172,CO173,CR$13),0)</f>
        <v>0.25753424657534246</v>
      </c>
      <c r="CS173" s="284">
        <f t="shared" si="56"/>
        <v>1999.277974846864</v>
      </c>
      <c r="DA173" s="560">
        <v>55113</v>
      </c>
      <c r="DB173" s="155" t="str">
        <f t="shared" si="51"/>
        <v>39.5Y</v>
      </c>
      <c r="DC173" s="405">
        <v>9.6100533641339123E-2</v>
      </c>
      <c r="DD173" s="284">
        <f>IF(DA173,_xll.qDateYears(DA172,DA173,DD$13),0)</f>
        <v>0.25753424657534246</v>
      </c>
      <c r="DE173" s="284">
        <f t="shared" si="57"/>
        <v>1551.1279872187829</v>
      </c>
      <c r="DM173" s="560">
        <v>55113</v>
      </c>
      <c r="DN173" s="155" t="str">
        <f t="shared" si="52"/>
        <v>39.5Y</v>
      </c>
      <c r="DO173" s="405">
        <v>0.19033649025432048</v>
      </c>
      <c r="DP173" s="284">
        <f>IF(DM173,_xll.qDateYears(DM172,DM173,DP$13),0)</f>
        <v>0.26111111111111113</v>
      </c>
      <c r="DQ173" s="284">
        <f t="shared" si="58"/>
        <v>2047.3039112855863</v>
      </c>
    </row>
    <row r="174" spans="59:121">
      <c r="BG174" s="560">
        <v>55205</v>
      </c>
      <c r="BH174" s="154" t="str">
        <f t="shared" si="47"/>
        <v>39.75Y</v>
      </c>
      <c r="BI174" s="405">
        <v>0.18840205876483535</v>
      </c>
      <c r="BJ174" s="284">
        <f>IF(BG174,_xll.qDateYears(BG173,BG174,$BJ$13),0)</f>
        <v>0.25555555555555554</v>
      </c>
      <c r="BK174" s="284">
        <f t="shared" si="53"/>
        <v>2052.1186305651322</v>
      </c>
      <c r="BQ174" s="560">
        <v>55205</v>
      </c>
      <c r="BR174" s="155" t="str">
        <f t="shared" si="48"/>
        <v>39.75Y</v>
      </c>
      <c r="BS174" s="405">
        <v>0.17008050365626357</v>
      </c>
      <c r="BT174" s="284">
        <f>IF(BQ174,_xll.qDateYears(BQ173,BQ174,BT$13),0)</f>
        <v>0.25205479452054796</v>
      </c>
      <c r="BU174" s="284">
        <f t="shared" si="54"/>
        <v>1591.2111251609506</v>
      </c>
      <c r="CC174" s="560">
        <v>55205</v>
      </c>
      <c r="CD174" s="155" t="str">
        <f t="shared" si="49"/>
        <v>39.75Y</v>
      </c>
      <c r="CE174" s="405">
        <v>0.23615039365884286</v>
      </c>
      <c r="CF174" s="284">
        <f>IF(CC174,_xll.qDateYears(CC173,CC174,CF$13),0)</f>
        <v>0.25555555555555554</v>
      </c>
      <c r="CG174" s="284">
        <f t="shared" si="55"/>
        <v>2116.6311042543812</v>
      </c>
      <c r="CO174" s="560">
        <v>55205</v>
      </c>
      <c r="CP174" s="155" t="str">
        <f t="shared" si="50"/>
        <v>39.75Y</v>
      </c>
      <c r="CQ174" s="405">
        <v>0.19354895825556637</v>
      </c>
      <c r="CR174" s="284">
        <f>IF(CO174,_xll.qDateYears(CO173,CO174,CR$13),0)</f>
        <v>0.25205479452054796</v>
      </c>
      <c r="CS174" s="284">
        <f t="shared" si="56"/>
        <v>2004.1564691371414</v>
      </c>
      <c r="DA174" s="560">
        <v>55205</v>
      </c>
      <c r="DB174" s="155" t="str">
        <f t="shared" si="51"/>
        <v>39.75Y</v>
      </c>
      <c r="DC174" s="405">
        <v>9.4676328424354375E-2</v>
      </c>
      <c r="DD174" s="284">
        <f>IF(DA174,_xll.qDateYears(DA173,DA174,DD$13),0)</f>
        <v>0.25205479452054796</v>
      </c>
      <c r="DE174" s="284">
        <f t="shared" si="57"/>
        <v>1553.5143494694789</v>
      </c>
      <c r="DM174" s="560">
        <v>55205</v>
      </c>
      <c r="DN174" s="155" t="str">
        <f t="shared" si="52"/>
        <v>39.75Y</v>
      </c>
      <c r="DO174" s="405">
        <v>0.18840205876483535</v>
      </c>
      <c r="DP174" s="284">
        <f>IF(DM174,_xll.qDateYears(DM173,DM174,DP$13),0)</f>
        <v>0.25555555555555554</v>
      </c>
      <c r="DQ174" s="284">
        <f t="shared" si="58"/>
        <v>2052.1186305651322</v>
      </c>
    </row>
    <row r="175" spans="59:121">
      <c r="BG175" s="560">
        <v>55292</v>
      </c>
      <c r="BH175" s="154" t="str">
        <f t="shared" si="47"/>
        <v>40Y</v>
      </c>
      <c r="BI175" s="405">
        <v>0.18659163093412634</v>
      </c>
      <c r="BJ175" s="284">
        <f>IF(BG175,_xll.qDateYears(BG174,BG175,$BJ$13),0)</f>
        <v>0.24166666666666667</v>
      </c>
      <c r="BK175" s="284">
        <f t="shared" si="53"/>
        <v>2056.6279283127069</v>
      </c>
      <c r="BQ175" s="560">
        <v>55292</v>
      </c>
      <c r="BR175" s="155" t="str">
        <f t="shared" si="48"/>
        <v>40Y</v>
      </c>
      <c r="BS175" s="405">
        <v>0.16945978858602692</v>
      </c>
      <c r="BT175" s="284">
        <f>IF(BQ175,_xll.qDateYears(BQ174,BQ175,BT$13),0)</f>
        <v>0.23835616438356164</v>
      </c>
      <c r="BU175" s="284">
        <f t="shared" si="54"/>
        <v>1595.2503036834121</v>
      </c>
      <c r="CC175" s="560">
        <v>55292</v>
      </c>
      <c r="CD175" s="155" t="str">
        <f t="shared" si="49"/>
        <v>40Y</v>
      </c>
      <c r="CE175" s="405">
        <v>0.23444628844062845</v>
      </c>
      <c r="CF175" s="284">
        <f>IF(CC175,_xll.qDateYears(CC174,CC175,CF$13),0)</f>
        <v>0.24166666666666667</v>
      </c>
      <c r="CG175" s="284">
        <f t="shared" si="55"/>
        <v>2122.2968895583631</v>
      </c>
      <c r="CO175" s="560">
        <v>55292</v>
      </c>
      <c r="CP175" s="155" t="str">
        <f t="shared" si="50"/>
        <v>40Y</v>
      </c>
      <c r="CQ175" s="405">
        <v>0.19170090188733926</v>
      </c>
      <c r="CR175" s="284">
        <f>IF(CO175,_xll.qDateYears(CO174,CO175,CR$13),0)</f>
        <v>0.23835616438356164</v>
      </c>
      <c r="CS175" s="284">
        <f t="shared" si="56"/>
        <v>2008.7257783054149</v>
      </c>
      <c r="DA175" s="560">
        <v>55292</v>
      </c>
      <c r="DB175" s="155" t="str">
        <f t="shared" si="51"/>
        <v>40Y</v>
      </c>
      <c r="DC175" s="405">
        <v>9.3348948070413787E-2</v>
      </c>
      <c r="DD175" s="284">
        <f>IF(DA175,_xll.qDateYears(DA174,DA175,DD$13),0)</f>
        <v>0.23835616438356164</v>
      </c>
      <c r="DE175" s="284">
        <f t="shared" si="57"/>
        <v>1555.7393791906093</v>
      </c>
      <c r="DM175" s="560">
        <v>55292</v>
      </c>
      <c r="DN175" s="155" t="str">
        <f t="shared" si="52"/>
        <v>40Y</v>
      </c>
      <c r="DO175" s="405">
        <v>0.18659163093412634</v>
      </c>
      <c r="DP175" s="284">
        <f>IF(DM175,_xll.qDateYears(DM174,DM175,DP$13),0)</f>
        <v>0.24166666666666667</v>
      </c>
      <c r="DQ175" s="284">
        <f t="shared" si="58"/>
        <v>2056.6279283127069</v>
      </c>
    </row>
    <row r="176" spans="59:121">
      <c r="BG176" s="560">
        <v>55386</v>
      </c>
      <c r="BH176" s="154" t="str">
        <f t="shared" si="47"/>
        <v>40.25Y</v>
      </c>
      <c r="BI176" s="405">
        <v>0.18491627759016613</v>
      </c>
      <c r="BJ176" s="284">
        <f>IF(BG176,_xll.qDateYears(BG175,BG176,$BJ$13),0)</f>
        <v>0.26111111111111113</v>
      </c>
      <c r="BK176" s="284">
        <f t="shared" si="53"/>
        <v>2061.456297783117</v>
      </c>
      <c r="BQ176" s="560">
        <v>55386</v>
      </c>
      <c r="BR176" s="155" t="str">
        <f t="shared" si="48"/>
        <v>40.25Y</v>
      </c>
      <c r="BS176" s="405">
        <v>0.16753563385559708</v>
      </c>
      <c r="BT176" s="284">
        <f>IF(BQ176,_xll.qDateYears(BQ175,BQ176,BT$13),0)</f>
        <v>0.25753424657534246</v>
      </c>
      <c r="BU176" s="284">
        <f t="shared" si="54"/>
        <v>1599.5649200073644</v>
      </c>
      <c r="CC176" s="560">
        <v>55386</v>
      </c>
      <c r="CD176" s="155" t="str">
        <f t="shared" si="49"/>
        <v>40.25Y</v>
      </c>
      <c r="CE176" s="405">
        <v>0.23226876321042869</v>
      </c>
      <c r="CF176" s="284">
        <f>IF(CC176,_xll.qDateYears(CC175,CC176,CF$13),0)</f>
        <v>0.26111111111111113</v>
      </c>
      <c r="CG176" s="284">
        <f t="shared" si="55"/>
        <v>2128.3616850421909</v>
      </c>
      <c r="CO176" s="560">
        <v>55386</v>
      </c>
      <c r="CP176" s="155" t="str">
        <f t="shared" si="50"/>
        <v>40.25Y</v>
      </c>
      <c r="CQ176" s="405">
        <v>0.18972842009296068</v>
      </c>
      <c r="CR176" s="284">
        <f>IF(CO176,_xll.qDateYears(CO175,CO176,CR$13),0)</f>
        <v>0.25753424657534246</v>
      </c>
      <c r="CS176" s="284">
        <f t="shared" si="56"/>
        <v>2013.611934877672</v>
      </c>
      <c r="DA176" s="560">
        <v>55386</v>
      </c>
      <c r="DB176" s="155" t="str">
        <f t="shared" si="51"/>
        <v>40.25Y</v>
      </c>
      <c r="DC176" s="405">
        <v>9.1935675524830215E-2</v>
      </c>
      <c r="DD176" s="284">
        <f>IF(DA176,_xll.qDateYears(DA175,DA176,DD$13),0)</f>
        <v>0.25753424657534246</v>
      </c>
      <c r="DE176" s="284">
        <f t="shared" si="57"/>
        <v>1558.1070376835776</v>
      </c>
      <c r="DM176" s="560">
        <v>55386</v>
      </c>
      <c r="DN176" s="155" t="str">
        <f t="shared" si="52"/>
        <v>40.25Y</v>
      </c>
      <c r="DO176" s="405">
        <v>0.18491627759016613</v>
      </c>
      <c r="DP176" s="284">
        <f>IF(DM176,_xll.qDateYears(DM175,DM176,DP$13),0)</f>
        <v>0.26111111111111113</v>
      </c>
      <c r="DQ176" s="284">
        <f t="shared" si="58"/>
        <v>2061.456297783117</v>
      </c>
    </row>
    <row r="177" spans="59:121">
      <c r="BG177" s="560">
        <v>55477</v>
      </c>
      <c r="BH177" s="154" t="str">
        <f t="shared" si="47"/>
        <v>40.5Y</v>
      </c>
      <c r="BI177" s="405">
        <v>0.18331270328561158</v>
      </c>
      <c r="BJ177" s="284">
        <f>IF(BG177,_xll.qDateYears(BG176,BG177,$BJ$13),0)</f>
        <v>0.25277777777777777</v>
      </c>
      <c r="BK177" s="284">
        <f t="shared" si="53"/>
        <v>2066.0900355606145</v>
      </c>
      <c r="BQ177" s="560">
        <v>55477</v>
      </c>
      <c r="BR177" s="155" t="str">
        <f t="shared" si="48"/>
        <v>40.5Y</v>
      </c>
      <c r="BS177" s="405">
        <v>0.1656937041305814</v>
      </c>
      <c r="BT177" s="284">
        <f>IF(BQ177,_xll.qDateYears(BQ176,BQ177,BT$13),0)</f>
        <v>0.24931506849315069</v>
      </c>
      <c r="BU177" s="284">
        <f t="shared" si="54"/>
        <v>1603.6959137267845</v>
      </c>
      <c r="CC177" s="560">
        <v>55477</v>
      </c>
      <c r="CD177" s="155" t="str">
        <f t="shared" si="49"/>
        <v>40.5Y</v>
      </c>
      <c r="CE177" s="405">
        <v>0.23018000221267576</v>
      </c>
      <c r="CF177" s="284">
        <f>IF(CC177,_xll.qDateYears(CC176,CC177,CF$13),0)</f>
        <v>0.25277777777777777</v>
      </c>
      <c r="CG177" s="284">
        <f t="shared" si="55"/>
        <v>2134.1801239870115</v>
      </c>
      <c r="CO177" s="560">
        <v>55477</v>
      </c>
      <c r="CP177" s="155" t="str">
        <f t="shared" si="50"/>
        <v>40.5Y</v>
      </c>
      <c r="CQ177" s="405">
        <v>0.18783887513062594</v>
      </c>
      <c r="CR177" s="284">
        <f>IF(CO177,_xll.qDateYears(CO176,CO177,CR$13),0)</f>
        <v>0.24931506849315069</v>
      </c>
      <c r="CS177" s="284">
        <f t="shared" si="56"/>
        <v>2018.2950410795588</v>
      </c>
      <c r="DA177" s="560">
        <v>55477</v>
      </c>
      <c r="DB177" s="155" t="str">
        <f t="shared" si="51"/>
        <v>40.5Y</v>
      </c>
      <c r="DC177" s="405">
        <v>9.0587893799184582E-2</v>
      </c>
      <c r="DD177" s="284">
        <f>IF(DA177,_xll.qDateYears(DA176,DA177,DD$13),0)</f>
        <v>0.24931506849315069</v>
      </c>
      <c r="DE177" s="284">
        <f t="shared" si="57"/>
        <v>1560.3655303782971</v>
      </c>
      <c r="DM177" s="560">
        <v>55477</v>
      </c>
      <c r="DN177" s="155" t="str">
        <f t="shared" si="52"/>
        <v>40.5Y</v>
      </c>
      <c r="DO177" s="405">
        <v>0.18331270328561158</v>
      </c>
      <c r="DP177" s="284">
        <f>IF(DM177,_xll.qDateYears(DM176,DM177,DP$13),0)</f>
        <v>0.25277777777777777</v>
      </c>
      <c r="DQ177" s="284">
        <f t="shared" si="58"/>
        <v>2066.0900355606145</v>
      </c>
    </row>
    <row r="178" spans="59:121">
      <c r="BG178" s="560">
        <v>55569</v>
      </c>
      <c r="BH178" s="154" t="str">
        <f t="shared" si="47"/>
        <v>40.75Y</v>
      </c>
      <c r="BI178" s="405">
        <v>0.18170958730348036</v>
      </c>
      <c r="BJ178" s="284">
        <f>IF(BG178,_xll.qDateYears(BG177,BG178,$BJ$13),0)</f>
        <v>0.25555555555555554</v>
      </c>
      <c r="BK178" s="284">
        <f t="shared" si="53"/>
        <v>2070.7337250139258</v>
      </c>
      <c r="BQ178" s="560">
        <v>55569</v>
      </c>
      <c r="BR178" s="155" t="str">
        <f t="shared" si="48"/>
        <v>40.75Y</v>
      </c>
      <c r="BS178" s="405">
        <v>0.16385211826067125</v>
      </c>
      <c r="BT178" s="284">
        <f>IF(BQ178,_xll.qDateYears(BQ177,BQ178,BT$13),0)</f>
        <v>0.25205479452054796</v>
      </c>
      <c r="BU178" s="284">
        <f t="shared" si="54"/>
        <v>1607.8258849267795</v>
      </c>
      <c r="CC178" s="560">
        <v>55569</v>
      </c>
      <c r="CD178" s="155" t="str">
        <f t="shared" si="49"/>
        <v>40.75Y</v>
      </c>
      <c r="CE178" s="405">
        <v>0.22808738186648111</v>
      </c>
      <c r="CF178" s="284">
        <f>IF(CC178,_xll.qDateYears(CC177,CC178,CF$13),0)</f>
        <v>0.25555555555555554</v>
      </c>
      <c r="CG178" s="284">
        <f t="shared" si="55"/>
        <v>2140.0090237458217</v>
      </c>
      <c r="CO178" s="560">
        <v>55569</v>
      </c>
      <c r="CP178" s="155" t="str">
        <f t="shared" si="50"/>
        <v>40.75Y</v>
      </c>
      <c r="CQ178" s="405">
        <v>0.18594833727714874</v>
      </c>
      <c r="CR178" s="284">
        <f>IF(CO178,_xll.qDateYears(CO177,CO178,CR$13),0)</f>
        <v>0.25205479452054796</v>
      </c>
      <c r="CS178" s="284">
        <f t="shared" si="56"/>
        <v>2022.9819580739418</v>
      </c>
      <c r="DA178" s="560">
        <v>55569</v>
      </c>
      <c r="DB178" s="155" t="str">
        <f t="shared" si="51"/>
        <v>40.75Y</v>
      </c>
      <c r="DC178" s="405">
        <v>8.9245385635536231E-2</v>
      </c>
      <c r="DD178" s="284">
        <f>IF(DA178,_xll.qDateYears(DA177,DA178,DD$13),0)</f>
        <v>0.25205479452054796</v>
      </c>
      <c r="DE178" s="284">
        <f t="shared" si="57"/>
        <v>1562.6150031121242</v>
      </c>
      <c r="DM178" s="560">
        <v>55569</v>
      </c>
      <c r="DN178" s="155" t="str">
        <f t="shared" si="52"/>
        <v>40.75Y</v>
      </c>
      <c r="DO178" s="405">
        <v>0.18170958730348036</v>
      </c>
      <c r="DP178" s="284">
        <f>IF(DM178,_xll.qDateYears(DM177,DM178,DP$13),0)</f>
        <v>0.25555555555555554</v>
      </c>
      <c r="DQ178" s="284">
        <f t="shared" si="58"/>
        <v>2070.7337250139258</v>
      </c>
    </row>
    <row r="179" spans="59:121">
      <c r="BG179" s="560">
        <v>55659</v>
      </c>
      <c r="BH179" s="154" t="str">
        <f t="shared" si="47"/>
        <v>41Y</v>
      </c>
      <c r="BI179" s="405">
        <v>0.18015869319271641</v>
      </c>
      <c r="BJ179" s="284">
        <f>IF(BG179,_xll.qDateYears(BG178,BG179,$BJ$13),0)</f>
        <v>0.25</v>
      </c>
      <c r="BK179" s="284">
        <f t="shared" si="53"/>
        <v>2075.2376923437437</v>
      </c>
      <c r="BQ179" s="560">
        <v>55659</v>
      </c>
      <c r="BR179" s="155" t="str">
        <f t="shared" si="48"/>
        <v>41Y</v>
      </c>
      <c r="BS179" s="405">
        <v>0.16207037398307628</v>
      </c>
      <c r="BT179" s="284">
        <f>IF(BQ179,_xll.qDateYears(BQ178,BQ179,BT$13),0)</f>
        <v>0.24657534246575341</v>
      </c>
      <c r="BU179" s="284">
        <f t="shared" si="54"/>
        <v>1611.8221407236224</v>
      </c>
      <c r="CC179" s="560">
        <v>55659</v>
      </c>
      <c r="CD179" s="155" t="str">
        <f t="shared" si="49"/>
        <v>41Y</v>
      </c>
      <c r="CE179" s="405">
        <v>0.22605866311570355</v>
      </c>
      <c r="CF179" s="284">
        <f>IF(CC179,_xll.qDateYears(CC178,CC179,CF$13),0)</f>
        <v>0.25</v>
      </c>
      <c r="CG179" s="284">
        <f t="shared" si="55"/>
        <v>2145.6604903237144</v>
      </c>
      <c r="CO179" s="560">
        <v>55659</v>
      </c>
      <c r="CP179" s="155" t="str">
        <f t="shared" si="50"/>
        <v>41Y</v>
      </c>
      <c r="CQ179" s="405">
        <v>0.18411792989244621</v>
      </c>
      <c r="CR179" s="284">
        <f>IF(CO179,_xll.qDateYears(CO178,CO179,CR$13),0)</f>
        <v>0.24657534246575341</v>
      </c>
      <c r="CS179" s="284">
        <f t="shared" si="56"/>
        <v>2027.5218522356734</v>
      </c>
      <c r="DA179" s="560">
        <v>55659</v>
      </c>
      <c r="DB179" s="155" t="str">
        <f t="shared" si="51"/>
        <v>41Y</v>
      </c>
      <c r="DC179" s="405">
        <v>8.7951316334533194E-2</v>
      </c>
      <c r="DD179" s="284">
        <f>IF(DA179,_xll.qDateYears(DA178,DA179,DD$13),0)</f>
        <v>0.24657534246575341</v>
      </c>
      <c r="DE179" s="284">
        <f t="shared" si="57"/>
        <v>1564.7836657066744</v>
      </c>
      <c r="DM179" s="560">
        <v>55659</v>
      </c>
      <c r="DN179" s="155" t="str">
        <f t="shared" si="52"/>
        <v>41Y</v>
      </c>
      <c r="DO179" s="405">
        <v>0.18015869319271641</v>
      </c>
      <c r="DP179" s="284">
        <f>IF(DM179,_xll.qDateYears(DM178,DM179,DP$13),0)</f>
        <v>0.25</v>
      </c>
      <c r="DQ179" s="284">
        <f t="shared" si="58"/>
        <v>2075.2376923437437</v>
      </c>
    </row>
    <row r="180" spans="59:121">
      <c r="BG180" s="560">
        <v>55750</v>
      </c>
      <c r="BH180" s="154" t="str">
        <f t="shared" si="47"/>
        <v>41.25Y</v>
      </c>
      <c r="BI180" s="405">
        <v>0.17860781795552072</v>
      </c>
      <c r="BJ180" s="284">
        <f>IF(BG180,_xll.qDateYears(BG179,BG180,$BJ$13),0)</f>
        <v>0.25277777777777777</v>
      </c>
      <c r="BK180" s="284">
        <f t="shared" si="53"/>
        <v>2079.752501075397</v>
      </c>
      <c r="BQ180" s="560">
        <v>55750</v>
      </c>
      <c r="BR180" s="155" t="str">
        <f t="shared" si="48"/>
        <v>41.25Y</v>
      </c>
      <c r="BS180" s="405">
        <v>0.16028853072672675</v>
      </c>
      <c r="BT180" s="284">
        <f>IF(BQ180,_xll.qDateYears(BQ179,BQ180,BT$13),0)</f>
        <v>0.24931506849315069</v>
      </c>
      <c r="BU180" s="284">
        <f t="shared" si="54"/>
        <v>1615.8183753253024</v>
      </c>
      <c r="CC180" s="560">
        <v>55750</v>
      </c>
      <c r="CD180" s="155" t="str">
        <f t="shared" si="49"/>
        <v>41.25Y</v>
      </c>
      <c r="CE180" s="405">
        <v>0.22402574869280081</v>
      </c>
      <c r="CF180" s="284">
        <f>IF(CC180,_xll.qDateYears(CC179,CC180,CF$13),0)</f>
        <v>0.25277777777777777</v>
      </c>
      <c r="CG180" s="284">
        <f t="shared" si="55"/>
        <v>2151.3233634156713</v>
      </c>
      <c r="CO180" s="560">
        <v>55750</v>
      </c>
      <c r="CP180" s="155" t="str">
        <f t="shared" si="50"/>
        <v>41.25Y</v>
      </c>
      <c r="CQ180" s="405">
        <v>0.18228611928646082</v>
      </c>
      <c r="CR180" s="284">
        <f>IF(CO180,_xll.qDateYears(CO179,CO180,CR$13),0)</f>
        <v>0.24931506849315069</v>
      </c>
      <c r="CS180" s="284">
        <f t="shared" si="56"/>
        <v>2032.0665198671988</v>
      </c>
      <c r="DA180" s="560">
        <v>55750</v>
      </c>
      <c r="DB180" s="155" t="str">
        <f t="shared" si="51"/>
        <v>41.25Y</v>
      </c>
      <c r="DC180" s="405">
        <v>8.6661945519281539E-2</v>
      </c>
      <c r="DD180" s="284">
        <f>IF(DA180,_xll.qDateYears(DA179,DA180,DD$13),0)</f>
        <v>0.24931506849315069</v>
      </c>
      <c r="DE180" s="284">
        <f t="shared" si="57"/>
        <v>1566.9442785949632</v>
      </c>
      <c r="DM180" s="560">
        <v>55750</v>
      </c>
      <c r="DN180" s="155" t="str">
        <f t="shared" si="52"/>
        <v>41.25Y</v>
      </c>
      <c r="DO180" s="405">
        <v>0.17860781795552072</v>
      </c>
      <c r="DP180" s="284">
        <f>IF(DM180,_xll.qDateYears(DM179,DM180,DP$13),0)</f>
        <v>0.25277777777777777</v>
      </c>
      <c r="DQ180" s="284">
        <f t="shared" si="58"/>
        <v>2079.752501075397</v>
      </c>
    </row>
    <row r="181" spans="59:121">
      <c r="BG181" s="560">
        <v>55842</v>
      </c>
      <c r="BH181" s="154" t="str">
        <f t="shared" si="47"/>
        <v>41.5Y</v>
      </c>
      <c r="BI181" s="405">
        <v>0.17705731468164942</v>
      </c>
      <c r="BJ181" s="284">
        <f>IF(BG181,_xll.qDateYears(BG180,BG181,$BJ$13),0)</f>
        <v>0.25555555555555554</v>
      </c>
      <c r="BK181" s="284">
        <f t="shared" si="53"/>
        <v>2084.2772991172615</v>
      </c>
      <c r="BQ181" s="560">
        <v>55842</v>
      </c>
      <c r="BR181" s="155" t="str">
        <f t="shared" si="48"/>
        <v>41.5Y</v>
      </c>
      <c r="BS181" s="405">
        <v>0.15850702010842133</v>
      </c>
      <c r="BT181" s="284">
        <f>IF(BQ181,_xll.qDateYears(BQ180,BQ181,BT$13),0)</f>
        <v>0.25205479452054796</v>
      </c>
      <c r="BU181" s="284">
        <f t="shared" si="54"/>
        <v>1619.8136207636517</v>
      </c>
      <c r="CC181" s="560">
        <v>55842</v>
      </c>
      <c r="CD181" s="155" t="str">
        <f t="shared" si="49"/>
        <v>41.5Y</v>
      </c>
      <c r="CE181" s="405">
        <v>0.22198907810769553</v>
      </c>
      <c r="CF181" s="284">
        <f>IF(CC181,_xll.qDateYears(CC180,CC181,CF$13),0)</f>
        <v>0.25555555555555554</v>
      </c>
      <c r="CG181" s="284">
        <f t="shared" si="55"/>
        <v>2156.996417633979</v>
      </c>
      <c r="CO181" s="560">
        <v>55842</v>
      </c>
      <c r="CP181" s="155" t="str">
        <f t="shared" si="50"/>
        <v>41.5Y</v>
      </c>
      <c r="CQ181" s="405">
        <v>0.18045332798298511</v>
      </c>
      <c r="CR181" s="284">
        <f>IF(CO181,_xll.qDateYears(CO180,CO181,CR$13),0)</f>
        <v>0.25205479452054796</v>
      </c>
      <c r="CS181" s="284">
        <f t="shared" si="56"/>
        <v>2036.6149325177289</v>
      </c>
      <c r="DA181" s="560">
        <v>55842</v>
      </c>
      <c r="DB181" s="155" t="str">
        <f t="shared" si="51"/>
        <v>41.5Y</v>
      </c>
      <c r="DC181" s="405">
        <v>8.5377619717478551E-2</v>
      </c>
      <c r="DD181" s="284">
        <f>IF(DA181,_xll.qDateYears(DA180,DA181,DD$13),0)</f>
        <v>0.25205479452054796</v>
      </c>
      <c r="DE181" s="284">
        <f t="shared" si="57"/>
        <v>1569.0962624344174</v>
      </c>
      <c r="DM181" s="560">
        <v>55842</v>
      </c>
      <c r="DN181" s="155" t="str">
        <f t="shared" si="52"/>
        <v>41.5Y</v>
      </c>
      <c r="DO181" s="405">
        <v>0.17705731468164942</v>
      </c>
      <c r="DP181" s="284">
        <f>IF(DM181,_xll.qDateYears(DM180,DM181,DP$13),0)</f>
        <v>0.25555555555555554</v>
      </c>
      <c r="DQ181" s="284">
        <f t="shared" si="58"/>
        <v>2084.2772991172615</v>
      </c>
    </row>
    <row r="182" spans="59:121">
      <c r="BG182" s="560">
        <v>55934</v>
      </c>
      <c r="BH182" s="154" t="str">
        <f t="shared" si="47"/>
        <v>41.75Y</v>
      </c>
      <c r="BI182" s="405">
        <v>0.1755241025798269</v>
      </c>
      <c r="BJ182" s="284">
        <f>IF(BG182,_xll.qDateYears(BG181,BG182,$BJ$13),0)</f>
        <v>0.25555555555555554</v>
      </c>
      <c r="BK182" s="284">
        <f t="shared" si="53"/>
        <v>2088.7629150720791</v>
      </c>
      <c r="BQ182" s="560">
        <v>55934</v>
      </c>
      <c r="BR182" s="155" t="str">
        <f t="shared" si="48"/>
        <v>41.75Y</v>
      </c>
      <c r="BS182" s="405">
        <v>0.15674530990920227</v>
      </c>
      <c r="BT182" s="284">
        <f>IF(BQ182,_xll.qDateYears(BQ181,BQ182,BT$13),0)</f>
        <v>0.25205479452054796</v>
      </c>
      <c r="BU182" s="284">
        <f t="shared" si="54"/>
        <v>1623.764461451774</v>
      </c>
      <c r="CC182" s="560">
        <v>55934</v>
      </c>
      <c r="CD182" s="155" t="str">
        <f t="shared" si="49"/>
        <v>41.75Y</v>
      </c>
      <c r="CE182" s="405">
        <v>0.2199709233722032</v>
      </c>
      <c r="CF182" s="284">
        <f>IF(CC182,_xll.qDateYears(CC181,CC182,CF$13),0)</f>
        <v>0.25555555555555554</v>
      </c>
      <c r="CG182" s="284">
        <f t="shared" si="55"/>
        <v>2162.6178967868241</v>
      </c>
      <c r="CO182" s="560">
        <v>55934</v>
      </c>
      <c r="CP182" s="155" t="str">
        <f t="shared" si="50"/>
        <v>41.75Y</v>
      </c>
      <c r="CQ182" s="405">
        <v>0.17863958490247084</v>
      </c>
      <c r="CR182" s="284">
        <f>IF(CO182,_xll.qDateYears(CO181,CO182,CR$13),0)</f>
        <v>0.25205479452054796</v>
      </c>
      <c r="CS182" s="284">
        <f t="shared" si="56"/>
        <v>2041.1176289043117</v>
      </c>
      <c r="DA182" s="560">
        <v>55934</v>
      </c>
      <c r="DB182" s="155" t="str">
        <f t="shared" si="51"/>
        <v>41.75Y</v>
      </c>
      <c r="DC182" s="405">
        <v>8.41123275613581E-2</v>
      </c>
      <c r="DD182" s="284">
        <f>IF(DA182,_xll.qDateYears(DA181,DA182,DD$13),0)</f>
        <v>0.25205479452054796</v>
      </c>
      <c r="DE182" s="284">
        <f t="shared" si="57"/>
        <v>1571.2163539784297</v>
      </c>
      <c r="DM182" s="560">
        <v>55934</v>
      </c>
      <c r="DN182" s="155" t="str">
        <f t="shared" si="52"/>
        <v>41.75Y</v>
      </c>
      <c r="DO182" s="405">
        <v>0.1755241025798269</v>
      </c>
      <c r="DP182" s="284">
        <f>IF(DM182,_xll.qDateYears(DM181,DM182,DP$13),0)</f>
        <v>0.25555555555555554</v>
      </c>
      <c r="DQ182" s="284">
        <f t="shared" si="58"/>
        <v>2088.7629150720791</v>
      </c>
    </row>
    <row r="183" spans="59:121">
      <c r="BG183" s="560">
        <v>56023</v>
      </c>
      <c r="BH183" s="154" t="str">
        <f t="shared" si="47"/>
        <v>42Y</v>
      </c>
      <c r="BI183" s="405">
        <v>0.1740571374928416</v>
      </c>
      <c r="BJ183" s="284">
        <f>IF(BG183,_xll.qDateYears(BG182,BG183,$BJ$13),0)</f>
        <v>0.24722222222222223</v>
      </c>
      <c r="BK183" s="284">
        <f t="shared" si="53"/>
        <v>2093.0659943045412</v>
      </c>
      <c r="BQ183" s="560">
        <v>56023</v>
      </c>
      <c r="BR183" s="155" t="str">
        <f t="shared" si="48"/>
        <v>42Y</v>
      </c>
      <c r="BS183" s="405">
        <v>0.15505968206423171</v>
      </c>
      <c r="BT183" s="284">
        <f>IF(BQ183,_xll.qDateYears(BQ182,BQ183,BT$13),0)</f>
        <v>0.24383561643835616</v>
      </c>
      <c r="BU183" s="284">
        <f t="shared" si="54"/>
        <v>1627.5453687678607</v>
      </c>
      <c r="CC183" s="560">
        <v>56023</v>
      </c>
      <c r="CD183" s="155" t="str">
        <f t="shared" si="49"/>
        <v>42Y</v>
      </c>
      <c r="CE183" s="405">
        <v>0.21803603959912632</v>
      </c>
      <c r="CF183" s="284">
        <f>IF(CC183,_xll.qDateYears(CC182,CC183,CF$13),0)</f>
        <v>0.24722222222222223</v>
      </c>
      <c r="CG183" s="284">
        <f t="shared" si="55"/>
        <v>2168.0082322102471</v>
      </c>
      <c r="CO183" s="560">
        <v>56023</v>
      </c>
      <c r="CP183" s="155" t="str">
        <f t="shared" si="50"/>
        <v>42Y</v>
      </c>
      <c r="CQ183" s="405">
        <v>0.1769029202348332</v>
      </c>
      <c r="CR183" s="284">
        <f>IF(CO183,_xll.qDateYears(CO182,CO183,CR$13),0)</f>
        <v>0.24383561643835616</v>
      </c>
      <c r="CS183" s="284">
        <f t="shared" si="56"/>
        <v>2045.4311521648324</v>
      </c>
      <c r="DA183" s="560">
        <v>56023</v>
      </c>
      <c r="DB183" s="155" t="str">
        <f t="shared" si="51"/>
        <v>42Y</v>
      </c>
      <c r="DC183" s="405">
        <v>8.2906142158860135E-2</v>
      </c>
      <c r="DD183" s="284">
        <f>IF(DA183,_xll.qDateYears(DA182,DA183,DD$13),0)</f>
        <v>0.24383561643835616</v>
      </c>
      <c r="DE183" s="284">
        <f t="shared" si="57"/>
        <v>1573.2379010064128</v>
      </c>
      <c r="DM183" s="560">
        <v>56023</v>
      </c>
      <c r="DN183" s="155" t="str">
        <f t="shared" si="52"/>
        <v>42Y</v>
      </c>
      <c r="DO183" s="405">
        <v>0.1740571374928416</v>
      </c>
      <c r="DP183" s="284">
        <f>IF(DM183,_xll.qDateYears(DM182,DM183,DP$13),0)</f>
        <v>0.24722222222222223</v>
      </c>
      <c r="DQ183" s="284">
        <f t="shared" si="58"/>
        <v>2093.0659943045412</v>
      </c>
    </row>
    <row r="184" spans="59:121">
      <c r="BG184" s="560">
        <v>56115</v>
      </c>
      <c r="BH184" s="154" t="str">
        <f t="shared" si="47"/>
        <v>42.25Y</v>
      </c>
      <c r="BI184" s="405">
        <v>0.17255731527958815</v>
      </c>
      <c r="BJ184" s="284">
        <f>IF(BG184,_xll.qDateYears(BG183,BG184,$BJ$13),0)</f>
        <v>0.25555555555555554</v>
      </c>
      <c r="BK184" s="284">
        <f t="shared" si="53"/>
        <v>2097.4757923616862</v>
      </c>
      <c r="BQ184" s="560">
        <v>56115</v>
      </c>
      <c r="BR184" s="155" t="str">
        <f t="shared" si="48"/>
        <v>42.25Y</v>
      </c>
      <c r="BS184" s="405">
        <v>0.15333628695407595</v>
      </c>
      <c r="BT184" s="284">
        <f>IF(BQ184,_xll.qDateYears(BQ183,BQ184,BT$13),0)</f>
        <v>0.25205479452054796</v>
      </c>
      <c r="BU184" s="284">
        <f t="shared" si="54"/>
        <v>1631.4102833979362</v>
      </c>
      <c r="CC184" s="560">
        <v>56115</v>
      </c>
      <c r="CD184" s="155" t="str">
        <f t="shared" si="49"/>
        <v>42.25Y</v>
      </c>
      <c r="CE184" s="405">
        <v>0.21605382286316829</v>
      </c>
      <c r="CF184" s="284">
        <f>IF(CC184,_xll.qDateYears(CC183,CC184,CF$13),0)</f>
        <v>0.25555555555555554</v>
      </c>
      <c r="CG184" s="284">
        <f t="shared" si="55"/>
        <v>2173.529607683417</v>
      </c>
      <c r="CO184" s="560">
        <v>56115</v>
      </c>
      <c r="CP184" s="155" t="str">
        <f t="shared" si="50"/>
        <v>42.25Y</v>
      </c>
      <c r="CQ184" s="405">
        <v>0.1751260591306408</v>
      </c>
      <c r="CR184" s="284">
        <f>IF(CO184,_xll.qDateYears(CO183,CO184,CR$13),0)</f>
        <v>0.25205479452054796</v>
      </c>
      <c r="CS184" s="284">
        <f t="shared" si="56"/>
        <v>2049.8452884497692</v>
      </c>
      <c r="DA184" s="560">
        <v>56115</v>
      </c>
      <c r="DB184" s="155" t="str">
        <f t="shared" si="51"/>
        <v>42.25Y</v>
      </c>
      <c r="DC184" s="405">
        <v>8.1677477179502148E-2</v>
      </c>
      <c r="DD184" s="284">
        <f>IF(DA184,_xll.qDateYears(DA183,DA184,DD$13),0)</f>
        <v>0.25205479452054796</v>
      </c>
      <c r="DE184" s="284">
        <f t="shared" si="57"/>
        <v>1575.2966209791564</v>
      </c>
      <c r="DM184" s="560">
        <v>56115</v>
      </c>
      <c r="DN184" s="155" t="str">
        <f t="shared" si="52"/>
        <v>42.25Y</v>
      </c>
      <c r="DO184" s="405">
        <v>0.17255731527958815</v>
      </c>
      <c r="DP184" s="284">
        <f>IF(DM184,_xll.qDateYears(DM183,DM184,DP$13),0)</f>
        <v>0.25555555555555554</v>
      </c>
      <c r="DQ184" s="284">
        <f t="shared" si="58"/>
        <v>2097.4757923616862</v>
      </c>
    </row>
    <row r="185" spans="59:121">
      <c r="BG185" s="560">
        <v>56207</v>
      </c>
      <c r="BH185" s="154" t="str">
        <f t="shared" si="47"/>
        <v>42.5Y</v>
      </c>
      <c r="BI185" s="405">
        <v>0.17107415101648901</v>
      </c>
      <c r="BJ185" s="284">
        <f>IF(BG185,_xll.qDateYears(BG184,BG185,$BJ$13),0)</f>
        <v>0.25555555555555554</v>
      </c>
      <c r="BK185" s="284">
        <f t="shared" si="53"/>
        <v>2101.8476873321074</v>
      </c>
      <c r="BQ185" s="560">
        <v>56207</v>
      </c>
      <c r="BR185" s="155" t="str">
        <f t="shared" si="48"/>
        <v>42.5Y</v>
      </c>
      <c r="BS185" s="405">
        <v>0.15163204634408534</v>
      </c>
      <c r="BT185" s="284">
        <f>IF(BQ185,_xll.qDateYears(BQ184,BQ185,BT$13),0)</f>
        <v>0.25205479452054796</v>
      </c>
      <c r="BU185" s="284">
        <f t="shared" si="54"/>
        <v>1635.232241826335</v>
      </c>
      <c r="CC185" s="560">
        <v>56207</v>
      </c>
      <c r="CD185" s="155" t="str">
        <f t="shared" si="49"/>
        <v>42.5Y</v>
      </c>
      <c r="CE185" s="405">
        <v>0.21408962692411862</v>
      </c>
      <c r="CF185" s="284">
        <f>IF(CC185,_xll.qDateYears(CC184,CC185,CF$13),0)</f>
        <v>0.25555555555555554</v>
      </c>
      <c r="CG185" s="284">
        <f t="shared" si="55"/>
        <v>2179.0007870381446</v>
      </c>
      <c r="CO185" s="560">
        <v>56207</v>
      </c>
      <c r="CP185" s="155" t="str">
        <f t="shared" si="50"/>
        <v>42.5Y</v>
      </c>
      <c r="CQ185" s="405">
        <v>0.17336764746474442</v>
      </c>
      <c r="CR185" s="284">
        <f>IF(CO185,_xll.qDateYears(CO184,CO185,CR$13),0)</f>
        <v>0.25205479452054796</v>
      </c>
      <c r="CS185" s="284">
        <f t="shared" si="56"/>
        <v>2054.215103125593</v>
      </c>
      <c r="DA185" s="560">
        <v>56207</v>
      </c>
      <c r="DB185" s="155" t="str">
        <f t="shared" si="51"/>
        <v>42.5Y</v>
      </c>
      <c r="DC185" s="405">
        <v>8.0467020955155441E-2</v>
      </c>
      <c r="DD185" s="284">
        <f>IF(DA185,_xll.qDateYears(DA184,DA185,DD$13),0)</f>
        <v>0.25205479452054796</v>
      </c>
      <c r="DE185" s="284">
        <f t="shared" si="57"/>
        <v>1577.3248308224097</v>
      </c>
      <c r="DM185" s="560">
        <v>56207</v>
      </c>
      <c r="DN185" s="155" t="str">
        <f t="shared" si="52"/>
        <v>42.5Y</v>
      </c>
      <c r="DO185" s="405">
        <v>0.17107415101648901</v>
      </c>
      <c r="DP185" s="284">
        <f>IF(DM185,_xll.qDateYears(DM184,DM185,DP$13),0)</f>
        <v>0.25555555555555554</v>
      </c>
      <c r="DQ185" s="284">
        <f t="shared" si="58"/>
        <v>2101.8476873321074</v>
      </c>
    </row>
    <row r="186" spans="59:121">
      <c r="BG186" s="560">
        <v>56299</v>
      </c>
      <c r="BH186" s="154" t="str">
        <f t="shared" si="47"/>
        <v>42.75Y</v>
      </c>
      <c r="BI186" s="405">
        <v>0.16960743711194601</v>
      </c>
      <c r="BJ186" s="284">
        <f>IF(BG186,_xll.qDateYears(BG185,BG186,$BJ$13),0)</f>
        <v>0.25555555555555554</v>
      </c>
      <c r="BK186" s="284">
        <f t="shared" si="53"/>
        <v>2106.1820996138572</v>
      </c>
      <c r="BQ186" s="560">
        <v>56299</v>
      </c>
      <c r="BR186" s="155" t="str">
        <f t="shared" si="48"/>
        <v>42.75Y</v>
      </c>
      <c r="BS186" s="405">
        <v>0.14994674734351043</v>
      </c>
      <c r="BT186" s="284">
        <f>IF(BQ186,_xll.qDateYears(BQ185,BQ186,BT$13),0)</f>
        <v>0.25205479452054796</v>
      </c>
      <c r="BU186" s="284">
        <f t="shared" si="54"/>
        <v>1639.0117214854042</v>
      </c>
      <c r="CC186" s="560">
        <v>56299</v>
      </c>
      <c r="CD186" s="155" t="str">
        <f t="shared" si="49"/>
        <v>42.75Y</v>
      </c>
      <c r="CE186" s="405">
        <v>0.21214328795068907</v>
      </c>
      <c r="CF186" s="284">
        <f>IF(CC186,_xll.qDateYears(CC185,CC186,CF$13),0)</f>
        <v>0.25555555555555554</v>
      </c>
      <c r="CG186" s="284">
        <f t="shared" si="55"/>
        <v>2184.4222266191068</v>
      </c>
      <c r="CO186" s="560">
        <v>56299</v>
      </c>
      <c r="CP186" s="155" t="str">
        <f t="shared" si="50"/>
        <v>42.75Y</v>
      </c>
      <c r="CQ186" s="405">
        <v>0.17162748783715867</v>
      </c>
      <c r="CR186" s="284">
        <f>IF(CO186,_xll.qDateYears(CO185,CO186,CR$13),0)</f>
        <v>0.25205479452054796</v>
      </c>
      <c r="CS186" s="284">
        <f t="shared" si="56"/>
        <v>2058.5410562436805</v>
      </c>
      <c r="DA186" s="560">
        <v>56299</v>
      </c>
      <c r="DB186" s="155" t="str">
        <f t="shared" si="51"/>
        <v>42.75Y</v>
      </c>
      <c r="DC186" s="405">
        <v>7.9274503632959653E-2</v>
      </c>
      <c r="DD186" s="284">
        <f>IF(DA186,_xll.qDateYears(DA185,DA186,DD$13),0)</f>
        <v>0.25205479452054796</v>
      </c>
      <c r="DE186" s="284">
        <f t="shared" si="57"/>
        <v>1579.322982694802</v>
      </c>
      <c r="DM186" s="560">
        <v>56299</v>
      </c>
      <c r="DN186" s="155" t="str">
        <f t="shared" si="52"/>
        <v>42.75Y</v>
      </c>
      <c r="DO186" s="405">
        <v>0.16960743711194601</v>
      </c>
      <c r="DP186" s="284">
        <f>IF(DM186,_xll.qDateYears(DM185,DM186,DP$13),0)</f>
        <v>0.25555555555555554</v>
      </c>
      <c r="DQ186" s="284">
        <f t="shared" si="58"/>
        <v>2106.1820996138572</v>
      </c>
    </row>
    <row r="187" spans="59:121">
      <c r="BG187" s="560">
        <v>56388</v>
      </c>
      <c r="BH187" s="154" t="str">
        <f t="shared" si="47"/>
        <v>43Y</v>
      </c>
      <c r="BI187" s="405">
        <v>0.16820401256546444</v>
      </c>
      <c r="BJ187" s="284">
        <f>IF(BG187,_xll.qDateYears(BG186,BG187,$BJ$13),0)</f>
        <v>0.24722222222222223</v>
      </c>
      <c r="BK187" s="284">
        <f t="shared" si="53"/>
        <v>2110.34047659117</v>
      </c>
      <c r="BQ187" s="560">
        <v>56388</v>
      </c>
      <c r="BR187" s="155" t="str">
        <f t="shared" si="48"/>
        <v>43Y</v>
      </c>
      <c r="BS187" s="405">
        <v>0.14833423075381852</v>
      </c>
      <c r="BT187" s="284">
        <f>IF(BQ187,_xll.qDateYears(BQ186,BQ187,BT$13),0)</f>
        <v>0.24383561643835616</v>
      </c>
      <c r="BU187" s="284">
        <f t="shared" si="54"/>
        <v>1642.628638344881</v>
      </c>
      <c r="CC187" s="560">
        <v>56388</v>
      </c>
      <c r="CD187" s="155" t="str">
        <f t="shared" si="49"/>
        <v>43Y</v>
      </c>
      <c r="CE187" s="405">
        <v>0.21027725675379122</v>
      </c>
      <c r="CF187" s="284">
        <f>IF(CC187,_xll.qDateYears(CC186,CC187,CF$13),0)</f>
        <v>0.24722222222222223</v>
      </c>
      <c r="CG187" s="284">
        <f t="shared" si="55"/>
        <v>2189.6207476888535</v>
      </c>
      <c r="CO187" s="560">
        <v>56388</v>
      </c>
      <c r="CP187" s="155" t="str">
        <f t="shared" si="50"/>
        <v>43Y</v>
      </c>
      <c r="CQ187" s="405">
        <v>0.16996125774403717</v>
      </c>
      <c r="CR187" s="284">
        <f>IF(CO187,_xll.qDateYears(CO186,CO187,CR$13),0)</f>
        <v>0.24383561643835616</v>
      </c>
      <c r="CS187" s="284">
        <f t="shared" si="56"/>
        <v>2062.6853170489462</v>
      </c>
      <c r="DA187" s="560">
        <v>56388</v>
      </c>
      <c r="DB187" s="155" t="str">
        <f t="shared" si="51"/>
        <v>43Y</v>
      </c>
      <c r="DC187" s="405">
        <v>7.8137693466785188E-2</v>
      </c>
      <c r="DD187" s="284">
        <f>IF(DA187,_xll.qDateYears(DA186,DA187,DD$13),0)</f>
        <v>0.24383561643835616</v>
      </c>
      <c r="DE187" s="284">
        <f t="shared" si="57"/>
        <v>1581.2282579601565</v>
      </c>
      <c r="DM187" s="560">
        <v>56388</v>
      </c>
      <c r="DN187" s="155" t="str">
        <f t="shared" si="52"/>
        <v>43Y</v>
      </c>
      <c r="DO187" s="405">
        <v>0.16820401256546444</v>
      </c>
      <c r="DP187" s="284">
        <f>IF(DM187,_xll.qDateYears(DM186,DM187,DP$13),0)</f>
        <v>0.24722222222222223</v>
      </c>
      <c r="DQ187" s="284">
        <f t="shared" si="58"/>
        <v>2110.34047659117</v>
      </c>
    </row>
    <row r="188" spans="59:121">
      <c r="BG188" s="560">
        <v>56480</v>
      </c>
      <c r="BH188" s="154" t="str">
        <f t="shared" si="47"/>
        <v>43.25Y</v>
      </c>
      <c r="BI188" s="405">
        <v>0.16676906796601867</v>
      </c>
      <c r="BJ188" s="284">
        <f>IF(BG188,_xll.qDateYears(BG187,BG188,$BJ$13),0)</f>
        <v>0.25555555555555554</v>
      </c>
      <c r="BK188" s="284">
        <f t="shared" si="53"/>
        <v>2114.6023527725238</v>
      </c>
      <c r="BQ188" s="560">
        <v>56480</v>
      </c>
      <c r="BR188" s="155" t="str">
        <f t="shared" si="48"/>
        <v>43.25Y</v>
      </c>
      <c r="BS188" s="405">
        <v>0.14668558499015732</v>
      </c>
      <c r="BT188" s="284">
        <f>IF(BQ188,_xll.qDateYears(BQ187,BQ188,BT$13),0)</f>
        <v>0.25205479452054796</v>
      </c>
      <c r="BU188" s="284">
        <f t="shared" si="54"/>
        <v>1646.325918843263</v>
      </c>
      <c r="CC188" s="560">
        <v>56480</v>
      </c>
      <c r="CD188" s="155" t="str">
        <f t="shared" si="49"/>
        <v>43.25Y</v>
      </c>
      <c r="CE188" s="405">
        <v>0.20836557693106536</v>
      </c>
      <c r="CF188" s="284">
        <f>IF(CC188,_xll.qDateYears(CC187,CC188,CF$13),0)</f>
        <v>0.25555555555555554</v>
      </c>
      <c r="CG188" s="284">
        <f t="shared" si="55"/>
        <v>2194.9456457659808</v>
      </c>
      <c r="CO188" s="560">
        <v>56480</v>
      </c>
      <c r="CP188" s="155" t="str">
        <f t="shared" si="50"/>
        <v>43.25Y</v>
      </c>
      <c r="CQ188" s="405">
        <v>0.16825643916287919</v>
      </c>
      <c r="CR188" s="284">
        <f>IF(CO188,_xll.qDateYears(CO187,CO188,CR$13),0)</f>
        <v>0.25205479452054796</v>
      </c>
      <c r="CS188" s="284">
        <f t="shared" si="56"/>
        <v>2066.9263012689421</v>
      </c>
      <c r="DA188" s="560">
        <v>56480</v>
      </c>
      <c r="DB188" s="155" t="str">
        <f t="shared" si="51"/>
        <v>43.25Y</v>
      </c>
      <c r="DC188" s="405">
        <v>7.6979696664250488E-2</v>
      </c>
      <c r="DD188" s="284">
        <f>IF(DA188,_xll.qDateYears(DA187,DA188,DD$13),0)</f>
        <v>0.25205479452054796</v>
      </c>
      <c r="DE188" s="284">
        <f t="shared" si="57"/>
        <v>1583.1685681226527</v>
      </c>
      <c r="DM188" s="560">
        <v>56480</v>
      </c>
      <c r="DN188" s="155" t="str">
        <f t="shared" si="52"/>
        <v>43.25Y</v>
      </c>
      <c r="DO188" s="405">
        <v>0.16676906796601867</v>
      </c>
      <c r="DP188" s="284">
        <f>IF(DM188,_xll.qDateYears(DM187,DM188,DP$13),0)</f>
        <v>0.25555555555555554</v>
      </c>
      <c r="DQ188" s="284">
        <f t="shared" si="58"/>
        <v>2114.6023527725238</v>
      </c>
    </row>
    <row r="189" spans="59:121">
      <c r="BG189" s="560">
        <v>56572</v>
      </c>
      <c r="BH189" s="154" t="str">
        <f t="shared" si="47"/>
        <v>43.5Y</v>
      </c>
      <c r="BI189" s="405">
        <v>0.16534997435215898</v>
      </c>
      <c r="BJ189" s="284">
        <f>IF(BG189,_xll.qDateYears(BG188,BG189,$BJ$13),0)</f>
        <v>0.25555555555555554</v>
      </c>
      <c r="BK189" s="284">
        <f t="shared" si="53"/>
        <v>2118.8279632281901</v>
      </c>
      <c r="BQ189" s="560">
        <v>56572</v>
      </c>
      <c r="BR189" s="155" t="str">
        <f t="shared" si="48"/>
        <v>43.5Y</v>
      </c>
      <c r="BS189" s="405">
        <v>0.14505526293263077</v>
      </c>
      <c r="BT189" s="284">
        <f>IF(BQ189,_xll.qDateYears(BQ188,BQ189,BT$13),0)</f>
        <v>0.25205479452054796</v>
      </c>
      <c r="BU189" s="284">
        <f t="shared" si="54"/>
        <v>1649.9821062925239</v>
      </c>
      <c r="CC189" s="560">
        <v>56572</v>
      </c>
      <c r="CD189" s="155" t="str">
        <f t="shared" si="49"/>
        <v>43.5Y</v>
      </c>
      <c r="CE189" s="405">
        <v>0.20647127663763823</v>
      </c>
      <c r="CF189" s="284">
        <f>IF(CC189,_xll.qDateYears(CC188,CC189,CF$13),0)</f>
        <v>0.25555555555555554</v>
      </c>
      <c r="CG189" s="284">
        <f t="shared" si="55"/>
        <v>2200.2221339467205</v>
      </c>
      <c r="CO189" s="560">
        <v>56572</v>
      </c>
      <c r="CP189" s="155" t="str">
        <f t="shared" si="50"/>
        <v>43.5Y</v>
      </c>
      <c r="CQ189" s="405">
        <v>0.16656929954162328</v>
      </c>
      <c r="CR189" s="284">
        <f>IF(CO189,_xll.qDateYears(CO188,CO189,CR$13),0)</f>
        <v>0.25205479452054796</v>
      </c>
      <c r="CS189" s="284">
        <f t="shared" si="56"/>
        <v>2071.1247603258817</v>
      </c>
      <c r="DA189" s="560">
        <v>56572</v>
      </c>
      <c r="DB189" s="155" t="str">
        <f t="shared" si="51"/>
        <v>43.5Y</v>
      </c>
      <c r="DC189" s="405">
        <v>7.5838861317796519E-2</v>
      </c>
      <c r="DD189" s="284">
        <f>IF(DA189,_xll.qDateYears(DA188,DA189,DD$13),0)</f>
        <v>0.25205479452054796</v>
      </c>
      <c r="DE189" s="284">
        <f t="shared" si="57"/>
        <v>1585.0801229832657</v>
      </c>
      <c r="DM189" s="560">
        <v>56572</v>
      </c>
      <c r="DN189" s="155" t="str">
        <f t="shared" si="52"/>
        <v>43.5Y</v>
      </c>
      <c r="DO189" s="405">
        <v>0.16534997435215898</v>
      </c>
      <c r="DP189" s="284">
        <f>IF(DM189,_xll.qDateYears(DM188,DM189,DP$13),0)</f>
        <v>0.25555555555555554</v>
      </c>
      <c r="DQ189" s="284">
        <f t="shared" si="58"/>
        <v>2118.8279632281901</v>
      </c>
    </row>
    <row r="190" spans="59:121">
      <c r="BG190" s="560">
        <v>56664</v>
      </c>
      <c r="BH190" s="154" t="str">
        <f t="shared" si="47"/>
        <v>43.75Y</v>
      </c>
      <c r="BI190" s="405">
        <v>0.1639465352059217</v>
      </c>
      <c r="BJ190" s="284">
        <f>IF(BG190,_xll.qDateYears(BG189,BG190,$BJ$13),0)</f>
        <v>0.25555555555555554</v>
      </c>
      <c r="BK190" s="284">
        <f t="shared" si="53"/>
        <v>2123.0177080167859</v>
      </c>
      <c r="BQ190" s="560">
        <v>56664</v>
      </c>
      <c r="BR190" s="155" t="str">
        <f t="shared" si="48"/>
        <v>43.75Y</v>
      </c>
      <c r="BS190" s="405">
        <v>0.14344306092426531</v>
      </c>
      <c r="BT190" s="284">
        <f>IF(BQ190,_xll.qDateYears(BQ189,BQ190,BT$13),0)</f>
        <v>0.25205479452054796</v>
      </c>
      <c r="BU190" s="284">
        <f t="shared" si="54"/>
        <v>1653.5976574171902</v>
      </c>
      <c r="CC190" s="560">
        <v>56664</v>
      </c>
      <c r="CD190" s="155" t="str">
        <f t="shared" si="49"/>
        <v>43.75Y</v>
      </c>
      <c r="CE190" s="405">
        <v>0.20459419787213592</v>
      </c>
      <c r="CF190" s="284">
        <f>IF(CC190,_xll.qDateYears(CC189,CC190,CF$13),0)</f>
        <v>0.25555555555555554</v>
      </c>
      <c r="CG190" s="284">
        <f t="shared" si="55"/>
        <v>2205.4506523367863</v>
      </c>
      <c r="CO190" s="560">
        <v>56664</v>
      </c>
      <c r="CP190" s="155" t="str">
        <f t="shared" si="50"/>
        <v>43.75Y</v>
      </c>
      <c r="CQ190" s="405">
        <v>0.16489964995006134</v>
      </c>
      <c r="CR190" s="284">
        <f>IF(CO190,_xll.qDateYears(CO189,CO190,CR$13),0)</f>
        <v>0.25205479452054796</v>
      </c>
      <c r="CS190" s="284">
        <f t="shared" si="56"/>
        <v>2075.2811350643487</v>
      </c>
      <c r="DA190" s="560">
        <v>56664</v>
      </c>
      <c r="DB190" s="155" t="str">
        <f t="shared" si="51"/>
        <v>43.75Y</v>
      </c>
      <c r="DC190" s="405">
        <v>7.4714933095481953E-2</v>
      </c>
      <c r="DD190" s="284">
        <f>IF(DA190,_xll.qDateYears(DA189,DA190,DD$13),0)</f>
        <v>0.25205479452054796</v>
      </c>
      <c r="DE190" s="284">
        <f t="shared" si="57"/>
        <v>1586.9633486941655</v>
      </c>
      <c r="DM190" s="560">
        <v>56664</v>
      </c>
      <c r="DN190" s="155" t="str">
        <f t="shared" si="52"/>
        <v>43.75Y</v>
      </c>
      <c r="DO190" s="405">
        <v>0.1639465352059217</v>
      </c>
      <c r="DP190" s="284">
        <f>IF(DM190,_xll.qDateYears(DM189,DM190,DP$13),0)</f>
        <v>0.25555555555555554</v>
      </c>
      <c r="DQ190" s="284">
        <f t="shared" si="58"/>
        <v>2123.0177080167859</v>
      </c>
    </row>
    <row r="191" spans="59:121">
      <c r="BG191" s="560">
        <v>56753</v>
      </c>
      <c r="BH191" s="154" t="str">
        <f t="shared" si="47"/>
        <v>44Y</v>
      </c>
      <c r="BI191" s="405">
        <v>0.16260357499628786</v>
      </c>
      <c r="BJ191" s="284">
        <f>IF(BG191,_xll.qDateYears(BG190,BG191,$BJ$13),0)</f>
        <v>0.24722222222222223</v>
      </c>
      <c r="BK191" s="284">
        <f t="shared" si="53"/>
        <v>2127.0376297319722</v>
      </c>
      <c r="BQ191" s="560">
        <v>56753</v>
      </c>
      <c r="BR191" s="155" t="str">
        <f t="shared" si="48"/>
        <v>44Y</v>
      </c>
      <c r="BS191" s="405">
        <v>0.1419004845128766</v>
      </c>
      <c r="BT191" s="284">
        <f>IF(BQ191,_xll.qDateYears(BQ190,BQ191,BT$13),0)</f>
        <v>0.24383561643835616</v>
      </c>
      <c r="BU191" s="284">
        <f t="shared" si="54"/>
        <v>1657.0576966286001</v>
      </c>
      <c r="CC191" s="560">
        <v>56753</v>
      </c>
      <c r="CD191" s="155" t="str">
        <f t="shared" si="49"/>
        <v>44Y</v>
      </c>
      <c r="CE191" s="405">
        <v>0.20279456914184846</v>
      </c>
      <c r="CF191" s="284">
        <f>IF(CC191,_xll.qDateYears(CC190,CC191,CF$13),0)</f>
        <v>0.24722222222222223</v>
      </c>
      <c r="CG191" s="284">
        <f t="shared" si="55"/>
        <v>2210.464184740571</v>
      </c>
      <c r="CO191" s="560">
        <v>56753</v>
      </c>
      <c r="CP191" s="155" t="str">
        <f t="shared" si="50"/>
        <v>44Y</v>
      </c>
      <c r="CQ191" s="405">
        <v>0.16330091339427336</v>
      </c>
      <c r="CR191" s="284">
        <f>IF(CO191,_xll.qDateYears(CO190,CO191,CR$13),0)</f>
        <v>0.24383561643835616</v>
      </c>
      <c r="CS191" s="284">
        <f t="shared" si="56"/>
        <v>2079.2629929525929</v>
      </c>
      <c r="DA191" s="560">
        <v>56753</v>
      </c>
      <c r="DB191" s="155" t="str">
        <f t="shared" si="51"/>
        <v>44Y</v>
      </c>
      <c r="DC191" s="405">
        <v>7.3643507963623109E-2</v>
      </c>
      <c r="DD191" s="284">
        <f>IF(DA191,_xll.qDateYears(DA190,DA191,DD$13),0)</f>
        <v>0.24383561643835616</v>
      </c>
      <c r="DE191" s="284">
        <f t="shared" si="57"/>
        <v>1588.7590397102647</v>
      </c>
      <c r="DM191" s="560">
        <v>56753</v>
      </c>
      <c r="DN191" s="155" t="str">
        <f t="shared" si="52"/>
        <v>44Y</v>
      </c>
      <c r="DO191" s="405">
        <v>0.16260357499628786</v>
      </c>
      <c r="DP191" s="284">
        <f>IF(DM191,_xll.qDateYears(DM190,DM191,DP$13),0)</f>
        <v>0.24722222222222223</v>
      </c>
      <c r="DQ191" s="284">
        <f t="shared" si="58"/>
        <v>2127.0376297319722</v>
      </c>
    </row>
    <row r="192" spans="59:121">
      <c r="BG192" s="560">
        <v>56845</v>
      </c>
      <c r="BH192" s="154" t="str">
        <f t="shared" si="47"/>
        <v>44.25Y</v>
      </c>
      <c r="BI192" s="405">
        <v>0.1612303710208973</v>
      </c>
      <c r="BJ192" s="284">
        <f>IF(BG192,_xll.qDateYears(BG191,BG192,$BJ$13),0)</f>
        <v>0.25555555555555554</v>
      </c>
      <c r="BK192" s="284">
        <f t="shared" si="53"/>
        <v>2131.1579614358398</v>
      </c>
      <c r="BQ192" s="560">
        <v>56845</v>
      </c>
      <c r="BR192" s="155" t="str">
        <f t="shared" si="48"/>
        <v>44.25Y</v>
      </c>
      <c r="BS192" s="405">
        <v>0.14032334596930005</v>
      </c>
      <c r="BT192" s="284">
        <f>IF(BQ192,_xll.qDateYears(BQ191,BQ192,BT$13),0)</f>
        <v>0.25205479452054796</v>
      </c>
      <c r="BU192" s="284">
        <f t="shared" si="54"/>
        <v>1660.5946138420729</v>
      </c>
      <c r="CC192" s="560">
        <v>56845</v>
      </c>
      <c r="CD192" s="155" t="str">
        <f t="shared" si="49"/>
        <v>44.25Y</v>
      </c>
      <c r="CE192" s="405">
        <v>0.20095091618588098</v>
      </c>
      <c r="CF192" s="284">
        <f>IF(CC192,_xll.qDateYears(CC191,CC192,CF$13),0)</f>
        <v>0.25555555555555554</v>
      </c>
      <c r="CG192" s="284">
        <f t="shared" si="55"/>
        <v>2215.599597043099</v>
      </c>
      <c r="CO192" s="560">
        <v>56845</v>
      </c>
      <c r="CP192" s="155" t="str">
        <f t="shared" si="50"/>
        <v>44.25Y</v>
      </c>
      <c r="CQ192" s="405">
        <v>0.16166513003572971</v>
      </c>
      <c r="CR192" s="284">
        <f>IF(CO192,_xll.qDateYears(CO191,CO192,CR$13),0)</f>
        <v>0.25205479452054796</v>
      </c>
      <c r="CS192" s="284">
        <f t="shared" si="56"/>
        <v>2083.3378400658221</v>
      </c>
      <c r="DA192" s="560">
        <v>56845</v>
      </c>
      <c r="DB192" s="155" t="str">
        <f t="shared" si="51"/>
        <v>44.25Y</v>
      </c>
      <c r="DC192" s="405">
        <v>7.2552114770841378E-2</v>
      </c>
      <c r="DD192" s="284">
        <f>IF(DA192,_xll.qDateYears(DA191,DA192,DD$13),0)</f>
        <v>0.25205479452054796</v>
      </c>
      <c r="DE192" s="284">
        <f t="shared" si="57"/>
        <v>1590.5877505483243</v>
      </c>
      <c r="DM192" s="560">
        <v>56845</v>
      </c>
      <c r="DN192" s="155" t="str">
        <f t="shared" si="52"/>
        <v>44.25Y</v>
      </c>
      <c r="DO192" s="405">
        <v>0.1612303710208973</v>
      </c>
      <c r="DP192" s="284">
        <f>IF(DM192,_xll.qDateYears(DM191,DM192,DP$13),0)</f>
        <v>0.25555555555555554</v>
      </c>
      <c r="DQ192" s="284">
        <f t="shared" si="58"/>
        <v>2131.1579614358398</v>
      </c>
    </row>
    <row r="193" spans="59:121">
      <c r="BG193" s="560">
        <v>56937</v>
      </c>
      <c r="BH193" s="154" t="str">
        <f t="shared" si="47"/>
        <v>44.5Y</v>
      </c>
      <c r="BI193" s="405">
        <v>0.15987225404651534</v>
      </c>
      <c r="BJ193" s="284">
        <f>IF(BG193,_xll.qDateYears(BG192,BG193,$BJ$13),0)</f>
        <v>0.25555555555555554</v>
      </c>
      <c r="BK193" s="284">
        <f t="shared" si="53"/>
        <v>2135.2435857059172</v>
      </c>
      <c r="BQ193" s="560">
        <v>56937</v>
      </c>
      <c r="BR193" s="155" t="str">
        <f t="shared" si="48"/>
        <v>44.5Y</v>
      </c>
      <c r="BS193" s="405">
        <v>0.13876373637211276</v>
      </c>
      <c r="BT193" s="284">
        <f>IF(BQ193,_xll.qDateYears(BQ192,BQ193,BT$13),0)</f>
        <v>0.25205479452054796</v>
      </c>
      <c r="BU193" s="284">
        <f t="shared" si="54"/>
        <v>1664.0922203478906</v>
      </c>
      <c r="CC193" s="560">
        <v>56937</v>
      </c>
      <c r="CD193" s="155" t="str">
        <f t="shared" si="49"/>
        <v>44.5Y</v>
      </c>
      <c r="CE193" s="405">
        <v>0.1991240243110235</v>
      </c>
      <c r="CF193" s="284">
        <f>IF(CC193,_xll.qDateYears(CC192,CC193,CF$13),0)</f>
        <v>0.25555555555555554</v>
      </c>
      <c r="CG193" s="284">
        <f t="shared" si="55"/>
        <v>2220.6883221088251</v>
      </c>
      <c r="CO193" s="560">
        <v>56937</v>
      </c>
      <c r="CP193" s="155" t="str">
        <f t="shared" si="50"/>
        <v>44.5Y</v>
      </c>
      <c r="CQ193" s="405">
        <v>0.16004628820367839</v>
      </c>
      <c r="CR193" s="284">
        <f>IF(CO193,_xll.qDateYears(CO192,CO193,CR$13),0)</f>
        <v>0.25205479452054796</v>
      </c>
      <c r="CS193" s="284">
        <f t="shared" si="56"/>
        <v>2087.3718834945175</v>
      </c>
      <c r="DA193" s="560">
        <v>56937</v>
      </c>
      <c r="DB193" s="155" t="str">
        <f t="shared" si="51"/>
        <v>44.5Y</v>
      </c>
      <c r="DC193" s="405">
        <v>7.147689597189541E-2</v>
      </c>
      <c r="DD193" s="284">
        <f>IF(DA193,_xll.qDateYears(DA192,DA193,DD$13),0)</f>
        <v>0.25205479452054796</v>
      </c>
      <c r="DE193" s="284">
        <f t="shared" si="57"/>
        <v>1592.3893599810406</v>
      </c>
      <c r="DM193" s="560">
        <v>56937</v>
      </c>
      <c r="DN193" s="155" t="str">
        <f t="shared" si="52"/>
        <v>44.5Y</v>
      </c>
      <c r="DO193" s="405">
        <v>0.15987225404651534</v>
      </c>
      <c r="DP193" s="284">
        <f>IF(DM193,_xll.qDateYears(DM192,DM193,DP$13),0)</f>
        <v>0.25555555555555554</v>
      </c>
      <c r="DQ193" s="284">
        <f t="shared" si="58"/>
        <v>2135.2435857059172</v>
      </c>
    </row>
    <row r="194" spans="59:121">
      <c r="BG194" s="560">
        <v>57032</v>
      </c>
      <c r="BH194" s="154" t="str">
        <f t="shared" si="47"/>
        <v>44.75Y</v>
      </c>
      <c r="BI194" s="405">
        <v>0.15848548624258474</v>
      </c>
      <c r="BJ194" s="284">
        <f>IF(BG194,_xll.qDateYears(BG193,BG194,$BJ$13),0)</f>
        <v>0.2638888888888889</v>
      </c>
      <c r="BK194" s="284">
        <f t="shared" si="53"/>
        <v>2139.4258415928743</v>
      </c>
      <c r="BQ194" s="560">
        <v>57032</v>
      </c>
      <c r="BR194" s="155" t="str">
        <f t="shared" si="48"/>
        <v>44.75Y</v>
      </c>
      <c r="BS194" s="405">
        <v>0.13717145893995597</v>
      </c>
      <c r="BT194" s="284">
        <f>IF(BQ194,_xll.qDateYears(BQ193,BQ194,BT$13),0)</f>
        <v>0.26027397260273971</v>
      </c>
      <c r="BU194" s="284">
        <f t="shared" si="54"/>
        <v>1667.6624364024922</v>
      </c>
      <c r="CC194" s="560">
        <v>57032</v>
      </c>
      <c r="CD194" s="155" t="str">
        <f t="shared" si="49"/>
        <v>44.75Y</v>
      </c>
      <c r="CE194" s="405">
        <v>0.1972549880634504</v>
      </c>
      <c r="CF194" s="284">
        <f>IF(CC194,_xll.qDateYears(CC193,CC194,CF$13),0)</f>
        <v>0.2638888888888889</v>
      </c>
      <c r="CG194" s="284">
        <f t="shared" si="55"/>
        <v>2225.8936620716104</v>
      </c>
      <c r="CO194" s="560">
        <v>57032</v>
      </c>
      <c r="CP194" s="155" t="str">
        <f t="shared" si="50"/>
        <v>44.75Y</v>
      </c>
      <c r="CQ194" s="405">
        <v>0.15839224542666361</v>
      </c>
      <c r="CR194" s="284">
        <f>IF(CO194,_xll.qDateYears(CO193,CO194,CR$13),0)</f>
        <v>0.26027397260273971</v>
      </c>
      <c r="CS194" s="284">
        <f t="shared" si="56"/>
        <v>2091.494421389184</v>
      </c>
      <c r="DA194" s="560">
        <v>57032</v>
      </c>
      <c r="DB194" s="155" t="str">
        <f t="shared" si="51"/>
        <v>44.75Y</v>
      </c>
      <c r="DC194" s="405">
        <v>7.0383335563075591E-2</v>
      </c>
      <c r="DD194" s="284">
        <f>IF(DA194,_xll.qDateYears(DA193,DA194,DD$13),0)</f>
        <v>0.26027397260273971</v>
      </c>
      <c r="DE194" s="284">
        <f t="shared" si="57"/>
        <v>1594.221255016244</v>
      </c>
      <c r="DM194" s="560">
        <v>57032</v>
      </c>
      <c r="DN194" s="155" t="str">
        <f t="shared" si="52"/>
        <v>44.75Y</v>
      </c>
      <c r="DO194" s="405">
        <v>0.15848548624258474</v>
      </c>
      <c r="DP194" s="284">
        <f>IF(DM194,_xll.qDateYears(DM193,DM194,DP$13),0)</f>
        <v>0.2638888888888889</v>
      </c>
      <c r="DQ194" s="284">
        <f t="shared" si="58"/>
        <v>2139.4258415928743</v>
      </c>
    </row>
    <row r="195" spans="59:121">
      <c r="BG195" s="560">
        <v>57119</v>
      </c>
      <c r="BH195" s="154" t="str">
        <f t="shared" si="47"/>
        <v>45Y</v>
      </c>
      <c r="BI195" s="405">
        <v>0.15722926450809055</v>
      </c>
      <c r="BJ195" s="284">
        <f>IF(BG195,_xll.qDateYears(BG194,BG195,$BJ$13),0)</f>
        <v>0.24166666666666667</v>
      </c>
      <c r="BK195" s="284">
        <f t="shared" si="53"/>
        <v>2143.2255488184865</v>
      </c>
      <c r="BQ195" s="560">
        <v>57119</v>
      </c>
      <c r="BR195" s="155" t="str">
        <f t="shared" si="48"/>
        <v>45Y</v>
      </c>
      <c r="BS195" s="405">
        <v>0.1357293010444959</v>
      </c>
      <c r="BT195" s="284">
        <f>IF(BQ195,_xll.qDateYears(BQ194,BQ195,BT$13),0)</f>
        <v>0.23835616438356164</v>
      </c>
      <c r="BU195" s="284">
        <f t="shared" si="54"/>
        <v>1670.897627961635</v>
      </c>
      <c r="CC195" s="560">
        <v>57119</v>
      </c>
      <c r="CD195" s="155" t="str">
        <f t="shared" si="49"/>
        <v>45Y</v>
      </c>
      <c r="CE195" s="405">
        <v>0.19555873793231707</v>
      </c>
      <c r="CF195" s="284">
        <f>IF(CC195,_xll.qDateYears(CC194,CC195,CF$13),0)</f>
        <v>0.24166666666666667</v>
      </c>
      <c r="CG195" s="284">
        <f t="shared" si="55"/>
        <v>2230.6196649049748</v>
      </c>
      <c r="CO195" s="560">
        <v>57119</v>
      </c>
      <c r="CP195" s="155" t="str">
        <f t="shared" si="50"/>
        <v>45Y</v>
      </c>
      <c r="CQ195" s="405">
        <v>0.15689300007226423</v>
      </c>
      <c r="CR195" s="284">
        <f>IF(CO195,_xll.qDateYears(CO194,CO195,CR$13),0)</f>
        <v>0.23835616438356164</v>
      </c>
      <c r="CS195" s="284">
        <f t="shared" si="56"/>
        <v>2095.2340627607696</v>
      </c>
      <c r="DA195" s="560">
        <v>57119</v>
      </c>
      <c r="DB195" s="155" t="str">
        <f t="shared" si="51"/>
        <v>45Y</v>
      </c>
      <c r="DC195" s="405">
        <v>6.9396547646538631E-2</v>
      </c>
      <c r="DD195" s="284">
        <f>IF(DA195,_xll.qDateYears(DA194,DA195,DD$13),0)</f>
        <v>0.23835616438356164</v>
      </c>
      <c r="DE195" s="284">
        <f t="shared" si="57"/>
        <v>1595.8753645080931</v>
      </c>
      <c r="DM195" s="560">
        <v>57119</v>
      </c>
      <c r="DN195" s="155" t="str">
        <f t="shared" si="52"/>
        <v>45Y</v>
      </c>
      <c r="DO195" s="405">
        <v>0.15722926450809055</v>
      </c>
      <c r="DP195" s="284">
        <f>IF(DM195,_xll.qDateYears(DM194,DM195,DP$13),0)</f>
        <v>0.24166666666666667</v>
      </c>
      <c r="DQ195" s="284">
        <f t="shared" si="58"/>
        <v>2143.2255488184865</v>
      </c>
    </row>
    <row r="196" spans="59:121">
      <c r="BG196" s="560">
        <v>57213</v>
      </c>
      <c r="BH196" s="154" t="str">
        <f t="shared" si="47"/>
        <v>45.25Y</v>
      </c>
      <c r="BI196" s="405">
        <v>0.15588657698526787</v>
      </c>
      <c r="BJ196" s="284">
        <f>IF(BG196,_xll.qDateYears(BG195,BG196,$BJ$13),0)</f>
        <v>0.26111111111111113</v>
      </c>
      <c r="BK196" s="284">
        <f t="shared" si="53"/>
        <v>2147.2959205508796</v>
      </c>
      <c r="BQ196" s="560">
        <v>57213</v>
      </c>
      <c r="BR196" s="155" t="str">
        <f t="shared" si="48"/>
        <v>45.25Y</v>
      </c>
      <c r="BS196" s="405">
        <v>0.13418814382459229</v>
      </c>
      <c r="BT196" s="284">
        <f>IF(BQ196,_xll.qDateYears(BQ195,BQ196,BT$13),0)</f>
        <v>0.25753424657534246</v>
      </c>
      <c r="BU196" s="284">
        <f t="shared" si="54"/>
        <v>1674.3534322135561</v>
      </c>
      <c r="CC196" s="560">
        <v>57213</v>
      </c>
      <c r="CD196" s="155" t="str">
        <f t="shared" si="49"/>
        <v>45.25Y</v>
      </c>
      <c r="CE196" s="405">
        <v>0.19374239829791304</v>
      </c>
      <c r="CF196" s="284">
        <f>IF(CC196,_xll.qDateYears(CC195,CC196,CF$13),0)</f>
        <v>0.26111111111111113</v>
      </c>
      <c r="CG196" s="284">
        <f t="shared" si="55"/>
        <v>2235.6784941938649</v>
      </c>
      <c r="CO196" s="560">
        <v>57213</v>
      </c>
      <c r="CP196" s="155" t="str">
        <f t="shared" si="50"/>
        <v>45.25Y</v>
      </c>
      <c r="CQ196" s="405">
        <v>0.15528961343643852</v>
      </c>
      <c r="CR196" s="284">
        <f>IF(CO196,_xll.qDateYears(CO195,CO196,CR$13),0)</f>
        <v>0.25753424657534246</v>
      </c>
      <c r="CS196" s="284">
        <f t="shared" si="56"/>
        <v>2099.2333021205027</v>
      </c>
      <c r="DA196" s="560">
        <v>57213</v>
      </c>
      <c r="DB196" s="155" t="str">
        <f t="shared" si="51"/>
        <v>45.25Y</v>
      </c>
      <c r="DC196" s="405">
        <v>6.8345906610143087E-2</v>
      </c>
      <c r="DD196" s="284">
        <f>IF(DA196,_xll.qDateYears(DA195,DA196,DD$13),0)</f>
        <v>0.25753424657534246</v>
      </c>
      <c r="DE196" s="284">
        <f t="shared" si="57"/>
        <v>1597.6355056646282</v>
      </c>
      <c r="DM196" s="560">
        <v>57213</v>
      </c>
      <c r="DN196" s="155" t="str">
        <f t="shared" si="52"/>
        <v>45.25Y</v>
      </c>
      <c r="DO196" s="405">
        <v>0.15588657698526787</v>
      </c>
      <c r="DP196" s="284">
        <f>IF(DM196,_xll.qDateYears(DM195,DM196,DP$13),0)</f>
        <v>0.26111111111111113</v>
      </c>
      <c r="DQ196" s="284">
        <f t="shared" si="58"/>
        <v>2147.2959205508796</v>
      </c>
    </row>
    <row r="197" spans="59:121">
      <c r="BG197" s="560">
        <v>57304</v>
      </c>
      <c r="BH197" s="154" t="str">
        <f t="shared" si="47"/>
        <v>45.5Y</v>
      </c>
      <c r="BI197" s="405">
        <v>0.15460102198533426</v>
      </c>
      <c r="BJ197" s="284">
        <f>IF(BG197,_xll.qDateYears(BG196,BG197,$BJ$13),0)</f>
        <v>0.25277777777777777</v>
      </c>
      <c r="BK197" s="284">
        <f t="shared" si="53"/>
        <v>2151.2038908288423</v>
      </c>
      <c r="BQ197" s="560">
        <v>57304</v>
      </c>
      <c r="BR197" s="155" t="str">
        <f t="shared" si="48"/>
        <v>45.5Y</v>
      </c>
      <c r="BS197" s="405">
        <v>0.13271284495731825</v>
      </c>
      <c r="BT197" s="284">
        <f>IF(BQ197,_xll.qDateYears(BQ196,BQ197,BT$13),0)</f>
        <v>0.24931506849315069</v>
      </c>
      <c r="BU197" s="284">
        <f t="shared" si="54"/>
        <v>1677.6621634166015</v>
      </c>
      <c r="CC197" s="560">
        <v>57304</v>
      </c>
      <c r="CD197" s="155" t="str">
        <f t="shared" si="49"/>
        <v>45.5Y</v>
      </c>
      <c r="CE197" s="405">
        <v>0.192000099593678</v>
      </c>
      <c r="CF197" s="284">
        <f>IF(CC197,_xll.qDateYears(CC196,CC197,CF$13),0)</f>
        <v>0.25277777777777777</v>
      </c>
      <c r="CG197" s="284">
        <f t="shared" si="55"/>
        <v>2240.5318300447052</v>
      </c>
      <c r="CO197" s="560">
        <v>57304</v>
      </c>
      <c r="CP197" s="155" t="str">
        <f t="shared" si="50"/>
        <v>45.5Y</v>
      </c>
      <c r="CQ197" s="405">
        <v>0.15375354144289255</v>
      </c>
      <c r="CR197" s="284">
        <f>IF(CO197,_xll.qDateYears(CO196,CO197,CR$13),0)</f>
        <v>0.24931506849315069</v>
      </c>
      <c r="CS197" s="284">
        <f t="shared" si="56"/>
        <v>2103.0666095920924</v>
      </c>
      <c r="DA197" s="560">
        <v>57304</v>
      </c>
      <c r="DB197" s="155" t="str">
        <f t="shared" si="51"/>
        <v>45.5Y</v>
      </c>
      <c r="DC197" s="405">
        <v>6.7343952108520302E-2</v>
      </c>
      <c r="DD197" s="284">
        <f>IF(DA197,_xll.qDateYears(DA196,DA197,DD$13),0)</f>
        <v>0.24931506849315069</v>
      </c>
      <c r="DE197" s="284">
        <f t="shared" si="57"/>
        <v>1599.3144918678818</v>
      </c>
      <c r="DM197" s="560">
        <v>57304</v>
      </c>
      <c r="DN197" s="155" t="str">
        <f t="shared" si="52"/>
        <v>45.5Y</v>
      </c>
      <c r="DO197" s="405">
        <v>0.15460102198533426</v>
      </c>
      <c r="DP197" s="284">
        <f>IF(DM197,_xll.qDateYears(DM196,DM197,DP$13),0)</f>
        <v>0.25277777777777777</v>
      </c>
      <c r="DQ197" s="284">
        <f t="shared" si="58"/>
        <v>2151.2038908288423</v>
      </c>
    </row>
    <row r="198" spans="59:121">
      <c r="BG198" s="560">
        <v>57396</v>
      </c>
      <c r="BH198" s="154" t="str">
        <f t="shared" si="47"/>
        <v>45.75Y</v>
      </c>
      <c r="BI198" s="405">
        <v>0.15331544578920947</v>
      </c>
      <c r="BJ198" s="284">
        <f>IF(BG198,_xll.qDateYears(BG197,BG198,$BJ$13),0)</f>
        <v>0.25555555555555554</v>
      </c>
      <c r="BK198" s="284">
        <f t="shared" si="53"/>
        <v>2155.1219522212332</v>
      </c>
      <c r="BQ198" s="560">
        <v>57396</v>
      </c>
      <c r="BR198" s="155" t="str">
        <f t="shared" si="48"/>
        <v>45.75Y</v>
      </c>
      <c r="BS198" s="405">
        <v>0.13123782150177188</v>
      </c>
      <c r="BT198" s="284">
        <f>IF(BQ198,_xll.qDateYears(BQ197,BQ198,BT$13),0)</f>
        <v>0.25205479452054796</v>
      </c>
      <c r="BU198" s="284">
        <f t="shared" si="54"/>
        <v>1680.9700756297968</v>
      </c>
      <c r="CC198" s="560">
        <v>57396</v>
      </c>
      <c r="CD198" s="155" t="str">
        <f t="shared" si="49"/>
        <v>45.75Y</v>
      </c>
      <c r="CE198" s="405">
        <v>0.19025458169021614</v>
      </c>
      <c r="CF198" s="284">
        <f>IF(CC198,_xll.qDateYears(CC197,CC198,CF$13),0)</f>
        <v>0.25555555555555554</v>
      </c>
      <c r="CG198" s="284">
        <f t="shared" si="55"/>
        <v>2245.3938915767885</v>
      </c>
      <c r="CO198" s="560">
        <v>57396</v>
      </c>
      <c r="CP198" s="155" t="str">
        <f t="shared" si="50"/>
        <v>45.75Y</v>
      </c>
      <c r="CQ198" s="405">
        <v>0.15221656049171109</v>
      </c>
      <c r="CR198" s="284">
        <f>IF(CO198,_xll.qDateYears(CO197,CO198,CR$13),0)</f>
        <v>0.25205479452054796</v>
      </c>
      <c r="CS198" s="284">
        <f t="shared" si="56"/>
        <v>2106.9033009798286</v>
      </c>
      <c r="DA198" s="560">
        <v>57396</v>
      </c>
      <c r="DB198" s="155" t="str">
        <f t="shared" si="51"/>
        <v>45.75Y</v>
      </c>
      <c r="DC198" s="405">
        <v>6.6345918025970022E-2</v>
      </c>
      <c r="DD198" s="284">
        <f>IF(DA198,_xll.qDateYears(DA197,DA198,DD$13),0)</f>
        <v>0.25205479452054796</v>
      </c>
      <c r="DE198" s="284">
        <f t="shared" si="57"/>
        <v>1600.9867725414131</v>
      </c>
      <c r="DM198" s="560">
        <v>57396</v>
      </c>
      <c r="DN198" s="155" t="str">
        <f t="shared" si="52"/>
        <v>45.75Y</v>
      </c>
      <c r="DO198" s="405">
        <v>0.15331544578920947</v>
      </c>
      <c r="DP198" s="284">
        <f>IF(DM198,_xll.qDateYears(DM197,DM198,DP$13),0)</f>
        <v>0.25555555555555554</v>
      </c>
      <c r="DQ198" s="284">
        <f t="shared" si="58"/>
        <v>2155.1219522212332</v>
      </c>
    </row>
    <row r="199" spans="59:121">
      <c r="BG199" s="560">
        <v>57486</v>
      </c>
      <c r="BH199" s="154" t="str">
        <f t="shared" si="47"/>
        <v>46Y</v>
      </c>
      <c r="BI199" s="405">
        <v>0.15207137428706027</v>
      </c>
      <c r="BJ199" s="284">
        <f>IF(BG199,_xll.qDateYears(BG198,BG199,$BJ$13),0)</f>
        <v>0.25</v>
      </c>
      <c r="BK199" s="284">
        <f t="shared" si="53"/>
        <v>2158.9237365784097</v>
      </c>
      <c r="BQ199" s="560">
        <v>57486</v>
      </c>
      <c r="BR199" s="155" t="str">
        <f t="shared" si="48"/>
        <v>46Y</v>
      </c>
      <c r="BS199" s="405">
        <v>0.12981072834028579</v>
      </c>
      <c r="BT199" s="284">
        <f>IF(BQ199,_xll.qDateYears(BQ198,BQ199,BT$13),0)</f>
        <v>0.24657534246575341</v>
      </c>
      <c r="BU199" s="284">
        <f t="shared" si="54"/>
        <v>1684.1708881094203</v>
      </c>
      <c r="CC199" s="560">
        <v>57486</v>
      </c>
      <c r="CD199" s="155" t="str">
        <f t="shared" si="49"/>
        <v>46Y</v>
      </c>
      <c r="CE199" s="405">
        <v>0.18856236603962734</v>
      </c>
      <c r="CF199" s="284">
        <f>IF(CC199,_xll.qDateYears(CC198,CC199,CF$13),0)</f>
        <v>0.25</v>
      </c>
      <c r="CG199" s="284">
        <f t="shared" si="55"/>
        <v>2250.1079507277791</v>
      </c>
      <c r="CO199" s="560">
        <v>57486</v>
      </c>
      <c r="CP199" s="155" t="str">
        <f t="shared" si="50"/>
        <v>46Y</v>
      </c>
      <c r="CQ199" s="405">
        <v>0.15072836673665055</v>
      </c>
      <c r="CR199" s="284">
        <f>IF(CO199,_xll.qDateYears(CO198,CO199,CR$13),0)</f>
        <v>0.24657534246575341</v>
      </c>
      <c r="CS199" s="284">
        <f t="shared" si="56"/>
        <v>2110.6198908445681</v>
      </c>
      <c r="DA199" s="560">
        <v>57486</v>
      </c>
      <c r="DB199" s="155" t="str">
        <f t="shared" si="51"/>
        <v>46Y</v>
      </c>
      <c r="DC199" s="405">
        <v>6.5383893881496111E-2</v>
      </c>
      <c r="DD199" s="284">
        <f>IF(DA199,_xll.qDateYears(DA198,DA199,DD$13),0)</f>
        <v>0.24657534246575341</v>
      </c>
      <c r="DE199" s="284">
        <f t="shared" si="57"/>
        <v>1602.5989781439705</v>
      </c>
      <c r="DM199" s="560">
        <v>57486</v>
      </c>
      <c r="DN199" s="155" t="str">
        <f t="shared" si="52"/>
        <v>46Y</v>
      </c>
      <c r="DO199" s="405">
        <v>0.15207137428706027</v>
      </c>
      <c r="DP199" s="284">
        <f>IF(DM199,_xll.qDateYears(DM198,DM199,DP$13),0)</f>
        <v>0.25</v>
      </c>
      <c r="DQ199" s="284">
        <f t="shared" si="58"/>
        <v>2158.9237365784097</v>
      </c>
    </row>
    <row r="200" spans="59:121">
      <c r="BG200" s="560">
        <v>57577</v>
      </c>
      <c r="BH200" s="154" t="str">
        <f t="shared" si="47"/>
        <v>46.25Y</v>
      </c>
      <c r="BI200" s="405">
        <v>0.15082694744724562</v>
      </c>
      <c r="BJ200" s="284">
        <f>IF(BG200,_xll.qDateYears(BG199,BG200,$BJ$13),0)</f>
        <v>0.25277777777777777</v>
      </c>
      <c r="BK200" s="284">
        <f t="shared" si="53"/>
        <v>2162.7363066388816</v>
      </c>
      <c r="BQ200" s="560">
        <v>57577</v>
      </c>
      <c r="BR200" s="155" t="str">
        <f t="shared" si="48"/>
        <v>46.25Y</v>
      </c>
      <c r="BS200" s="405">
        <v>0.12838355590148393</v>
      </c>
      <c r="BT200" s="284">
        <f>IF(BQ200,_xll.qDateYears(BQ199,BQ200,BT$13),0)</f>
        <v>0.24931506849315069</v>
      </c>
      <c r="BU200" s="284">
        <f t="shared" si="54"/>
        <v>1687.3716836127176</v>
      </c>
      <c r="CC200" s="560">
        <v>57577</v>
      </c>
      <c r="CD200" s="155" t="str">
        <f t="shared" si="49"/>
        <v>46.25Y</v>
      </c>
      <c r="CE200" s="405">
        <v>0.18686665065205812</v>
      </c>
      <c r="CF200" s="284">
        <f>IF(CC200,_xll.qDateYears(CC199,CC200,CF$13),0)</f>
        <v>0.25277777777777777</v>
      </c>
      <c r="CG200" s="284">
        <f t="shared" si="55"/>
        <v>2254.8315243970396</v>
      </c>
      <c r="CO200" s="560">
        <v>57577</v>
      </c>
      <c r="CP200" s="155" t="str">
        <f t="shared" si="50"/>
        <v>46.25Y</v>
      </c>
      <c r="CQ200" s="405">
        <v>0.14923893453451542</v>
      </c>
      <c r="CR200" s="284">
        <f>IF(CO200,_xll.qDateYears(CO199,CO200,CR$13),0)</f>
        <v>0.24931506849315069</v>
      </c>
      <c r="CS200" s="284">
        <f t="shared" si="56"/>
        <v>2114.3406423631</v>
      </c>
      <c r="DA200" s="560">
        <v>57577</v>
      </c>
      <c r="DB200" s="155" t="str">
        <f t="shared" si="51"/>
        <v>46.25Y</v>
      </c>
      <c r="DC200" s="405">
        <v>6.442536263862475E-2</v>
      </c>
      <c r="DD200" s="284">
        <f>IF(DA200,_xll.qDateYears(DA199,DA200,DD$13),0)</f>
        <v>0.24931506849315069</v>
      </c>
      <c r="DE200" s="284">
        <f t="shared" si="57"/>
        <v>1604.205199513865</v>
      </c>
      <c r="DM200" s="560">
        <v>57577</v>
      </c>
      <c r="DN200" s="155" t="str">
        <f t="shared" si="52"/>
        <v>46.25Y</v>
      </c>
      <c r="DO200" s="405">
        <v>0.15082694744724562</v>
      </c>
      <c r="DP200" s="284">
        <f>IF(DM200,_xll.qDateYears(DM199,DM200,DP$13),0)</f>
        <v>0.25277777777777777</v>
      </c>
      <c r="DQ200" s="284">
        <f t="shared" si="58"/>
        <v>2162.7363066388816</v>
      </c>
    </row>
    <row r="201" spans="59:121">
      <c r="BG201" s="560">
        <v>57668</v>
      </c>
      <c r="BH201" s="154" t="str">
        <f t="shared" si="47"/>
        <v>46.5Y</v>
      </c>
      <c r="BI201" s="405">
        <v>0.14959589957900268</v>
      </c>
      <c r="BJ201" s="284">
        <f>IF(BG201,_xll.qDateYears(BG200,BG201,$BJ$13),0)</f>
        <v>0.25277777777777777</v>
      </c>
      <c r="BK201" s="284">
        <f t="shared" si="53"/>
        <v>2166.5177585449064</v>
      </c>
      <c r="BQ201" s="560">
        <v>57668</v>
      </c>
      <c r="BR201" s="155" t="str">
        <f t="shared" si="48"/>
        <v>46.5Y</v>
      </c>
      <c r="BS201" s="405">
        <v>0.12697207416248871</v>
      </c>
      <c r="BT201" s="284">
        <f>IF(BQ201,_xll.qDateYears(BQ200,BQ201,BT$13),0)</f>
        <v>0.24931506849315069</v>
      </c>
      <c r="BU201" s="284">
        <f t="shared" si="54"/>
        <v>1690.5372887493713</v>
      </c>
      <c r="CC201" s="560">
        <v>57668</v>
      </c>
      <c r="CD201" s="155" t="str">
        <f t="shared" si="49"/>
        <v>46.5Y</v>
      </c>
      <c r="CE201" s="405">
        <v>0.18518618459942265</v>
      </c>
      <c r="CF201" s="284">
        <f>IF(CC201,_xll.qDateYears(CC200,CC201,CF$13),0)</f>
        <v>0.25277777777777777</v>
      </c>
      <c r="CG201" s="284">
        <f t="shared" si="55"/>
        <v>2259.5126196188585</v>
      </c>
      <c r="CO201" s="560">
        <v>57668</v>
      </c>
      <c r="CP201" s="155" t="str">
        <f t="shared" si="50"/>
        <v>46.5Y</v>
      </c>
      <c r="CQ201" s="405">
        <v>0.14776472241230698</v>
      </c>
      <c r="CR201" s="284">
        <f>IF(CO201,_xll.qDateYears(CO200,CO201,CR$13),0)</f>
        <v>0.24931506849315069</v>
      </c>
      <c r="CS201" s="284">
        <f t="shared" si="56"/>
        <v>2118.0246395520094</v>
      </c>
      <c r="DA201" s="560">
        <v>57668</v>
      </c>
      <c r="DB201" s="155" t="str">
        <f t="shared" si="51"/>
        <v>46.5Y</v>
      </c>
      <c r="DC201" s="405">
        <v>6.348088351301065E-2</v>
      </c>
      <c r="DD201" s="284">
        <f>IF(DA201,_xll.qDateYears(DA200,DA201,DD$13),0)</f>
        <v>0.24931506849315069</v>
      </c>
      <c r="DE201" s="284">
        <f t="shared" si="57"/>
        <v>1605.78787359597</v>
      </c>
      <c r="DM201" s="560">
        <v>57668</v>
      </c>
      <c r="DN201" s="155" t="str">
        <f t="shared" si="52"/>
        <v>46.5Y</v>
      </c>
      <c r="DO201" s="405">
        <v>0.14959589957900268</v>
      </c>
      <c r="DP201" s="284">
        <f>IF(DM201,_xll.qDateYears(DM200,DM201,DP$13),0)</f>
        <v>0.25277777777777777</v>
      </c>
      <c r="DQ201" s="284">
        <f t="shared" si="58"/>
        <v>2166.5177585449064</v>
      </c>
    </row>
    <row r="202" spans="59:121">
      <c r="BG202" s="560">
        <v>57760</v>
      </c>
      <c r="BH202" s="154" t="str">
        <f t="shared" si="47"/>
        <v>46.75Y</v>
      </c>
      <c r="BI202" s="405">
        <v>0.14836475922675879</v>
      </c>
      <c r="BJ202" s="284">
        <f>IF(BG202,_xll.qDateYears(BG201,BG202,$BJ$13),0)</f>
        <v>0.25555555555555554</v>
      </c>
      <c r="BK202" s="284">
        <f t="shared" si="53"/>
        <v>2170.3093023918127</v>
      </c>
      <c r="BQ202" s="560">
        <v>57760</v>
      </c>
      <c r="BR202" s="155" t="str">
        <f t="shared" si="48"/>
        <v>46.75Y</v>
      </c>
      <c r="BS202" s="405">
        <v>0.12556085592171273</v>
      </c>
      <c r="BT202" s="284">
        <f>IF(BQ202,_xll.qDateYears(BQ201,BQ202,BT$13),0)</f>
        <v>0.25205479452054796</v>
      </c>
      <c r="BU202" s="284">
        <f t="shared" si="54"/>
        <v>1693.7021103232885</v>
      </c>
      <c r="CC202" s="560">
        <v>57760</v>
      </c>
      <c r="CD202" s="155" t="str">
        <f t="shared" si="49"/>
        <v>46.75Y</v>
      </c>
      <c r="CE202" s="405">
        <v>0.18350261359411507</v>
      </c>
      <c r="CF202" s="284">
        <f>IF(CC202,_xll.qDateYears(CC201,CC202,CF$13),0)</f>
        <v>0.25555555555555554</v>
      </c>
      <c r="CG202" s="284">
        <f t="shared" si="55"/>
        <v>2264.2021308551525</v>
      </c>
      <c r="CO202" s="560">
        <v>57760</v>
      </c>
      <c r="CP202" s="155" t="str">
        <f t="shared" si="50"/>
        <v>46.75Y</v>
      </c>
      <c r="CQ202" s="405">
        <v>0.14628961847580549</v>
      </c>
      <c r="CR202" s="284">
        <f>IF(CO202,_xll.qDateYears(CO201,CO202,CR$13),0)</f>
        <v>0.25205479452054796</v>
      </c>
      <c r="CS202" s="284">
        <f t="shared" si="56"/>
        <v>2121.7119395245504</v>
      </c>
      <c r="DA202" s="560">
        <v>57760</v>
      </c>
      <c r="DB202" s="155" t="str">
        <f t="shared" si="51"/>
        <v>46.75Y</v>
      </c>
      <c r="DC202" s="405">
        <v>6.254009991845276E-2</v>
      </c>
      <c r="DD202" s="284">
        <f>IF(DA202,_xll.qDateYears(DA201,DA202,DD$13),0)</f>
        <v>0.25205479452054796</v>
      </c>
      <c r="DE202" s="284">
        <f t="shared" si="57"/>
        <v>1607.3642267993941</v>
      </c>
      <c r="DM202" s="560">
        <v>57760</v>
      </c>
      <c r="DN202" s="155" t="str">
        <f t="shared" si="52"/>
        <v>46.75Y</v>
      </c>
      <c r="DO202" s="405">
        <v>0.14836475922675879</v>
      </c>
      <c r="DP202" s="284">
        <f>IF(DM202,_xll.qDateYears(DM201,DM202,DP$13),0)</f>
        <v>0.25555555555555554</v>
      </c>
      <c r="DQ202" s="284">
        <f t="shared" si="58"/>
        <v>2170.3093023918127</v>
      </c>
    </row>
    <row r="203" spans="59:121">
      <c r="BG203" s="560">
        <v>57850</v>
      </c>
      <c r="BH203" s="154" t="str">
        <f t="shared" si="47"/>
        <v>47Y</v>
      </c>
      <c r="BI203" s="405">
        <v>0.1471732967978982</v>
      </c>
      <c r="BJ203" s="284">
        <f>IF(BG203,_xll.qDateYears(BG202,BG203,$BJ$13),0)</f>
        <v>0.25</v>
      </c>
      <c r="BK203" s="284">
        <f t="shared" si="53"/>
        <v>2173.9886348117602</v>
      </c>
      <c r="BQ203" s="560">
        <v>57850</v>
      </c>
      <c r="BR203" s="155" t="str">
        <f t="shared" si="48"/>
        <v>47Y</v>
      </c>
      <c r="BS203" s="405">
        <v>0.12419549465020004</v>
      </c>
      <c r="BT203" s="284">
        <f>IF(BQ203,_xll.qDateYears(BQ202,BQ203,BT$13),0)</f>
        <v>0.24657534246575341</v>
      </c>
      <c r="BU203" s="284">
        <f t="shared" si="54"/>
        <v>1696.7644649858962</v>
      </c>
      <c r="CC203" s="560">
        <v>57850</v>
      </c>
      <c r="CD203" s="155" t="str">
        <f t="shared" si="49"/>
        <v>47Y</v>
      </c>
      <c r="CE203" s="405">
        <v>0.18187045319151551</v>
      </c>
      <c r="CF203" s="284">
        <f>IF(CC203,_xll.qDateYears(CC202,CC203,CF$13),0)</f>
        <v>0.25</v>
      </c>
      <c r="CG203" s="284">
        <f t="shared" si="55"/>
        <v>2268.7488921849404</v>
      </c>
      <c r="CO203" s="560">
        <v>57850</v>
      </c>
      <c r="CP203" s="155" t="str">
        <f t="shared" si="50"/>
        <v>47Y</v>
      </c>
      <c r="CQ203" s="405">
        <v>0.14486131887939552</v>
      </c>
      <c r="CR203" s="284">
        <f>IF(CO203,_xll.qDateYears(CO202,CO203,CR$13),0)</f>
        <v>0.24657534246575341</v>
      </c>
      <c r="CS203" s="284">
        <f t="shared" si="56"/>
        <v>2125.2838624558231</v>
      </c>
      <c r="DA203" s="560">
        <v>57850</v>
      </c>
      <c r="DB203" s="155" t="str">
        <f t="shared" si="51"/>
        <v>47Y</v>
      </c>
      <c r="DC203" s="405">
        <v>6.1633260614551467E-2</v>
      </c>
      <c r="DD203" s="284">
        <f>IF(DA203,_xll.qDateYears(DA202,DA203,DD$13),0)</f>
        <v>0.24657534246575341</v>
      </c>
      <c r="DE203" s="284">
        <f t="shared" si="57"/>
        <v>1608.8839510337255</v>
      </c>
      <c r="DM203" s="560">
        <v>57850</v>
      </c>
      <c r="DN203" s="155" t="str">
        <f t="shared" si="52"/>
        <v>47Y</v>
      </c>
      <c r="DO203" s="405">
        <v>0.1471732967978982</v>
      </c>
      <c r="DP203" s="284">
        <f>IF(DM203,_xll.qDateYears(DM202,DM203,DP$13),0)</f>
        <v>0.25</v>
      </c>
      <c r="DQ203" s="284">
        <f t="shared" si="58"/>
        <v>2173.9886348117602</v>
      </c>
    </row>
    <row r="204" spans="59:121">
      <c r="BG204" s="560">
        <v>57941</v>
      </c>
      <c r="BH204" s="154" t="str">
        <f t="shared" si="47"/>
        <v>47.25Y</v>
      </c>
      <c r="BI204" s="405">
        <v>0.14598142527193284</v>
      </c>
      <c r="BJ204" s="284">
        <f>IF(BG204,_xll.qDateYears(BG203,BG204,$BJ$13),0)</f>
        <v>0.25277777777777777</v>
      </c>
      <c r="BK204" s="284">
        <f t="shared" si="53"/>
        <v>2177.6787208394676</v>
      </c>
      <c r="BQ204" s="560">
        <v>57941</v>
      </c>
      <c r="BR204" s="155" t="str">
        <f t="shared" si="48"/>
        <v>47.25Y</v>
      </c>
      <c r="BS204" s="405">
        <v>0.12283005753067709</v>
      </c>
      <c r="BT204" s="284">
        <f>IF(BQ204,_xll.qDateYears(BQ203,BQ204,BT$13),0)</f>
        <v>0.24931506849315069</v>
      </c>
      <c r="BU204" s="284">
        <f t="shared" si="54"/>
        <v>1699.826803406524</v>
      </c>
      <c r="CC204" s="560">
        <v>57941</v>
      </c>
      <c r="CD204" s="155" t="str">
        <f t="shared" si="49"/>
        <v>47.25Y</v>
      </c>
      <c r="CE204" s="405">
        <v>0.18023491725452889</v>
      </c>
      <c r="CF204" s="284">
        <f>IF(CC204,_xll.qDateYears(CC203,CC204,CF$13),0)</f>
        <v>0.25277777777777777</v>
      </c>
      <c r="CG204" s="284">
        <f t="shared" si="55"/>
        <v>2273.3048303710966</v>
      </c>
      <c r="CO204" s="560">
        <v>57941</v>
      </c>
      <c r="CP204" s="155" t="str">
        <f t="shared" si="50"/>
        <v>47.25Y</v>
      </c>
      <c r="CQ204" s="405">
        <v>0.14343181202553029</v>
      </c>
      <c r="CR204" s="284">
        <f>IF(CO204,_xll.qDateYears(CO203,CO204,CR$13),0)</f>
        <v>0.24931506849315069</v>
      </c>
      <c r="CS204" s="284">
        <f t="shared" si="56"/>
        <v>2128.8598336597474</v>
      </c>
      <c r="DA204" s="560">
        <v>57941</v>
      </c>
      <c r="DB204" s="155" t="str">
        <f t="shared" si="51"/>
        <v>47.25Y</v>
      </c>
      <c r="DC204" s="405">
        <v>6.0729713848031934E-2</v>
      </c>
      <c r="DD204" s="284">
        <f>IF(DA204,_xll.qDateYears(DA203,DA204,DD$13),0)</f>
        <v>0.24931506849315069</v>
      </c>
      <c r="DE204" s="284">
        <f t="shared" si="57"/>
        <v>1610.3980343104847</v>
      </c>
      <c r="DM204" s="560">
        <v>57941</v>
      </c>
      <c r="DN204" s="155" t="str">
        <f t="shared" si="52"/>
        <v>47.25Y</v>
      </c>
      <c r="DO204" s="405">
        <v>0.14598142527193284</v>
      </c>
      <c r="DP204" s="284">
        <f>IF(DM204,_xll.qDateYears(DM203,DM204,DP$13),0)</f>
        <v>0.25277777777777777</v>
      </c>
      <c r="DQ204" s="284">
        <f t="shared" si="58"/>
        <v>2177.6787208394676</v>
      </c>
    </row>
    <row r="205" spans="59:121">
      <c r="BG205" s="560">
        <v>58033</v>
      </c>
      <c r="BH205" s="154" t="str">
        <f t="shared" si="47"/>
        <v>47.5Y</v>
      </c>
      <c r="BI205" s="405">
        <v>0.1447894122316572</v>
      </c>
      <c r="BJ205" s="284">
        <f>IF(BG205,_xll.qDateYears(BG204,BG205,$BJ$13),0)</f>
        <v>0.25555555555555554</v>
      </c>
      <c r="BK205" s="284">
        <f t="shared" si="53"/>
        <v>2181.37889470761</v>
      </c>
      <c r="BQ205" s="560">
        <v>58033</v>
      </c>
      <c r="BR205" s="155" t="str">
        <f t="shared" si="48"/>
        <v>47.5Y</v>
      </c>
      <c r="BS205" s="405">
        <v>0.12146487531367221</v>
      </c>
      <c r="BT205" s="284">
        <f>IF(BQ205,_xll.qDateYears(BQ204,BQ205,BT$13),0)</f>
        <v>0.25205479452054796</v>
      </c>
      <c r="BU205" s="284">
        <f t="shared" si="54"/>
        <v>1702.8883838253892</v>
      </c>
      <c r="CC205" s="560">
        <v>58033</v>
      </c>
      <c r="CD205" s="155" t="str">
        <f t="shared" si="49"/>
        <v>47.5Y</v>
      </c>
      <c r="CE205" s="405">
        <v>0.17859635938105628</v>
      </c>
      <c r="CF205" s="284">
        <f>IF(CC205,_xll.qDateYears(CC204,CC205,CF$13),0)</f>
        <v>0.25555555555555554</v>
      </c>
      <c r="CG205" s="284">
        <f t="shared" si="55"/>
        <v>2277.8689595552792</v>
      </c>
      <c r="CO205" s="560">
        <v>58033</v>
      </c>
      <c r="CP205" s="155" t="str">
        <f t="shared" si="50"/>
        <v>47.5Y</v>
      </c>
      <c r="CQ205" s="405">
        <v>0.14200142624879031</v>
      </c>
      <c r="CR205" s="284">
        <f>IF(CO205,_xll.qDateYears(CO204,CO205,CR$13),0)</f>
        <v>0.25205479452054796</v>
      </c>
      <c r="CS205" s="284">
        <f t="shared" si="56"/>
        <v>2132.439047691224</v>
      </c>
      <c r="DA205" s="560">
        <v>58033</v>
      </c>
      <c r="DB205" s="155" t="str">
        <f t="shared" si="51"/>
        <v>47.5Y</v>
      </c>
      <c r="DC205" s="405">
        <v>5.9829702453598303E-2</v>
      </c>
      <c r="DD205" s="284">
        <f>IF(DA205,_xll.qDateYears(DA204,DA205,DD$13),0)</f>
        <v>0.25205479452054796</v>
      </c>
      <c r="DE205" s="284">
        <f t="shared" si="57"/>
        <v>1611.9060706463015</v>
      </c>
      <c r="DM205" s="560">
        <v>58033</v>
      </c>
      <c r="DN205" s="155" t="str">
        <f t="shared" si="52"/>
        <v>47.5Y</v>
      </c>
      <c r="DO205" s="405">
        <v>0.1447894122316572</v>
      </c>
      <c r="DP205" s="284">
        <f>IF(DM205,_xll.qDateYears(DM204,DM205,DP$13),0)</f>
        <v>0.25555555555555554</v>
      </c>
      <c r="DQ205" s="284">
        <f t="shared" si="58"/>
        <v>2181.37889470761</v>
      </c>
    </row>
    <row r="206" spans="59:121">
      <c r="BG206" s="560">
        <v>58125</v>
      </c>
      <c r="BH206" s="154" t="str">
        <f t="shared" si="47"/>
        <v>47.75Y</v>
      </c>
      <c r="BI206" s="405">
        <v>0.14361026837426391</v>
      </c>
      <c r="BJ206" s="284">
        <f>IF(BG206,_xll.qDateYears(BG205,BG206,$BJ$13),0)</f>
        <v>0.25555555555555554</v>
      </c>
      <c r="BK206" s="284">
        <f t="shared" si="53"/>
        <v>2185.048934899397</v>
      </c>
      <c r="BQ206" s="560">
        <v>58125</v>
      </c>
      <c r="BR206" s="155" t="str">
        <f t="shared" si="48"/>
        <v>47.75Y</v>
      </c>
      <c r="BS206" s="405">
        <v>0.1201148662759615</v>
      </c>
      <c r="BT206" s="284">
        <f>IF(BQ206,_xll.qDateYears(BQ205,BQ206,BT$13),0)</f>
        <v>0.25205479452054796</v>
      </c>
      <c r="BU206" s="284">
        <f t="shared" si="54"/>
        <v>1705.9159366191943</v>
      </c>
      <c r="CC206" s="560">
        <v>58125</v>
      </c>
      <c r="CD206" s="155" t="str">
        <f t="shared" si="49"/>
        <v>47.75Y</v>
      </c>
      <c r="CE206" s="405">
        <v>0.17697269802123156</v>
      </c>
      <c r="CF206" s="284">
        <f>IF(CC206,_xll.qDateYears(CC205,CC206,CF$13),0)</f>
        <v>0.25555555555555554</v>
      </c>
      <c r="CG206" s="284">
        <f t="shared" si="55"/>
        <v>2282.3915951713775</v>
      </c>
      <c r="CO206" s="560">
        <v>58125</v>
      </c>
      <c r="CP206" s="155" t="str">
        <f t="shared" si="50"/>
        <v>47.75Y</v>
      </c>
      <c r="CQ206" s="405">
        <v>0.14058579344008318</v>
      </c>
      <c r="CR206" s="284">
        <f>IF(CO206,_xll.qDateYears(CO205,CO206,CR$13),0)</f>
        <v>0.25205479452054796</v>
      </c>
      <c r="CS206" s="284">
        <f t="shared" si="56"/>
        <v>2135.9825800190288</v>
      </c>
      <c r="DA206" s="560">
        <v>58125</v>
      </c>
      <c r="DB206" s="155" t="str">
        <f t="shared" si="51"/>
        <v>47.75Y</v>
      </c>
      <c r="DC206" s="405">
        <v>5.8943029184092076E-2</v>
      </c>
      <c r="DD206" s="284">
        <f>IF(DA206,_xll.qDateYears(DA205,DA206,DD$13),0)</f>
        <v>0.25205479452054796</v>
      </c>
      <c r="DE206" s="284">
        <f t="shared" si="57"/>
        <v>1613.391757957243</v>
      </c>
      <c r="DM206" s="560">
        <v>58125</v>
      </c>
      <c r="DN206" s="155" t="str">
        <f t="shared" si="52"/>
        <v>47.75Y</v>
      </c>
      <c r="DO206" s="405">
        <v>0.14361026837426391</v>
      </c>
      <c r="DP206" s="284">
        <f>IF(DM206,_xll.qDateYears(DM205,DM206,DP$13),0)</f>
        <v>0.25555555555555554</v>
      </c>
      <c r="DQ206" s="284">
        <f t="shared" si="58"/>
        <v>2185.048934899397</v>
      </c>
    </row>
    <row r="207" spans="59:121">
      <c r="BG207" s="560">
        <v>58214</v>
      </c>
      <c r="BH207" s="154" t="str">
        <f t="shared" ref="BH207:BH270" si="59">IF(BG207,ROUND((BG207-$BG$15)/365/0.25,0)*0.25&amp;"Y","")</f>
        <v>48Y</v>
      </c>
      <c r="BI207" s="405">
        <v>0.14248167452091823</v>
      </c>
      <c r="BJ207" s="284">
        <f>IF(BG207,_xll.qDateYears(BG206,BG207,$BJ$13),0)</f>
        <v>0.24722222222222223</v>
      </c>
      <c r="BK207" s="284">
        <f t="shared" si="53"/>
        <v>2188.5713985194975</v>
      </c>
      <c r="BQ207" s="560">
        <v>58214</v>
      </c>
      <c r="BR207" s="155" t="str">
        <f t="shared" ref="BR207:BR270" si="60">IF(BQ207,ROUND((BQ207-$BG$15)/365/0.25,0)*0.25&amp;"Y","")</f>
        <v>48Y</v>
      </c>
      <c r="BS207" s="405">
        <v>0.11882315960029148</v>
      </c>
      <c r="BT207" s="284">
        <f>IF(BQ207,_xll.qDateYears(BQ206,BQ207,BT$13),0)</f>
        <v>0.24383561643835616</v>
      </c>
      <c r="BU207" s="284">
        <f t="shared" si="54"/>
        <v>1708.8132684560233</v>
      </c>
      <c r="CC207" s="560">
        <v>58214</v>
      </c>
      <c r="CD207" s="155" t="str">
        <f t="shared" ref="CD207:CD270" si="61">IF(CC207,ROUND((CC207-$BG$15)/365/0.25,0)*0.25&amp;"Y","")</f>
        <v>48Y</v>
      </c>
      <c r="CE207" s="405">
        <v>0.17541603045613019</v>
      </c>
      <c r="CF207" s="284">
        <f>IF(CC207,_xll.qDateYears(CC206,CC207,CF$13),0)</f>
        <v>0.24722222222222223</v>
      </c>
      <c r="CG207" s="284">
        <f t="shared" si="55"/>
        <v>2286.7282692576541</v>
      </c>
      <c r="CO207" s="560">
        <v>58214</v>
      </c>
      <c r="CP207" s="155" t="str">
        <f t="shared" ref="CP207:CP270" si="62">IF(CO207,ROUND((CO207-$BG$15)/365/0.25,0)*0.25&amp;"Y","")</f>
        <v>48Y</v>
      </c>
      <c r="CQ207" s="405">
        <v>0.13923021410956382</v>
      </c>
      <c r="CR207" s="284">
        <f>IF(CO207,_xll.qDateYears(CO206,CO207,CR$13),0)</f>
        <v>0.24383561643835616</v>
      </c>
      <c r="CS207" s="284">
        <f t="shared" si="56"/>
        <v>2139.3775085274538</v>
      </c>
      <c r="DA207" s="560">
        <v>58214</v>
      </c>
      <c r="DB207" s="155" t="str">
        <f t="shared" ref="DB207:DB270" si="63">IF(DA207,ROUND((DA207-$BG$15)/365/0.25,0)*0.25&amp;"Y","")</f>
        <v>48Y</v>
      </c>
      <c r="DC207" s="405">
        <v>5.8097775896706796E-2</v>
      </c>
      <c r="DD207" s="284">
        <f>IF(DA207,_xll.qDateYears(DA206,DA207,DD$13),0)</f>
        <v>0.24383561643835616</v>
      </c>
      <c r="DE207" s="284">
        <f t="shared" si="57"/>
        <v>1614.8083886571901</v>
      </c>
      <c r="DM207" s="560">
        <v>58214</v>
      </c>
      <c r="DN207" s="155" t="str">
        <f t="shared" ref="DN207:DN270" si="64">IF(DM207,ROUND((DM207-$BG$15)/365/0.25,0)*0.25&amp;"Y","")</f>
        <v>48Y</v>
      </c>
      <c r="DO207" s="405">
        <v>0.14248167452091823</v>
      </c>
      <c r="DP207" s="284">
        <f>IF(DM207,_xll.qDateYears(DM206,DM207,DP$13),0)</f>
        <v>0.24722222222222223</v>
      </c>
      <c r="DQ207" s="284">
        <f t="shared" si="58"/>
        <v>2188.5713985194975</v>
      </c>
    </row>
    <row r="208" spans="59:121">
      <c r="BG208" s="560">
        <v>58306</v>
      </c>
      <c r="BH208" s="154" t="str">
        <f t="shared" si="59"/>
        <v>48.25Y</v>
      </c>
      <c r="BI208" s="405">
        <v>0.14132739587253204</v>
      </c>
      <c r="BJ208" s="284">
        <f>IF(BG208,_xll.qDateYears(BG207,BG208,$BJ$13),0)</f>
        <v>0.25555555555555554</v>
      </c>
      <c r="BK208" s="284">
        <f t="shared" si="53"/>
        <v>2192.1830986362402</v>
      </c>
      <c r="BQ208" s="560">
        <v>58306</v>
      </c>
      <c r="BR208" s="155" t="str">
        <f t="shared" si="60"/>
        <v>48.25Y</v>
      </c>
      <c r="BS208" s="405">
        <v>0.11750251164395444</v>
      </c>
      <c r="BT208" s="284">
        <f>IF(BQ208,_xll.qDateYears(BQ207,BQ208,BT$13),0)</f>
        <v>0.25205479452054796</v>
      </c>
      <c r="BU208" s="284">
        <f t="shared" si="54"/>
        <v>1711.7749755988298</v>
      </c>
      <c r="CC208" s="560">
        <v>58306</v>
      </c>
      <c r="CD208" s="155" t="str">
        <f t="shared" si="61"/>
        <v>48.25Y</v>
      </c>
      <c r="CE208" s="405">
        <v>0.17382128221191903</v>
      </c>
      <c r="CF208" s="284">
        <f>IF(CC208,_xll.qDateYears(CC207,CC208,CF$13),0)</f>
        <v>0.25555555555555554</v>
      </c>
      <c r="CG208" s="284">
        <f t="shared" si="55"/>
        <v>2291.1703686919586</v>
      </c>
      <c r="CO208" s="560">
        <v>58306</v>
      </c>
      <c r="CP208" s="155" t="str">
        <f t="shared" si="62"/>
        <v>48.25Y</v>
      </c>
      <c r="CQ208" s="405">
        <v>0.13784314990411481</v>
      </c>
      <c r="CR208" s="284">
        <f>IF(CO208,_xll.qDateYears(CO207,CO208,CR$13),0)</f>
        <v>0.25205479452054796</v>
      </c>
      <c r="CS208" s="284">
        <f t="shared" si="56"/>
        <v>2142.8519112099684</v>
      </c>
      <c r="DA208" s="560">
        <v>58306</v>
      </c>
      <c r="DB208" s="155" t="str">
        <f t="shared" si="63"/>
        <v>48.25Y</v>
      </c>
      <c r="DC208" s="405">
        <v>5.7236769694221909E-2</v>
      </c>
      <c r="DD208" s="284">
        <f>IF(DA208,_xll.qDateYears(DA207,DA208,DD$13),0)</f>
        <v>0.25205479452054796</v>
      </c>
      <c r="DE208" s="284">
        <f t="shared" si="57"/>
        <v>1616.2510688796199</v>
      </c>
      <c r="DM208" s="560">
        <v>58306</v>
      </c>
      <c r="DN208" s="155" t="str">
        <f t="shared" si="64"/>
        <v>48.25Y</v>
      </c>
      <c r="DO208" s="405">
        <v>0.14132739587253204</v>
      </c>
      <c r="DP208" s="284">
        <f>IF(DM208,_xll.qDateYears(DM207,DM208,DP$13),0)</f>
        <v>0.25555555555555554</v>
      </c>
      <c r="DQ208" s="284">
        <f t="shared" si="58"/>
        <v>2192.1830986362402</v>
      </c>
    </row>
    <row r="209" spans="59:121">
      <c r="BG209" s="560">
        <v>58398</v>
      </c>
      <c r="BH209" s="154" t="str">
        <f t="shared" si="59"/>
        <v>48.5Y</v>
      </c>
      <c r="BI209" s="405">
        <v>0.1401855294671312</v>
      </c>
      <c r="BJ209" s="284">
        <f>IF(BG209,_xll.qDateYears(BG208,BG209,$BJ$13),0)</f>
        <v>0.25555555555555554</v>
      </c>
      <c r="BK209" s="284">
        <f t="shared" ref="BK209:BK272" si="65">BK208+BJ209*BI209*100</f>
        <v>2195.7656177226222</v>
      </c>
      <c r="BQ209" s="560">
        <v>58398</v>
      </c>
      <c r="BR209" s="155" t="str">
        <f t="shared" si="60"/>
        <v>48.5Y</v>
      </c>
      <c r="BS209" s="405">
        <v>0.11619654189538803</v>
      </c>
      <c r="BT209" s="284">
        <f>IF(BQ209,_xll.qDateYears(BQ208,BQ209,BT$13),0)</f>
        <v>0.25205479452054796</v>
      </c>
      <c r="BU209" s="284">
        <f t="shared" ref="BU209:BU272" si="66">BU208+BT209*BS209*100</f>
        <v>1714.7037651479739</v>
      </c>
      <c r="CC209" s="560">
        <v>58398</v>
      </c>
      <c r="CD209" s="155" t="str">
        <f t="shared" si="61"/>
        <v>48.5Y</v>
      </c>
      <c r="CE209" s="405">
        <v>0.17224103219774872</v>
      </c>
      <c r="CF209" s="284">
        <f>IF(CC209,_xll.qDateYears(CC208,CC209,CF$13),0)</f>
        <v>0.25555555555555554</v>
      </c>
      <c r="CG209" s="284">
        <f t="shared" ref="CG209:CG272" si="67">CG208+CF209*CE209*100</f>
        <v>2295.5720839592345</v>
      </c>
      <c r="CO209" s="560">
        <v>58398</v>
      </c>
      <c r="CP209" s="155" t="str">
        <f t="shared" si="62"/>
        <v>48.5Y</v>
      </c>
      <c r="CQ209" s="405">
        <v>0.13647037819302713</v>
      </c>
      <c r="CR209" s="284">
        <f>IF(CO209,_xll.qDateYears(CO208,CO209,CR$13),0)</f>
        <v>0.25205479452054796</v>
      </c>
      <c r="CS209" s="284">
        <f t="shared" ref="CS209:CS272" si="68">CS208+CR209*CQ209*100</f>
        <v>2146.2917125233271</v>
      </c>
      <c r="DA209" s="560">
        <v>58398</v>
      </c>
      <c r="DB209" s="155" t="str">
        <f t="shared" si="63"/>
        <v>48.5Y</v>
      </c>
      <c r="DC209" s="405">
        <v>5.6388523561623966E-2</v>
      </c>
      <c r="DD209" s="284">
        <f>IF(DA209,_xll.qDateYears(DA208,DA209,DD$13),0)</f>
        <v>0.25205479452054796</v>
      </c>
      <c r="DE209" s="284">
        <f t="shared" ref="DE209:DE272" si="69">DE208+DD209*DC209*100</f>
        <v>1617.6723686515841</v>
      </c>
      <c r="DM209" s="560">
        <v>58398</v>
      </c>
      <c r="DN209" s="155" t="str">
        <f t="shared" si="64"/>
        <v>48.5Y</v>
      </c>
      <c r="DO209" s="405">
        <v>0.1401855294671312</v>
      </c>
      <c r="DP209" s="284">
        <f>IF(DM209,_xll.qDateYears(DM208,DM209,DP$13),0)</f>
        <v>0.25555555555555554</v>
      </c>
      <c r="DQ209" s="284">
        <f t="shared" ref="DQ209:DQ272" si="70">DQ208+DP209*DO209*100</f>
        <v>2195.7656177226222</v>
      </c>
    </row>
    <row r="210" spans="59:121">
      <c r="BG210" s="560">
        <v>58490</v>
      </c>
      <c r="BH210" s="154" t="str">
        <f t="shared" si="59"/>
        <v>48.75Y</v>
      </c>
      <c r="BI210" s="405">
        <v>0.1390559253993863</v>
      </c>
      <c r="BJ210" s="284">
        <f>IF(BG210,_xll.qDateYears(BG209,BG210,$BJ$13),0)</f>
        <v>0.25555555555555554</v>
      </c>
      <c r="BK210" s="284">
        <f t="shared" si="65"/>
        <v>2199.3192691494955</v>
      </c>
      <c r="BQ210" s="560">
        <v>58490</v>
      </c>
      <c r="BR210" s="155" t="str">
        <f t="shared" si="60"/>
        <v>48.75Y</v>
      </c>
      <c r="BS210" s="405">
        <v>0.11490508721514067</v>
      </c>
      <c r="BT210" s="284">
        <f>IF(BQ210,_xll.qDateYears(BQ209,BQ210,BT$13),0)</f>
        <v>0.25205479452054796</v>
      </c>
      <c r="BU210" s="284">
        <f t="shared" si="66"/>
        <v>1717.6000029627116</v>
      </c>
      <c r="CC210" s="560">
        <v>58490</v>
      </c>
      <c r="CD210" s="155" t="str">
        <f t="shared" si="61"/>
        <v>48.75Y</v>
      </c>
      <c r="CE210" s="405">
        <v>0.17067514860681218</v>
      </c>
      <c r="CF210" s="284">
        <f>IF(CC210,_xll.qDateYears(CC209,CC210,CF$13),0)</f>
        <v>0.25555555555555554</v>
      </c>
      <c r="CG210" s="284">
        <f t="shared" si="67"/>
        <v>2299.9337822014086</v>
      </c>
      <c r="CO210" s="560">
        <v>58490</v>
      </c>
      <c r="CP210" s="155" t="str">
        <f t="shared" si="62"/>
        <v>48.75Y</v>
      </c>
      <c r="CQ210" s="405">
        <v>0.1351117471501227</v>
      </c>
      <c r="CR210" s="284">
        <f>IF(CO210,_xll.qDateYears(CO209,CO210,CR$13),0)</f>
        <v>0.25205479452054796</v>
      </c>
      <c r="CS210" s="284">
        <f t="shared" si="68"/>
        <v>2149.6972688898509</v>
      </c>
      <c r="DA210" s="560">
        <v>58490</v>
      </c>
      <c r="DB210" s="155" t="str">
        <f t="shared" si="63"/>
        <v>48.75Y</v>
      </c>
      <c r="DC210" s="405">
        <v>5.5552848395300169E-2</v>
      </c>
      <c r="DD210" s="284">
        <f>IF(DA210,_xll.qDateYears(DA209,DA210,DD$13),0)</f>
        <v>0.25205479452054796</v>
      </c>
      <c r="DE210" s="284">
        <f t="shared" si="69"/>
        <v>1619.072604830315</v>
      </c>
      <c r="DM210" s="560">
        <v>58490</v>
      </c>
      <c r="DN210" s="155" t="str">
        <f t="shared" si="64"/>
        <v>48.75Y</v>
      </c>
      <c r="DO210" s="405">
        <v>0.1390559253993863</v>
      </c>
      <c r="DP210" s="284">
        <f>IF(DM210,_xll.qDateYears(DM209,DM210,DP$13),0)</f>
        <v>0.25555555555555554</v>
      </c>
      <c r="DQ210" s="284">
        <f t="shared" si="70"/>
        <v>2199.3192691494955</v>
      </c>
    </row>
    <row r="211" spans="59:121">
      <c r="BG211" s="560">
        <v>58580</v>
      </c>
      <c r="BH211" s="154" t="str">
        <f t="shared" si="59"/>
        <v>49Y</v>
      </c>
      <c r="BI211" s="405">
        <v>0.13796260123573792</v>
      </c>
      <c r="BJ211" s="284">
        <f>IF(BG211,_xll.qDateYears(BG210,BG211,$BJ$13),0)</f>
        <v>0.25</v>
      </c>
      <c r="BK211" s="284">
        <f t="shared" si="65"/>
        <v>2202.768334180389</v>
      </c>
      <c r="BQ211" s="560">
        <v>58580</v>
      </c>
      <c r="BR211" s="155" t="str">
        <f t="shared" si="60"/>
        <v>49Y</v>
      </c>
      <c r="BS211" s="405">
        <v>0.11365559783541582</v>
      </c>
      <c r="BT211" s="284">
        <f>IF(BQ211,_xll.qDateYears(BQ210,BQ211,BT$13),0)</f>
        <v>0.24657534246575341</v>
      </c>
      <c r="BU211" s="284">
        <f t="shared" si="66"/>
        <v>1720.4024697586533</v>
      </c>
      <c r="CC211" s="560">
        <v>58580</v>
      </c>
      <c r="CD211" s="155" t="str">
        <f t="shared" si="61"/>
        <v>49Y</v>
      </c>
      <c r="CE211" s="405">
        <v>0.16915708184030828</v>
      </c>
      <c r="CF211" s="284">
        <f>IF(CC211,_xll.qDateYears(CC210,CC211,CF$13),0)</f>
        <v>0.25</v>
      </c>
      <c r="CG211" s="284">
        <f t="shared" si="67"/>
        <v>2304.1627092474164</v>
      </c>
      <c r="CO211" s="560">
        <v>58580</v>
      </c>
      <c r="CP211" s="155" t="str">
        <f t="shared" si="62"/>
        <v>49Y</v>
      </c>
      <c r="CQ211" s="405">
        <v>0.13379619020331385</v>
      </c>
      <c r="CR211" s="284">
        <f>IF(CO211,_xll.qDateYears(CO210,CO211,CR$13),0)</f>
        <v>0.24657534246575341</v>
      </c>
      <c r="CS211" s="284">
        <f t="shared" si="68"/>
        <v>2152.9963530318505</v>
      </c>
      <c r="DA211" s="560">
        <v>58580</v>
      </c>
      <c r="DB211" s="155" t="str">
        <f t="shared" si="63"/>
        <v>49Y</v>
      </c>
      <c r="DC211" s="405">
        <v>5.4747325116088652E-2</v>
      </c>
      <c r="DD211" s="284">
        <f>IF(DA211,_xll.qDateYears(DA210,DA211,DD$13),0)</f>
        <v>0.24657534246575341</v>
      </c>
      <c r="DE211" s="284">
        <f t="shared" si="69"/>
        <v>1620.4225388742734</v>
      </c>
      <c r="DM211" s="560">
        <v>58580</v>
      </c>
      <c r="DN211" s="155" t="str">
        <f t="shared" si="64"/>
        <v>49Y</v>
      </c>
      <c r="DO211" s="405">
        <v>0.13796260123573792</v>
      </c>
      <c r="DP211" s="284">
        <f>IF(DM211,_xll.qDateYears(DM210,DM211,DP$13),0)</f>
        <v>0.25</v>
      </c>
      <c r="DQ211" s="284">
        <f t="shared" si="70"/>
        <v>2202.768334180389</v>
      </c>
    </row>
    <row r="212" spans="59:121">
      <c r="BG212" s="560">
        <v>58672</v>
      </c>
      <c r="BH212" s="154" t="str">
        <f t="shared" si="59"/>
        <v>49.25Y</v>
      </c>
      <c r="BI212" s="405">
        <v>0.13685682148469683</v>
      </c>
      <c r="BJ212" s="284">
        <f>IF(BG212,_xll.qDateYears(BG211,BG212,$BJ$13),0)</f>
        <v>0.25555555555555554</v>
      </c>
      <c r="BK212" s="284">
        <f t="shared" si="65"/>
        <v>2206.2657862849978</v>
      </c>
      <c r="BQ212" s="560">
        <v>58672</v>
      </c>
      <c r="BR212" s="155" t="str">
        <f t="shared" si="60"/>
        <v>49.25Y</v>
      </c>
      <c r="BS212" s="405">
        <v>0.11239238422022056</v>
      </c>
      <c r="BT212" s="284">
        <f>IF(BQ212,_xll.qDateYears(BQ211,BQ212,BT$13),0)</f>
        <v>0.25205479452054796</v>
      </c>
      <c r="BU212" s="284">
        <f t="shared" si="66"/>
        <v>1723.2353736896835</v>
      </c>
      <c r="CC212" s="560">
        <v>58672</v>
      </c>
      <c r="CD212" s="155" t="str">
        <f t="shared" si="61"/>
        <v>49.25Y</v>
      </c>
      <c r="CE212" s="405">
        <v>0.16761923516484048</v>
      </c>
      <c r="CF212" s="284">
        <f>IF(CC212,_xll.qDateYears(CC211,CC212,CF$13),0)</f>
        <v>0.25555555555555554</v>
      </c>
      <c r="CG212" s="284">
        <f t="shared" si="67"/>
        <v>2308.4463119238512</v>
      </c>
      <c r="CO212" s="560">
        <v>58672</v>
      </c>
      <c r="CP212" s="155" t="str">
        <f t="shared" si="62"/>
        <v>49.25Y</v>
      </c>
      <c r="CQ212" s="405">
        <v>0.13246509228857786</v>
      </c>
      <c r="CR212" s="284">
        <f>IF(CO212,_xll.qDateYears(CO211,CO212,CR$13),0)</f>
        <v>0.25205479452054796</v>
      </c>
      <c r="CS212" s="284">
        <f t="shared" si="68"/>
        <v>2156.3351991936447</v>
      </c>
      <c r="DA212" s="560">
        <v>58672</v>
      </c>
      <c r="DB212" s="155" t="str">
        <f t="shared" si="63"/>
        <v>49.25Y</v>
      </c>
      <c r="DC212" s="405">
        <v>5.3935972430605203E-2</v>
      </c>
      <c r="DD212" s="284">
        <f>IF(DA212,_xll.qDateYears(DA211,DA212,DD$13),0)</f>
        <v>0.25205479452054796</v>
      </c>
      <c r="DE212" s="284">
        <f t="shared" si="69"/>
        <v>1621.7820209190995</v>
      </c>
      <c r="DM212" s="560">
        <v>58672</v>
      </c>
      <c r="DN212" s="155" t="str">
        <f t="shared" si="64"/>
        <v>49.25Y</v>
      </c>
      <c r="DO212" s="405">
        <v>0.13685682148469683</v>
      </c>
      <c r="DP212" s="284">
        <f>IF(DM212,_xll.qDateYears(DM211,DM212,DP$13),0)</f>
        <v>0.25555555555555554</v>
      </c>
      <c r="DQ212" s="284">
        <f t="shared" si="70"/>
        <v>2206.2657862849978</v>
      </c>
    </row>
    <row r="213" spans="59:121">
      <c r="BG213" s="560">
        <v>58764</v>
      </c>
      <c r="BH213" s="154" t="str">
        <f t="shared" si="59"/>
        <v>49.5Y</v>
      </c>
      <c r="BI213" s="405">
        <v>0.13576286939958662</v>
      </c>
      <c r="BJ213" s="284">
        <f>IF(BG213,_xll.qDateYears(BG212,BG213,$BJ$13),0)</f>
        <v>0.25555555555555554</v>
      </c>
      <c r="BK213" s="284">
        <f t="shared" si="65"/>
        <v>2209.7352818363206</v>
      </c>
      <c r="BQ213" s="560">
        <v>58764</v>
      </c>
      <c r="BR213" s="155" t="str">
        <f t="shared" si="60"/>
        <v>49.5Y</v>
      </c>
      <c r="BS213" s="405">
        <v>0.11114321046463628</v>
      </c>
      <c r="BT213" s="284">
        <f>IF(BQ213,_xll.qDateYears(BQ212,BQ213,BT$13),0)</f>
        <v>0.25205479452054796</v>
      </c>
      <c r="BU213" s="284">
        <f t="shared" si="66"/>
        <v>1726.0367915972852</v>
      </c>
      <c r="CC213" s="560">
        <v>58764</v>
      </c>
      <c r="CD213" s="155" t="str">
        <f t="shared" si="61"/>
        <v>49.5Y</v>
      </c>
      <c r="CE213" s="405">
        <v>0.16609536941391639</v>
      </c>
      <c r="CF213" s="284">
        <f>IF(CC213,_xll.qDateYears(CC212,CC213,CF$13),0)</f>
        <v>0.25555555555555554</v>
      </c>
      <c r="CG213" s="284">
        <f t="shared" si="67"/>
        <v>2312.6909713644291</v>
      </c>
      <c r="CO213" s="560">
        <v>58764</v>
      </c>
      <c r="CP213" s="155" t="str">
        <f t="shared" si="62"/>
        <v>49.5Y</v>
      </c>
      <c r="CQ213" s="405">
        <v>0.13114769261599726</v>
      </c>
      <c r="CR213" s="284">
        <f>IF(CO213,_xll.qDateYears(CO212,CO213,CR$13),0)</f>
        <v>0.25205479452054796</v>
      </c>
      <c r="CS213" s="284">
        <f t="shared" si="68"/>
        <v>2159.6408396650618</v>
      </c>
      <c r="DA213" s="560">
        <v>58764</v>
      </c>
      <c r="DB213" s="155" t="str">
        <f t="shared" si="63"/>
        <v>49.5Y</v>
      </c>
      <c r="DC213" s="405">
        <v>5.3136643952310762E-2</v>
      </c>
      <c r="DD213" s="284">
        <f>IF(DA213,_xll.qDateYears(DA212,DA213,DD$13),0)</f>
        <v>0.25205479452054796</v>
      </c>
      <c r="DE213" s="284">
        <f t="shared" si="69"/>
        <v>1623.1213555063907</v>
      </c>
      <c r="DM213" s="560">
        <v>58764</v>
      </c>
      <c r="DN213" s="155" t="str">
        <f t="shared" si="64"/>
        <v>49.5Y</v>
      </c>
      <c r="DO213" s="405">
        <v>0.13576286939958662</v>
      </c>
      <c r="DP213" s="284">
        <f>IF(DM213,_xll.qDateYears(DM212,DM213,DP$13),0)</f>
        <v>0.25555555555555554</v>
      </c>
      <c r="DQ213" s="284">
        <f t="shared" si="70"/>
        <v>2209.7352818363206</v>
      </c>
    </row>
    <row r="214" spans="59:121">
      <c r="BG214" s="560">
        <v>58859</v>
      </c>
      <c r="BH214" s="154" t="str">
        <f t="shared" si="59"/>
        <v>49.75Y</v>
      </c>
      <c r="BI214" s="405">
        <v>0.13464550673020059</v>
      </c>
      <c r="BJ214" s="284">
        <f>IF(BG214,_xll.qDateYears(BG213,BG214,$BJ$13),0)</f>
        <v>0.2638888888888889</v>
      </c>
      <c r="BK214" s="284">
        <f t="shared" si="65"/>
        <v>2213.2884271528119</v>
      </c>
      <c r="BQ214" s="560">
        <v>58859</v>
      </c>
      <c r="BR214" s="155" t="str">
        <f t="shared" si="60"/>
        <v>49.75Y</v>
      </c>
      <c r="BS214" s="405">
        <v>0.10986787131344966</v>
      </c>
      <c r="BT214" s="284">
        <f>IF(BQ214,_xll.qDateYears(BQ213,BQ214,BT$13),0)</f>
        <v>0.26027397260273971</v>
      </c>
      <c r="BU214" s="284">
        <f t="shared" si="66"/>
        <v>1728.896366330101</v>
      </c>
      <c r="CC214" s="560">
        <v>58859</v>
      </c>
      <c r="CD214" s="155" t="str">
        <f t="shared" si="61"/>
        <v>49.75Y</v>
      </c>
      <c r="CE214" s="405">
        <v>0.16453634976742834</v>
      </c>
      <c r="CF214" s="284">
        <f>IF(CC214,_xll.qDateYears(CC213,CC214,CF$13),0)</f>
        <v>0.2638888888888889</v>
      </c>
      <c r="CG214" s="284">
        <f t="shared" si="67"/>
        <v>2317.0329028166252</v>
      </c>
      <c r="CO214" s="560">
        <v>58859</v>
      </c>
      <c r="CP214" s="155" t="str">
        <f t="shared" si="62"/>
        <v>49.75Y</v>
      </c>
      <c r="CQ214" s="405">
        <v>0.12980155563776247</v>
      </c>
      <c r="CR214" s="284">
        <f>IF(CO214,_xll.qDateYears(CO213,CO214,CR$13),0)</f>
        <v>0.26027397260273971</v>
      </c>
      <c r="CS214" s="284">
        <f t="shared" si="68"/>
        <v>2163.0192363186475</v>
      </c>
      <c r="DA214" s="560">
        <v>58859</v>
      </c>
      <c r="DB214" s="155" t="str">
        <f t="shared" si="63"/>
        <v>49.75Y</v>
      </c>
      <c r="DC214" s="405">
        <v>5.2323680136609388E-2</v>
      </c>
      <c r="DD214" s="284">
        <f>IF(DA214,_xll.qDateYears(DA213,DA214,DD$13),0)</f>
        <v>0.26027397260273971</v>
      </c>
      <c r="DE214" s="284">
        <f t="shared" si="69"/>
        <v>1624.4832047154257</v>
      </c>
      <c r="DM214" s="560">
        <v>58859</v>
      </c>
      <c r="DN214" s="155" t="str">
        <f t="shared" si="64"/>
        <v>49.75Y</v>
      </c>
      <c r="DO214" s="405">
        <v>0.13464550673020059</v>
      </c>
      <c r="DP214" s="284">
        <f>IF(DM214,_xll.qDateYears(DM213,DM214,DP$13),0)</f>
        <v>0.2638888888888889</v>
      </c>
      <c r="DQ214" s="284">
        <f t="shared" si="70"/>
        <v>2213.2884271528119</v>
      </c>
    </row>
    <row r="215" spans="59:121">
      <c r="BG215" s="560">
        <v>58945</v>
      </c>
      <c r="BH215" s="154" t="str">
        <f t="shared" si="59"/>
        <v>50Y</v>
      </c>
      <c r="BI215" s="405">
        <v>0.13364461593407137</v>
      </c>
      <c r="BJ215" s="284">
        <f>IF(BG215,_xll.qDateYears(BG214,BG215,$BJ$13),0)</f>
        <v>0.2388888888888889</v>
      </c>
      <c r="BK215" s="284">
        <f t="shared" si="65"/>
        <v>2216.4810485334592</v>
      </c>
      <c r="BQ215" s="560">
        <v>58945</v>
      </c>
      <c r="BR215" s="155" t="str">
        <f t="shared" si="60"/>
        <v>50Y</v>
      </c>
      <c r="BS215" s="405">
        <v>0.10872597861253262</v>
      </c>
      <c r="BT215" s="284">
        <f>IF(BQ215,_xll.qDateYears(BQ214,BQ215,BT$13),0)</f>
        <v>0.23561643835616439</v>
      </c>
      <c r="BU215" s="284">
        <f t="shared" si="66"/>
        <v>1731.4581291138484</v>
      </c>
      <c r="CC215" s="560">
        <v>58945</v>
      </c>
      <c r="CD215" s="155" t="str">
        <f t="shared" si="61"/>
        <v>50Y</v>
      </c>
      <c r="CE215" s="405">
        <v>0.16313765006580638</v>
      </c>
      <c r="CF215" s="284">
        <f>IF(CC215,_xll.qDateYears(CC214,CC215,CF$13),0)</f>
        <v>0.2388888888888889</v>
      </c>
      <c r="CG215" s="284">
        <f t="shared" si="67"/>
        <v>2320.9300800126416</v>
      </c>
      <c r="CO215" s="560">
        <v>58945</v>
      </c>
      <c r="CP215" s="155" t="str">
        <f t="shared" si="62"/>
        <v>50Y</v>
      </c>
      <c r="CQ215" s="405">
        <v>0.12859431392481593</v>
      </c>
      <c r="CR215" s="284">
        <f>IF(CO215,_xll.qDateYears(CO214,CO215,CR$13),0)</f>
        <v>0.23561643835616439</v>
      </c>
      <c r="CS215" s="284">
        <f t="shared" si="68"/>
        <v>2166.0491297426292</v>
      </c>
      <c r="DA215" s="560">
        <v>58945</v>
      </c>
      <c r="DB215" s="155" t="str">
        <f t="shared" si="63"/>
        <v>50Y</v>
      </c>
      <c r="DC215" s="405">
        <v>5.1598465405016988E-2</v>
      </c>
      <c r="DD215" s="284">
        <f>IF(DA215,_xll.qDateYears(DA214,DA215,DD$13),0)</f>
        <v>0.23561643835616439</v>
      </c>
      <c r="DE215" s="284">
        <f t="shared" si="69"/>
        <v>1625.698949379763</v>
      </c>
      <c r="DM215" s="560">
        <v>58945</v>
      </c>
      <c r="DN215" s="155" t="str">
        <f t="shared" si="64"/>
        <v>50Y</v>
      </c>
      <c r="DO215" s="405">
        <v>0.13364461593407137</v>
      </c>
      <c r="DP215" s="284">
        <f>IF(DM215,_xll.qDateYears(DM214,DM215,DP$13),0)</f>
        <v>0.2388888888888889</v>
      </c>
      <c r="DQ215" s="284">
        <f t="shared" si="70"/>
        <v>2216.4810485334592</v>
      </c>
    </row>
    <row r="216" spans="59:121">
      <c r="BG216" s="560">
        <v>0</v>
      </c>
      <c r="BH216" s="154" t="str">
        <f t="shared" si="59"/>
        <v/>
      </c>
      <c r="BI216" s="405">
        <v>0</v>
      </c>
      <c r="BJ216" s="284">
        <f>IF(BG216,_xll.qDateYears(BG215,BG216,$BJ$13),0)</f>
        <v>0</v>
      </c>
      <c r="BK216" s="284">
        <f t="shared" si="65"/>
        <v>2216.4810485334592</v>
      </c>
      <c r="BQ216" s="560">
        <v>0</v>
      </c>
      <c r="BR216" s="155" t="str">
        <f t="shared" si="60"/>
        <v/>
      </c>
      <c r="BS216" s="405">
        <v>0</v>
      </c>
      <c r="BT216" s="284">
        <f>IF(BQ216,_xll.qDateYears(BQ215,BQ216,BT$13),0)</f>
        <v>0</v>
      </c>
      <c r="BU216" s="284">
        <f t="shared" si="66"/>
        <v>1731.4581291138484</v>
      </c>
      <c r="CC216" s="560">
        <v>0</v>
      </c>
      <c r="CD216" s="155" t="str">
        <f t="shared" si="61"/>
        <v/>
      </c>
      <c r="CE216" s="405">
        <v>0</v>
      </c>
      <c r="CF216" s="284">
        <f>IF(CC216,_xll.qDateYears(CC215,CC216,CF$13),0)</f>
        <v>0</v>
      </c>
      <c r="CG216" s="284">
        <f t="shared" si="67"/>
        <v>2320.9300800126416</v>
      </c>
      <c r="CO216" s="560">
        <v>0</v>
      </c>
      <c r="CP216" s="155" t="str">
        <f t="shared" si="62"/>
        <v/>
      </c>
      <c r="CQ216" s="405">
        <v>0</v>
      </c>
      <c r="CR216" s="284">
        <f>IF(CO216,_xll.qDateYears(CO215,CO216,CR$13),0)</f>
        <v>0</v>
      </c>
      <c r="CS216" s="284">
        <f t="shared" si="68"/>
        <v>2166.0491297426292</v>
      </c>
      <c r="DA216" s="560">
        <v>0</v>
      </c>
      <c r="DB216" s="155" t="str">
        <f t="shared" si="63"/>
        <v/>
      </c>
      <c r="DC216" s="405">
        <v>0</v>
      </c>
      <c r="DD216" s="284">
        <f>IF(DA216,_xll.qDateYears(DA215,DA216,DD$13),0)</f>
        <v>0</v>
      </c>
      <c r="DE216" s="284">
        <f t="shared" si="69"/>
        <v>1625.698949379763</v>
      </c>
      <c r="DM216" s="560">
        <v>0</v>
      </c>
      <c r="DN216" s="155" t="str">
        <f t="shared" si="64"/>
        <v/>
      </c>
      <c r="DO216" s="405">
        <v>0</v>
      </c>
      <c r="DP216" s="284">
        <f>IF(DM216,_xll.qDateYears(DM215,DM216,DP$13),0)</f>
        <v>0</v>
      </c>
      <c r="DQ216" s="284">
        <f t="shared" si="70"/>
        <v>2216.4810485334592</v>
      </c>
    </row>
    <row r="217" spans="59:121">
      <c r="BG217" s="560">
        <v>0</v>
      </c>
      <c r="BH217" s="154" t="str">
        <f t="shared" si="59"/>
        <v/>
      </c>
      <c r="BI217" s="405">
        <v>0</v>
      </c>
      <c r="BJ217" s="284">
        <f>IF(BG217,_xll.qDateYears(BG216,BG217,$BJ$13),0)</f>
        <v>0</v>
      </c>
      <c r="BK217" s="284">
        <f t="shared" si="65"/>
        <v>2216.4810485334592</v>
      </c>
      <c r="BQ217" s="560">
        <v>0</v>
      </c>
      <c r="BR217" s="155" t="str">
        <f t="shared" si="60"/>
        <v/>
      </c>
      <c r="BS217" s="405">
        <v>0</v>
      </c>
      <c r="BT217" s="284">
        <f>IF(BQ217,_xll.qDateYears(BQ216,BQ217,BT$13),0)</f>
        <v>0</v>
      </c>
      <c r="BU217" s="284">
        <f t="shared" si="66"/>
        <v>1731.4581291138484</v>
      </c>
      <c r="CC217" s="560">
        <v>0</v>
      </c>
      <c r="CD217" s="155" t="str">
        <f t="shared" si="61"/>
        <v/>
      </c>
      <c r="CE217" s="405">
        <v>0</v>
      </c>
      <c r="CF217" s="284">
        <f>IF(CC217,_xll.qDateYears(CC216,CC217,CF$13),0)</f>
        <v>0</v>
      </c>
      <c r="CG217" s="284">
        <f t="shared" si="67"/>
        <v>2320.9300800126416</v>
      </c>
      <c r="CO217" s="560">
        <v>0</v>
      </c>
      <c r="CP217" s="155" t="str">
        <f t="shared" si="62"/>
        <v/>
      </c>
      <c r="CQ217" s="405">
        <v>0</v>
      </c>
      <c r="CR217" s="284">
        <f>IF(CO217,_xll.qDateYears(CO216,CO217,CR$13),0)</f>
        <v>0</v>
      </c>
      <c r="CS217" s="284">
        <f t="shared" si="68"/>
        <v>2166.0491297426292</v>
      </c>
      <c r="DA217" s="560">
        <v>0</v>
      </c>
      <c r="DB217" s="155" t="str">
        <f t="shared" si="63"/>
        <v/>
      </c>
      <c r="DC217" s="405">
        <v>0</v>
      </c>
      <c r="DD217" s="284">
        <f>IF(DA217,_xll.qDateYears(DA216,DA217,DD$13),0)</f>
        <v>0</v>
      </c>
      <c r="DE217" s="284">
        <f t="shared" si="69"/>
        <v>1625.698949379763</v>
      </c>
      <c r="DM217" s="560">
        <v>0</v>
      </c>
      <c r="DN217" s="155" t="str">
        <f t="shared" si="64"/>
        <v/>
      </c>
      <c r="DO217" s="405">
        <v>0</v>
      </c>
      <c r="DP217" s="284">
        <f>IF(DM217,_xll.qDateYears(DM216,DM217,DP$13),0)</f>
        <v>0</v>
      </c>
      <c r="DQ217" s="284">
        <f t="shared" si="70"/>
        <v>2216.4810485334592</v>
      </c>
    </row>
    <row r="218" spans="59:121">
      <c r="BG218" s="560">
        <v>0</v>
      </c>
      <c r="BH218" s="154" t="str">
        <f t="shared" si="59"/>
        <v/>
      </c>
      <c r="BI218" s="405">
        <v>0</v>
      </c>
      <c r="BJ218" s="284">
        <f>IF(BG218,_xll.qDateYears(BG217,BG218,$BJ$13),0)</f>
        <v>0</v>
      </c>
      <c r="BK218" s="284">
        <f t="shared" si="65"/>
        <v>2216.4810485334592</v>
      </c>
      <c r="BQ218" s="560">
        <v>0</v>
      </c>
      <c r="BR218" s="155" t="str">
        <f t="shared" si="60"/>
        <v/>
      </c>
      <c r="BS218" s="405">
        <v>0</v>
      </c>
      <c r="BT218" s="284">
        <f>IF(BQ218,_xll.qDateYears(BQ217,BQ218,BT$13),0)</f>
        <v>0</v>
      </c>
      <c r="BU218" s="284">
        <f t="shared" si="66"/>
        <v>1731.4581291138484</v>
      </c>
      <c r="CC218" s="560">
        <v>0</v>
      </c>
      <c r="CD218" s="155" t="str">
        <f t="shared" si="61"/>
        <v/>
      </c>
      <c r="CE218" s="405">
        <v>0</v>
      </c>
      <c r="CF218" s="284">
        <f>IF(CC218,_xll.qDateYears(CC217,CC218,CF$13),0)</f>
        <v>0</v>
      </c>
      <c r="CG218" s="284">
        <f t="shared" si="67"/>
        <v>2320.9300800126416</v>
      </c>
      <c r="CO218" s="560">
        <v>0</v>
      </c>
      <c r="CP218" s="155" t="str">
        <f t="shared" si="62"/>
        <v/>
      </c>
      <c r="CQ218" s="405">
        <v>0</v>
      </c>
      <c r="CR218" s="284">
        <f>IF(CO218,_xll.qDateYears(CO217,CO218,CR$13),0)</f>
        <v>0</v>
      </c>
      <c r="CS218" s="284">
        <f t="shared" si="68"/>
        <v>2166.0491297426292</v>
      </c>
      <c r="DA218" s="560">
        <v>0</v>
      </c>
      <c r="DB218" s="155" t="str">
        <f t="shared" si="63"/>
        <v/>
      </c>
      <c r="DC218" s="405">
        <v>0</v>
      </c>
      <c r="DD218" s="284">
        <f>IF(DA218,_xll.qDateYears(DA217,DA218,DD$13),0)</f>
        <v>0</v>
      </c>
      <c r="DE218" s="284">
        <f t="shared" si="69"/>
        <v>1625.698949379763</v>
      </c>
      <c r="DM218" s="560">
        <v>0</v>
      </c>
      <c r="DN218" s="155" t="str">
        <f t="shared" si="64"/>
        <v/>
      </c>
      <c r="DO218" s="405">
        <v>0</v>
      </c>
      <c r="DP218" s="284">
        <f>IF(DM218,_xll.qDateYears(DM217,DM218,DP$13),0)</f>
        <v>0</v>
      </c>
      <c r="DQ218" s="284">
        <f t="shared" si="70"/>
        <v>2216.4810485334592</v>
      </c>
    </row>
    <row r="219" spans="59:121">
      <c r="BG219" s="560">
        <v>0</v>
      </c>
      <c r="BH219" s="154" t="str">
        <f t="shared" si="59"/>
        <v/>
      </c>
      <c r="BI219" s="405">
        <v>0</v>
      </c>
      <c r="BJ219" s="284">
        <f>IF(BG219,_xll.qDateYears(BG218,BG219,$BJ$13),0)</f>
        <v>0</v>
      </c>
      <c r="BK219" s="284">
        <f t="shared" si="65"/>
        <v>2216.4810485334592</v>
      </c>
      <c r="BQ219" s="560">
        <v>0</v>
      </c>
      <c r="BR219" s="155" t="str">
        <f t="shared" si="60"/>
        <v/>
      </c>
      <c r="BS219" s="405">
        <v>0</v>
      </c>
      <c r="BT219" s="284">
        <f>IF(BQ219,_xll.qDateYears(BQ218,BQ219,BT$13),0)</f>
        <v>0</v>
      </c>
      <c r="BU219" s="284">
        <f t="shared" si="66"/>
        <v>1731.4581291138484</v>
      </c>
      <c r="CC219" s="560">
        <v>0</v>
      </c>
      <c r="CD219" s="155" t="str">
        <f t="shared" si="61"/>
        <v/>
      </c>
      <c r="CE219" s="405">
        <v>0</v>
      </c>
      <c r="CF219" s="284">
        <f>IF(CC219,_xll.qDateYears(CC218,CC219,CF$13),0)</f>
        <v>0</v>
      </c>
      <c r="CG219" s="284">
        <f t="shared" si="67"/>
        <v>2320.9300800126416</v>
      </c>
      <c r="CO219" s="560">
        <v>0</v>
      </c>
      <c r="CP219" s="155" t="str">
        <f t="shared" si="62"/>
        <v/>
      </c>
      <c r="CQ219" s="405">
        <v>0</v>
      </c>
      <c r="CR219" s="284">
        <f>IF(CO219,_xll.qDateYears(CO218,CO219,CR$13),0)</f>
        <v>0</v>
      </c>
      <c r="CS219" s="284">
        <f t="shared" si="68"/>
        <v>2166.0491297426292</v>
      </c>
      <c r="DA219" s="560">
        <v>0</v>
      </c>
      <c r="DB219" s="155" t="str">
        <f t="shared" si="63"/>
        <v/>
      </c>
      <c r="DC219" s="405">
        <v>0</v>
      </c>
      <c r="DD219" s="284">
        <f>IF(DA219,_xll.qDateYears(DA218,DA219,DD$13),0)</f>
        <v>0</v>
      </c>
      <c r="DE219" s="284">
        <f t="shared" si="69"/>
        <v>1625.698949379763</v>
      </c>
      <c r="DM219" s="560">
        <v>0</v>
      </c>
      <c r="DN219" s="155" t="str">
        <f t="shared" si="64"/>
        <v/>
      </c>
      <c r="DO219" s="405">
        <v>0</v>
      </c>
      <c r="DP219" s="284">
        <f>IF(DM219,_xll.qDateYears(DM218,DM219,DP$13),0)</f>
        <v>0</v>
      </c>
      <c r="DQ219" s="284">
        <f t="shared" si="70"/>
        <v>2216.4810485334592</v>
      </c>
    </row>
    <row r="220" spans="59:121">
      <c r="BG220" s="560">
        <v>0</v>
      </c>
      <c r="BH220" s="154" t="str">
        <f t="shared" si="59"/>
        <v/>
      </c>
      <c r="BI220" s="405">
        <v>0</v>
      </c>
      <c r="BJ220" s="284">
        <f>IF(BG220,_xll.qDateYears(BG219,BG220,$BJ$13),0)</f>
        <v>0</v>
      </c>
      <c r="BK220" s="284">
        <f t="shared" si="65"/>
        <v>2216.4810485334592</v>
      </c>
      <c r="BQ220" s="560">
        <v>0</v>
      </c>
      <c r="BR220" s="155" t="str">
        <f t="shared" si="60"/>
        <v/>
      </c>
      <c r="BS220" s="405">
        <v>0</v>
      </c>
      <c r="BT220" s="284">
        <f>IF(BQ220,_xll.qDateYears(BQ219,BQ220,BT$13),0)</f>
        <v>0</v>
      </c>
      <c r="BU220" s="284">
        <f t="shared" si="66"/>
        <v>1731.4581291138484</v>
      </c>
      <c r="CC220" s="560">
        <v>0</v>
      </c>
      <c r="CD220" s="155" t="str">
        <f t="shared" si="61"/>
        <v/>
      </c>
      <c r="CE220" s="405">
        <v>0</v>
      </c>
      <c r="CF220" s="284">
        <f>IF(CC220,_xll.qDateYears(CC219,CC220,CF$13),0)</f>
        <v>0</v>
      </c>
      <c r="CG220" s="284">
        <f t="shared" si="67"/>
        <v>2320.9300800126416</v>
      </c>
      <c r="CO220" s="560">
        <v>0</v>
      </c>
      <c r="CP220" s="155" t="str">
        <f t="shared" si="62"/>
        <v/>
      </c>
      <c r="CQ220" s="405">
        <v>0</v>
      </c>
      <c r="CR220" s="284">
        <f>IF(CO220,_xll.qDateYears(CO219,CO220,CR$13),0)</f>
        <v>0</v>
      </c>
      <c r="CS220" s="284">
        <f t="shared" si="68"/>
        <v>2166.0491297426292</v>
      </c>
      <c r="DA220" s="560">
        <v>0</v>
      </c>
      <c r="DB220" s="155" t="str">
        <f t="shared" si="63"/>
        <v/>
      </c>
      <c r="DC220" s="405">
        <v>0</v>
      </c>
      <c r="DD220" s="284">
        <f>IF(DA220,_xll.qDateYears(DA219,DA220,DD$13),0)</f>
        <v>0</v>
      </c>
      <c r="DE220" s="284">
        <f t="shared" si="69"/>
        <v>1625.698949379763</v>
      </c>
      <c r="DM220" s="560">
        <v>0</v>
      </c>
      <c r="DN220" s="155" t="str">
        <f t="shared" si="64"/>
        <v/>
      </c>
      <c r="DO220" s="405">
        <v>0</v>
      </c>
      <c r="DP220" s="284">
        <f>IF(DM220,_xll.qDateYears(DM219,DM220,DP$13),0)</f>
        <v>0</v>
      </c>
      <c r="DQ220" s="284">
        <f t="shared" si="70"/>
        <v>2216.4810485334592</v>
      </c>
    </row>
    <row r="221" spans="59:121">
      <c r="BG221" s="560">
        <v>0</v>
      </c>
      <c r="BH221" s="154" t="str">
        <f t="shared" si="59"/>
        <v/>
      </c>
      <c r="BI221" s="405">
        <v>0</v>
      </c>
      <c r="BJ221" s="284">
        <f>IF(BG221,_xll.qDateYears(BG220,BG221,$BJ$13),0)</f>
        <v>0</v>
      </c>
      <c r="BK221" s="284">
        <f t="shared" si="65"/>
        <v>2216.4810485334592</v>
      </c>
      <c r="BQ221" s="560">
        <v>0</v>
      </c>
      <c r="BR221" s="155" t="str">
        <f t="shared" si="60"/>
        <v/>
      </c>
      <c r="BS221" s="405">
        <v>0</v>
      </c>
      <c r="BT221" s="284">
        <f>IF(BQ221,_xll.qDateYears(BQ220,BQ221,BT$13),0)</f>
        <v>0</v>
      </c>
      <c r="BU221" s="284">
        <f t="shared" si="66"/>
        <v>1731.4581291138484</v>
      </c>
      <c r="CC221" s="560">
        <v>0</v>
      </c>
      <c r="CD221" s="155" t="str">
        <f t="shared" si="61"/>
        <v/>
      </c>
      <c r="CE221" s="405">
        <v>0</v>
      </c>
      <c r="CF221" s="284">
        <f>IF(CC221,_xll.qDateYears(CC220,CC221,CF$13),0)</f>
        <v>0</v>
      </c>
      <c r="CG221" s="284">
        <f t="shared" si="67"/>
        <v>2320.9300800126416</v>
      </c>
      <c r="CO221" s="560">
        <v>0</v>
      </c>
      <c r="CP221" s="155" t="str">
        <f t="shared" si="62"/>
        <v/>
      </c>
      <c r="CQ221" s="405">
        <v>0</v>
      </c>
      <c r="CR221" s="284">
        <f>IF(CO221,_xll.qDateYears(CO220,CO221,CR$13),0)</f>
        <v>0</v>
      </c>
      <c r="CS221" s="284">
        <f t="shared" si="68"/>
        <v>2166.0491297426292</v>
      </c>
      <c r="DA221" s="560">
        <v>0</v>
      </c>
      <c r="DB221" s="155" t="str">
        <f t="shared" si="63"/>
        <v/>
      </c>
      <c r="DC221" s="405">
        <v>0</v>
      </c>
      <c r="DD221" s="284">
        <f>IF(DA221,_xll.qDateYears(DA220,DA221,DD$13),0)</f>
        <v>0</v>
      </c>
      <c r="DE221" s="284">
        <f t="shared" si="69"/>
        <v>1625.698949379763</v>
      </c>
      <c r="DM221" s="560">
        <v>0</v>
      </c>
      <c r="DN221" s="155" t="str">
        <f t="shared" si="64"/>
        <v/>
      </c>
      <c r="DO221" s="405">
        <v>0</v>
      </c>
      <c r="DP221" s="284">
        <f>IF(DM221,_xll.qDateYears(DM220,DM221,DP$13),0)</f>
        <v>0</v>
      </c>
      <c r="DQ221" s="284">
        <f t="shared" si="70"/>
        <v>2216.4810485334592</v>
      </c>
    </row>
    <row r="222" spans="59:121">
      <c r="BG222" s="560">
        <v>0</v>
      </c>
      <c r="BH222" s="154" t="str">
        <f t="shared" si="59"/>
        <v/>
      </c>
      <c r="BI222" s="405">
        <v>0</v>
      </c>
      <c r="BJ222" s="284">
        <f>IF(BG222,_xll.qDateYears(BG221,BG222,$BJ$13),0)</f>
        <v>0</v>
      </c>
      <c r="BK222" s="284">
        <f t="shared" si="65"/>
        <v>2216.4810485334592</v>
      </c>
      <c r="BQ222" s="560">
        <v>0</v>
      </c>
      <c r="BR222" s="155" t="str">
        <f t="shared" si="60"/>
        <v/>
      </c>
      <c r="BS222" s="405">
        <v>0</v>
      </c>
      <c r="BT222" s="284">
        <f>IF(BQ222,_xll.qDateYears(BQ221,BQ222,BT$13),0)</f>
        <v>0</v>
      </c>
      <c r="BU222" s="284">
        <f t="shared" si="66"/>
        <v>1731.4581291138484</v>
      </c>
      <c r="CC222" s="560">
        <v>0</v>
      </c>
      <c r="CD222" s="155" t="str">
        <f t="shared" si="61"/>
        <v/>
      </c>
      <c r="CE222" s="405">
        <v>0</v>
      </c>
      <c r="CF222" s="284">
        <f>IF(CC222,_xll.qDateYears(CC221,CC222,CF$13),0)</f>
        <v>0</v>
      </c>
      <c r="CG222" s="284">
        <f t="shared" si="67"/>
        <v>2320.9300800126416</v>
      </c>
      <c r="CO222" s="560">
        <v>0</v>
      </c>
      <c r="CP222" s="155" t="str">
        <f t="shared" si="62"/>
        <v/>
      </c>
      <c r="CQ222" s="405">
        <v>0</v>
      </c>
      <c r="CR222" s="284">
        <f>IF(CO222,_xll.qDateYears(CO221,CO222,CR$13),0)</f>
        <v>0</v>
      </c>
      <c r="CS222" s="284">
        <f t="shared" si="68"/>
        <v>2166.0491297426292</v>
      </c>
      <c r="DA222" s="560">
        <v>0</v>
      </c>
      <c r="DB222" s="155" t="str">
        <f t="shared" si="63"/>
        <v/>
      </c>
      <c r="DC222" s="405">
        <v>0</v>
      </c>
      <c r="DD222" s="284">
        <f>IF(DA222,_xll.qDateYears(DA221,DA222,DD$13),0)</f>
        <v>0</v>
      </c>
      <c r="DE222" s="284">
        <f t="shared" si="69"/>
        <v>1625.698949379763</v>
      </c>
      <c r="DM222" s="560">
        <v>0</v>
      </c>
      <c r="DN222" s="155" t="str">
        <f t="shared" si="64"/>
        <v/>
      </c>
      <c r="DO222" s="405">
        <v>0</v>
      </c>
      <c r="DP222" s="284">
        <f>IF(DM222,_xll.qDateYears(DM221,DM222,DP$13),0)</f>
        <v>0</v>
      </c>
      <c r="DQ222" s="284">
        <f t="shared" si="70"/>
        <v>2216.4810485334592</v>
      </c>
    </row>
    <row r="223" spans="59:121">
      <c r="BG223" s="560">
        <v>0</v>
      </c>
      <c r="BH223" s="154" t="str">
        <f t="shared" si="59"/>
        <v/>
      </c>
      <c r="BI223" s="405">
        <v>0</v>
      </c>
      <c r="BJ223" s="284">
        <f>IF(BG223,_xll.qDateYears(BG222,BG223,$BJ$13),0)</f>
        <v>0</v>
      </c>
      <c r="BK223" s="284">
        <f t="shared" si="65"/>
        <v>2216.4810485334592</v>
      </c>
      <c r="BQ223" s="560">
        <v>0</v>
      </c>
      <c r="BR223" s="155" t="str">
        <f t="shared" si="60"/>
        <v/>
      </c>
      <c r="BS223" s="405">
        <v>0</v>
      </c>
      <c r="BT223" s="284">
        <f>IF(BQ223,_xll.qDateYears(BQ222,BQ223,BT$13),0)</f>
        <v>0</v>
      </c>
      <c r="BU223" s="284">
        <f t="shared" si="66"/>
        <v>1731.4581291138484</v>
      </c>
      <c r="CC223" s="560">
        <v>0</v>
      </c>
      <c r="CD223" s="155" t="str">
        <f t="shared" si="61"/>
        <v/>
      </c>
      <c r="CE223" s="405">
        <v>0</v>
      </c>
      <c r="CF223" s="284">
        <f>IF(CC223,_xll.qDateYears(CC222,CC223,CF$13),0)</f>
        <v>0</v>
      </c>
      <c r="CG223" s="284">
        <f t="shared" si="67"/>
        <v>2320.9300800126416</v>
      </c>
      <c r="CO223" s="560">
        <v>0</v>
      </c>
      <c r="CP223" s="155" t="str">
        <f t="shared" si="62"/>
        <v/>
      </c>
      <c r="CQ223" s="405">
        <v>0</v>
      </c>
      <c r="CR223" s="284">
        <f>IF(CO223,_xll.qDateYears(CO222,CO223,CR$13),0)</f>
        <v>0</v>
      </c>
      <c r="CS223" s="284">
        <f t="shared" si="68"/>
        <v>2166.0491297426292</v>
      </c>
      <c r="DA223" s="560">
        <v>0</v>
      </c>
      <c r="DB223" s="155" t="str">
        <f t="shared" si="63"/>
        <v/>
      </c>
      <c r="DC223" s="405">
        <v>0</v>
      </c>
      <c r="DD223" s="284">
        <f>IF(DA223,_xll.qDateYears(DA222,DA223,DD$13),0)</f>
        <v>0</v>
      </c>
      <c r="DE223" s="284">
        <f t="shared" si="69"/>
        <v>1625.698949379763</v>
      </c>
      <c r="DM223" s="560">
        <v>0</v>
      </c>
      <c r="DN223" s="155" t="str">
        <f t="shared" si="64"/>
        <v/>
      </c>
      <c r="DO223" s="405">
        <v>0</v>
      </c>
      <c r="DP223" s="284">
        <f>IF(DM223,_xll.qDateYears(DM222,DM223,DP$13),0)</f>
        <v>0</v>
      </c>
      <c r="DQ223" s="284">
        <f t="shared" si="70"/>
        <v>2216.4810485334592</v>
      </c>
    </row>
    <row r="224" spans="59:121">
      <c r="BG224" s="560">
        <v>0</v>
      </c>
      <c r="BH224" s="154" t="str">
        <f t="shared" si="59"/>
        <v/>
      </c>
      <c r="BI224" s="405">
        <v>0</v>
      </c>
      <c r="BJ224" s="284">
        <f>IF(BG224,_xll.qDateYears(BG223,BG224,$BJ$13),0)</f>
        <v>0</v>
      </c>
      <c r="BK224" s="284">
        <f t="shared" si="65"/>
        <v>2216.4810485334592</v>
      </c>
      <c r="BQ224" s="560">
        <v>0</v>
      </c>
      <c r="BR224" s="155" t="str">
        <f t="shared" si="60"/>
        <v/>
      </c>
      <c r="BS224" s="405">
        <v>0</v>
      </c>
      <c r="BT224" s="284">
        <f>IF(BQ224,_xll.qDateYears(BQ223,BQ224,BT$13),0)</f>
        <v>0</v>
      </c>
      <c r="BU224" s="284">
        <f t="shared" si="66"/>
        <v>1731.4581291138484</v>
      </c>
      <c r="CC224" s="560">
        <v>0</v>
      </c>
      <c r="CD224" s="155" t="str">
        <f t="shared" si="61"/>
        <v/>
      </c>
      <c r="CE224" s="405">
        <v>0</v>
      </c>
      <c r="CF224" s="284">
        <f>IF(CC224,_xll.qDateYears(CC223,CC224,CF$13),0)</f>
        <v>0</v>
      </c>
      <c r="CG224" s="284">
        <f t="shared" si="67"/>
        <v>2320.9300800126416</v>
      </c>
      <c r="CO224" s="560">
        <v>0</v>
      </c>
      <c r="CP224" s="155" t="str">
        <f t="shared" si="62"/>
        <v/>
      </c>
      <c r="CQ224" s="405">
        <v>0</v>
      </c>
      <c r="CR224" s="284">
        <f>IF(CO224,_xll.qDateYears(CO223,CO224,CR$13),0)</f>
        <v>0</v>
      </c>
      <c r="CS224" s="284">
        <f t="shared" si="68"/>
        <v>2166.0491297426292</v>
      </c>
      <c r="DA224" s="560">
        <v>0</v>
      </c>
      <c r="DB224" s="155" t="str">
        <f t="shared" si="63"/>
        <v/>
      </c>
      <c r="DC224" s="405">
        <v>0</v>
      </c>
      <c r="DD224" s="284">
        <f>IF(DA224,_xll.qDateYears(DA223,DA224,DD$13),0)</f>
        <v>0</v>
      </c>
      <c r="DE224" s="284">
        <f t="shared" si="69"/>
        <v>1625.698949379763</v>
      </c>
      <c r="DM224" s="560">
        <v>0</v>
      </c>
      <c r="DN224" s="155" t="str">
        <f t="shared" si="64"/>
        <v/>
      </c>
      <c r="DO224" s="405">
        <v>0</v>
      </c>
      <c r="DP224" s="284">
        <f>IF(DM224,_xll.qDateYears(DM223,DM224,DP$13),0)</f>
        <v>0</v>
      </c>
      <c r="DQ224" s="284">
        <f t="shared" si="70"/>
        <v>2216.4810485334592</v>
      </c>
    </row>
    <row r="225" spans="59:121">
      <c r="BG225" s="560">
        <v>0</v>
      </c>
      <c r="BH225" s="154" t="str">
        <f t="shared" si="59"/>
        <v/>
      </c>
      <c r="BI225" s="405">
        <v>0</v>
      </c>
      <c r="BJ225" s="284">
        <f>IF(BG225,_xll.qDateYears(BG224,BG225,$BJ$13),0)</f>
        <v>0</v>
      </c>
      <c r="BK225" s="284">
        <f t="shared" si="65"/>
        <v>2216.4810485334592</v>
      </c>
      <c r="BQ225" s="560">
        <v>0</v>
      </c>
      <c r="BR225" s="155" t="str">
        <f t="shared" si="60"/>
        <v/>
      </c>
      <c r="BS225" s="405">
        <v>0</v>
      </c>
      <c r="BT225" s="284">
        <f>IF(BQ225,_xll.qDateYears(BQ224,BQ225,BT$13),0)</f>
        <v>0</v>
      </c>
      <c r="BU225" s="284">
        <f t="shared" si="66"/>
        <v>1731.4581291138484</v>
      </c>
      <c r="CC225" s="560">
        <v>0</v>
      </c>
      <c r="CD225" s="155" t="str">
        <f t="shared" si="61"/>
        <v/>
      </c>
      <c r="CE225" s="405">
        <v>0</v>
      </c>
      <c r="CF225" s="284">
        <f>IF(CC225,_xll.qDateYears(CC224,CC225,CF$13),0)</f>
        <v>0</v>
      </c>
      <c r="CG225" s="284">
        <f t="shared" si="67"/>
        <v>2320.9300800126416</v>
      </c>
      <c r="CO225" s="560">
        <v>0</v>
      </c>
      <c r="CP225" s="155" t="str">
        <f t="shared" si="62"/>
        <v/>
      </c>
      <c r="CQ225" s="405">
        <v>0</v>
      </c>
      <c r="CR225" s="284">
        <f>IF(CO225,_xll.qDateYears(CO224,CO225,CR$13),0)</f>
        <v>0</v>
      </c>
      <c r="CS225" s="284">
        <f t="shared" si="68"/>
        <v>2166.0491297426292</v>
      </c>
      <c r="DA225" s="560">
        <v>0</v>
      </c>
      <c r="DB225" s="155" t="str">
        <f t="shared" si="63"/>
        <v/>
      </c>
      <c r="DC225" s="405">
        <v>0</v>
      </c>
      <c r="DD225" s="284">
        <f>IF(DA225,_xll.qDateYears(DA224,DA225,DD$13),0)</f>
        <v>0</v>
      </c>
      <c r="DE225" s="284">
        <f t="shared" si="69"/>
        <v>1625.698949379763</v>
      </c>
      <c r="DM225" s="560">
        <v>0</v>
      </c>
      <c r="DN225" s="155" t="str">
        <f t="shared" si="64"/>
        <v/>
      </c>
      <c r="DO225" s="405">
        <v>0</v>
      </c>
      <c r="DP225" s="284">
        <f>IF(DM225,_xll.qDateYears(DM224,DM225,DP$13),0)</f>
        <v>0</v>
      </c>
      <c r="DQ225" s="284">
        <f t="shared" si="70"/>
        <v>2216.4810485334592</v>
      </c>
    </row>
    <row r="226" spans="59:121">
      <c r="BG226" s="560">
        <v>0</v>
      </c>
      <c r="BH226" s="154" t="str">
        <f t="shared" si="59"/>
        <v/>
      </c>
      <c r="BI226" s="405">
        <v>0</v>
      </c>
      <c r="BJ226" s="284">
        <f>IF(BG226,_xll.qDateYears(BG225,BG226,$BJ$13),0)</f>
        <v>0</v>
      </c>
      <c r="BK226" s="284">
        <f t="shared" si="65"/>
        <v>2216.4810485334592</v>
      </c>
      <c r="BQ226" s="560">
        <v>0</v>
      </c>
      <c r="BR226" s="155" t="str">
        <f t="shared" si="60"/>
        <v/>
      </c>
      <c r="BS226" s="405">
        <v>0</v>
      </c>
      <c r="BT226" s="284">
        <f>IF(BQ226,_xll.qDateYears(BQ225,BQ226,BT$13),0)</f>
        <v>0</v>
      </c>
      <c r="BU226" s="284">
        <f t="shared" si="66"/>
        <v>1731.4581291138484</v>
      </c>
      <c r="CC226" s="560">
        <v>0</v>
      </c>
      <c r="CD226" s="155" t="str">
        <f t="shared" si="61"/>
        <v/>
      </c>
      <c r="CE226" s="405">
        <v>0</v>
      </c>
      <c r="CF226" s="284">
        <f>IF(CC226,_xll.qDateYears(CC225,CC226,CF$13),0)</f>
        <v>0</v>
      </c>
      <c r="CG226" s="284">
        <f t="shared" si="67"/>
        <v>2320.9300800126416</v>
      </c>
      <c r="CO226" s="560">
        <v>0</v>
      </c>
      <c r="CP226" s="155" t="str">
        <f t="shared" si="62"/>
        <v/>
      </c>
      <c r="CQ226" s="405">
        <v>0</v>
      </c>
      <c r="CR226" s="284">
        <f>IF(CO226,_xll.qDateYears(CO225,CO226,CR$13),0)</f>
        <v>0</v>
      </c>
      <c r="CS226" s="284">
        <f t="shared" si="68"/>
        <v>2166.0491297426292</v>
      </c>
      <c r="DA226" s="560">
        <v>0</v>
      </c>
      <c r="DB226" s="155" t="str">
        <f t="shared" si="63"/>
        <v/>
      </c>
      <c r="DC226" s="405">
        <v>0</v>
      </c>
      <c r="DD226" s="284">
        <f>IF(DA226,_xll.qDateYears(DA225,DA226,DD$13),0)</f>
        <v>0</v>
      </c>
      <c r="DE226" s="284">
        <f t="shared" si="69"/>
        <v>1625.698949379763</v>
      </c>
      <c r="DM226" s="560">
        <v>0</v>
      </c>
      <c r="DN226" s="155" t="str">
        <f t="shared" si="64"/>
        <v/>
      </c>
      <c r="DO226" s="405">
        <v>0</v>
      </c>
      <c r="DP226" s="284">
        <f>IF(DM226,_xll.qDateYears(DM225,DM226,DP$13),0)</f>
        <v>0</v>
      </c>
      <c r="DQ226" s="284">
        <f t="shared" si="70"/>
        <v>2216.4810485334592</v>
      </c>
    </row>
    <row r="227" spans="59:121">
      <c r="BG227" s="560">
        <v>0</v>
      </c>
      <c r="BH227" s="154" t="str">
        <f t="shared" si="59"/>
        <v/>
      </c>
      <c r="BI227" s="405">
        <v>0</v>
      </c>
      <c r="BJ227" s="284">
        <f>IF(BG227,_xll.qDateYears(BG226,BG227,$BJ$13),0)</f>
        <v>0</v>
      </c>
      <c r="BK227" s="284">
        <f t="shared" si="65"/>
        <v>2216.4810485334592</v>
      </c>
      <c r="BQ227" s="560">
        <v>0</v>
      </c>
      <c r="BR227" s="155" t="str">
        <f t="shared" si="60"/>
        <v/>
      </c>
      <c r="BS227" s="405">
        <v>0</v>
      </c>
      <c r="BT227" s="284">
        <f>IF(BQ227,_xll.qDateYears(BQ226,BQ227,BT$13),0)</f>
        <v>0</v>
      </c>
      <c r="BU227" s="284">
        <f t="shared" si="66"/>
        <v>1731.4581291138484</v>
      </c>
      <c r="CC227" s="560">
        <v>0</v>
      </c>
      <c r="CD227" s="155" t="str">
        <f t="shared" si="61"/>
        <v/>
      </c>
      <c r="CE227" s="405">
        <v>0</v>
      </c>
      <c r="CF227" s="284">
        <f>IF(CC227,_xll.qDateYears(CC226,CC227,CF$13),0)</f>
        <v>0</v>
      </c>
      <c r="CG227" s="284">
        <f t="shared" si="67"/>
        <v>2320.9300800126416</v>
      </c>
      <c r="CO227" s="560">
        <v>0</v>
      </c>
      <c r="CP227" s="155" t="str">
        <f t="shared" si="62"/>
        <v/>
      </c>
      <c r="CQ227" s="405">
        <v>0</v>
      </c>
      <c r="CR227" s="284">
        <f>IF(CO227,_xll.qDateYears(CO226,CO227,CR$13),0)</f>
        <v>0</v>
      </c>
      <c r="CS227" s="284">
        <f t="shared" si="68"/>
        <v>2166.0491297426292</v>
      </c>
      <c r="DA227" s="560">
        <v>0</v>
      </c>
      <c r="DB227" s="155" t="str">
        <f t="shared" si="63"/>
        <v/>
      </c>
      <c r="DC227" s="405">
        <v>0</v>
      </c>
      <c r="DD227" s="284">
        <f>IF(DA227,_xll.qDateYears(DA226,DA227,DD$13),0)</f>
        <v>0</v>
      </c>
      <c r="DE227" s="284">
        <f t="shared" si="69"/>
        <v>1625.698949379763</v>
      </c>
      <c r="DM227" s="560">
        <v>0</v>
      </c>
      <c r="DN227" s="155" t="str">
        <f t="shared" si="64"/>
        <v/>
      </c>
      <c r="DO227" s="405">
        <v>0</v>
      </c>
      <c r="DP227" s="284">
        <f>IF(DM227,_xll.qDateYears(DM226,DM227,DP$13),0)</f>
        <v>0</v>
      </c>
      <c r="DQ227" s="284">
        <f t="shared" si="70"/>
        <v>2216.4810485334592</v>
      </c>
    </row>
    <row r="228" spans="59:121">
      <c r="BG228" s="560">
        <v>0</v>
      </c>
      <c r="BH228" s="154" t="str">
        <f t="shared" si="59"/>
        <v/>
      </c>
      <c r="BI228" s="405">
        <v>0</v>
      </c>
      <c r="BJ228" s="284">
        <f>IF(BG228,_xll.qDateYears(BG227,BG228,$BJ$13),0)</f>
        <v>0</v>
      </c>
      <c r="BK228" s="284">
        <f t="shared" si="65"/>
        <v>2216.4810485334592</v>
      </c>
      <c r="BQ228" s="560">
        <v>0</v>
      </c>
      <c r="BR228" s="155" t="str">
        <f t="shared" si="60"/>
        <v/>
      </c>
      <c r="BS228" s="405">
        <v>0</v>
      </c>
      <c r="BT228" s="284">
        <f>IF(BQ228,_xll.qDateYears(BQ227,BQ228,BT$13),0)</f>
        <v>0</v>
      </c>
      <c r="BU228" s="284">
        <f t="shared" si="66"/>
        <v>1731.4581291138484</v>
      </c>
      <c r="CC228" s="560">
        <v>0</v>
      </c>
      <c r="CD228" s="155" t="str">
        <f t="shared" si="61"/>
        <v/>
      </c>
      <c r="CE228" s="405">
        <v>0</v>
      </c>
      <c r="CF228" s="284">
        <f>IF(CC228,_xll.qDateYears(CC227,CC228,CF$13),0)</f>
        <v>0</v>
      </c>
      <c r="CG228" s="284">
        <f t="shared" si="67"/>
        <v>2320.9300800126416</v>
      </c>
      <c r="CO228" s="560">
        <v>0</v>
      </c>
      <c r="CP228" s="155" t="str">
        <f t="shared" si="62"/>
        <v/>
      </c>
      <c r="CQ228" s="405">
        <v>0</v>
      </c>
      <c r="CR228" s="284">
        <f>IF(CO228,_xll.qDateYears(CO227,CO228,CR$13),0)</f>
        <v>0</v>
      </c>
      <c r="CS228" s="284">
        <f t="shared" si="68"/>
        <v>2166.0491297426292</v>
      </c>
      <c r="DA228" s="560">
        <v>0</v>
      </c>
      <c r="DB228" s="155" t="str">
        <f t="shared" si="63"/>
        <v/>
      </c>
      <c r="DC228" s="405">
        <v>0</v>
      </c>
      <c r="DD228" s="284">
        <f>IF(DA228,_xll.qDateYears(DA227,DA228,DD$13),0)</f>
        <v>0</v>
      </c>
      <c r="DE228" s="284">
        <f t="shared" si="69"/>
        <v>1625.698949379763</v>
      </c>
      <c r="DM228" s="560">
        <v>0</v>
      </c>
      <c r="DN228" s="155" t="str">
        <f t="shared" si="64"/>
        <v/>
      </c>
      <c r="DO228" s="405">
        <v>0</v>
      </c>
      <c r="DP228" s="284">
        <f>IF(DM228,_xll.qDateYears(DM227,DM228,DP$13),0)</f>
        <v>0</v>
      </c>
      <c r="DQ228" s="284">
        <f t="shared" si="70"/>
        <v>2216.4810485334592</v>
      </c>
    </row>
    <row r="229" spans="59:121">
      <c r="BG229" s="560">
        <v>0</v>
      </c>
      <c r="BH229" s="154" t="str">
        <f t="shared" si="59"/>
        <v/>
      </c>
      <c r="BI229" s="405">
        <v>0</v>
      </c>
      <c r="BJ229" s="284">
        <f>IF(BG229,_xll.qDateYears(BG228,BG229,$BJ$13),0)</f>
        <v>0</v>
      </c>
      <c r="BK229" s="284">
        <f t="shared" si="65"/>
        <v>2216.4810485334592</v>
      </c>
      <c r="BQ229" s="560">
        <v>0</v>
      </c>
      <c r="BR229" s="155" t="str">
        <f t="shared" si="60"/>
        <v/>
      </c>
      <c r="BS229" s="405">
        <v>0</v>
      </c>
      <c r="BT229" s="284">
        <f>IF(BQ229,_xll.qDateYears(BQ228,BQ229,BT$13),0)</f>
        <v>0</v>
      </c>
      <c r="BU229" s="284">
        <f t="shared" si="66"/>
        <v>1731.4581291138484</v>
      </c>
      <c r="CC229" s="560">
        <v>0</v>
      </c>
      <c r="CD229" s="155" t="str">
        <f t="shared" si="61"/>
        <v/>
      </c>
      <c r="CE229" s="405">
        <v>0</v>
      </c>
      <c r="CF229" s="284">
        <f>IF(CC229,_xll.qDateYears(CC228,CC229,CF$13),0)</f>
        <v>0</v>
      </c>
      <c r="CG229" s="284">
        <f t="shared" si="67"/>
        <v>2320.9300800126416</v>
      </c>
      <c r="CO229" s="560">
        <v>0</v>
      </c>
      <c r="CP229" s="155" t="str">
        <f t="shared" si="62"/>
        <v/>
      </c>
      <c r="CQ229" s="405">
        <v>0</v>
      </c>
      <c r="CR229" s="284">
        <f>IF(CO229,_xll.qDateYears(CO228,CO229,CR$13),0)</f>
        <v>0</v>
      </c>
      <c r="CS229" s="284">
        <f t="shared" si="68"/>
        <v>2166.0491297426292</v>
      </c>
      <c r="DA229" s="560">
        <v>0</v>
      </c>
      <c r="DB229" s="155" t="str">
        <f t="shared" si="63"/>
        <v/>
      </c>
      <c r="DC229" s="405">
        <v>0</v>
      </c>
      <c r="DD229" s="284">
        <f>IF(DA229,_xll.qDateYears(DA228,DA229,DD$13),0)</f>
        <v>0</v>
      </c>
      <c r="DE229" s="284">
        <f t="shared" si="69"/>
        <v>1625.698949379763</v>
      </c>
      <c r="DM229" s="560">
        <v>0</v>
      </c>
      <c r="DN229" s="155" t="str">
        <f t="shared" si="64"/>
        <v/>
      </c>
      <c r="DO229" s="405">
        <v>0</v>
      </c>
      <c r="DP229" s="284">
        <f>IF(DM229,_xll.qDateYears(DM228,DM229,DP$13),0)</f>
        <v>0</v>
      </c>
      <c r="DQ229" s="284">
        <f t="shared" si="70"/>
        <v>2216.4810485334592</v>
      </c>
    </row>
    <row r="230" spans="59:121">
      <c r="BG230" s="560">
        <v>0</v>
      </c>
      <c r="BH230" s="154" t="str">
        <f t="shared" si="59"/>
        <v/>
      </c>
      <c r="BI230" s="405">
        <v>0</v>
      </c>
      <c r="BJ230" s="284">
        <f>IF(BG230,_xll.qDateYears(BG229,BG230,$BJ$13),0)</f>
        <v>0</v>
      </c>
      <c r="BK230" s="284">
        <f t="shared" si="65"/>
        <v>2216.4810485334592</v>
      </c>
      <c r="BQ230" s="560">
        <v>0</v>
      </c>
      <c r="BR230" s="155" t="str">
        <f t="shared" si="60"/>
        <v/>
      </c>
      <c r="BS230" s="405">
        <v>0</v>
      </c>
      <c r="BT230" s="284">
        <f>IF(BQ230,_xll.qDateYears(BQ229,BQ230,BT$13),0)</f>
        <v>0</v>
      </c>
      <c r="BU230" s="284">
        <f t="shared" si="66"/>
        <v>1731.4581291138484</v>
      </c>
      <c r="CC230" s="560">
        <v>0</v>
      </c>
      <c r="CD230" s="155" t="str">
        <f t="shared" si="61"/>
        <v/>
      </c>
      <c r="CE230" s="405">
        <v>0</v>
      </c>
      <c r="CF230" s="284">
        <f>IF(CC230,_xll.qDateYears(CC229,CC230,CF$13),0)</f>
        <v>0</v>
      </c>
      <c r="CG230" s="284">
        <f t="shared" si="67"/>
        <v>2320.9300800126416</v>
      </c>
      <c r="CO230" s="560">
        <v>0</v>
      </c>
      <c r="CP230" s="155" t="str">
        <f t="shared" si="62"/>
        <v/>
      </c>
      <c r="CQ230" s="405">
        <v>0</v>
      </c>
      <c r="CR230" s="284">
        <f>IF(CO230,_xll.qDateYears(CO229,CO230,CR$13),0)</f>
        <v>0</v>
      </c>
      <c r="CS230" s="284">
        <f t="shared" si="68"/>
        <v>2166.0491297426292</v>
      </c>
      <c r="DA230" s="560">
        <v>0</v>
      </c>
      <c r="DB230" s="155" t="str">
        <f t="shared" si="63"/>
        <v/>
      </c>
      <c r="DC230" s="405">
        <v>0</v>
      </c>
      <c r="DD230" s="284">
        <f>IF(DA230,_xll.qDateYears(DA229,DA230,DD$13),0)</f>
        <v>0</v>
      </c>
      <c r="DE230" s="284">
        <f t="shared" si="69"/>
        <v>1625.698949379763</v>
      </c>
      <c r="DM230" s="560">
        <v>0</v>
      </c>
      <c r="DN230" s="155" t="str">
        <f t="shared" si="64"/>
        <v/>
      </c>
      <c r="DO230" s="405">
        <v>0</v>
      </c>
      <c r="DP230" s="284">
        <f>IF(DM230,_xll.qDateYears(DM229,DM230,DP$13),0)</f>
        <v>0</v>
      </c>
      <c r="DQ230" s="284">
        <f t="shared" si="70"/>
        <v>2216.4810485334592</v>
      </c>
    </row>
    <row r="231" spans="59:121">
      <c r="BG231" s="560">
        <v>0</v>
      </c>
      <c r="BH231" s="154" t="str">
        <f t="shared" si="59"/>
        <v/>
      </c>
      <c r="BI231" s="405">
        <v>0</v>
      </c>
      <c r="BJ231" s="284">
        <f>IF(BG231,_xll.qDateYears(BG230,BG231,$BJ$13),0)</f>
        <v>0</v>
      </c>
      <c r="BK231" s="284">
        <f t="shared" si="65"/>
        <v>2216.4810485334592</v>
      </c>
      <c r="BQ231" s="560">
        <v>0</v>
      </c>
      <c r="BR231" s="155" t="str">
        <f t="shared" si="60"/>
        <v/>
      </c>
      <c r="BS231" s="405">
        <v>0</v>
      </c>
      <c r="BT231" s="284">
        <f>IF(BQ231,_xll.qDateYears(BQ230,BQ231,BT$13),0)</f>
        <v>0</v>
      </c>
      <c r="BU231" s="284">
        <f t="shared" si="66"/>
        <v>1731.4581291138484</v>
      </c>
      <c r="CC231" s="560">
        <v>0</v>
      </c>
      <c r="CD231" s="155" t="str">
        <f t="shared" si="61"/>
        <v/>
      </c>
      <c r="CE231" s="405">
        <v>0</v>
      </c>
      <c r="CF231" s="284">
        <f>IF(CC231,_xll.qDateYears(CC230,CC231,CF$13),0)</f>
        <v>0</v>
      </c>
      <c r="CG231" s="284">
        <f t="shared" si="67"/>
        <v>2320.9300800126416</v>
      </c>
      <c r="CO231" s="560">
        <v>0</v>
      </c>
      <c r="CP231" s="155" t="str">
        <f t="shared" si="62"/>
        <v/>
      </c>
      <c r="CQ231" s="405">
        <v>0</v>
      </c>
      <c r="CR231" s="284">
        <f>IF(CO231,_xll.qDateYears(CO230,CO231,CR$13),0)</f>
        <v>0</v>
      </c>
      <c r="CS231" s="284">
        <f t="shared" si="68"/>
        <v>2166.0491297426292</v>
      </c>
      <c r="DA231" s="560">
        <v>0</v>
      </c>
      <c r="DB231" s="155" t="str">
        <f t="shared" si="63"/>
        <v/>
      </c>
      <c r="DC231" s="405">
        <v>0</v>
      </c>
      <c r="DD231" s="284">
        <f>IF(DA231,_xll.qDateYears(DA230,DA231,DD$13),0)</f>
        <v>0</v>
      </c>
      <c r="DE231" s="284">
        <f t="shared" si="69"/>
        <v>1625.698949379763</v>
      </c>
      <c r="DM231" s="560">
        <v>0</v>
      </c>
      <c r="DN231" s="155" t="str">
        <f t="shared" si="64"/>
        <v/>
      </c>
      <c r="DO231" s="405">
        <v>0</v>
      </c>
      <c r="DP231" s="284">
        <f>IF(DM231,_xll.qDateYears(DM230,DM231,DP$13),0)</f>
        <v>0</v>
      </c>
      <c r="DQ231" s="284">
        <f t="shared" si="70"/>
        <v>2216.4810485334592</v>
      </c>
    </row>
    <row r="232" spans="59:121">
      <c r="BG232" s="560">
        <v>0</v>
      </c>
      <c r="BH232" s="154" t="str">
        <f t="shared" si="59"/>
        <v/>
      </c>
      <c r="BI232" s="405">
        <v>0</v>
      </c>
      <c r="BJ232" s="284">
        <f>IF(BG232,_xll.qDateYears(BG231,BG232,$BJ$13),0)</f>
        <v>0</v>
      </c>
      <c r="BK232" s="284">
        <f t="shared" si="65"/>
        <v>2216.4810485334592</v>
      </c>
      <c r="BQ232" s="560">
        <v>0</v>
      </c>
      <c r="BR232" s="155" t="str">
        <f t="shared" si="60"/>
        <v/>
      </c>
      <c r="BS232" s="405">
        <v>0</v>
      </c>
      <c r="BT232" s="284">
        <f>IF(BQ232,_xll.qDateYears(BQ231,BQ232,BT$13),0)</f>
        <v>0</v>
      </c>
      <c r="BU232" s="284">
        <f t="shared" si="66"/>
        <v>1731.4581291138484</v>
      </c>
      <c r="CC232" s="560">
        <v>0</v>
      </c>
      <c r="CD232" s="155" t="str">
        <f t="shared" si="61"/>
        <v/>
      </c>
      <c r="CE232" s="405">
        <v>0</v>
      </c>
      <c r="CF232" s="284">
        <f>IF(CC232,_xll.qDateYears(CC231,CC232,CF$13),0)</f>
        <v>0</v>
      </c>
      <c r="CG232" s="284">
        <f t="shared" si="67"/>
        <v>2320.9300800126416</v>
      </c>
      <c r="CO232" s="560">
        <v>0</v>
      </c>
      <c r="CP232" s="155" t="str">
        <f t="shared" si="62"/>
        <v/>
      </c>
      <c r="CQ232" s="405">
        <v>0</v>
      </c>
      <c r="CR232" s="284">
        <f>IF(CO232,_xll.qDateYears(CO231,CO232,CR$13),0)</f>
        <v>0</v>
      </c>
      <c r="CS232" s="284">
        <f t="shared" si="68"/>
        <v>2166.0491297426292</v>
      </c>
      <c r="DA232" s="560">
        <v>0</v>
      </c>
      <c r="DB232" s="155" t="str">
        <f t="shared" si="63"/>
        <v/>
      </c>
      <c r="DC232" s="405">
        <v>0</v>
      </c>
      <c r="DD232" s="284">
        <f>IF(DA232,_xll.qDateYears(DA231,DA232,DD$13),0)</f>
        <v>0</v>
      </c>
      <c r="DE232" s="284">
        <f t="shared" si="69"/>
        <v>1625.698949379763</v>
      </c>
      <c r="DM232" s="560">
        <v>0</v>
      </c>
      <c r="DN232" s="155" t="str">
        <f t="shared" si="64"/>
        <v/>
      </c>
      <c r="DO232" s="405">
        <v>0</v>
      </c>
      <c r="DP232" s="284">
        <f>IF(DM232,_xll.qDateYears(DM231,DM232,DP$13),0)</f>
        <v>0</v>
      </c>
      <c r="DQ232" s="284">
        <f t="shared" si="70"/>
        <v>2216.4810485334592</v>
      </c>
    </row>
    <row r="233" spans="59:121">
      <c r="BG233" s="560">
        <v>0</v>
      </c>
      <c r="BH233" s="154" t="str">
        <f t="shared" si="59"/>
        <v/>
      </c>
      <c r="BI233" s="405">
        <v>0</v>
      </c>
      <c r="BJ233" s="284">
        <f>IF(BG233,_xll.qDateYears(BG232,BG233,$BJ$13),0)</f>
        <v>0</v>
      </c>
      <c r="BK233" s="284">
        <f t="shared" si="65"/>
        <v>2216.4810485334592</v>
      </c>
      <c r="BQ233" s="560">
        <v>0</v>
      </c>
      <c r="BR233" s="155" t="str">
        <f t="shared" si="60"/>
        <v/>
      </c>
      <c r="BS233" s="405">
        <v>0</v>
      </c>
      <c r="BT233" s="284">
        <f>IF(BQ233,_xll.qDateYears(BQ232,BQ233,BT$13),0)</f>
        <v>0</v>
      </c>
      <c r="BU233" s="284">
        <f t="shared" si="66"/>
        <v>1731.4581291138484</v>
      </c>
      <c r="CC233" s="560">
        <v>0</v>
      </c>
      <c r="CD233" s="155" t="str">
        <f t="shared" si="61"/>
        <v/>
      </c>
      <c r="CE233" s="405">
        <v>0</v>
      </c>
      <c r="CF233" s="284">
        <f>IF(CC233,_xll.qDateYears(CC232,CC233,CF$13),0)</f>
        <v>0</v>
      </c>
      <c r="CG233" s="284">
        <f t="shared" si="67"/>
        <v>2320.9300800126416</v>
      </c>
      <c r="CO233" s="560">
        <v>0</v>
      </c>
      <c r="CP233" s="155" t="str">
        <f t="shared" si="62"/>
        <v/>
      </c>
      <c r="CQ233" s="405">
        <v>0</v>
      </c>
      <c r="CR233" s="284">
        <f>IF(CO233,_xll.qDateYears(CO232,CO233,CR$13),0)</f>
        <v>0</v>
      </c>
      <c r="CS233" s="284">
        <f t="shared" si="68"/>
        <v>2166.0491297426292</v>
      </c>
      <c r="DA233" s="560">
        <v>0</v>
      </c>
      <c r="DB233" s="155" t="str">
        <f t="shared" si="63"/>
        <v/>
      </c>
      <c r="DC233" s="405">
        <v>0</v>
      </c>
      <c r="DD233" s="284">
        <f>IF(DA233,_xll.qDateYears(DA232,DA233,DD$13),0)</f>
        <v>0</v>
      </c>
      <c r="DE233" s="284">
        <f t="shared" si="69"/>
        <v>1625.698949379763</v>
      </c>
      <c r="DM233" s="560">
        <v>0</v>
      </c>
      <c r="DN233" s="155" t="str">
        <f t="shared" si="64"/>
        <v/>
      </c>
      <c r="DO233" s="405">
        <v>0</v>
      </c>
      <c r="DP233" s="284">
        <f>IF(DM233,_xll.qDateYears(DM232,DM233,DP$13),0)</f>
        <v>0</v>
      </c>
      <c r="DQ233" s="284">
        <f t="shared" si="70"/>
        <v>2216.4810485334592</v>
      </c>
    </row>
    <row r="234" spans="59:121">
      <c r="BG234" s="560">
        <v>0</v>
      </c>
      <c r="BH234" s="154" t="str">
        <f t="shared" si="59"/>
        <v/>
      </c>
      <c r="BI234" s="405">
        <v>0</v>
      </c>
      <c r="BJ234" s="284">
        <f>IF(BG234,_xll.qDateYears(BG233,BG234,$BJ$13),0)</f>
        <v>0</v>
      </c>
      <c r="BK234" s="284">
        <f t="shared" si="65"/>
        <v>2216.4810485334592</v>
      </c>
      <c r="BQ234" s="560">
        <v>0</v>
      </c>
      <c r="BR234" s="155" t="str">
        <f t="shared" si="60"/>
        <v/>
      </c>
      <c r="BS234" s="405">
        <v>0</v>
      </c>
      <c r="BT234" s="284">
        <f>IF(BQ234,_xll.qDateYears(BQ233,BQ234,BT$13),0)</f>
        <v>0</v>
      </c>
      <c r="BU234" s="284">
        <f t="shared" si="66"/>
        <v>1731.4581291138484</v>
      </c>
      <c r="CC234" s="560">
        <v>0</v>
      </c>
      <c r="CD234" s="155" t="str">
        <f t="shared" si="61"/>
        <v/>
      </c>
      <c r="CE234" s="405">
        <v>0</v>
      </c>
      <c r="CF234" s="284">
        <f>IF(CC234,_xll.qDateYears(CC233,CC234,CF$13),0)</f>
        <v>0</v>
      </c>
      <c r="CG234" s="284">
        <f t="shared" si="67"/>
        <v>2320.9300800126416</v>
      </c>
      <c r="CO234" s="560">
        <v>0</v>
      </c>
      <c r="CP234" s="155" t="str">
        <f t="shared" si="62"/>
        <v/>
      </c>
      <c r="CQ234" s="405">
        <v>0</v>
      </c>
      <c r="CR234" s="284">
        <f>IF(CO234,_xll.qDateYears(CO233,CO234,CR$13),0)</f>
        <v>0</v>
      </c>
      <c r="CS234" s="284">
        <f t="shared" si="68"/>
        <v>2166.0491297426292</v>
      </c>
      <c r="DA234" s="560">
        <v>0</v>
      </c>
      <c r="DB234" s="155" t="str">
        <f t="shared" si="63"/>
        <v/>
      </c>
      <c r="DC234" s="405">
        <v>0</v>
      </c>
      <c r="DD234" s="284">
        <f>IF(DA234,_xll.qDateYears(DA233,DA234,DD$13),0)</f>
        <v>0</v>
      </c>
      <c r="DE234" s="284">
        <f t="shared" si="69"/>
        <v>1625.698949379763</v>
      </c>
      <c r="DM234" s="560">
        <v>0</v>
      </c>
      <c r="DN234" s="155" t="str">
        <f t="shared" si="64"/>
        <v/>
      </c>
      <c r="DO234" s="405">
        <v>0</v>
      </c>
      <c r="DP234" s="284">
        <f>IF(DM234,_xll.qDateYears(DM233,DM234,DP$13),0)</f>
        <v>0</v>
      </c>
      <c r="DQ234" s="284">
        <f t="shared" si="70"/>
        <v>2216.4810485334592</v>
      </c>
    </row>
    <row r="235" spans="59:121">
      <c r="BG235" s="560">
        <v>0</v>
      </c>
      <c r="BH235" s="154" t="str">
        <f t="shared" si="59"/>
        <v/>
      </c>
      <c r="BI235" s="405">
        <v>0</v>
      </c>
      <c r="BJ235" s="284">
        <f>IF(BG235,_xll.qDateYears(BG234,BG235,$BJ$13),0)</f>
        <v>0</v>
      </c>
      <c r="BK235" s="284">
        <f t="shared" si="65"/>
        <v>2216.4810485334592</v>
      </c>
      <c r="BQ235" s="560">
        <v>0</v>
      </c>
      <c r="BR235" s="155" t="str">
        <f t="shared" si="60"/>
        <v/>
      </c>
      <c r="BS235" s="405">
        <v>0</v>
      </c>
      <c r="BT235" s="284">
        <f>IF(BQ235,_xll.qDateYears(BQ234,BQ235,BT$13),0)</f>
        <v>0</v>
      </c>
      <c r="BU235" s="284">
        <f t="shared" si="66"/>
        <v>1731.4581291138484</v>
      </c>
      <c r="CC235" s="560">
        <v>0</v>
      </c>
      <c r="CD235" s="155" t="str">
        <f t="shared" si="61"/>
        <v/>
      </c>
      <c r="CE235" s="405">
        <v>0</v>
      </c>
      <c r="CF235" s="284">
        <f>IF(CC235,_xll.qDateYears(CC234,CC235,CF$13),0)</f>
        <v>0</v>
      </c>
      <c r="CG235" s="284">
        <f t="shared" si="67"/>
        <v>2320.9300800126416</v>
      </c>
      <c r="CO235" s="560">
        <v>0</v>
      </c>
      <c r="CP235" s="155" t="str">
        <f t="shared" si="62"/>
        <v/>
      </c>
      <c r="CQ235" s="405">
        <v>0</v>
      </c>
      <c r="CR235" s="284">
        <f>IF(CO235,_xll.qDateYears(CO234,CO235,CR$13),0)</f>
        <v>0</v>
      </c>
      <c r="CS235" s="284">
        <f t="shared" si="68"/>
        <v>2166.0491297426292</v>
      </c>
      <c r="DA235" s="560">
        <v>0</v>
      </c>
      <c r="DB235" s="155" t="str">
        <f t="shared" si="63"/>
        <v/>
      </c>
      <c r="DC235" s="405">
        <v>0</v>
      </c>
      <c r="DD235" s="284">
        <f>IF(DA235,_xll.qDateYears(DA234,DA235,DD$13),0)</f>
        <v>0</v>
      </c>
      <c r="DE235" s="284">
        <f t="shared" si="69"/>
        <v>1625.698949379763</v>
      </c>
      <c r="DM235" s="560">
        <v>0</v>
      </c>
      <c r="DN235" s="155" t="str">
        <f t="shared" si="64"/>
        <v/>
      </c>
      <c r="DO235" s="405">
        <v>0</v>
      </c>
      <c r="DP235" s="284">
        <f>IF(DM235,_xll.qDateYears(DM234,DM235,DP$13),0)</f>
        <v>0</v>
      </c>
      <c r="DQ235" s="284">
        <f t="shared" si="70"/>
        <v>2216.4810485334592</v>
      </c>
    </row>
    <row r="236" spans="59:121">
      <c r="BG236" s="560">
        <v>0</v>
      </c>
      <c r="BH236" s="154" t="str">
        <f t="shared" si="59"/>
        <v/>
      </c>
      <c r="BI236" s="405">
        <v>0</v>
      </c>
      <c r="BJ236" s="284">
        <f>IF(BG236,_xll.qDateYears(BG235,BG236,$BJ$13),0)</f>
        <v>0</v>
      </c>
      <c r="BK236" s="284">
        <f t="shared" si="65"/>
        <v>2216.4810485334592</v>
      </c>
      <c r="BQ236" s="560">
        <v>0</v>
      </c>
      <c r="BR236" s="155" t="str">
        <f t="shared" si="60"/>
        <v/>
      </c>
      <c r="BS236" s="405">
        <v>0</v>
      </c>
      <c r="BT236" s="284">
        <f>IF(BQ236,_xll.qDateYears(BQ235,BQ236,BT$13),0)</f>
        <v>0</v>
      </c>
      <c r="BU236" s="284">
        <f t="shared" si="66"/>
        <v>1731.4581291138484</v>
      </c>
      <c r="CC236" s="560">
        <v>0</v>
      </c>
      <c r="CD236" s="155" t="str">
        <f t="shared" si="61"/>
        <v/>
      </c>
      <c r="CE236" s="405">
        <v>0</v>
      </c>
      <c r="CF236" s="284">
        <f>IF(CC236,_xll.qDateYears(CC235,CC236,CF$13),0)</f>
        <v>0</v>
      </c>
      <c r="CG236" s="284">
        <f t="shared" si="67"/>
        <v>2320.9300800126416</v>
      </c>
      <c r="CO236" s="560">
        <v>0</v>
      </c>
      <c r="CP236" s="155" t="str">
        <f t="shared" si="62"/>
        <v/>
      </c>
      <c r="CQ236" s="405">
        <v>0</v>
      </c>
      <c r="CR236" s="284">
        <f>IF(CO236,_xll.qDateYears(CO235,CO236,CR$13),0)</f>
        <v>0</v>
      </c>
      <c r="CS236" s="284">
        <f t="shared" si="68"/>
        <v>2166.0491297426292</v>
      </c>
      <c r="DA236" s="560">
        <v>0</v>
      </c>
      <c r="DB236" s="155" t="str">
        <f t="shared" si="63"/>
        <v/>
      </c>
      <c r="DC236" s="405">
        <v>0</v>
      </c>
      <c r="DD236" s="284">
        <f>IF(DA236,_xll.qDateYears(DA235,DA236,DD$13),0)</f>
        <v>0</v>
      </c>
      <c r="DE236" s="284">
        <f t="shared" si="69"/>
        <v>1625.698949379763</v>
      </c>
      <c r="DM236" s="560">
        <v>0</v>
      </c>
      <c r="DN236" s="155" t="str">
        <f t="shared" si="64"/>
        <v/>
      </c>
      <c r="DO236" s="405">
        <v>0</v>
      </c>
      <c r="DP236" s="284">
        <f>IF(DM236,_xll.qDateYears(DM235,DM236,DP$13),0)</f>
        <v>0</v>
      </c>
      <c r="DQ236" s="284">
        <f t="shared" si="70"/>
        <v>2216.4810485334592</v>
      </c>
    </row>
    <row r="237" spans="59:121">
      <c r="BG237" s="560">
        <v>0</v>
      </c>
      <c r="BH237" s="154" t="str">
        <f t="shared" si="59"/>
        <v/>
      </c>
      <c r="BI237" s="405">
        <v>0</v>
      </c>
      <c r="BJ237" s="284">
        <f>IF(BG237,_xll.qDateYears(BG236,BG237,$BJ$13),0)</f>
        <v>0</v>
      </c>
      <c r="BK237" s="284">
        <f t="shared" si="65"/>
        <v>2216.4810485334592</v>
      </c>
      <c r="BQ237" s="560">
        <v>0</v>
      </c>
      <c r="BR237" s="155" t="str">
        <f t="shared" si="60"/>
        <v/>
      </c>
      <c r="BS237" s="405">
        <v>0</v>
      </c>
      <c r="BT237" s="284">
        <f>IF(BQ237,_xll.qDateYears(BQ236,BQ237,BT$13),0)</f>
        <v>0</v>
      </c>
      <c r="BU237" s="284">
        <f t="shared" si="66"/>
        <v>1731.4581291138484</v>
      </c>
      <c r="CC237" s="560">
        <v>0</v>
      </c>
      <c r="CD237" s="155" t="str">
        <f t="shared" si="61"/>
        <v/>
      </c>
      <c r="CE237" s="405">
        <v>0</v>
      </c>
      <c r="CF237" s="284">
        <f>IF(CC237,_xll.qDateYears(CC236,CC237,CF$13),0)</f>
        <v>0</v>
      </c>
      <c r="CG237" s="284">
        <f t="shared" si="67"/>
        <v>2320.9300800126416</v>
      </c>
      <c r="CO237" s="560">
        <v>0</v>
      </c>
      <c r="CP237" s="155" t="str">
        <f t="shared" si="62"/>
        <v/>
      </c>
      <c r="CQ237" s="405">
        <v>0</v>
      </c>
      <c r="CR237" s="284">
        <f>IF(CO237,_xll.qDateYears(CO236,CO237,CR$13),0)</f>
        <v>0</v>
      </c>
      <c r="CS237" s="284">
        <f t="shared" si="68"/>
        <v>2166.0491297426292</v>
      </c>
      <c r="DA237" s="560">
        <v>0</v>
      </c>
      <c r="DB237" s="155" t="str">
        <f t="shared" si="63"/>
        <v/>
      </c>
      <c r="DC237" s="405">
        <v>0</v>
      </c>
      <c r="DD237" s="284">
        <f>IF(DA237,_xll.qDateYears(DA236,DA237,DD$13),0)</f>
        <v>0</v>
      </c>
      <c r="DE237" s="284">
        <f t="shared" si="69"/>
        <v>1625.698949379763</v>
      </c>
      <c r="DM237" s="560">
        <v>0</v>
      </c>
      <c r="DN237" s="155" t="str">
        <f t="shared" si="64"/>
        <v/>
      </c>
      <c r="DO237" s="405">
        <v>0</v>
      </c>
      <c r="DP237" s="284">
        <f>IF(DM237,_xll.qDateYears(DM236,DM237,DP$13),0)</f>
        <v>0</v>
      </c>
      <c r="DQ237" s="284">
        <f t="shared" si="70"/>
        <v>2216.4810485334592</v>
      </c>
    </row>
    <row r="238" spans="59:121">
      <c r="BG238" s="560">
        <v>0</v>
      </c>
      <c r="BH238" s="154" t="str">
        <f t="shared" si="59"/>
        <v/>
      </c>
      <c r="BI238" s="405">
        <v>0</v>
      </c>
      <c r="BJ238" s="284">
        <f>IF(BG238,_xll.qDateYears(BG237,BG238,$BJ$13),0)</f>
        <v>0</v>
      </c>
      <c r="BK238" s="284">
        <f t="shared" si="65"/>
        <v>2216.4810485334592</v>
      </c>
      <c r="BQ238" s="560">
        <v>0</v>
      </c>
      <c r="BR238" s="155" t="str">
        <f t="shared" si="60"/>
        <v/>
      </c>
      <c r="BS238" s="405">
        <v>0</v>
      </c>
      <c r="BT238" s="284">
        <f>IF(BQ238,_xll.qDateYears(BQ237,BQ238,BT$13),0)</f>
        <v>0</v>
      </c>
      <c r="BU238" s="284">
        <f t="shared" si="66"/>
        <v>1731.4581291138484</v>
      </c>
      <c r="CC238" s="560">
        <v>0</v>
      </c>
      <c r="CD238" s="155" t="str">
        <f t="shared" si="61"/>
        <v/>
      </c>
      <c r="CE238" s="405">
        <v>0</v>
      </c>
      <c r="CF238" s="284">
        <f>IF(CC238,_xll.qDateYears(CC237,CC238,CF$13),0)</f>
        <v>0</v>
      </c>
      <c r="CG238" s="284">
        <f t="shared" si="67"/>
        <v>2320.9300800126416</v>
      </c>
      <c r="CO238" s="560">
        <v>0</v>
      </c>
      <c r="CP238" s="155" t="str">
        <f t="shared" si="62"/>
        <v/>
      </c>
      <c r="CQ238" s="405">
        <v>0</v>
      </c>
      <c r="CR238" s="284">
        <f>IF(CO238,_xll.qDateYears(CO237,CO238,CR$13),0)</f>
        <v>0</v>
      </c>
      <c r="CS238" s="284">
        <f t="shared" si="68"/>
        <v>2166.0491297426292</v>
      </c>
      <c r="DA238" s="560">
        <v>0</v>
      </c>
      <c r="DB238" s="155" t="str">
        <f t="shared" si="63"/>
        <v/>
      </c>
      <c r="DC238" s="405">
        <v>0</v>
      </c>
      <c r="DD238" s="284">
        <f>IF(DA238,_xll.qDateYears(DA237,DA238,DD$13),0)</f>
        <v>0</v>
      </c>
      <c r="DE238" s="284">
        <f t="shared" si="69"/>
        <v>1625.698949379763</v>
      </c>
      <c r="DM238" s="560">
        <v>0</v>
      </c>
      <c r="DN238" s="155" t="str">
        <f t="shared" si="64"/>
        <v/>
      </c>
      <c r="DO238" s="405">
        <v>0</v>
      </c>
      <c r="DP238" s="284">
        <f>IF(DM238,_xll.qDateYears(DM237,DM238,DP$13),0)</f>
        <v>0</v>
      </c>
      <c r="DQ238" s="284">
        <f t="shared" si="70"/>
        <v>2216.4810485334592</v>
      </c>
    </row>
    <row r="239" spans="59:121">
      <c r="BG239" s="560">
        <v>0</v>
      </c>
      <c r="BH239" s="154" t="str">
        <f t="shared" si="59"/>
        <v/>
      </c>
      <c r="BI239" s="405">
        <v>0</v>
      </c>
      <c r="BJ239" s="284">
        <f>IF(BG239,_xll.qDateYears(BG238,BG239,$BJ$13),0)</f>
        <v>0</v>
      </c>
      <c r="BK239" s="284">
        <f t="shared" si="65"/>
        <v>2216.4810485334592</v>
      </c>
      <c r="BQ239" s="560">
        <v>0</v>
      </c>
      <c r="BR239" s="155" t="str">
        <f t="shared" si="60"/>
        <v/>
      </c>
      <c r="BS239" s="405">
        <v>0</v>
      </c>
      <c r="BT239" s="284">
        <f>IF(BQ239,_xll.qDateYears(BQ238,BQ239,BT$13),0)</f>
        <v>0</v>
      </c>
      <c r="BU239" s="284">
        <f t="shared" si="66"/>
        <v>1731.4581291138484</v>
      </c>
      <c r="CC239" s="560">
        <v>0</v>
      </c>
      <c r="CD239" s="155" t="str">
        <f t="shared" si="61"/>
        <v/>
      </c>
      <c r="CE239" s="405">
        <v>0</v>
      </c>
      <c r="CF239" s="284">
        <f>IF(CC239,_xll.qDateYears(CC238,CC239,CF$13),0)</f>
        <v>0</v>
      </c>
      <c r="CG239" s="284">
        <f t="shared" si="67"/>
        <v>2320.9300800126416</v>
      </c>
      <c r="CO239" s="560">
        <v>0</v>
      </c>
      <c r="CP239" s="155" t="str">
        <f t="shared" si="62"/>
        <v/>
      </c>
      <c r="CQ239" s="405">
        <v>0</v>
      </c>
      <c r="CR239" s="284">
        <f>IF(CO239,_xll.qDateYears(CO238,CO239,CR$13),0)</f>
        <v>0</v>
      </c>
      <c r="CS239" s="284">
        <f t="shared" si="68"/>
        <v>2166.0491297426292</v>
      </c>
      <c r="DA239" s="560">
        <v>0</v>
      </c>
      <c r="DB239" s="155" t="str">
        <f t="shared" si="63"/>
        <v/>
      </c>
      <c r="DC239" s="405">
        <v>0</v>
      </c>
      <c r="DD239" s="284">
        <f>IF(DA239,_xll.qDateYears(DA238,DA239,DD$13),0)</f>
        <v>0</v>
      </c>
      <c r="DE239" s="284">
        <f t="shared" si="69"/>
        <v>1625.698949379763</v>
      </c>
      <c r="DM239" s="560">
        <v>0</v>
      </c>
      <c r="DN239" s="155" t="str">
        <f t="shared" si="64"/>
        <v/>
      </c>
      <c r="DO239" s="405">
        <v>0</v>
      </c>
      <c r="DP239" s="284">
        <f>IF(DM239,_xll.qDateYears(DM238,DM239,DP$13),0)</f>
        <v>0</v>
      </c>
      <c r="DQ239" s="284">
        <f t="shared" si="70"/>
        <v>2216.4810485334592</v>
      </c>
    </row>
    <row r="240" spans="59:121">
      <c r="BG240" s="560">
        <v>0</v>
      </c>
      <c r="BH240" s="154" t="str">
        <f t="shared" si="59"/>
        <v/>
      </c>
      <c r="BI240" s="405">
        <v>0</v>
      </c>
      <c r="BJ240" s="284">
        <f>IF(BG240,_xll.qDateYears(BG239,BG240,$BJ$13),0)</f>
        <v>0</v>
      </c>
      <c r="BK240" s="284">
        <f t="shared" si="65"/>
        <v>2216.4810485334592</v>
      </c>
      <c r="BQ240" s="560">
        <v>0</v>
      </c>
      <c r="BR240" s="155" t="str">
        <f t="shared" si="60"/>
        <v/>
      </c>
      <c r="BS240" s="405">
        <v>0</v>
      </c>
      <c r="BT240" s="284">
        <f>IF(BQ240,_xll.qDateYears(BQ239,BQ240,BT$13),0)</f>
        <v>0</v>
      </c>
      <c r="BU240" s="284">
        <f t="shared" si="66"/>
        <v>1731.4581291138484</v>
      </c>
      <c r="CC240" s="560">
        <v>0</v>
      </c>
      <c r="CD240" s="155" t="str">
        <f t="shared" si="61"/>
        <v/>
      </c>
      <c r="CE240" s="405">
        <v>0</v>
      </c>
      <c r="CF240" s="284">
        <f>IF(CC240,_xll.qDateYears(CC239,CC240,CF$13),0)</f>
        <v>0</v>
      </c>
      <c r="CG240" s="284">
        <f t="shared" si="67"/>
        <v>2320.9300800126416</v>
      </c>
      <c r="CO240" s="560">
        <v>0</v>
      </c>
      <c r="CP240" s="155" t="str">
        <f t="shared" si="62"/>
        <v/>
      </c>
      <c r="CQ240" s="405">
        <v>0</v>
      </c>
      <c r="CR240" s="284">
        <f>IF(CO240,_xll.qDateYears(CO239,CO240,CR$13),0)</f>
        <v>0</v>
      </c>
      <c r="CS240" s="284">
        <f t="shared" si="68"/>
        <v>2166.0491297426292</v>
      </c>
      <c r="DA240" s="560">
        <v>0</v>
      </c>
      <c r="DB240" s="155" t="str">
        <f t="shared" si="63"/>
        <v/>
      </c>
      <c r="DC240" s="405">
        <v>0</v>
      </c>
      <c r="DD240" s="284">
        <f>IF(DA240,_xll.qDateYears(DA239,DA240,DD$13),0)</f>
        <v>0</v>
      </c>
      <c r="DE240" s="284">
        <f t="shared" si="69"/>
        <v>1625.698949379763</v>
      </c>
      <c r="DM240" s="560">
        <v>0</v>
      </c>
      <c r="DN240" s="155" t="str">
        <f t="shared" si="64"/>
        <v/>
      </c>
      <c r="DO240" s="405">
        <v>0</v>
      </c>
      <c r="DP240" s="284">
        <f>IF(DM240,_xll.qDateYears(DM239,DM240,DP$13),0)</f>
        <v>0</v>
      </c>
      <c r="DQ240" s="284">
        <f t="shared" si="70"/>
        <v>2216.4810485334592</v>
      </c>
    </row>
    <row r="241" spans="59:121">
      <c r="BG241" s="560">
        <v>0</v>
      </c>
      <c r="BH241" s="154" t="str">
        <f t="shared" si="59"/>
        <v/>
      </c>
      <c r="BI241" s="405">
        <v>0</v>
      </c>
      <c r="BJ241" s="284">
        <f>IF(BG241,_xll.qDateYears(BG240,BG241,$BJ$13),0)</f>
        <v>0</v>
      </c>
      <c r="BK241" s="284">
        <f t="shared" si="65"/>
        <v>2216.4810485334592</v>
      </c>
      <c r="BQ241" s="560">
        <v>0</v>
      </c>
      <c r="BR241" s="155" t="str">
        <f t="shared" si="60"/>
        <v/>
      </c>
      <c r="BS241" s="405">
        <v>0</v>
      </c>
      <c r="BT241" s="284">
        <f>IF(BQ241,_xll.qDateYears(BQ240,BQ241,BT$13),0)</f>
        <v>0</v>
      </c>
      <c r="BU241" s="284">
        <f t="shared" si="66"/>
        <v>1731.4581291138484</v>
      </c>
      <c r="CC241" s="560">
        <v>0</v>
      </c>
      <c r="CD241" s="155" t="str">
        <f t="shared" si="61"/>
        <v/>
      </c>
      <c r="CE241" s="405">
        <v>0</v>
      </c>
      <c r="CF241" s="284">
        <f>IF(CC241,_xll.qDateYears(CC240,CC241,CF$13),0)</f>
        <v>0</v>
      </c>
      <c r="CG241" s="284">
        <f t="shared" si="67"/>
        <v>2320.9300800126416</v>
      </c>
      <c r="CO241" s="560">
        <v>0</v>
      </c>
      <c r="CP241" s="155" t="str">
        <f t="shared" si="62"/>
        <v/>
      </c>
      <c r="CQ241" s="405">
        <v>0</v>
      </c>
      <c r="CR241" s="284">
        <f>IF(CO241,_xll.qDateYears(CO240,CO241,CR$13),0)</f>
        <v>0</v>
      </c>
      <c r="CS241" s="284">
        <f t="shared" si="68"/>
        <v>2166.0491297426292</v>
      </c>
      <c r="DA241" s="560">
        <v>0</v>
      </c>
      <c r="DB241" s="155" t="str">
        <f t="shared" si="63"/>
        <v/>
      </c>
      <c r="DC241" s="405">
        <v>0</v>
      </c>
      <c r="DD241" s="284">
        <f>IF(DA241,_xll.qDateYears(DA240,DA241,DD$13),0)</f>
        <v>0</v>
      </c>
      <c r="DE241" s="284">
        <f t="shared" si="69"/>
        <v>1625.698949379763</v>
      </c>
      <c r="DM241" s="560">
        <v>0</v>
      </c>
      <c r="DN241" s="155" t="str">
        <f t="shared" si="64"/>
        <v/>
      </c>
      <c r="DO241" s="405">
        <v>0</v>
      </c>
      <c r="DP241" s="284">
        <f>IF(DM241,_xll.qDateYears(DM240,DM241,DP$13),0)</f>
        <v>0</v>
      </c>
      <c r="DQ241" s="284">
        <f t="shared" si="70"/>
        <v>2216.4810485334592</v>
      </c>
    </row>
    <row r="242" spans="59:121">
      <c r="BG242" s="560">
        <v>0</v>
      </c>
      <c r="BH242" s="154" t="str">
        <f t="shared" si="59"/>
        <v/>
      </c>
      <c r="BI242" s="405">
        <v>0</v>
      </c>
      <c r="BJ242" s="284">
        <f>IF(BG242,_xll.qDateYears(BG241,BG242,$BJ$13),0)</f>
        <v>0</v>
      </c>
      <c r="BK242" s="284">
        <f t="shared" si="65"/>
        <v>2216.4810485334592</v>
      </c>
      <c r="BQ242" s="560">
        <v>0</v>
      </c>
      <c r="BR242" s="155" t="str">
        <f t="shared" si="60"/>
        <v/>
      </c>
      <c r="BS242" s="405">
        <v>0</v>
      </c>
      <c r="BT242" s="284">
        <f>IF(BQ242,_xll.qDateYears(BQ241,BQ242,BT$13),0)</f>
        <v>0</v>
      </c>
      <c r="BU242" s="284">
        <f t="shared" si="66"/>
        <v>1731.4581291138484</v>
      </c>
      <c r="CC242" s="560">
        <v>0</v>
      </c>
      <c r="CD242" s="155" t="str">
        <f t="shared" si="61"/>
        <v/>
      </c>
      <c r="CE242" s="405">
        <v>0</v>
      </c>
      <c r="CF242" s="284">
        <f>IF(CC242,_xll.qDateYears(CC241,CC242,CF$13),0)</f>
        <v>0</v>
      </c>
      <c r="CG242" s="284">
        <f t="shared" si="67"/>
        <v>2320.9300800126416</v>
      </c>
      <c r="CO242" s="560">
        <v>0</v>
      </c>
      <c r="CP242" s="155" t="str">
        <f t="shared" si="62"/>
        <v/>
      </c>
      <c r="CQ242" s="405">
        <v>0</v>
      </c>
      <c r="CR242" s="284">
        <f>IF(CO242,_xll.qDateYears(CO241,CO242,CR$13),0)</f>
        <v>0</v>
      </c>
      <c r="CS242" s="284">
        <f t="shared" si="68"/>
        <v>2166.0491297426292</v>
      </c>
      <c r="DA242" s="560">
        <v>0</v>
      </c>
      <c r="DB242" s="155" t="str">
        <f t="shared" si="63"/>
        <v/>
      </c>
      <c r="DC242" s="405">
        <v>0</v>
      </c>
      <c r="DD242" s="284">
        <f>IF(DA242,_xll.qDateYears(DA241,DA242,DD$13),0)</f>
        <v>0</v>
      </c>
      <c r="DE242" s="284">
        <f t="shared" si="69"/>
        <v>1625.698949379763</v>
      </c>
      <c r="DM242" s="560">
        <v>0</v>
      </c>
      <c r="DN242" s="155" t="str">
        <f t="shared" si="64"/>
        <v/>
      </c>
      <c r="DO242" s="405">
        <v>0</v>
      </c>
      <c r="DP242" s="284">
        <f>IF(DM242,_xll.qDateYears(DM241,DM242,DP$13),0)</f>
        <v>0</v>
      </c>
      <c r="DQ242" s="284">
        <f t="shared" si="70"/>
        <v>2216.4810485334592</v>
      </c>
    </row>
    <row r="243" spans="59:121">
      <c r="BG243" s="560">
        <v>0</v>
      </c>
      <c r="BH243" s="154" t="str">
        <f t="shared" si="59"/>
        <v/>
      </c>
      <c r="BI243" s="405">
        <v>0</v>
      </c>
      <c r="BJ243" s="284">
        <f>IF(BG243,_xll.qDateYears(BG242,BG243,$BJ$13),0)</f>
        <v>0</v>
      </c>
      <c r="BK243" s="284">
        <f t="shared" si="65"/>
        <v>2216.4810485334592</v>
      </c>
      <c r="BQ243" s="560">
        <v>0</v>
      </c>
      <c r="BR243" s="155" t="str">
        <f t="shared" si="60"/>
        <v/>
      </c>
      <c r="BS243" s="405">
        <v>0</v>
      </c>
      <c r="BT243" s="284">
        <f>IF(BQ243,_xll.qDateYears(BQ242,BQ243,BT$13),0)</f>
        <v>0</v>
      </c>
      <c r="BU243" s="284">
        <f t="shared" si="66"/>
        <v>1731.4581291138484</v>
      </c>
      <c r="CC243" s="560">
        <v>0</v>
      </c>
      <c r="CD243" s="155" t="str">
        <f t="shared" si="61"/>
        <v/>
      </c>
      <c r="CE243" s="405">
        <v>0</v>
      </c>
      <c r="CF243" s="284">
        <f>IF(CC243,_xll.qDateYears(CC242,CC243,CF$13),0)</f>
        <v>0</v>
      </c>
      <c r="CG243" s="284">
        <f t="shared" si="67"/>
        <v>2320.9300800126416</v>
      </c>
      <c r="CO243" s="560">
        <v>0</v>
      </c>
      <c r="CP243" s="155" t="str">
        <f t="shared" si="62"/>
        <v/>
      </c>
      <c r="CQ243" s="405">
        <v>0</v>
      </c>
      <c r="CR243" s="284">
        <f>IF(CO243,_xll.qDateYears(CO242,CO243,CR$13),0)</f>
        <v>0</v>
      </c>
      <c r="CS243" s="284">
        <f t="shared" si="68"/>
        <v>2166.0491297426292</v>
      </c>
      <c r="DA243" s="560">
        <v>0</v>
      </c>
      <c r="DB243" s="155" t="str">
        <f t="shared" si="63"/>
        <v/>
      </c>
      <c r="DC243" s="405">
        <v>0</v>
      </c>
      <c r="DD243" s="284">
        <f>IF(DA243,_xll.qDateYears(DA242,DA243,DD$13),0)</f>
        <v>0</v>
      </c>
      <c r="DE243" s="284">
        <f t="shared" si="69"/>
        <v>1625.698949379763</v>
      </c>
      <c r="DM243" s="560">
        <v>0</v>
      </c>
      <c r="DN243" s="155" t="str">
        <f t="shared" si="64"/>
        <v/>
      </c>
      <c r="DO243" s="405">
        <v>0</v>
      </c>
      <c r="DP243" s="284">
        <f>IF(DM243,_xll.qDateYears(DM242,DM243,DP$13),0)</f>
        <v>0</v>
      </c>
      <c r="DQ243" s="284">
        <f t="shared" si="70"/>
        <v>2216.4810485334592</v>
      </c>
    </row>
    <row r="244" spans="59:121">
      <c r="BG244" s="560">
        <v>0</v>
      </c>
      <c r="BH244" s="154" t="str">
        <f t="shared" si="59"/>
        <v/>
      </c>
      <c r="BI244" s="405">
        <v>0</v>
      </c>
      <c r="BJ244" s="284">
        <f>IF(BG244,_xll.qDateYears(BG243,BG244,$BJ$13),0)</f>
        <v>0</v>
      </c>
      <c r="BK244" s="284">
        <f t="shared" si="65"/>
        <v>2216.4810485334592</v>
      </c>
      <c r="BQ244" s="560">
        <v>0</v>
      </c>
      <c r="BR244" s="155" t="str">
        <f t="shared" si="60"/>
        <v/>
      </c>
      <c r="BS244" s="405">
        <v>0</v>
      </c>
      <c r="BT244" s="284">
        <f>IF(BQ244,_xll.qDateYears(BQ243,BQ244,BT$13),0)</f>
        <v>0</v>
      </c>
      <c r="BU244" s="284">
        <f t="shared" si="66"/>
        <v>1731.4581291138484</v>
      </c>
      <c r="CC244" s="560">
        <v>0</v>
      </c>
      <c r="CD244" s="155" t="str">
        <f t="shared" si="61"/>
        <v/>
      </c>
      <c r="CE244" s="405">
        <v>0</v>
      </c>
      <c r="CF244" s="284">
        <f>IF(CC244,_xll.qDateYears(CC243,CC244,CF$13),0)</f>
        <v>0</v>
      </c>
      <c r="CG244" s="284">
        <f t="shared" si="67"/>
        <v>2320.9300800126416</v>
      </c>
      <c r="CO244" s="560">
        <v>0</v>
      </c>
      <c r="CP244" s="155" t="str">
        <f t="shared" si="62"/>
        <v/>
      </c>
      <c r="CQ244" s="405">
        <v>0</v>
      </c>
      <c r="CR244" s="284">
        <f>IF(CO244,_xll.qDateYears(CO243,CO244,CR$13),0)</f>
        <v>0</v>
      </c>
      <c r="CS244" s="284">
        <f t="shared" si="68"/>
        <v>2166.0491297426292</v>
      </c>
      <c r="DA244" s="560">
        <v>0</v>
      </c>
      <c r="DB244" s="155" t="str">
        <f t="shared" si="63"/>
        <v/>
      </c>
      <c r="DC244" s="405">
        <v>0</v>
      </c>
      <c r="DD244" s="284">
        <f>IF(DA244,_xll.qDateYears(DA243,DA244,DD$13),0)</f>
        <v>0</v>
      </c>
      <c r="DE244" s="284">
        <f t="shared" si="69"/>
        <v>1625.698949379763</v>
      </c>
      <c r="DM244" s="560">
        <v>0</v>
      </c>
      <c r="DN244" s="155" t="str">
        <f t="shared" si="64"/>
        <v/>
      </c>
      <c r="DO244" s="405">
        <v>0</v>
      </c>
      <c r="DP244" s="284">
        <f>IF(DM244,_xll.qDateYears(DM243,DM244,DP$13),0)</f>
        <v>0</v>
      </c>
      <c r="DQ244" s="284">
        <f t="shared" si="70"/>
        <v>2216.4810485334592</v>
      </c>
    </row>
    <row r="245" spans="59:121">
      <c r="BG245" s="560">
        <v>0</v>
      </c>
      <c r="BH245" s="154" t="str">
        <f t="shared" si="59"/>
        <v/>
      </c>
      <c r="BI245" s="405">
        <v>0</v>
      </c>
      <c r="BJ245" s="284">
        <f>IF(BG245,_xll.qDateYears(BG244,BG245,$BJ$13),0)</f>
        <v>0</v>
      </c>
      <c r="BK245" s="284">
        <f t="shared" si="65"/>
        <v>2216.4810485334592</v>
      </c>
      <c r="BQ245" s="560">
        <v>0</v>
      </c>
      <c r="BR245" s="155" t="str">
        <f t="shared" si="60"/>
        <v/>
      </c>
      <c r="BS245" s="405">
        <v>0</v>
      </c>
      <c r="BT245" s="284">
        <f>IF(BQ245,_xll.qDateYears(BQ244,BQ245,BT$13),0)</f>
        <v>0</v>
      </c>
      <c r="BU245" s="284">
        <f t="shared" si="66"/>
        <v>1731.4581291138484</v>
      </c>
      <c r="CC245" s="560">
        <v>0</v>
      </c>
      <c r="CD245" s="155" t="str">
        <f t="shared" si="61"/>
        <v/>
      </c>
      <c r="CE245" s="405">
        <v>0</v>
      </c>
      <c r="CF245" s="284">
        <f>IF(CC245,_xll.qDateYears(CC244,CC245,CF$13),0)</f>
        <v>0</v>
      </c>
      <c r="CG245" s="284">
        <f t="shared" si="67"/>
        <v>2320.9300800126416</v>
      </c>
      <c r="CO245" s="560">
        <v>0</v>
      </c>
      <c r="CP245" s="155" t="str">
        <f t="shared" si="62"/>
        <v/>
      </c>
      <c r="CQ245" s="405">
        <v>0</v>
      </c>
      <c r="CR245" s="284">
        <f>IF(CO245,_xll.qDateYears(CO244,CO245,CR$13),0)</f>
        <v>0</v>
      </c>
      <c r="CS245" s="284">
        <f t="shared" si="68"/>
        <v>2166.0491297426292</v>
      </c>
      <c r="DA245" s="560">
        <v>0</v>
      </c>
      <c r="DB245" s="155" t="str">
        <f t="shared" si="63"/>
        <v/>
      </c>
      <c r="DC245" s="405">
        <v>0</v>
      </c>
      <c r="DD245" s="284">
        <f>IF(DA245,_xll.qDateYears(DA244,DA245,DD$13),0)</f>
        <v>0</v>
      </c>
      <c r="DE245" s="284">
        <f t="shared" si="69"/>
        <v>1625.698949379763</v>
      </c>
      <c r="DM245" s="560">
        <v>0</v>
      </c>
      <c r="DN245" s="155" t="str">
        <f t="shared" si="64"/>
        <v/>
      </c>
      <c r="DO245" s="405">
        <v>0</v>
      </c>
      <c r="DP245" s="284">
        <f>IF(DM245,_xll.qDateYears(DM244,DM245,DP$13),0)</f>
        <v>0</v>
      </c>
      <c r="DQ245" s="284">
        <f t="shared" si="70"/>
        <v>2216.4810485334592</v>
      </c>
    </row>
    <row r="246" spans="59:121">
      <c r="BG246" s="560">
        <v>0</v>
      </c>
      <c r="BH246" s="154" t="str">
        <f t="shared" si="59"/>
        <v/>
      </c>
      <c r="BI246" s="405">
        <v>0</v>
      </c>
      <c r="BJ246" s="284">
        <f>IF(BG246,_xll.qDateYears(BG245,BG246,$BJ$13),0)</f>
        <v>0</v>
      </c>
      <c r="BK246" s="284">
        <f t="shared" si="65"/>
        <v>2216.4810485334592</v>
      </c>
      <c r="BQ246" s="560">
        <v>0</v>
      </c>
      <c r="BR246" s="155" t="str">
        <f t="shared" si="60"/>
        <v/>
      </c>
      <c r="BS246" s="405">
        <v>0</v>
      </c>
      <c r="BT246" s="284">
        <f>IF(BQ246,_xll.qDateYears(BQ245,BQ246,BT$13),0)</f>
        <v>0</v>
      </c>
      <c r="BU246" s="284">
        <f t="shared" si="66"/>
        <v>1731.4581291138484</v>
      </c>
      <c r="CC246" s="560">
        <v>0</v>
      </c>
      <c r="CD246" s="155" t="str">
        <f t="shared" si="61"/>
        <v/>
      </c>
      <c r="CE246" s="405">
        <v>0</v>
      </c>
      <c r="CF246" s="284">
        <f>IF(CC246,_xll.qDateYears(CC245,CC246,CF$13),0)</f>
        <v>0</v>
      </c>
      <c r="CG246" s="284">
        <f t="shared" si="67"/>
        <v>2320.9300800126416</v>
      </c>
      <c r="CO246" s="560">
        <v>0</v>
      </c>
      <c r="CP246" s="155" t="str">
        <f t="shared" si="62"/>
        <v/>
      </c>
      <c r="CQ246" s="405">
        <v>0</v>
      </c>
      <c r="CR246" s="284">
        <f>IF(CO246,_xll.qDateYears(CO245,CO246,CR$13),0)</f>
        <v>0</v>
      </c>
      <c r="CS246" s="284">
        <f t="shared" si="68"/>
        <v>2166.0491297426292</v>
      </c>
      <c r="DA246" s="560">
        <v>0</v>
      </c>
      <c r="DB246" s="155" t="str">
        <f t="shared" si="63"/>
        <v/>
      </c>
      <c r="DC246" s="405">
        <v>0</v>
      </c>
      <c r="DD246" s="284">
        <f>IF(DA246,_xll.qDateYears(DA245,DA246,DD$13),0)</f>
        <v>0</v>
      </c>
      <c r="DE246" s="284">
        <f t="shared" si="69"/>
        <v>1625.698949379763</v>
      </c>
      <c r="DM246" s="560">
        <v>0</v>
      </c>
      <c r="DN246" s="155" t="str">
        <f t="shared" si="64"/>
        <v/>
      </c>
      <c r="DO246" s="405">
        <v>0</v>
      </c>
      <c r="DP246" s="284">
        <f>IF(DM246,_xll.qDateYears(DM245,DM246,DP$13),0)</f>
        <v>0</v>
      </c>
      <c r="DQ246" s="284">
        <f t="shared" si="70"/>
        <v>2216.4810485334592</v>
      </c>
    </row>
    <row r="247" spans="59:121">
      <c r="BG247" s="560">
        <v>0</v>
      </c>
      <c r="BH247" s="154" t="str">
        <f t="shared" si="59"/>
        <v/>
      </c>
      <c r="BI247" s="405">
        <v>0</v>
      </c>
      <c r="BJ247" s="284">
        <f>IF(BG247,_xll.qDateYears(BG246,BG247,$BJ$13),0)</f>
        <v>0</v>
      </c>
      <c r="BK247" s="284">
        <f t="shared" si="65"/>
        <v>2216.4810485334592</v>
      </c>
      <c r="BQ247" s="560">
        <v>0</v>
      </c>
      <c r="BR247" s="155" t="str">
        <f t="shared" si="60"/>
        <v/>
      </c>
      <c r="BS247" s="405">
        <v>0</v>
      </c>
      <c r="BT247" s="284">
        <f>IF(BQ247,_xll.qDateYears(BQ246,BQ247,BT$13),0)</f>
        <v>0</v>
      </c>
      <c r="BU247" s="284">
        <f t="shared" si="66"/>
        <v>1731.4581291138484</v>
      </c>
      <c r="CC247" s="560">
        <v>0</v>
      </c>
      <c r="CD247" s="155" t="str">
        <f t="shared" si="61"/>
        <v/>
      </c>
      <c r="CE247" s="405">
        <v>0</v>
      </c>
      <c r="CF247" s="284">
        <f>IF(CC247,_xll.qDateYears(CC246,CC247,CF$13),0)</f>
        <v>0</v>
      </c>
      <c r="CG247" s="284">
        <f t="shared" si="67"/>
        <v>2320.9300800126416</v>
      </c>
      <c r="CO247" s="560">
        <v>0</v>
      </c>
      <c r="CP247" s="155" t="str">
        <f t="shared" si="62"/>
        <v/>
      </c>
      <c r="CQ247" s="405">
        <v>0</v>
      </c>
      <c r="CR247" s="284">
        <f>IF(CO247,_xll.qDateYears(CO246,CO247,CR$13),0)</f>
        <v>0</v>
      </c>
      <c r="CS247" s="284">
        <f t="shared" si="68"/>
        <v>2166.0491297426292</v>
      </c>
      <c r="DA247" s="560">
        <v>0</v>
      </c>
      <c r="DB247" s="155" t="str">
        <f t="shared" si="63"/>
        <v/>
      </c>
      <c r="DC247" s="405">
        <v>0</v>
      </c>
      <c r="DD247" s="284">
        <f>IF(DA247,_xll.qDateYears(DA246,DA247,DD$13),0)</f>
        <v>0</v>
      </c>
      <c r="DE247" s="284">
        <f t="shared" si="69"/>
        <v>1625.698949379763</v>
      </c>
      <c r="DM247" s="560">
        <v>0</v>
      </c>
      <c r="DN247" s="155" t="str">
        <f t="shared" si="64"/>
        <v/>
      </c>
      <c r="DO247" s="405">
        <v>0</v>
      </c>
      <c r="DP247" s="284">
        <f>IF(DM247,_xll.qDateYears(DM246,DM247,DP$13),0)</f>
        <v>0</v>
      </c>
      <c r="DQ247" s="284">
        <f t="shared" si="70"/>
        <v>2216.4810485334592</v>
      </c>
    </row>
    <row r="248" spans="59:121">
      <c r="BG248" s="560">
        <v>0</v>
      </c>
      <c r="BH248" s="154" t="str">
        <f t="shared" si="59"/>
        <v/>
      </c>
      <c r="BI248" s="405">
        <v>0</v>
      </c>
      <c r="BJ248" s="284">
        <f>IF(BG248,_xll.qDateYears(BG247,BG248,$BJ$13),0)</f>
        <v>0</v>
      </c>
      <c r="BK248" s="284">
        <f t="shared" si="65"/>
        <v>2216.4810485334592</v>
      </c>
      <c r="BQ248" s="560">
        <v>0</v>
      </c>
      <c r="BR248" s="155" t="str">
        <f t="shared" si="60"/>
        <v/>
      </c>
      <c r="BS248" s="405">
        <v>0</v>
      </c>
      <c r="BT248" s="284">
        <f>IF(BQ248,_xll.qDateYears(BQ247,BQ248,BT$13),0)</f>
        <v>0</v>
      </c>
      <c r="BU248" s="284">
        <f t="shared" si="66"/>
        <v>1731.4581291138484</v>
      </c>
      <c r="CC248" s="560">
        <v>0</v>
      </c>
      <c r="CD248" s="155" t="str">
        <f t="shared" si="61"/>
        <v/>
      </c>
      <c r="CE248" s="405">
        <v>0</v>
      </c>
      <c r="CF248" s="284">
        <f>IF(CC248,_xll.qDateYears(CC247,CC248,CF$13),0)</f>
        <v>0</v>
      </c>
      <c r="CG248" s="284">
        <f t="shared" si="67"/>
        <v>2320.9300800126416</v>
      </c>
      <c r="CO248" s="560">
        <v>0</v>
      </c>
      <c r="CP248" s="155" t="str">
        <f t="shared" si="62"/>
        <v/>
      </c>
      <c r="CQ248" s="405">
        <v>0</v>
      </c>
      <c r="CR248" s="284">
        <f>IF(CO248,_xll.qDateYears(CO247,CO248,CR$13),0)</f>
        <v>0</v>
      </c>
      <c r="CS248" s="284">
        <f t="shared" si="68"/>
        <v>2166.0491297426292</v>
      </c>
      <c r="DA248" s="560">
        <v>0</v>
      </c>
      <c r="DB248" s="155" t="str">
        <f t="shared" si="63"/>
        <v/>
      </c>
      <c r="DC248" s="405">
        <v>0</v>
      </c>
      <c r="DD248" s="284">
        <f>IF(DA248,_xll.qDateYears(DA247,DA248,DD$13),0)</f>
        <v>0</v>
      </c>
      <c r="DE248" s="284">
        <f t="shared" si="69"/>
        <v>1625.698949379763</v>
      </c>
      <c r="DM248" s="560">
        <v>0</v>
      </c>
      <c r="DN248" s="155" t="str">
        <f t="shared" si="64"/>
        <v/>
      </c>
      <c r="DO248" s="405">
        <v>0</v>
      </c>
      <c r="DP248" s="284">
        <f>IF(DM248,_xll.qDateYears(DM247,DM248,DP$13),0)</f>
        <v>0</v>
      </c>
      <c r="DQ248" s="284">
        <f t="shared" si="70"/>
        <v>2216.4810485334592</v>
      </c>
    </row>
    <row r="249" spans="59:121">
      <c r="BG249" s="560">
        <v>0</v>
      </c>
      <c r="BH249" s="154" t="str">
        <f t="shared" si="59"/>
        <v/>
      </c>
      <c r="BI249" s="405">
        <v>0</v>
      </c>
      <c r="BJ249" s="284">
        <f>IF(BG249,_xll.qDateYears(BG248,BG249,$BJ$13),0)</f>
        <v>0</v>
      </c>
      <c r="BK249" s="284">
        <f t="shared" si="65"/>
        <v>2216.4810485334592</v>
      </c>
      <c r="BQ249" s="560">
        <v>0</v>
      </c>
      <c r="BR249" s="155" t="str">
        <f t="shared" si="60"/>
        <v/>
      </c>
      <c r="BS249" s="405">
        <v>0</v>
      </c>
      <c r="BT249" s="284">
        <f>IF(BQ249,_xll.qDateYears(BQ248,BQ249,BT$13),0)</f>
        <v>0</v>
      </c>
      <c r="BU249" s="284">
        <f t="shared" si="66"/>
        <v>1731.4581291138484</v>
      </c>
      <c r="CC249" s="560">
        <v>0</v>
      </c>
      <c r="CD249" s="155" t="str">
        <f t="shared" si="61"/>
        <v/>
      </c>
      <c r="CE249" s="405">
        <v>0</v>
      </c>
      <c r="CF249" s="284">
        <f>IF(CC249,_xll.qDateYears(CC248,CC249,CF$13),0)</f>
        <v>0</v>
      </c>
      <c r="CG249" s="284">
        <f t="shared" si="67"/>
        <v>2320.9300800126416</v>
      </c>
      <c r="CO249" s="560">
        <v>0</v>
      </c>
      <c r="CP249" s="155" t="str">
        <f t="shared" si="62"/>
        <v/>
      </c>
      <c r="CQ249" s="405">
        <v>0</v>
      </c>
      <c r="CR249" s="284">
        <f>IF(CO249,_xll.qDateYears(CO248,CO249,CR$13),0)</f>
        <v>0</v>
      </c>
      <c r="CS249" s="284">
        <f t="shared" si="68"/>
        <v>2166.0491297426292</v>
      </c>
      <c r="DA249" s="560">
        <v>0</v>
      </c>
      <c r="DB249" s="155" t="str">
        <f t="shared" si="63"/>
        <v/>
      </c>
      <c r="DC249" s="405">
        <v>0</v>
      </c>
      <c r="DD249" s="284">
        <f>IF(DA249,_xll.qDateYears(DA248,DA249,DD$13),0)</f>
        <v>0</v>
      </c>
      <c r="DE249" s="284">
        <f t="shared" si="69"/>
        <v>1625.698949379763</v>
      </c>
      <c r="DM249" s="560">
        <v>0</v>
      </c>
      <c r="DN249" s="155" t="str">
        <f t="shared" si="64"/>
        <v/>
      </c>
      <c r="DO249" s="405">
        <v>0</v>
      </c>
      <c r="DP249" s="284">
        <f>IF(DM249,_xll.qDateYears(DM248,DM249,DP$13),0)</f>
        <v>0</v>
      </c>
      <c r="DQ249" s="284">
        <f t="shared" si="70"/>
        <v>2216.4810485334592</v>
      </c>
    </row>
    <row r="250" spans="59:121">
      <c r="BG250" s="560">
        <v>0</v>
      </c>
      <c r="BH250" s="154" t="str">
        <f t="shared" si="59"/>
        <v/>
      </c>
      <c r="BI250" s="405">
        <v>0</v>
      </c>
      <c r="BJ250" s="284">
        <f>IF(BG250,_xll.qDateYears(BG249,BG250,$BJ$13),0)</f>
        <v>0</v>
      </c>
      <c r="BK250" s="284">
        <f t="shared" si="65"/>
        <v>2216.4810485334592</v>
      </c>
      <c r="BQ250" s="560">
        <v>0</v>
      </c>
      <c r="BR250" s="155" t="str">
        <f t="shared" si="60"/>
        <v/>
      </c>
      <c r="BS250" s="405">
        <v>0</v>
      </c>
      <c r="BT250" s="284">
        <f>IF(BQ250,_xll.qDateYears(BQ249,BQ250,BT$13),0)</f>
        <v>0</v>
      </c>
      <c r="BU250" s="284">
        <f t="shared" si="66"/>
        <v>1731.4581291138484</v>
      </c>
      <c r="CC250" s="560">
        <v>0</v>
      </c>
      <c r="CD250" s="155" t="str">
        <f t="shared" si="61"/>
        <v/>
      </c>
      <c r="CE250" s="405">
        <v>0</v>
      </c>
      <c r="CF250" s="284">
        <f>IF(CC250,_xll.qDateYears(CC249,CC250,CF$13),0)</f>
        <v>0</v>
      </c>
      <c r="CG250" s="284">
        <f t="shared" si="67"/>
        <v>2320.9300800126416</v>
      </c>
      <c r="CO250" s="560">
        <v>0</v>
      </c>
      <c r="CP250" s="155" t="str">
        <f t="shared" si="62"/>
        <v/>
      </c>
      <c r="CQ250" s="405">
        <v>0</v>
      </c>
      <c r="CR250" s="284">
        <f>IF(CO250,_xll.qDateYears(CO249,CO250,CR$13),0)</f>
        <v>0</v>
      </c>
      <c r="CS250" s="284">
        <f t="shared" si="68"/>
        <v>2166.0491297426292</v>
      </c>
      <c r="DA250" s="560">
        <v>0</v>
      </c>
      <c r="DB250" s="155" t="str">
        <f t="shared" si="63"/>
        <v/>
      </c>
      <c r="DC250" s="405">
        <v>0</v>
      </c>
      <c r="DD250" s="284">
        <f>IF(DA250,_xll.qDateYears(DA249,DA250,DD$13),0)</f>
        <v>0</v>
      </c>
      <c r="DE250" s="284">
        <f t="shared" si="69"/>
        <v>1625.698949379763</v>
      </c>
      <c r="DM250" s="560">
        <v>0</v>
      </c>
      <c r="DN250" s="155" t="str">
        <f t="shared" si="64"/>
        <v/>
      </c>
      <c r="DO250" s="405">
        <v>0</v>
      </c>
      <c r="DP250" s="284">
        <f>IF(DM250,_xll.qDateYears(DM249,DM250,DP$13),0)</f>
        <v>0</v>
      </c>
      <c r="DQ250" s="284">
        <f t="shared" si="70"/>
        <v>2216.4810485334592</v>
      </c>
    </row>
    <row r="251" spans="59:121">
      <c r="BG251" s="560">
        <v>0</v>
      </c>
      <c r="BH251" s="154" t="str">
        <f t="shared" si="59"/>
        <v/>
      </c>
      <c r="BI251" s="405">
        <v>0</v>
      </c>
      <c r="BJ251" s="284">
        <f>IF(BG251,_xll.qDateYears(BG250,BG251,$BJ$13),0)</f>
        <v>0</v>
      </c>
      <c r="BK251" s="284">
        <f t="shared" si="65"/>
        <v>2216.4810485334592</v>
      </c>
      <c r="BQ251" s="560">
        <v>0</v>
      </c>
      <c r="BR251" s="155" t="str">
        <f t="shared" si="60"/>
        <v/>
      </c>
      <c r="BS251" s="405">
        <v>0</v>
      </c>
      <c r="BT251" s="284">
        <f>IF(BQ251,_xll.qDateYears(BQ250,BQ251,BT$13),0)</f>
        <v>0</v>
      </c>
      <c r="BU251" s="284">
        <f t="shared" si="66"/>
        <v>1731.4581291138484</v>
      </c>
      <c r="CC251" s="560">
        <v>0</v>
      </c>
      <c r="CD251" s="155" t="str">
        <f t="shared" si="61"/>
        <v/>
      </c>
      <c r="CE251" s="405">
        <v>0</v>
      </c>
      <c r="CF251" s="284">
        <f>IF(CC251,_xll.qDateYears(CC250,CC251,CF$13),0)</f>
        <v>0</v>
      </c>
      <c r="CG251" s="284">
        <f t="shared" si="67"/>
        <v>2320.9300800126416</v>
      </c>
      <c r="CO251" s="560">
        <v>0</v>
      </c>
      <c r="CP251" s="155" t="str">
        <f t="shared" si="62"/>
        <v/>
      </c>
      <c r="CQ251" s="405">
        <v>0</v>
      </c>
      <c r="CR251" s="284">
        <f>IF(CO251,_xll.qDateYears(CO250,CO251,CR$13),0)</f>
        <v>0</v>
      </c>
      <c r="CS251" s="284">
        <f t="shared" si="68"/>
        <v>2166.0491297426292</v>
      </c>
      <c r="DA251" s="560">
        <v>0</v>
      </c>
      <c r="DB251" s="155" t="str">
        <f t="shared" si="63"/>
        <v/>
      </c>
      <c r="DC251" s="405">
        <v>0</v>
      </c>
      <c r="DD251" s="284">
        <f>IF(DA251,_xll.qDateYears(DA250,DA251,DD$13),0)</f>
        <v>0</v>
      </c>
      <c r="DE251" s="284">
        <f t="shared" si="69"/>
        <v>1625.698949379763</v>
      </c>
      <c r="DM251" s="560">
        <v>0</v>
      </c>
      <c r="DN251" s="155" t="str">
        <f t="shared" si="64"/>
        <v/>
      </c>
      <c r="DO251" s="405">
        <v>0</v>
      </c>
      <c r="DP251" s="284">
        <f>IF(DM251,_xll.qDateYears(DM250,DM251,DP$13),0)</f>
        <v>0</v>
      </c>
      <c r="DQ251" s="284">
        <f t="shared" si="70"/>
        <v>2216.4810485334592</v>
      </c>
    </row>
    <row r="252" spans="59:121">
      <c r="BG252" s="560">
        <v>0</v>
      </c>
      <c r="BH252" s="154" t="str">
        <f t="shared" si="59"/>
        <v/>
      </c>
      <c r="BI252" s="405">
        <v>0</v>
      </c>
      <c r="BJ252" s="284">
        <f>IF(BG252,_xll.qDateYears(BG251,BG252,$BJ$13),0)</f>
        <v>0</v>
      </c>
      <c r="BK252" s="284">
        <f t="shared" si="65"/>
        <v>2216.4810485334592</v>
      </c>
      <c r="BQ252" s="560">
        <v>0</v>
      </c>
      <c r="BR252" s="155" t="str">
        <f t="shared" si="60"/>
        <v/>
      </c>
      <c r="BS252" s="405">
        <v>0</v>
      </c>
      <c r="BT252" s="284">
        <f>IF(BQ252,_xll.qDateYears(BQ251,BQ252,BT$13),0)</f>
        <v>0</v>
      </c>
      <c r="BU252" s="284">
        <f t="shared" si="66"/>
        <v>1731.4581291138484</v>
      </c>
      <c r="CC252" s="560">
        <v>0</v>
      </c>
      <c r="CD252" s="155" t="str">
        <f t="shared" si="61"/>
        <v/>
      </c>
      <c r="CE252" s="405">
        <v>0</v>
      </c>
      <c r="CF252" s="284">
        <f>IF(CC252,_xll.qDateYears(CC251,CC252,CF$13),0)</f>
        <v>0</v>
      </c>
      <c r="CG252" s="284">
        <f t="shared" si="67"/>
        <v>2320.9300800126416</v>
      </c>
      <c r="CO252" s="560">
        <v>0</v>
      </c>
      <c r="CP252" s="155" t="str">
        <f t="shared" si="62"/>
        <v/>
      </c>
      <c r="CQ252" s="405">
        <v>0</v>
      </c>
      <c r="CR252" s="284">
        <f>IF(CO252,_xll.qDateYears(CO251,CO252,CR$13),0)</f>
        <v>0</v>
      </c>
      <c r="CS252" s="284">
        <f t="shared" si="68"/>
        <v>2166.0491297426292</v>
      </c>
      <c r="DA252" s="560">
        <v>0</v>
      </c>
      <c r="DB252" s="155" t="str">
        <f t="shared" si="63"/>
        <v/>
      </c>
      <c r="DC252" s="405">
        <v>0</v>
      </c>
      <c r="DD252" s="284">
        <f>IF(DA252,_xll.qDateYears(DA251,DA252,DD$13),0)</f>
        <v>0</v>
      </c>
      <c r="DE252" s="284">
        <f t="shared" si="69"/>
        <v>1625.698949379763</v>
      </c>
      <c r="DM252" s="560">
        <v>0</v>
      </c>
      <c r="DN252" s="155" t="str">
        <f t="shared" si="64"/>
        <v/>
      </c>
      <c r="DO252" s="405">
        <v>0</v>
      </c>
      <c r="DP252" s="284">
        <f>IF(DM252,_xll.qDateYears(DM251,DM252,DP$13),0)</f>
        <v>0</v>
      </c>
      <c r="DQ252" s="284">
        <f t="shared" si="70"/>
        <v>2216.4810485334592</v>
      </c>
    </row>
    <row r="253" spans="59:121">
      <c r="BG253" s="560">
        <v>0</v>
      </c>
      <c r="BH253" s="154" t="str">
        <f t="shared" si="59"/>
        <v/>
      </c>
      <c r="BI253" s="405">
        <v>0</v>
      </c>
      <c r="BJ253" s="284">
        <f>IF(BG253,_xll.qDateYears(BG252,BG253,$BJ$13),0)</f>
        <v>0</v>
      </c>
      <c r="BK253" s="284">
        <f t="shared" si="65"/>
        <v>2216.4810485334592</v>
      </c>
      <c r="BQ253" s="560">
        <v>0</v>
      </c>
      <c r="BR253" s="155" t="str">
        <f t="shared" si="60"/>
        <v/>
      </c>
      <c r="BS253" s="405">
        <v>0</v>
      </c>
      <c r="BT253" s="284">
        <f>IF(BQ253,_xll.qDateYears(BQ252,BQ253,BT$13),0)</f>
        <v>0</v>
      </c>
      <c r="BU253" s="284">
        <f t="shared" si="66"/>
        <v>1731.4581291138484</v>
      </c>
      <c r="CC253" s="560">
        <v>0</v>
      </c>
      <c r="CD253" s="155" t="str">
        <f t="shared" si="61"/>
        <v/>
      </c>
      <c r="CE253" s="405">
        <v>0</v>
      </c>
      <c r="CF253" s="284">
        <f>IF(CC253,_xll.qDateYears(CC252,CC253,CF$13),0)</f>
        <v>0</v>
      </c>
      <c r="CG253" s="284">
        <f t="shared" si="67"/>
        <v>2320.9300800126416</v>
      </c>
      <c r="CO253" s="560">
        <v>0</v>
      </c>
      <c r="CP253" s="155" t="str">
        <f t="shared" si="62"/>
        <v/>
      </c>
      <c r="CQ253" s="405">
        <v>0</v>
      </c>
      <c r="CR253" s="284">
        <f>IF(CO253,_xll.qDateYears(CO252,CO253,CR$13),0)</f>
        <v>0</v>
      </c>
      <c r="CS253" s="284">
        <f t="shared" si="68"/>
        <v>2166.0491297426292</v>
      </c>
      <c r="DA253" s="560">
        <v>0</v>
      </c>
      <c r="DB253" s="155" t="str">
        <f t="shared" si="63"/>
        <v/>
      </c>
      <c r="DC253" s="405">
        <v>0</v>
      </c>
      <c r="DD253" s="284">
        <f>IF(DA253,_xll.qDateYears(DA252,DA253,DD$13),0)</f>
        <v>0</v>
      </c>
      <c r="DE253" s="284">
        <f t="shared" si="69"/>
        <v>1625.698949379763</v>
      </c>
      <c r="DM253" s="560">
        <v>0</v>
      </c>
      <c r="DN253" s="155" t="str">
        <f t="shared" si="64"/>
        <v/>
      </c>
      <c r="DO253" s="405">
        <v>0</v>
      </c>
      <c r="DP253" s="284">
        <f>IF(DM253,_xll.qDateYears(DM252,DM253,DP$13),0)</f>
        <v>0</v>
      </c>
      <c r="DQ253" s="284">
        <f t="shared" si="70"/>
        <v>2216.4810485334592</v>
      </c>
    </row>
    <row r="254" spans="59:121">
      <c r="BG254" s="560">
        <v>0</v>
      </c>
      <c r="BH254" s="154" t="str">
        <f t="shared" si="59"/>
        <v/>
      </c>
      <c r="BI254" s="405">
        <v>0</v>
      </c>
      <c r="BJ254" s="284">
        <f>IF(BG254,_xll.qDateYears(BG253,BG254,$BJ$13),0)</f>
        <v>0</v>
      </c>
      <c r="BK254" s="284">
        <f t="shared" si="65"/>
        <v>2216.4810485334592</v>
      </c>
      <c r="BQ254" s="560">
        <v>0</v>
      </c>
      <c r="BR254" s="155" t="str">
        <f t="shared" si="60"/>
        <v/>
      </c>
      <c r="BS254" s="405">
        <v>0</v>
      </c>
      <c r="BT254" s="284">
        <f>IF(BQ254,_xll.qDateYears(BQ253,BQ254,BT$13),0)</f>
        <v>0</v>
      </c>
      <c r="BU254" s="284">
        <f t="shared" si="66"/>
        <v>1731.4581291138484</v>
      </c>
      <c r="CC254" s="560">
        <v>0</v>
      </c>
      <c r="CD254" s="155" t="str">
        <f t="shared" si="61"/>
        <v/>
      </c>
      <c r="CE254" s="405">
        <v>0</v>
      </c>
      <c r="CF254" s="284">
        <f>IF(CC254,_xll.qDateYears(CC253,CC254,CF$13),0)</f>
        <v>0</v>
      </c>
      <c r="CG254" s="284">
        <f t="shared" si="67"/>
        <v>2320.9300800126416</v>
      </c>
      <c r="CO254" s="560">
        <v>0</v>
      </c>
      <c r="CP254" s="155" t="str">
        <f t="shared" si="62"/>
        <v/>
      </c>
      <c r="CQ254" s="405">
        <v>0</v>
      </c>
      <c r="CR254" s="284">
        <f>IF(CO254,_xll.qDateYears(CO253,CO254,CR$13),0)</f>
        <v>0</v>
      </c>
      <c r="CS254" s="284">
        <f t="shared" si="68"/>
        <v>2166.0491297426292</v>
      </c>
      <c r="DA254" s="560">
        <v>0</v>
      </c>
      <c r="DB254" s="155" t="str">
        <f t="shared" si="63"/>
        <v/>
      </c>
      <c r="DC254" s="405">
        <v>0</v>
      </c>
      <c r="DD254" s="284">
        <f>IF(DA254,_xll.qDateYears(DA253,DA254,DD$13),0)</f>
        <v>0</v>
      </c>
      <c r="DE254" s="284">
        <f t="shared" si="69"/>
        <v>1625.698949379763</v>
      </c>
      <c r="DM254" s="560">
        <v>0</v>
      </c>
      <c r="DN254" s="155" t="str">
        <f t="shared" si="64"/>
        <v/>
      </c>
      <c r="DO254" s="405">
        <v>0</v>
      </c>
      <c r="DP254" s="284">
        <f>IF(DM254,_xll.qDateYears(DM253,DM254,DP$13),0)</f>
        <v>0</v>
      </c>
      <c r="DQ254" s="284">
        <f t="shared" si="70"/>
        <v>2216.4810485334592</v>
      </c>
    </row>
    <row r="255" spans="59:121">
      <c r="BG255" s="560">
        <v>0</v>
      </c>
      <c r="BH255" s="154" t="str">
        <f t="shared" si="59"/>
        <v/>
      </c>
      <c r="BI255" s="405">
        <v>0</v>
      </c>
      <c r="BJ255" s="284">
        <f>IF(BG255,_xll.qDateYears(BG254,BG255,$BJ$13),0)</f>
        <v>0</v>
      </c>
      <c r="BK255" s="284">
        <f t="shared" si="65"/>
        <v>2216.4810485334592</v>
      </c>
      <c r="BQ255" s="560">
        <v>0</v>
      </c>
      <c r="BR255" s="155" t="str">
        <f t="shared" si="60"/>
        <v/>
      </c>
      <c r="BS255" s="405">
        <v>0</v>
      </c>
      <c r="BT255" s="284">
        <f>IF(BQ255,_xll.qDateYears(BQ254,BQ255,BT$13),0)</f>
        <v>0</v>
      </c>
      <c r="BU255" s="284">
        <f t="shared" si="66"/>
        <v>1731.4581291138484</v>
      </c>
      <c r="CC255" s="560">
        <v>0</v>
      </c>
      <c r="CD255" s="155" t="str">
        <f t="shared" si="61"/>
        <v/>
      </c>
      <c r="CE255" s="405">
        <v>0</v>
      </c>
      <c r="CF255" s="284">
        <f>IF(CC255,_xll.qDateYears(CC254,CC255,CF$13),0)</f>
        <v>0</v>
      </c>
      <c r="CG255" s="284">
        <f t="shared" si="67"/>
        <v>2320.9300800126416</v>
      </c>
      <c r="CO255" s="560">
        <v>0</v>
      </c>
      <c r="CP255" s="155" t="str">
        <f t="shared" si="62"/>
        <v/>
      </c>
      <c r="CQ255" s="405">
        <v>0</v>
      </c>
      <c r="CR255" s="284">
        <f>IF(CO255,_xll.qDateYears(CO254,CO255,CR$13),0)</f>
        <v>0</v>
      </c>
      <c r="CS255" s="284">
        <f t="shared" si="68"/>
        <v>2166.0491297426292</v>
      </c>
      <c r="DA255" s="560">
        <v>0</v>
      </c>
      <c r="DB255" s="155" t="str">
        <f t="shared" si="63"/>
        <v/>
      </c>
      <c r="DC255" s="405">
        <v>0</v>
      </c>
      <c r="DD255" s="284">
        <f>IF(DA255,_xll.qDateYears(DA254,DA255,DD$13),0)</f>
        <v>0</v>
      </c>
      <c r="DE255" s="284">
        <f t="shared" si="69"/>
        <v>1625.698949379763</v>
      </c>
      <c r="DM255" s="560">
        <v>0</v>
      </c>
      <c r="DN255" s="155" t="str">
        <f t="shared" si="64"/>
        <v/>
      </c>
      <c r="DO255" s="405">
        <v>0</v>
      </c>
      <c r="DP255" s="284">
        <f>IF(DM255,_xll.qDateYears(DM254,DM255,DP$13),0)</f>
        <v>0</v>
      </c>
      <c r="DQ255" s="284">
        <f t="shared" si="70"/>
        <v>2216.4810485334592</v>
      </c>
    </row>
    <row r="256" spans="59:121">
      <c r="BG256" s="560">
        <v>0</v>
      </c>
      <c r="BH256" s="154" t="str">
        <f t="shared" si="59"/>
        <v/>
      </c>
      <c r="BI256" s="405">
        <v>0</v>
      </c>
      <c r="BJ256" s="284">
        <f>IF(BG256,_xll.qDateYears(BG255,BG256,$BJ$13),0)</f>
        <v>0</v>
      </c>
      <c r="BK256" s="284">
        <f t="shared" si="65"/>
        <v>2216.4810485334592</v>
      </c>
      <c r="BQ256" s="560">
        <v>0</v>
      </c>
      <c r="BR256" s="155" t="str">
        <f t="shared" si="60"/>
        <v/>
      </c>
      <c r="BS256" s="405">
        <v>0</v>
      </c>
      <c r="BT256" s="284">
        <f>IF(BQ256,_xll.qDateYears(BQ255,BQ256,BT$13),0)</f>
        <v>0</v>
      </c>
      <c r="BU256" s="284">
        <f t="shared" si="66"/>
        <v>1731.4581291138484</v>
      </c>
      <c r="CC256" s="560">
        <v>0</v>
      </c>
      <c r="CD256" s="155" t="str">
        <f t="shared" si="61"/>
        <v/>
      </c>
      <c r="CE256" s="405">
        <v>0</v>
      </c>
      <c r="CF256" s="284">
        <f>IF(CC256,_xll.qDateYears(CC255,CC256,CF$13),0)</f>
        <v>0</v>
      </c>
      <c r="CG256" s="284">
        <f t="shared" si="67"/>
        <v>2320.9300800126416</v>
      </c>
      <c r="CO256" s="560">
        <v>0</v>
      </c>
      <c r="CP256" s="155" t="str">
        <f t="shared" si="62"/>
        <v/>
      </c>
      <c r="CQ256" s="405">
        <v>0</v>
      </c>
      <c r="CR256" s="284">
        <f>IF(CO256,_xll.qDateYears(CO255,CO256,CR$13),0)</f>
        <v>0</v>
      </c>
      <c r="CS256" s="284">
        <f t="shared" si="68"/>
        <v>2166.0491297426292</v>
      </c>
      <c r="DA256" s="560">
        <v>0</v>
      </c>
      <c r="DB256" s="155" t="str">
        <f t="shared" si="63"/>
        <v/>
      </c>
      <c r="DC256" s="405">
        <v>0</v>
      </c>
      <c r="DD256" s="284">
        <f>IF(DA256,_xll.qDateYears(DA255,DA256,DD$13),0)</f>
        <v>0</v>
      </c>
      <c r="DE256" s="284">
        <f t="shared" si="69"/>
        <v>1625.698949379763</v>
      </c>
      <c r="DM256" s="560">
        <v>0</v>
      </c>
      <c r="DN256" s="155" t="str">
        <f t="shared" si="64"/>
        <v/>
      </c>
      <c r="DO256" s="405">
        <v>0</v>
      </c>
      <c r="DP256" s="284">
        <f>IF(DM256,_xll.qDateYears(DM255,DM256,DP$13),0)</f>
        <v>0</v>
      </c>
      <c r="DQ256" s="284">
        <f t="shared" si="70"/>
        <v>2216.4810485334592</v>
      </c>
    </row>
    <row r="257" spans="59:121">
      <c r="BG257" s="560">
        <v>0</v>
      </c>
      <c r="BH257" s="154" t="str">
        <f t="shared" si="59"/>
        <v/>
      </c>
      <c r="BI257" s="405">
        <v>0</v>
      </c>
      <c r="BJ257" s="284">
        <f>IF(BG257,_xll.qDateYears(BG256,BG257,$BJ$13),0)</f>
        <v>0</v>
      </c>
      <c r="BK257" s="284">
        <f t="shared" si="65"/>
        <v>2216.4810485334592</v>
      </c>
      <c r="BQ257" s="560">
        <v>0</v>
      </c>
      <c r="BR257" s="155" t="str">
        <f t="shared" si="60"/>
        <v/>
      </c>
      <c r="BS257" s="405">
        <v>0</v>
      </c>
      <c r="BT257" s="284">
        <f>IF(BQ257,_xll.qDateYears(BQ256,BQ257,BT$13),0)</f>
        <v>0</v>
      </c>
      <c r="BU257" s="284">
        <f t="shared" si="66"/>
        <v>1731.4581291138484</v>
      </c>
      <c r="CC257" s="560">
        <v>0</v>
      </c>
      <c r="CD257" s="155" t="str">
        <f t="shared" si="61"/>
        <v/>
      </c>
      <c r="CE257" s="405">
        <v>0</v>
      </c>
      <c r="CF257" s="284">
        <f>IF(CC257,_xll.qDateYears(CC256,CC257,CF$13),0)</f>
        <v>0</v>
      </c>
      <c r="CG257" s="284">
        <f t="shared" si="67"/>
        <v>2320.9300800126416</v>
      </c>
      <c r="CO257" s="560">
        <v>0</v>
      </c>
      <c r="CP257" s="155" t="str">
        <f t="shared" si="62"/>
        <v/>
      </c>
      <c r="CQ257" s="405">
        <v>0</v>
      </c>
      <c r="CR257" s="284">
        <f>IF(CO257,_xll.qDateYears(CO256,CO257,CR$13),0)</f>
        <v>0</v>
      </c>
      <c r="CS257" s="284">
        <f t="shared" si="68"/>
        <v>2166.0491297426292</v>
      </c>
      <c r="DA257" s="560">
        <v>0</v>
      </c>
      <c r="DB257" s="155" t="str">
        <f t="shared" si="63"/>
        <v/>
      </c>
      <c r="DC257" s="405">
        <v>0</v>
      </c>
      <c r="DD257" s="284">
        <f>IF(DA257,_xll.qDateYears(DA256,DA257,DD$13),0)</f>
        <v>0</v>
      </c>
      <c r="DE257" s="284">
        <f t="shared" si="69"/>
        <v>1625.698949379763</v>
      </c>
      <c r="DM257" s="560">
        <v>0</v>
      </c>
      <c r="DN257" s="155" t="str">
        <f t="shared" si="64"/>
        <v/>
      </c>
      <c r="DO257" s="405">
        <v>0</v>
      </c>
      <c r="DP257" s="284">
        <f>IF(DM257,_xll.qDateYears(DM256,DM257,DP$13),0)</f>
        <v>0</v>
      </c>
      <c r="DQ257" s="284">
        <f t="shared" si="70"/>
        <v>2216.4810485334592</v>
      </c>
    </row>
    <row r="258" spans="59:121">
      <c r="BG258" s="560">
        <v>0</v>
      </c>
      <c r="BH258" s="154" t="str">
        <f t="shared" si="59"/>
        <v/>
      </c>
      <c r="BI258" s="405">
        <v>0</v>
      </c>
      <c r="BJ258" s="284">
        <f>IF(BG258,_xll.qDateYears(BG257,BG258,$BJ$13),0)</f>
        <v>0</v>
      </c>
      <c r="BK258" s="284">
        <f t="shared" si="65"/>
        <v>2216.4810485334592</v>
      </c>
      <c r="BQ258" s="560">
        <v>0</v>
      </c>
      <c r="BR258" s="155" t="str">
        <f t="shared" si="60"/>
        <v/>
      </c>
      <c r="BS258" s="405">
        <v>0</v>
      </c>
      <c r="BT258" s="284">
        <f>IF(BQ258,_xll.qDateYears(BQ257,BQ258,BT$13),0)</f>
        <v>0</v>
      </c>
      <c r="BU258" s="284">
        <f t="shared" si="66"/>
        <v>1731.4581291138484</v>
      </c>
      <c r="CC258" s="560">
        <v>0</v>
      </c>
      <c r="CD258" s="155" t="str">
        <f t="shared" si="61"/>
        <v/>
      </c>
      <c r="CE258" s="405">
        <v>0</v>
      </c>
      <c r="CF258" s="284">
        <f>IF(CC258,_xll.qDateYears(CC257,CC258,CF$13),0)</f>
        <v>0</v>
      </c>
      <c r="CG258" s="284">
        <f t="shared" si="67"/>
        <v>2320.9300800126416</v>
      </c>
      <c r="CO258" s="560">
        <v>0</v>
      </c>
      <c r="CP258" s="155" t="str">
        <f t="shared" si="62"/>
        <v/>
      </c>
      <c r="CQ258" s="405">
        <v>0</v>
      </c>
      <c r="CR258" s="284">
        <f>IF(CO258,_xll.qDateYears(CO257,CO258,CR$13),0)</f>
        <v>0</v>
      </c>
      <c r="CS258" s="284">
        <f t="shared" si="68"/>
        <v>2166.0491297426292</v>
      </c>
      <c r="DA258" s="560">
        <v>0</v>
      </c>
      <c r="DB258" s="155" t="str">
        <f t="shared" si="63"/>
        <v/>
      </c>
      <c r="DC258" s="405">
        <v>0</v>
      </c>
      <c r="DD258" s="284">
        <f>IF(DA258,_xll.qDateYears(DA257,DA258,DD$13),0)</f>
        <v>0</v>
      </c>
      <c r="DE258" s="284">
        <f t="shared" si="69"/>
        <v>1625.698949379763</v>
      </c>
      <c r="DM258" s="560">
        <v>0</v>
      </c>
      <c r="DN258" s="155" t="str">
        <f t="shared" si="64"/>
        <v/>
      </c>
      <c r="DO258" s="405">
        <v>0</v>
      </c>
      <c r="DP258" s="284">
        <f>IF(DM258,_xll.qDateYears(DM257,DM258,DP$13),0)</f>
        <v>0</v>
      </c>
      <c r="DQ258" s="284">
        <f t="shared" si="70"/>
        <v>2216.4810485334592</v>
      </c>
    </row>
    <row r="259" spans="59:121">
      <c r="BG259" s="560">
        <v>0</v>
      </c>
      <c r="BH259" s="154" t="str">
        <f t="shared" si="59"/>
        <v/>
      </c>
      <c r="BI259" s="405">
        <v>0</v>
      </c>
      <c r="BJ259" s="284">
        <f>IF(BG259,_xll.qDateYears(BG258,BG259,$BJ$13),0)</f>
        <v>0</v>
      </c>
      <c r="BK259" s="284">
        <f t="shared" si="65"/>
        <v>2216.4810485334592</v>
      </c>
      <c r="BQ259" s="560">
        <v>0</v>
      </c>
      <c r="BR259" s="155" t="str">
        <f t="shared" si="60"/>
        <v/>
      </c>
      <c r="BS259" s="405">
        <v>0</v>
      </c>
      <c r="BT259" s="284">
        <f>IF(BQ259,_xll.qDateYears(BQ258,BQ259,BT$13),0)</f>
        <v>0</v>
      </c>
      <c r="BU259" s="284">
        <f t="shared" si="66"/>
        <v>1731.4581291138484</v>
      </c>
      <c r="CC259" s="560">
        <v>0</v>
      </c>
      <c r="CD259" s="155" t="str">
        <f t="shared" si="61"/>
        <v/>
      </c>
      <c r="CE259" s="405">
        <v>0</v>
      </c>
      <c r="CF259" s="284">
        <f>IF(CC259,_xll.qDateYears(CC258,CC259,CF$13),0)</f>
        <v>0</v>
      </c>
      <c r="CG259" s="284">
        <f t="shared" si="67"/>
        <v>2320.9300800126416</v>
      </c>
      <c r="CO259" s="560">
        <v>0</v>
      </c>
      <c r="CP259" s="155" t="str">
        <f t="shared" si="62"/>
        <v/>
      </c>
      <c r="CQ259" s="405">
        <v>0</v>
      </c>
      <c r="CR259" s="284">
        <f>IF(CO259,_xll.qDateYears(CO258,CO259,CR$13),0)</f>
        <v>0</v>
      </c>
      <c r="CS259" s="284">
        <f t="shared" si="68"/>
        <v>2166.0491297426292</v>
      </c>
      <c r="DA259" s="560">
        <v>0</v>
      </c>
      <c r="DB259" s="155" t="str">
        <f t="shared" si="63"/>
        <v/>
      </c>
      <c r="DC259" s="405">
        <v>0</v>
      </c>
      <c r="DD259" s="284">
        <f>IF(DA259,_xll.qDateYears(DA258,DA259,DD$13),0)</f>
        <v>0</v>
      </c>
      <c r="DE259" s="284">
        <f t="shared" si="69"/>
        <v>1625.698949379763</v>
      </c>
      <c r="DM259" s="560">
        <v>0</v>
      </c>
      <c r="DN259" s="155" t="str">
        <f t="shared" si="64"/>
        <v/>
      </c>
      <c r="DO259" s="405">
        <v>0</v>
      </c>
      <c r="DP259" s="284">
        <f>IF(DM259,_xll.qDateYears(DM258,DM259,DP$13),0)</f>
        <v>0</v>
      </c>
      <c r="DQ259" s="284">
        <f t="shared" si="70"/>
        <v>2216.4810485334592</v>
      </c>
    </row>
    <row r="260" spans="59:121">
      <c r="BG260" s="560">
        <v>0</v>
      </c>
      <c r="BH260" s="154" t="str">
        <f t="shared" si="59"/>
        <v/>
      </c>
      <c r="BI260" s="405">
        <v>0</v>
      </c>
      <c r="BJ260" s="284">
        <f>IF(BG260,_xll.qDateYears(BG259,BG260,$BJ$13),0)</f>
        <v>0</v>
      </c>
      <c r="BK260" s="284">
        <f t="shared" si="65"/>
        <v>2216.4810485334592</v>
      </c>
      <c r="BQ260" s="560">
        <v>0</v>
      </c>
      <c r="BR260" s="155" t="str">
        <f t="shared" si="60"/>
        <v/>
      </c>
      <c r="BS260" s="405">
        <v>0</v>
      </c>
      <c r="BT260" s="284">
        <f>IF(BQ260,_xll.qDateYears(BQ259,BQ260,BT$13),0)</f>
        <v>0</v>
      </c>
      <c r="BU260" s="284">
        <f t="shared" si="66"/>
        <v>1731.4581291138484</v>
      </c>
      <c r="CC260" s="560">
        <v>0</v>
      </c>
      <c r="CD260" s="155" t="str">
        <f t="shared" si="61"/>
        <v/>
      </c>
      <c r="CE260" s="405">
        <v>0</v>
      </c>
      <c r="CF260" s="284">
        <f>IF(CC260,_xll.qDateYears(CC259,CC260,CF$13),0)</f>
        <v>0</v>
      </c>
      <c r="CG260" s="284">
        <f t="shared" si="67"/>
        <v>2320.9300800126416</v>
      </c>
      <c r="CO260" s="560">
        <v>0</v>
      </c>
      <c r="CP260" s="155" t="str">
        <f t="shared" si="62"/>
        <v/>
      </c>
      <c r="CQ260" s="405">
        <v>0</v>
      </c>
      <c r="CR260" s="284">
        <f>IF(CO260,_xll.qDateYears(CO259,CO260,CR$13),0)</f>
        <v>0</v>
      </c>
      <c r="CS260" s="284">
        <f t="shared" si="68"/>
        <v>2166.0491297426292</v>
      </c>
      <c r="DA260" s="560">
        <v>0</v>
      </c>
      <c r="DB260" s="155" t="str">
        <f t="shared" si="63"/>
        <v/>
      </c>
      <c r="DC260" s="405">
        <v>0</v>
      </c>
      <c r="DD260" s="284">
        <f>IF(DA260,_xll.qDateYears(DA259,DA260,DD$13),0)</f>
        <v>0</v>
      </c>
      <c r="DE260" s="284">
        <f t="shared" si="69"/>
        <v>1625.698949379763</v>
      </c>
      <c r="DM260" s="560">
        <v>0</v>
      </c>
      <c r="DN260" s="155" t="str">
        <f t="shared" si="64"/>
        <v/>
      </c>
      <c r="DO260" s="405">
        <v>0</v>
      </c>
      <c r="DP260" s="284">
        <f>IF(DM260,_xll.qDateYears(DM259,DM260,DP$13),0)</f>
        <v>0</v>
      </c>
      <c r="DQ260" s="284">
        <f t="shared" si="70"/>
        <v>2216.4810485334592</v>
      </c>
    </row>
    <row r="261" spans="59:121">
      <c r="BG261" s="560">
        <v>0</v>
      </c>
      <c r="BH261" s="154" t="str">
        <f t="shared" si="59"/>
        <v/>
      </c>
      <c r="BI261" s="405">
        <v>0</v>
      </c>
      <c r="BJ261" s="284">
        <f>IF(BG261,_xll.qDateYears(BG260,BG261,$BJ$13),0)</f>
        <v>0</v>
      </c>
      <c r="BK261" s="284">
        <f t="shared" si="65"/>
        <v>2216.4810485334592</v>
      </c>
      <c r="BQ261" s="560">
        <v>0</v>
      </c>
      <c r="BR261" s="155" t="str">
        <f t="shared" si="60"/>
        <v/>
      </c>
      <c r="BS261" s="405">
        <v>0</v>
      </c>
      <c r="BT261" s="284">
        <f>IF(BQ261,_xll.qDateYears(BQ260,BQ261,BT$13),0)</f>
        <v>0</v>
      </c>
      <c r="BU261" s="284">
        <f t="shared" si="66"/>
        <v>1731.4581291138484</v>
      </c>
      <c r="CC261" s="560">
        <v>0</v>
      </c>
      <c r="CD261" s="155" t="str">
        <f t="shared" si="61"/>
        <v/>
      </c>
      <c r="CE261" s="405">
        <v>0</v>
      </c>
      <c r="CF261" s="284">
        <f>IF(CC261,_xll.qDateYears(CC260,CC261,CF$13),0)</f>
        <v>0</v>
      </c>
      <c r="CG261" s="284">
        <f t="shared" si="67"/>
        <v>2320.9300800126416</v>
      </c>
      <c r="CO261" s="560">
        <v>0</v>
      </c>
      <c r="CP261" s="155" t="str">
        <f t="shared" si="62"/>
        <v/>
      </c>
      <c r="CQ261" s="405">
        <v>0</v>
      </c>
      <c r="CR261" s="284">
        <f>IF(CO261,_xll.qDateYears(CO260,CO261,CR$13),0)</f>
        <v>0</v>
      </c>
      <c r="CS261" s="284">
        <f t="shared" si="68"/>
        <v>2166.0491297426292</v>
      </c>
      <c r="DA261" s="560">
        <v>0</v>
      </c>
      <c r="DB261" s="155" t="str">
        <f t="shared" si="63"/>
        <v/>
      </c>
      <c r="DC261" s="405">
        <v>0</v>
      </c>
      <c r="DD261" s="284">
        <f>IF(DA261,_xll.qDateYears(DA260,DA261,DD$13),0)</f>
        <v>0</v>
      </c>
      <c r="DE261" s="284">
        <f t="shared" si="69"/>
        <v>1625.698949379763</v>
      </c>
      <c r="DM261" s="560">
        <v>0</v>
      </c>
      <c r="DN261" s="155" t="str">
        <f t="shared" si="64"/>
        <v/>
      </c>
      <c r="DO261" s="405">
        <v>0</v>
      </c>
      <c r="DP261" s="284">
        <f>IF(DM261,_xll.qDateYears(DM260,DM261,DP$13),0)</f>
        <v>0</v>
      </c>
      <c r="DQ261" s="284">
        <f t="shared" si="70"/>
        <v>2216.4810485334592</v>
      </c>
    </row>
    <row r="262" spans="59:121">
      <c r="BG262" s="560">
        <v>0</v>
      </c>
      <c r="BH262" s="154" t="str">
        <f t="shared" si="59"/>
        <v/>
      </c>
      <c r="BI262" s="405">
        <v>0</v>
      </c>
      <c r="BJ262" s="284">
        <f>IF(BG262,_xll.qDateYears(BG261,BG262,$BJ$13),0)</f>
        <v>0</v>
      </c>
      <c r="BK262" s="284">
        <f t="shared" si="65"/>
        <v>2216.4810485334592</v>
      </c>
      <c r="BQ262" s="560">
        <v>0</v>
      </c>
      <c r="BR262" s="155" t="str">
        <f t="shared" si="60"/>
        <v/>
      </c>
      <c r="BS262" s="405">
        <v>0</v>
      </c>
      <c r="BT262" s="284">
        <f>IF(BQ262,_xll.qDateYears(BQ261,BQ262,BT$13),0)</f>
        <v>0</v>
      </c>
      <c r="BU262" s="284">
        <f t="shared" si="66"/>
        <v>1731.4581291138484</v>
      </c>
      <c r="CC262" s="560">
        <v>0</v>
      </c>
      <c r="CD262" s="155" t="str">
        <f t="shared" si="61"/>
        <v/>
      </c>
      <c r="CE262" s="405">
        <v>0</v>
      </c>
      <c r="CF262" s="284">
        <f>IF(CC262,_xll.qDateYears(CC261,CC262,CF$13),0)</f>
        <v>0</v>
      </c>
      <c r="CG262" s="284">
        <f t="shared" si="67"/>
        <v>2320.9300800126416</v>
      </c>
      <c r="CO262" s="560">
        <v>0</v>
      </c>
      <c r="CP262" s="155" t="str">
        <f t="shared" si="62"/>
        <v/>
      </c>
      <c r="CQ262" s="405">
        <v>0</v>
      </c>
      <c r="CR262" s="284">
        <f>IF(CO262,_xll.qDateYears(CO261,CO262,CR$13),0)</f>
        <v>0</v>
      </c>
      <c r="CS262" s="284">
        <f t="shared" si="68"/>
        <v>2166.0491297426292</v>
      </c>
      <c r="DA262" s="560">
        <v>0</v>
      </c>
      <c r="DB262" s="155" t="str">
        <f t="shared" si="63"/>
        <v/>
      </c>
      <c r="DC262" s="405">
        <v>0</v>
      </c>
      <c r="DD262" s="284">
        <f>IF(DA262,_xll.qDateYears(DA261,DA262,DD$13),0)</f>
        <v>0</v>
      </c>
      <c r="DE262" s="284">
        <f t="shared" si="69"/>
        <v>1625.698949379763</v>
      </c>
      <c r="DM262" s="560">
        <v>0</v>
      </c>
      <c r="DN262" s="155" t="str">
        <f t="shared" si="64"/>
        <v/>
      </c>
      <c r="DO262" s="405">
        <v>0</v>
      </c>
      <c r="DP262" s="284">
        <f>IF(DM262,_xll.qDateYears(DM261,DM262,DP$13),0)</f>
        <v>0</v>
      </c>
      <c r="DQ262" s="284">
        <f t="shared" si="70"/>
        <v>2216.4810485334592</v>
      </c>
    </row>
    <row r="263" spans="59:121">
      <c r="BG263" s="560">
        <v>0</v>
      </c>
      <c r="BH263" s="154" t="str">
        <f t="shared" si="59"/>
        <v/>
      </c>
      <c r="BI263" s="405">
        <v>0</v>
      </c>
      <c r="BJ263" s="284">
        <f>IF(BG263,_xll.qDateYears(BG262,BG263,$BJ$13),0)</f>
        <v>0</v>
      </c>
      <c r="BK263" s="284">
        <f t="shared" si="65"/>
        <v>2216.4810485334592</v>
      </c>
      <c r="BQ263" s="560">
        <v>0</v>
      </c>
      <c r="BR263" s="155" t="str">
        <f t="shared" si="60"/>
        <v/>
      </c>
      <c r="BS263" s="405">
        <v>0</v>
      </c>
      <c r="BT263" s="284">
        <f>IF(BQ263,_xll.qDateYears(BQ262,BQ263,BT$13),0)</f>
        <v>0</v>
      </c>
      <c r="BU263" s="284">
        <f t="shared" si="66"/>
        <v>1731.4581291138484</v>
      </c>
      <c r="CC263" s="560">
        <v>0</v>
      </c>
      <c r="CD263" s="155" t="str">
        <f t="shared" si="61"/>
        <v/>
      </c>
      <c r="CE263" s="405">
        <v>0</v>
      </c>
      <c r="CF263" s="284">
        <f>IF(CC263,_xll.qDateYears(CC262,CC263,CF$13),0)</f>
        <v>0</v>
      </c>
      <c r="CG263" s="284">
        <f t="shared" si="67"/>
        <v>2320.9300800126416</v>
      </c>
      <c r="CO263" s="560">
        <v>0</v>
      </c>
      <c r="CP263" s="155" t="str">
        <f t="shared" si="62"/>
        <v/>
      </c>
      <c r="CQ263" s="405">
        <v>0</v>
      </c>
      <c r="CR263" s="284">
        <f>IF(CO263,_xll.qDateYears(CO262,CO263,CR$13),0)</f>
        <v>0</v>
      </c>
      <c r="CS263" s="284">
        <f t="shared" si="68"/>
        <v>2166.0491297426292</v>
      </c>
      <c r="DA263" s="560">
        <v>0</v>
      </c>
      <c r="DB263" s="155" t="str">
        <f t="shared" si="63"/>
        <v/>
      </c>
      <c r="DC263" s="405">
        <v>0</v>
      </c>
      <c r="DD263" s="284">
        <f>IF(DA263,_xll.qDateYears(DA262,DA263,DD$13),0)</f>
        <v>0</v>
      </c>
      <c r="DE263" s="284">
        <f t="shared" si="69"/>
        <v>1625.698949379763</v>
      </c>
      <c r="DM263" s="560">
        <v>0</v>
      </c>
      <c r="DN263" s="155" t="str">
        <f t="shared" si="64"/>
        <v/>
      </c>
      <c r="DO263" s="405">
        <v>0</v>
      </c>
      <c r="DP263" s="284">
        <f>IF(DM263,_xll.qDateYears(DM262,DM263,DP$13),0)</f>
        <v>0</v>
      </c>
      <c r="DQ263" s="284">
        <f t="shared" si="70"/>
        <v>2216.4810485334592</v>
      </c>
    </row>
    <row r="264" spans="59:121">
      <c r="BG264" s="560">
        <v>0</v>
      </c>
      <c r="BH264" s="154" t="str">
        <f t="shared" si="59"/>
        <v/>
      </c>
      <c r="BI264" s="405">
        <v>0</v>
      </c>
      <c r="BJ264" s="284">
        <f>IF(BG264,_xll.qDateYears(BG263,BG264,$BJ$13),0)</f>
        <v>0</v>
      </c>
      <c r="BK264" s="284">
        <f t="shared" si="65"/>
        <v>2216.4810485334592</v>
      </c>
      <c r="BQ264" s="560">
        <v>0</v>
      </c>
      <c r="BR264" s="155" t="str">
        <f t="shared" si="60"/>
        <v/>
      </c>
      <c r="BS264" s="405">
        <v>0</v>
      </c>
      <c r="BT264" s="284">
        <f>IF(BQ264,_xll.qDateYears(BQ263,BQ264,BT$13),0)</f>
        <v>0</v>
      </c>
      <c r="BU264" s="284">
        <f t="shared" si="66"/>
        <v>1731.4581291138484</v>
      </c>
      <c r="CC264" s="560">
        <v>0</v>
      </c>
      <c r="CD264" s="155" t="str">
        <f t="shared" si="61"/>
        <v/>
      </c>
      <c r="CE264" s="405">
        <v>0</v>
      </c>
      <c r="CF264" s="284">
        <f>IF(CC264,_xll.qDateYears(CC263,CC264,CF$13),0)</f>
        <v>0</v>
      </c>
      <c r="CG264" s="284">
        <f t="shared" si="67"/>
        <v>2320.9300800126416</v>
      </c>
      <c r="CO264" s="560">
        <v>0</v>
      </c>
      <c r="CP264" s="155" t="str">
        <f t="shared" si="62"/>
        <v/>
      </c>
      <c r="CQ264" s="405">
        <v>0</v>
      </c>
      <c r="CR264" s="284">
        <f>IF(CO264,_xll.qDateYears(CO263,CO264,CR$13),0)</f>
        <v>0</v>
      </c>
      <c r="CS264" s="284">
        <f t="shared" si="68"/>
        <v>2166.0491297426292</v>
      </c>
      <c r="DA264" s="560">
        <v>0</v>
      </c>
      <c r="DB264" s="155" t="str">
        <f t="shared" si="63"/>
        <v/>
      </c>
      <c r="DC264" s="405">
        <v>0</v>
      </c>
      <c r="DD264" s="284">
        <f>IF(DA264,_xll.qDateYears(DA263,DA264,DD$13),0)</f>
        <v>0</v>
      </c>
      <c r="DE264" s="284">
        <f t="shared" si="69"/>
        <v>1625.698949379763</v>
      </c>
      <c r="DM264" s="560">
        <v>0</v>
      </c>
      <c r="DN264" s="155" t="str">
        <f t="shared" si="64"/>
        <v/>
      </c>
      <c r="DO264" s="405">
        <v>0</v>
      </c>
      <c r="DP264" s="284">
        <f>IF(DM264,_xll.qDateYears(DM263,DM264,DP$13),0)</f>
        <v>0</v>
      </c>
      <c r="DQ264" s="284">
        <f t="shared" si="70"/>
        <v>2216.4810485334592</v>
      </c>
    </row>
    <row r="265" spans="59:121">
      <c r="BG265" s="560">
        <v>0</v>
      </c>
      <c r="BH265" s="154" t="str">
        <f t="shared" si="59"/>
        <v/>
      </c>
      <c r="BI265" s="405">
        <v>0</v>
      </c>
      <c r="BJ265" s="284">
        <f>IF(BG265,_xll.qDateYears(BG264,BG265,$BJ$13),0)</f>
        <v>0</v>
      </c>
      <c r="BK265" s="284">
        <f t="shared" si="65"/>
        <v>2216.4810485334592</v>
      </c>
      <c r="BQ265" s="560">
        <v>0</v>
      </c>
      <c r="BR265" s="155" t="str">
        <f t="shared" si="60"/>
        <v/>
      </c>
      <c r="BS265" s="405">
        <v>0</v>
      </c>
      <c r="BT265" s="284">
        <f>IF(BQ265,_xll.qDateYears(BQ264,BQ265,BT$13),0)</f>
        <v>0</v>
      </c>
      <c r="BU265" s="284">
        <f t="shared" si="66"/>
        <v>1731.4581291138484</v>
      </c>
      <c r="CC265" s="560">
        <v>0</v>
      </c>
      <c r="CD265" s="155" t="str">
        <f t="shared" si="61"/>
        <v/>
      </c>
      <c r="CE265" s="405">
        <v>0</v>
      </c>
      <c r="CF265" s="284">
        <f>IF(CC265,_xll.qDateYears(CC264,CC265,CF$13),0)</f>
        <v>0</v>
      </c>
      <c r="CG265" s="284">
        <f t="shared" si="67"/>
        <v>2320.9300800126416</v>
      </c>
      <c r="CO265" s="560">
        <v>0</v>
      </c>
      <c r="CP265" s="155" t="str">
        <f t="shared" si="62"/>
        <v/>
      </c>
      <c r="CQ265" s="405">
        <v>0</v>
      </c>
      <c r="CR265" s="284">
        <f>IF(CO265,_xll.qDateYears(CO264,CO265,CR$13),0)</f>
        <v>0</v>
      </c>
      <c r="CS265" s="284">
        <f t="shared" si="68"/>
        <v>2166.0491297426292</v>
      </c>
      <c r="DA265" s="560">
        <v>0</v>
      </c>
      <c r="DB265" s="155" t="str">
        <f t="shared" si="63"/>
        <v/>
      </c>
      <c r="DC265" s="405">
        <v>0</v>
      </c>
      <c r="DD265" s="284">
        <f>IF(DA265,_xll.qDateYears(DA264,DA265,DD$13),0)</f>
        <v>0</v>
      </c>
      <c r="DE265" s="284">
        <f t="shared" si="69"/>
        <v>1625.698949379763</v>
      </c>
      <c r="DM265" s="560">
        <v>0</v>
      </c>
      <c r="DN265" s="155" t="str">
        <f t="shared" si="64"/>
        <v/>
      </c>
      <c r="DO265" s="405">
        <v>0</v>
      </c>
      <c r="DP265" s="284">
        <f>IF(DM265,_xll.qDateYears(DM264,DM265,DP$13),0)</f>
        <v>0</v>
      </c>
      <c r="DQ265" s="284">
        <f t="shared" si="70"/>
        <v>2216.4810485334592</v>
      </c>
    </row>
    <row r="266" spans="59:121">
      <c r="BG266" s="560">
        <v>0</v>
      </c>
      <c r="BH266" s="154" t="str">
        <f t="shared" si="59"/>
        <v/>
      </c>
      <c r="BI266" s="405">
        <v>0</v>
      </c>
      <c r="BJ266" s="284">
        <f>IF(BG266,_xll.qDateYears(BG265,BG266,$BJ$13),0)</f>
        <v>0</v>
      </c>
      <c r="BK266" s="284">
        <f t="shared" si="65"/>
        <v>2216.4810485334592</v>
      </c>
      <c r="BQ266" s="560">
        <v>0</v>
      </c>
      <c r="BR266" s="155" t="str">
        <f t="shared" si="60"/>
        <v/>
      </c>
      <c r="BS266" s="405">
        <v>0</v>
      </c>
      <c r="BT266" s="284">
        <f>IF(BQ266,_xll.qDateYears(BQ265,BQ266,BT$13),0)</f>
        <v>0</v>
      </c>
      <c r="BU266" s="284">
        <f t="shared" si="66"/>
        <v>1731.4581291138484</v>
      </c>
      <c r="CC266" s="560">
        <v>0</v>
      </c>
      <c r="CD266" s="155" t="str">
        <f t="shared" si="61"/>
        <v/>
      </c>
      <c r="CE266" s="405">
        <v>0</v>
      </c>
      <c r="CF266" s="284">
        <f>IF(CC266,_xll.qDateYears(CC265,CC266,CF$13),0)</f>
        <v>0</v>
      </c>
      <c r="CG266" s="284">
        <f t="shared" si="67"/>
        <v>2320.9300800126416</v>
      </c>
      <c r="CO266" s="560">
        <v>0</v>
      </c>
      <c r="CP266" s="155" t="str">
        <f t="shared" si="62"/>
        <v/>
      </c>
      <c r="CQ266" s="405">
        <v>0</v>
      </c>
      <c r="CR266" s="284">
        <f>IF(CO266,_xll.qDateYears(CO265,CO266,CR$13),0)</f>
        <v>0</v>
      </c>
      <c r="CS266" s="284">
        <f t="shared" si="68"/>
        <v>2166.0491297426292</v>
      </c>
      <c r="DA266" s="560">
        <v>0</v>
      </c>
      <c r="DB266" s="155" t="str">
        <f t="shared" si="63"/>
        <v/>
      </c>
      <c r="DC266" s="405">
        <v>0</v>
      </c>
      <c r="DD266" s="284">
        <f>IF(DA266,_xll.qDateYears(DA265,DA266,DD$13),0)</f>
        <v>0</v>
      </c>
      <c r="DE266" s="284">
        <f t="shared" si="69"/>
        <v>1625.698949379763</v>
      </c>
      <c r="DM266" s="560">
        <v>0</v>
      </c>
      <c r="DN266" s="155" t="str">
        <f t="shared" si="64"/>
        <v/>
      </c>
      <c r="DO266" s="405">
        <v>0</v>
      </c>
      <c r="DP266" s="284">
        <f>IF(DM266,_xll.qDateYears(DM265,DM266,DP$13),0)</f>
        <v>0</v>
      </c>
      <c r="DQ266" s="284">
        <f t="shared" si="70"/>
        <v>2216.4810485334592</v>
      </c>
    </row>
    <row r="267" spans="59:121">
      <c r="BG267" s="560">
        <v>0</v>
      </c>
      <c r="BH267" s="154" t="str">
        <f t="shared" si="59"/>
        <v/>
      </c>
      <c r="BI267" s="405">
        <v>0</v>
      </c>
      <c r="BJ267" s="284">
        <f>IF(BG267,_xll.qDateYears(BG266,BG267,$BJ$13),0)</f>
        <v>0</v>
      </c>
      <c r="BK267" s="284">
        <f t="shared" si="65"/>
        <v>2216.4810485334592</v>
      </c>
      <c r="BQ267" s="560">
        <v>0</v>
      </c>
      <c r="BR267" s="155" t="str">
        <f t="shared" si="60"/>
        <v/>
      </c>
      <c r="BS267" s="405">
        <v>0</v>
      </c>
      <c r="BT267" s="284">
        <f>IF(BQ267,_xll.qDateYears(BQ266,BQ267,BT$13),0)</f>
        <v>0</v>
      </c>
      <c r="BU267" s="284">
        <f t="shared" si="66"/>
        <v>1731.4581291138484</v>
      </c>
      <c r="CC267" s="560">
        <v>0</v>
      </c>
      <c r="CD267" s="155" t="str">
        <f t="shared" si="61"/>
        <v/>
      </c>
      <c r="CE267" s="405">
        <v>0</v>
      </c>
      <c r="CF267" s="284">
        <f>IF(CC267,_xll.qDateYears(CC266,CC267,CF$13),0)</f>
        <v>0</v>
      </c>
      <c r="CG267" s="284">
        <f t="shared" si="67"/>
        <v>2320.9300800126416</v>
      </c>
      <c r="CO267" s="560">
        <v>0</v>
      </c>
      <c r="CP267" s="155" t="str">
        <f t="shared" si="62"/>
        <v/>
      </c>
      <c r="CQ267" s="405">
        <v>0</v>
      </c>
      <c r="CR267" s="284">
        <f>IF(CO267,_xll.qDateYears(CO266,CO267,CR$13),0)</f>
        <v>0</v>
      </c>
      <c r="CS267" s="284">
        <f t="shared" si="68"/>
        <v>2166.0491297426292</v>
      </c>
      <c r="DA267" s="560">
        <v>0</v>
      </c>
      <c r="DB267" s="155" t="str">
        <f t="shared" si="63"/>
        <v/>
      </c>
      <c r="DC267" s="405">
        <v>0</v>
      </c>
      <c r="DD267" s="284">
        <f>IF(DA267,_xll.qDateYears(DA266,DA267,DD$13),0)</f>
        <v>0</v>
      </c>
      <c r="DE267" s="284">
        <f t="shared" si="69"/>
        <v>1625.698949379763</v>
      </c>
      <c r="DM267" s="560">
        <v>0</v>
      </c>
      <c r="DN267" s="155" t="str">
        <f t="shared" si="64"/>
        <v/>
      </c>
      <c r="DO267" s="405">
        <v>0</v>
      </c>
      <c r="DP267" s="284">
        <f>IF(DM267,_xll.qDateYears(DM266,DM267,DP$13),0)</f>
        <v>0</v>
      </c>
      <c r="DQ267" s="284">
        <f t="shared" si="70"/>
        <v>2216.4810485334592</v>
      </c>
    </row>
    <row r="268" spans="59:121">
      <c r="BG268" s="560">
        <v>0</v>
      </c>
      <c r="BH268" s="154" t="str">
        <f t="shared" si="59"/>
        <v/>
      </c>
      <c r="BI268" s="405">
        <v>0</v>
      </c>
      <c r="BJ268" s="284">
        <f>IF(BG268,_xll.qDateYears(BG267,BG268,$BJ$13),0)</f>
        <v>0</v>
      </c>
      <c r="BK268" s="284">
        <f t="shared" si="65"/>
        <v>2216.4810485334592</v>
      </c>
      <c r="BQ268" s="560">
        <v>0</v>
      </c>
      <c r="BR268" s="155" t="str">
        <f t="shared" si="60"/>
        <v/>
      </c>
      <c r="BS268" s="405">
        <v>0</v>
      </c>
      <c r="BT268" s="284">
        <f>IF(BQ268,_xll.qDateYears(BQ267,BQ268,BT$13),0)</f>
        <v>0</v>
      </c>
      <c r="BU268" s="284">
        <f t="shared" si="66"/>
        <v>1731.4581291138484</v>
      </c>
      <c r="CC268" s="560">
        <v>0</v>
      </c>
      <c r="CD268" s="155" t="str">
        <f t="shared" si="61"/>
        <v/>
      </c>
      <c r="CE268" s="405">
        <v>0</v>
      </c>
      <c r="CF268" s="284">
        <f>IF(CC268,_xll.qDateYears(CC267,CC268,CF$13),0)</f>
        <v>0</v>
      </c>
      <c r="CG268" s="284">
        <f t="shared" si="67"/>
        <v>2320.9300800126416</v>
      </c>
      <c r="CO268" s="560">
        <v>0</v>
      </c>
      <c r="CP268" s="155" t="str">
        <f t="shared" si="62"/>
        <v/>
      </c>
      <c r="CQ268" s="405">
        <v>0</v>
      </c>
      <c r="CR268" s="284">
        <f>IF(CO268,_xll.qDateYears(CO267,CO268,CR$13),0)</f>
        <v>0</v>
      </c>
      <c r="CS268" s="284">
        <f t="shared" si="68"/>
        <v>2166.0491297426292</v>
      </c>
      <c r="DA268" s="560">
        <v>0</v>
      </c>
      <c r="DB268" s="155" t="str">
        <f t="shared" si="63"/>
        <v/>
      </c>
      <c r="DC268" s="405">
        <v>0</v>
      </c>
      <c r="DD268" s="284">
        <f>IF(DA268,_xll.qDateYears(DA267,DA268,DD$13),0)</f>
        <v>0</v>
      </c>
      <c r="DE268" s="284">
        <f t="shared" si="69"/>
        <v>1625.698949379763</v>
      </c>
      <c r="DM268" s="560">
        <v>0</v>
      </c>
      <c r="DN268" s="155" t="str">
        <f t="shared" si="64"/>
        <v/>
      </c>
      <c r="DO268" s="405">
        <v>0</v>
      </c>
      <c r="DP268" s="284">
        <f>IF(DM268,_xll.qDateYears(DM267,DM268,DP$13),0)</f>
        <v>0</v>
      </c>
      <c r="DQ268" s="284">
        <f t="shared" si="70"/>
        <v>2216.4810485334592</v>
      </c>
    </row>
    <row r="269" spans="59:121">
      <c r="BG269" s="560">
        <v>0</v>
      </c>
      <c r="BH269" s="154" t="str">
        <f t="shared" si="59"/>
        <v/>
      </c>
      <c r="BI269" s="405">
        <v>0</v>
      </c>
      <c r="BJ269" s="284">
        <f>IF(BG269,_xll.qDateYears(BG268,BG269,$BJ$13),0)</f>
        <v>0</v>
      </c>
      <c r="BK269" s="284">
        <f t="shared" si="65"/>
        <v>2216.4810485334592</v>
      </c>
      <c r="BQ269" s="560">
        <v>0</v>
      </c>
      <c r="BR269" s="155" t="str">
        <f t="shared" si="60"/>
        <v/>
      </c>
      <c r="BS269" s="405">
        <v>0</v>
      </c>
      <c r="BT269" s="284">
        <f>IF(BQ269,_xll.qDateYears(BQ268,BQ269,BT$13),0)</f>
        <v>0</v>
      </c>
      <c r="BU269" s="284">
        <f t="shared" si="66"/>
        <v>1731.4581291138484</v>
      </c>
      <c r="CC269" s="560">
        <v>0</v>
      </c>
      <c r="CD269" s="155" t="str">
        <f t="shared" si="61"/>
        <v/>
      </c>
      <c r="CE269" s="405">
        <v>0</v>
      </c>
      <c r="CF269" s="284">
        <f>IF(CC269,_xll.qDateYears(CC268,CC269,CF$13),0)</f>
        <v>0</v>
      </c>
      <c r="CG269" s="284">
        <f t="shared" si="67"/>
        <v>2320.9300800126416</v>
      </c>
      <c r="CO269" s="560">
        <v>0</v>
      </c>
      <c r="CP269" s="155" t="str">
        <f t="shared" si="62"/>
        <v/>
      </c>
      <c r="CQ269" s="405">
        <v>0</v>
      </c>
      <c r="CR269" s="284">
        <f>IF(CO269,_xll.qDateYears(CO268,CO269,CR$13),0)</f>
        <v>0</v>
      </c>
      <c r="CS269" s="284">
        <f t="shared" si="68"/>
        <v>2166.0491297426292</v>
      </c>
      <c r="DA269" s="560">
        <v>0</v>
      </c>
      <c r="DB269" s="155" t="str">
        <f t="shared" si="63"/>
        <v/>
      </c>
      <c r="DC269" s="405">
        <v>0</v>
      </c>
      <c r="DD269" s="284">
        <f>IF(DA269,_xll.qDateYears(DA268,DA269,DD$13),0)</f>
        <v>0</v>
      </c>
      <c r="DE269" s="284">
        <f t="shared" si="69"/>
        <v>1625.698949379763</v>
      </c>
      <c r="DM269" s="560">
        <v>0</v>
      </c>
      <c r="DN269" s="155" t="str">
        <f t="shared" si="64"/>
        <v/>
      </c>
      <c r="DO269" s="405">
        <v>0</v>
      </c>
      <c r="DP269" s="284">
        <f>IF(DM269,_xll.qDateYears(DM268,DM269,DP$13),0)</f>
        <v>0</v>
      </c>
      <c r="DQ269" s="284">
        <f t="shared" si="70"/>
        <v>2216.4810485334592</v>
      </c>
    </row>
    <row r="270" spans="59:121">
      <c r="BG270" s="560">
        <v>0</v>
      </c>
      <c r="BH270" s="154" t="str">
        <f t="shared" si="59"/>
        <v/>
      </c>
      <c r="BI270" s="405">
        <v>0</v>
      </c>
      <c r="BJ270" s="284">
        <f>IF(BG270,_xll.qDateYears(BG269,BG270,$BJ$13),0)</f>
        <v>0</v>
      </c>
      <c r="BK270" s="284">
        <f t="shared" si="65"/>
        <v>2216.4810485334592</v>
      </c>
      <c r="BQ270" s="560">
        <v>0</v>
      </c>
      <c r="BR270" s="155" t="str">
        <f t="shared" si="60"/>
        <v/>
      </c>
      <c r="BS270" s="405">
        <v>0</v>
      </c>
      <c r="BT270" s="284">
        <f>IF(BQ270,_xll.qDateYears(BQ269,BQ270,BT$13),0)</f>
        <v>0</v>
      </c>
      <c r="BU270" s="284">
        <f t="shared" si="66"/>
        <v>1731.4581291138484</v>
      </c>
      <c r="CC270" s="560">
        <v>0</v>
      </c>
      <c r="CD270" s="155" t="str">
        <f t="shared" si="61"/>
        <v/>
      </c>
      <c r="CE270" s="405">
        <v>0</v>
      </c>
      <c r="CF270" s="284">
        <f>IF(CC270,_xll.qDateYears(CC269,CC270,CF$13),0)</f>
        <v>0</v>
      </c>
      <c r="CG270" s="284">
        <f t="shared" si="67"/>
        <v>2320.9300800126416</v>
      </c>
      <c r="CO270" s="560">
        <v>0</v>
      </c>
      <c r="CP270" s="155" t="str">
        <f t="shared" si="62"/>
        <v/>
      </c>
      <c r="CQ270" s="405">
        <v>0</v>
      </c>
      <c r="CR270" s="284">
        <f>IF(CO270,_xll.qDateYears(CO269,CO270,CR$13),0)</f>
        <v>0</v>
      </c>
      <c r="CS270" s="284">
        <f t="shared" si="68"/>
        <v>2166.0491297426292</v>
      </c>
      <c r="DA270" s="560">
        <v>0</v>
      </c>
      <c r="DB270" s="155" t="str">
        <f t="shared" si="63"/>
        <v/>
      </c>
      <c r="DC270" s="405">
        <v>0</v>
      </c>
      <c r="DD270" s="284">
        <f>IF(DA270,_xll.qDateYears(DA269,DA270,DD$13),0)</f>
        <v>0</v>
      </c>
      <c r="DE270" s="284">
        <f t="shared" si="69"/>
        <v>1625.698949379763</v>
      </c>
      <c r="DM270" s="560">
        <v>0</v>
      </c>
      <c r="DN270" s="155" t="str">
        <f t="shared" si="64"/>
        <v/>
      </c>
      <c r="DO270" s="405">
        <v>0</v>
      </c>
      <c r="DP270" s="284">
        <f>IF(DM270,_xll.qDateYears(DM269,DM270,DP$13),0)</f>
        <v>0</v>
      </c>
      <c r="DQ270" s="284">
        <f t="shared" si="70"/>
        <v>2216.4810485334592</v>
      </c>
    </row>
    <row r="271" spans="59:121">
      <c r="BG271" s="560">
        <v>0</v>
      </c>
      <c r="BH271" s="154" t="str">
        <f t="shared" ref="BH271:BH334" si="71">IF(BG271,ROUND((BG271-$BG$15)/365/0.25,0)*0.25&amp;"Y","")</f>
        <v/>
      </c>
      <c r="BI271" s="405">
        <v>0</v>
      </c>
      <c r="BJ271" s="284">
        <f>IF(BG271,_xll.qDateYears(BG270,BG271,$BJ$13),0)</f>
        <v>0</v>
      </c>
      <c r="BK271" s="284">
        <f t="shared" si="65"/>
        <v>2216.4810485334592</v>
      </c>
      <c r="BQ271" s="560">
        <v>0</v>
      </c>
      <c r="BR271" s="155" t="str">
        <f t="shared" ref="BR271:BR334" si="72">IF(BQ271,ROUND((BQ271-$BG$15)/365/0.25,0)*0.25&amp;"Y","")</f>
        <v/>
      </c>
      <c r="BS271" s="405">
        <v>0</v>
      </c>
      <c r="BT271" s="284">
        <f>IF(BQ271,_xll.qDateYears(BQ270,BQ271,BT$13),0)</f>
        <v>0</v>
      </c>
      <c r="BU271" s="284">
        <f t="shared" si="66"/>
        <v>1731.4581291138484</v>
      </c>
      <c r="CC271" s="560">
        <v>0</v>
      </c>
      <c r="CD271" s="155" t="str">
        <f t="shared" ref="CD271:CD334" si="73">IF(CC271,ROUND((CC271-$BG$15)/365/0.25,0)*0.25&amp;"Y","")</f>
        <v/>
      </c>
      <c r="CE271" s="405">
        <v>0</v>
      </c>
      <c r="CF271" s="284">
        <f>IF(CC271,_xll.qDateYears(CC270,CC271,CF$13),0)</f>
        <v>0</v>
      </c>
      <c r="CG271" s="284">
        <f t="shared" si="67"/>
        <v>2320.9300800126416</v>
      </c>
      <c r="CO271" s="560">
        <v>0</v>
      </c>
      <c r="CP271" s="155" t="str">
        <f t="shared" ref="CP271:CP334" si="74">IF(CO271,ROUND((CO271-$BG$15)/365/0.25,0)*0.25&amp;"Y","")</f>
        <v/>
      </c>
      <c r="CQ271" s="405">
        <v>0</v>
      </c>
      <c r="CR271" s="284">
        <f>IF(CO271,_xll.qDateYears(CO270,CO271,CR$13),0)</f>
        <v>0</v>
      </c>
      <c r="CS271" s="284">
        <f t="shared" si="68"/>
        <v>2166.0491297426292</v>
      </c>
      <c r="DA271" s="560">
        <v>0</v>
      </c>
      <c r="DB271" s="155" t="str">
        <f t="shared" ref="DB271:DB334" si="75">IF(DA271,ROUND((DA271-$BG$15)/365/0.25,0)*0.25&amp;"Y","")</f>
        <v/>
      </c>
      <c r="DC271" s="405">
        <v>0</v>
      </c>
      <c r="DD271" s="284">
        <f>IF(DA271,_xll.qDateYears(DA270,DA271,DD$13),0)</f>
        <v>0</v>
      </c>
      <c r="DE271" s="284">
        <f t="shared" si="69"/>
        <v>1625.698949379763</v>
      </c>
      <c r="DM271" s="560">
        <v>0</v>
      </c>
      <c r="DN271" s="155" t="str">
        <f t="shared" ref="DN271:DN334" si="76">IF(DM271,ROUND((DM271-$BG$15)/365/0.25,0)*0.25&amp;"Y","")</f>
        <v/>
      </c>
      <c r="DO271" s="405">
        <v>0</v>
      </c>
      <c r="DP271" s="284">
        <f>IF(DM271,_xll.qDateYears(DM270,DM271,DP$13),0)</f>
        <v>0</v>
      </c>
      <c r="DQ271" s="284">
        <f t="shared" si="70"/>
        <v>2216.4810485334592</v>
      </c>
    </row>
    <row r="272" spans="59:121">
      <c r="BG272" s="560">
        <v>0</v>
      </c>
      <c r="BH272" s="154" t="str">
        <f t="shared" si="71"/>
        <v/>
      </c>
      <c r="BI272" s="405">
        <v>0</v>
      </c>
      <c r="BJ272" s="284">
        <f>IF(BG272,_xll.qDateYears(BG271,BG272,$BJ$13),0)</f>
        <v>0</v>
      </c>
      <c r="BK272" s="284">
        <f t="shared" si="65"/>
        <v>2216.4810485334592</v>
      </c>
      <c r="BQ272" s="560">
        <v>0</v>
      </c>
      <c r="BR272" s="155" t="str">
        <f t="shared" si="72"/>
        <v/>
      </c>
      <c r="BS272" s="405">
        <v>0</v>
      </c>
      <c r="BT272" s="284">
        <f>IF(BQ272,_xll.qDateYears(BQ271,BQ272,BT$13),0)</f>
        <v>0</v>
      </c>
      <c r="BU272" s="284">
        <f t="shared" si="66"/>
        <v>1731.4581291138484</v>
      </c>
      <c r="CC272" s="560">
        <v>0</v>
      </c>
      <c r="CD272" s="155" t="str">
        <f t="shared" si="73"/>
        <v/>
      </c>
      <c r="CE272" s="405">
        <v>0</v>
      </c>
      <c r="CF272" s="284">
        <f>IF(CC272,_xll.qDateYears(CC271,CC272,CF$13),0)</f>
        <v>0</v>
      </c>
      <c r="CG272" s="284">
        <f t="shared" si="67"/>
        <v>2320.9300800126416</v>
      </c>
      <c r="CO272" s="560">
        <v>0</v>
      </c>
      <c r="CP272" s="155" t="str">
        <f t="shared" si="74"/>
        <v/>
      </c>
      <c r="CQ272" s="405">
        <v>0</v>
      </c>
      <c r="CR272" s="284">
        <f>IF(CO272,_xll.qDateYears(CO271,CO272,CR$13),0)</f>
        <v>0</v>
      </c>
      <c r="CS272" s="284">
        <f t="shared" si="68"/>
        <v>2166.0491297426292</v>
      </c>
      <c r="DA272" s="560">
        <v>0</v>
      </c>
      <c r="DB272" s="155" t="str">
        <f t="shared" si="75"/>
        <v/>
      </c>
      <c r="DC272" s="405">
        <v>0</v>
      </c>
      <c r="DD272" s="284">
        <f>IF(DA272,_xll.qDateYears(DA271,DA272,DD$13),0)</f>
        <v>0</v>
      </c>
      <c r="DE272" s="284">
        <f t="shared" si="69"/>
        <v>1625.698949379763</v>
      </c>
      <c r="DM272" s="560">
        <v>0</v>
      </c>
      <c r="DN272" s="155" t="str">
        <f t="shared" si="76"/>
        <v/>
      </c>
      <c r="DO272" s="405">
        <v>0</v>
      </c>
      <c r="DP272" s="284">
        <f>IF(DM272,_xll.qDateYears(DM271,DM272,DP$13),0)</f>
        <v>0</v>
      </c>
      <c r="DQ272" s="284">
        <f t="shared" si="70"/>
        <v>2216.4810485334592</v>
      </c>
    </row>
    <row r="273" spans="59:121">
      <c r="BG273" s="560">
        <v>0</v>
      </c>
      <c r="BH273" s="154" t="str">
        <f t="shared" si="71"/>
        <v/>
      </c>
      <c r="BI273" s="405">
        <v>0</v>
      </c>
      <c r="BJ273" s="284">
        <f>IF(BG273,_xll.qDateYears(BG272,BG273,$BJ$13),0)</f>
        <v>0</v>
      </c>
      <c r="BK273" s="284">
        <f t="shared" ref="BK273:BK336" si="77">BK272+BJ273*BI273*100</f>
        <v>2216.4810485334592</v>
      </c>
      <c r="BQ273" s="560">
        <v>0</v>
      </c>
      <c r="BR273" s="155" t="str">
        <f t="shared" si="72"/>
        <v/>
      </c>
      <c r="BS273" s="405">
        <v>0</v>
      </c>
      <c r="BT273" s="284">
        <f>IF(BQ273,_xll.qDateYears(BQ272,BQ273,BT$13),0)</f>
        <v>0</v>
      </c>
      <c r="BU273" s="284">
        <f t="shared" ref="BU273:BU336" si="78">BU272+BT273*BS273*100</f>
        <v>1731.4581291138484</v>
      </c>
      <c r="CC273" s="560">
        <v>0</v>
      </c>
      <c r="CD273" s="155" t="str">
        <f t="shared" si="73"/>
        <v/>
      </c>
      <c r="CE273" s="405">
        <v>0</v>
      </c>
      <c r="CF273" s="284">
        <f>IF(CC273,_xll.qDateYears(CC272,CC273,CF$13),0)</f>
        <v>0</v>
      </c>
      <c r="CG273" s="284">
        <f t="shared" ref="CG273:CG336" si="79">CG272+CF273*CE273*100</f>
        <v>2320.9300800126416</v>
      </c>
      <c r="CO273" s="560">
        <v>0</v>
      </c>
      <c r="CP273" s="155" t="str">
        <f t="shared" si="74"/>
        <v/>
      </c>
      <c r="CQ273" s="405">
        <v>0</v>
      </c>
      <c r="CR273" s="284">
        <f>IF(CO273,_xll.qDateYears(CO272,CO273,CR$13),0)</f>
        <v>0</v>
      </c>
      <c r="CS273" s="284">
        <f t="shared" ref="CS273:CS336" si="80">CS272+CR273*CQ273*100</f>
        <v>2166.0491297426292</v>
      </c>
      <c r="DA273" s="560">
        <v>0</v>
      </c>
      <c r="DB273" s="155" t="str">
        <f t="shared" si="75"/>
        <v/>
      </c>
      <c r="DC273" s="405">
        <v>0</v>
      </c>
      <c r="DD273" s="284">
        <f>IF(DA273,_xll.qDateYears(DA272,DA273,DD$13),0)</f>
        <v>0</v>
      </c>
      <c r="DE273" s="284">
        <f t="shared" ref="DE273:DE336" si="81">DE272+DD273*DC273*100</f>
        <v>1625.698949379763</v>
      </c>
      <c r="DM273" s="560">
        <v>0</v>
      </c>
      <c r="DN273" s="155" t="str">
        <f t="shared" si="76"/>
        <v/>
      </c>
      <c r="DO273" s="405">
        <v>0</v>
      </c>
      <c r="DP273" s="284">
        <f>IF(DM273,_xll.qDateYears(DM272,DM273,DP$13),0)</f>
        <v>0</v>
      </c>
      <c r="DQ273" s="284">
        <f t="shared" ref="DQ273:DQ336" si="82">DQ272+DP273*DO273*100</f>
        <v>2216.4810485334592</v>
      </c>
    </row>
    <row r="274" spans="59:121">
      <c r="BG274" s="560">
        <v>0</v>
      </c>
      <c r="BH274" s="154" t="str">
        <f t="shared" si="71"/>
        <v/>
      </c>
      <c r="BI274" s="405">
        <v>0</v>
      </c>
      <c r="BJ274" s="284">
        <f>IF(BG274,_xll.qDateYears(BG273,BG274,$BJ$13),0)</f>
        <v>0</v>
      </c>
      <c r="BK274" s="284">
        <f t="shared" si="77"/>
        <v>2216.4810485334592</v>
      </c>
      <c r="BQ274" s="560">
        <v>0</v>
      </c>
      <c r="BR274" s="155" t="str">
        <f t="shared" si="72"/>
        <v/>
      </c>
      <c r="BS274" s="405">
        <v>0</v>
      </c>
      <c r="BT274" s="284">
        <f>IF(BQ274,_xll.qDateYears(BQ273,BQ274,BT$13),0)</f>
        <v>0</v>
      </c>
      <c r="BU274" s="284">
        <f t="shared" si="78"/>
        <v>1731.4581291138484</v>
      </c>
      <c r="CC274" s="560">
        <v>0</v>
      </c>
      <c r="CD274" s="155" t="str">
        <f t="shared" si="73"/>
        <v/>
      </c>
      <c r="CE274" s="405">
        <v>0</v>
      </c>
      <c r="CF274" s="284">
        <f>IF(CC274,_xll.qDateYears(CC273,CC274,CF$13),0)</f>
        <v>0</v>
      </c>
      <c r="CG274" s="284">
        <f t="shared" si="79"/>
        <v>2320.9300800126416</v>
      </c>
      <c r="CO274" s="560">
        <v>0</v>
      </c>
      <c r="CP274" s="155" t="str">
        <f t="shared" si="74"/>
        <v/>
      </c>
      <c r="CQ274" s="405">
        <v>0</v>
      </c>
      <c r="CR274" s="284">
        <f>IF(CO274,_xll.qDateYears(CO273,CO274,CR$13),0)</f>
        <v>0</v>
      </c>
      <c r="CS274" s="284">
        <f t="shared" si="80"/>
        <v>2166.0491297426292</v>
      </c>
      <c r="DA274" s="560">
        <v>0</v>
      </c>
      <c r="DB274" s="155" t="str">
        <f t="shared" si="75"/>
        <v/>
      </c>
      <c r="DC274" s="405">
        <v>0</v>
      </c>
      <c r="DD274" s="284">
        <f>IF(DA274,_xll.qDateYears(DA273,DA274,DD$13),0)</f>
        <v>0</v>
      </c>
      <c r="DE274" s="284">
        <f t="shared" si="81"/>
        <v>1625.698949379763</v>
      </c>
      <c r="DM274" s="560">
        <v>0</v>
      </c>
      <c r="DN274" s="155" t="str">
        <f t="shared" si="76"/>
        <v/>
      </c>
      <c r="DO274" s="405">
        <v>0</v>
      </c>
      <c r="DP274" s="284">
        <f>IF(DM274,_xll.qDateYears(DM273,DM274,DP$13),0)</f>
        <v>0</v>
      </c>
      <c r="DQ274" s="284">
        <f t="shared" si="82"/>
        <v>2216.4810485334592</v>
      </c>
    </row>
    <row r="275" spans="59:121">
      <c r="BG275" s="560">
        <v>0</v>
      </c>
      <c r="BH275" s="154" t="str">
        <f t="shared" si="71"/>
        <v/>
      </c>
      <c r="BI275" s="405">
        <v>0</v>
      </c>
      <c r="BJ275" s="284">
        <f>IF(BG275,_xll.qDateYears(BG274,BG275,$BJ$13),0)</f>
        <v>0</v>
      </c>
      <c r="BK275" s="284">
        <f t="shared" si="77"/>
        <v>2216.4810485334592</v>
      </c>
      <c r="BQ275" s="560">
        <v>0</v>
      </c>
      <c r="BR275" s="155" t="str">
        <f t="shared" si="72"/>
        <v/>
      </c>
      <c r="BS275" s="405">
        <v>0</v>
      </c>
      <c r="BT275" s="284">
        <f>IF(BQ275,_xll.qDateYears(BQ274,BQ275,BT$13),0)</f>
        <v>0</v>
      </c>
      <c r="BU275" s="284">
        <f t="shared" si="78"/>
        <v>1731.4581291138484</v>
      </c>
      <c r="CC275" s="560">
        <v>0</v>
      </c>
      <c r="CD275" s="155" t="str">
        <f t="shared" si="73"/>
        <v/>
      </c>
      <c r="CE275" s="405">
        <v>0</v>
      </c>
      <c r="CF275" s="284">
        <f>IF(CC275,_xll.qDateYears(CC274,CC275,CF$13),0)</f>
        <v>0</v>
      </c>
      <c r="CG275" s="284">
        <f t="shared" si="79"/>
        <v>2320.9300800126416</v>
      </c>
      <c r="CO275" s="560">
        <v>0</v>
      </c>
      <c r="CP275" s="155" t="str">
        <f t="shared" si="74"/>
        <v/>
      </c>
      <c r="CQ275" s="405">
        <v>0</v>
      </c>
      <c r="CR275" s="284">
        <f>IF(CO275,_xll.qDateYears(CO274,CO275,CR$13),0)</f>
        <v>0</v>
      </c>
      <c r="CS275" s="284">
        <f t="shared" si="80"/>
        <v>2166.0491297426292</v>
      </c>
      <c r="DA275" s="560">
        <v>0</v>
      </c>
      <c r="DB275" s="155" t="str">
        <f t="shared" si="75"/>
        <v/>
      </c>
      <c r="DC275" s="405">
        <v>0</v>
      </c>
      <c r="DD275" s="284">
        <f>IF(DA275,_xll.qDateYears(DA274,DA275,DD$13),0)</f>
        <v>0</v>
      </c>
      <c r="DE275" s="284">
        <f t="shared" si="81"/>
        <v>1625.698949379763</v>
      </c>
      <c r="DM275" s="560">
        <v>0</v>
      </c>
      <c r="DN275" s="155" t="str">
        <f t="shared" si="76"/>
        <v/>
      </c>
      <c r="DO275" s="405">
        <v>0</v>
      </c>
      <c r="DP275" s="284">
        <f>IF(DM275,_xll.qDateYears(DM274,DM275,DP$13),0)</f>
        <v>0</v>
      </c>
      <c r="DQ275" s="284">
        <f t="shared" si="82"/>
        <v>2216.4810485334592</v>
      </c>
    </row>
    <row r="276" spans="59:121">
      <c r="BG276" s="560">
        <v>0</v>
      </c>
      <c r="BH276" s="154" t="str">
        <f t="shared" si="71"/>
        <v/>
      </c>
      <c r="BI276" s="405">
        <v>0</v>
      </c>
      <c r="BJ276" s="284">
        <f>IF(BG276,_xll.qDateYears(BG275,BG276,$BJ$13),0)</f>
        <v>0</v>
      </c>
      <c r="BK276" s="284">
        <f t="shared" si="77"/>
        <v>2216.4810485334592</v>
      </c>
      <c r="BQ276" s="560">
        <v>0</v>
      </c>
      <c r="BR276" s="155" t="str">
        <f t="shared" si="72"/>
        <v/>
      </c>
      <c r="BS276" s="405">
        <v>0</v>
      </c>
      <c r="BT276" s="284">
        <f>IF(BQ276,_xll.qDateYears(BQ275,BQ276,BT$13),0)</f>
        <v>0</v>
      </c>
      <c r="BU276" s="284">
        <f t="shared" si="78"/>
        <v>1731.4581291138484</v>
      </c>
      <c r="CC276" s="560">
        <v>0</v>
      </c>
      <c r="CD276" s="155" t="str">
        <f t="shared" si="73"/>
        <v/>
      </c>
      <c r="CE276" s="405">
        <v>0</v>
      </c>
      <c r="CF276" s="284">
        <f>IF(CC276,_xll.qDateYears(CC275,CC276,CF$13),0)</f>
        <v>0</v>
      </c>
      <c r="CG276" s="284">
        <f t="shared" si="79"/>
        <v>2320.9300800126416</v>
      </c>
      <c r="CO276" s="560">
        <v>0</v>
      </c>
      <c r="CP276" s="155" t="str">
        <f t="shared" si="74"/>
        <v/>
      </c>
      <c r="CQ276" s="405">
        <v>0</v>
      </c>
      <c r="CR276" s="284">
        <f>IF(CO276,_xll.qDateYears(CO275,CO276,CR$13),0)</f>
        <v>0</v>
      </c>
      <c r="CS276" s="284">
        <f t="shared" si="80"/>
        <v>2166.0491297426292</v>
      </c>
      <c r="DA276" s="560">
        <v>0</v>
      </c>
      <c r="DB276" s="155" t="str">
        <f t="shared" si="75"/>
        <v/>
      </c>
      <c r="DC276" s="405">
        <v>0</v>
      </c>
      <c r="DD276" s="284">
        <f>IF(DA276,_xll.qDateYears(DA275,DA276,DD$13),0)</f>
        <v>0</v>
      </c>
      <c r="DE276" s="284">
        <f t="shared" si="81"/>
        <v>1625.698949379763</v>
      </c>
      <c r="DM276" s="560">
        <v>0</v>
      </c>
      <c r="DN276" s="155" t="str">
        <f t="shared" si="76"/>
        <v/>
      </c>
      <c r="DO276" s="405">
        <v>0</v>
      </c>
      <c r="DP276" s="284">
        <f>IF(DM276,_xll.qDateYears(DM275,DM276,DP$13),0)</f>
        <v>0</v>
      </c>
      <c r="DQ276" s="284">
        <f t="shared" si="82"/>
        <v>2216.4810485334592</v>
      </c>
    </row>
    <row r="277" spans="59:121">
      <c r="BG277" s="560">
        <v>0</v>
      </c>
      <c r="BH277" s="154" t="str">
        <f t="shared" si="71"/>
        <v/>
      </c>
      <c r="BI277" s="405">
        <v>0</v>
      </c>
      <c r="BJ277" s="284">
        <f>IF(BG277,_xll.qDateYears(BG276,BG277,$BJ$13),0)</f>
        <v>0</v>
      </c>
      <c r="BK277" s="284">
        <f t="shared" si="77"/>
        <v>2216.4810485334592</v>
      </c>
      <c r="BQ277" s="560">
        <v>0</v>
      </c>
      <c r="BR277" s="155" t="str">
        <f t="shared" si="72"/>
        <v/>
      </c>
      <c r="BS277" s="405">
        <v>0</v>
      </c>
      <c r="BT277" s="284">
        <f>IF(BQ277,_xll.qDateYears(BQ276,BQ277,BT$13),0)</f>
        <v>0</v>
      </c>
      <c r="BU277" s="284">
        <f t="shared" si="78"/>
        <v>1731.4581291138484</v>
      </c>
      <c r="CC277" s="560">
        <v>0</v>
      </c>
      <c r="CD277" s="155" t="str">
        <f t="shared" si="73"/>
        <v/>
      </c>
      <c r="CE277" s="405">
        <v>0</v>
      </c>
      <c r="CF277" s="284">
        <f>IF(CC277,_xll.qDateYears(CC276,CC277,CF$13),0)</f>
        <v>0</v>
      </c>
      <c r="CG277" s="284">
        <f t="shared" si="79"/>
        <v>2320.9300800126416</v>
      </c>
      <c r="CO277" s="560">
        <v>0</v>
      </c>
      <c r="CP277" s="155" t="str">
        <f t="shared" si="74"/>
        <v/>
      </c>
      <c r="CQ277" s="405">
        <v>0</v>
      </c>
      <c r="CR277" s="284">
        <f>IF(CO277,_xll.qDateYears(CO276,CO277,CR$13),0)</f>
        <v>0</v>
      </c>
      <c r="CS277" s="284">
        <f t="shared" si="80"/>
        <v>2166.0491297426292</v>
      </c>
      <c r="DA277" s="560">
        <v>0</v>
      </c>
      <c r="DB277" s="155" t="str">
        <f t="shared" si="75"/>
        <v/>
      </c>
      <c r="DC277" s="405">
        <v>0</v>
      </c>
      <c r="DD277" s="284">
        <f>IF(DA277,_xll.qDateYears(DA276,DA277,DD$13),0)</f>
        <v>0</v>
      </c>
      <c r="DE277" s="284">
        <f t="shared" si="81"/>
        <v>1625.698949379763</v>
      </c>
      <c r="DM277" s="560">
        <v>0</v>
      </c>
      <c r="DN277" s="155" t="str">
        <f t="shared" si="76"/>
        <v/>
      </c>
      <c r="DO277" s="405">
        <v>0</v>
      </c>
      <c r="DP277" s="284">
        <f>IF(DM277,_xll.qDateYears(DM276,DM277,DP$13),0)</f>
        <v>0</v>
      </c>
      <c r="DQ277" s="284">
        <f t="shared" si="82"/>
        <v>2216.4810485334592</v>
      </c>
    </row>
    <row r="278" spans="59:121">
      <c r="BG278" s="560">
        <v>0</v>
      </c>
      <c r="BH278" s="154" t="str">
        <f t="shared" si="71"/>
        <v/>
      </c>
      <c r="BI278" s="405">
        <v>0</v>
      </c>
      <c r="BJ278" s="284">
        <f>IF(BG278,_xll.qDateYears(BG277,BG278,$BJ$13),0)</f>
        <v>0</v>
      </c>
      <c r="BK278" s="284">
        <f t="shared" si="77"/>
        <v>2216.4810485334592</v>
      </c>
      <c r="BQ278" s="560">
        <v>0</v>
      </c>
      <c r="BR278" s="155" t="str">
        <f t="shared" si="72"/>
        <v/>
      </c>
      <c r="BS278" s="405">
        <v>0</v>
      </c>
      <c r="BT278" s="284">
        <f>IF(BQ278,_xll.qDateYears(BQ277,BQ278,BT$13),0)</f>
        <v>0</v>
      </c>
      <c r="BU278" s="284">
        <f t="shared" si="78"/>
        <v>1731.4581291138484</v>
      </c>
      <c r="CC278" s="560">
        <v>0</v>
      </c>
      <c r="CD278" s="155" t="str">
        <f t="shared" si="73"/>
        <v/>
      </c>
      <c r="CE278" s="405">
        <v>0</v>
      </c>
      <c r="CF278" s="284">
        <f>IF(CC278,_xll.qDateYears(CC277,CC278,CF$13),0)</f>
        <v>0</v>
      </c>
      <c r="CG278" s="284">
        <f t="shared" si="79"/>
        <v>2320.9300800126416</v>
      </c>
      <c r="CO278" s="560">
        <v>0</v>
      </c>
      <c r="CP278" s="155" t="str">
        <f t="shared" si="74"/>
        <v/>
      </c>
      <c r="CQ278" s="405">
        <v>0</v>
      </c>
      <c r="CR278" s="284">
        <f>IF(CO278,_xll.qDateYears(CO277,CO278,CR$13),0)</f>
        <v>0</v>
      </c>
      <c r="CS278" s="284">
        <f t="shared" si="80"/>
        <v>2166.0491297426292</v>
      </c>
      <c r="DA278" s="560">
        <v>0</v>
      </c>
      <c r="DB278" s="155" t="str">
        <f t="shared" si="75"/>
        <v/>
      </c>
      <c r="DC278" s="405">
        <v>0</v>
      </c>
      <c r="DD278" s="284">
        <f>IF(DA278,_xll.qDateYears(DA277,DA278,DD$13),0)</f>
        <v>0</v>
      </c>
      <c r="DE278" s="284">
        <f t="shared" si="81"/>
        <v>1625.698949379763</v>
      </c>
      <c r="DM278" s="560">
        <v>0</v>
      </c>
      <c r="DN278" s="155" t="str">
        <f t="shared" si="76"/>
        <v/>
      </c>
      <c r="DO278" s="405">
        <v>0</v>
      </c>
      <c r="DP278" s="284">
        <f>IF(DM278,_xll.qDateYears(DM277,DM278,DP$13),0)</f>
        <v>0</v>
      </c>
      <c r="DQ278" s="284">
        <f t="shared" si="82"/>
        <v>2216.4810485334592</v>
      </c>
    </row>
    <row r="279" spans="59:121">
      <c r="BG279" s="560">
        <v>0</v>
      </c>
      <c r="BH279" s="154" t="str">
        <f t="shared" si="71"/>
        <v/>
      </c>
      <c r="BI279" s="405">
        <v>0</v>
      </c>
      <c r="BJ279" s="284">
        <f>IF(BG279,_xll.qDateYears(BG278,BG279,$BJ$13),0)</f>
        <v>0</v>
      </c>
      <c r="BK279" s="284">
        <f t="shared" si="77"/>
        <v>2216.4810485334592</v>
      </c>
      <c r="BQ279" s="560">
        <v>0</v>
      </c>
      <c r="BR279" s="155" t="str">
        <f t="shared" si="72"/>
        <v/>
      </c>
      <c r="BS279" s="405">
        <v>0</v>
      </c>
      <c r="BT279" s="284">
        <f>IF(BQ279,_xll.qDateYears(BQ278,BQ279,BT$13),0)</f>
        <v>0</v>
      </c>
      <c r="BU279" s="284">
        <f t="shared" si="78"/>
        <v>1731.4581291138484</v>
      </c>
      <c r="CC279" s="560">
        <v>0</v>
      </c>
      <c r="CD279" s="155" t="str">
        <f t="shared" si="73"/>
        <v/>
      </c>
      <c r="CE279" s="405">
        <v>0</v>
      </c>
      <c r="CF279" s="284">
        <f>IF(CC279,_xll.qDateYears(CC278,CC279,CF$13),0)</f>
        <v>0</v>
      </c>
      <c r="CG279" s="284">
        <f t="shared" si="79"/>
        <v>2320.9300800126416</v>
      </c>
      <c r="CO279" s="560">
        <v>0</v>
      </c>
      <c r="CP279" s="155" t="str">
        <f t="shared" si="74"/>
        <v/>
      </c>
      <c r="CQ279" s="405">
        <v>0</v>
      </c>
      <c r="CR279" s="284">
        <f>IF(CO279,_xll.qDateYears(CO278,CO279,CR$13),0)</f>
        <v>0</v>
      </c>
      <c r="CS279" s="284">
        <f t="shared" si="80"/>
        <v>2166.0491297426292</v>
      </c>
      <c r="DA279" s="560">
        <v>0</v>
      </c>
      <c r="DB279" s="155" t="str">
        <f t="shared" si="75"/>
        <v/>
      </c>
      <c r="DC279" s="405">
        <v>0</v>
      </c>
      <c r="DD279" s="284">
        <f>IF(DA279,_xll.qDateYears(DA278,DA279,DD$13),0)</f>
        <v>0</v>
      </c>
      <c r="DE279" s="284">
        <f t="shared" si="81"/>
        <v>1625.698949379763</v>
      </c>
      <c r="DM279" s="560">
        <v>0</v>
      </c>
      <c r="DN279" s="155" t="str">
        <f t="shared" si="76"/>
        <v/>
      </c>
      <c r="DO279" s="405">
        <v>0</v>
      </c>
      <c r="DP279" s="284">
        <f>IF(DM279,_xll.qDateYears(DM278,DM279,DP$13),0)</f>
        <v>0</v>
      </c>
      <c r="DQ279" s="284">
        <f t="shared" si="82"/>
        <v>2216.4810485334592</v>
      </c>
    </row>
    <row r="280" spans="59:121">
      <c r="BG280" s="560">
        <v>0</v>
      </c>
      <c r="BH280" s="154" t="str">
        <f t="shared" si="71"/>
        <v/>
      </c>
      <c r="BI280" s="405">
        <v>0</v>
      </c>
      <c r="BJ280" s="284">
        <f>IF(BG280,_xll.qDateYears(BG279,BG280,$BJ$13),0)</f>
        <v>0</v>
      </c>
      <c r="BK280" s="284">
        <f t="shared" si="77"/>
        <v>2216.4810485334592</v>
      </c>
      <c r="BQ280" s="560">
        <v>0</v>
      </c>
      <c r="BR280" s="155" t="str">
        <f t="shared" si="72"/>
        <v/>
      </c>
      <c r="BS280" s="405">
        <v>0</v>
      </c>
      <c r="BT280" s="284">
        <f>IF(BQ280,_xll.qDateYears(BQ279,BQ280,BT$13),0)</f>
        <v>0</v>
      </c>
      <c r="BU280" s="284">
        <f t="shared" si="78"/>
        <v>1731.4581291138484</v>
      </c>
      <c r="CC280" s="560">
        <v>0</v>
      </c>
      <c r="CD280" s="155" t="str">
        <f t="shared" si="73"/>
        <v/>
      </c>
      <c r="CE280" s="405">
        <v>0</v>
      </c>
      <c r="CF280" s="284">
        <f>IF(CC280,_xll.qDateYears(CC279,CC280,CF$13),0)</f>
        <v>0</v>
      </c>
      <c r="CG280" s="284">
        <f t="shared" si="79"/>
        <v>2320.9300800126416</v>
      </c>
      <c r="CO280" s="560">
        <v>0</v>
      </c>
      <c r="CP280" s="155" t="str">
        <f t="shared" si="74"/>
        <v/>
      </c>
      <c r="CQ280" s="405">
        <v>0</v>
      </c>
      <c r="CR280" s="284">
        <f>IF(CO280,_xll.qDateYears(CO279,CO280,CR$13),0)</f>
        <v>0</v>
      </c>
      <c r="CS280" s="284">
        <f t="shared" si="80"/>
        <v>2166.0491297426292</v>
      </c>
      <c r="DA280" s="560">
        <v>0</v>
      </c>
      <c r="DB280" s="155" t="str">
        <f t="shared" si="75"/>
        <v/>
      </c>
      <c r="DC280" s="405">
        <v>0</v>
      </c>
      <c r="DD280" s="284">
        <f>IF(DA280,_xll.qDateYears(DA279,DA280,DD$13),0)</f>
        <v>0</v>
      </c>
      <c r="DE280" s="284">
        <f t="shared" si="81"/>
        <v>1625.698949379763</v>
      </c>
      <c r="DM280" s="560">
        <v>0</v>
      </c>
      <c r="DN280" s="155" t="str">
        <f t="shared" si="76"/>
        <v/>
      </c>
      <c r="DO280" s="405">
        <v>0</v>
      </c>
      <c r="DP280" s="284">
        <f>IF(DM280,_xll.qDateYears(DM279,DM280,DP$13),0)</f>
        <v>0</v>
      </c>
      <c r="DQ280" s="284">
        <f t="shared" si="82"/>
        <v>2216.4810485334592</v>
      </c>
    </row>
    <row r="281" spans="59:121">
      <c r="BG281" s="560">
        <v>0</v>
      </c>
      <c r="BH281" s="154" t="str">
        <f t="shared" si="71"/>
        <v/>
      </c>
      <c r="BI281" s="405">
        <v>0</v>
      </c>
      <c r="BJ281" s="284">
        <f>IF(BG281,_xll.qDateYears(BG280,BG281,$BJ$13),0)</f>
        <v>0</v>
      </c>
      <c r="BK281" s="284">
        <f t="shared" si="77"/>
        <v>2216.4810485334592</v>
      </c>
      <c r="BQ281" s="560">
        <v>0</v>
      </c>
      <c r="BR281" s="155" t="str">
        <f t="shared" si="72"/>
        <v/>
      </c>
      <c r="BS281" s="405">
        <v>0</v>
      </c>
      <c r="BT281" s="284">
        <f>IF(BQ281,_xll.qDateYears(BQ280,BQ281,BT$13),0)</f>
        <v>0</v>
      </c>
      <c r="BU281" s="284">
        <f t="shared" si="78"/>
        <v>1731.4581291138484</v>
      </c>
      <c r="CC281" s="560">
        <v>0</v>
      </c>
      <c r="CD281" s="155" t="str">
        <f t="shared" si="73"/>
        <v/>
      </c>
      <c r="CE281" s="405">
        <v>0</v>
      </c>
      <c r="CF281" s="284">
        <f>IF(CC281,_xll.qDateYears(CC280,CC281,CF$13),0)</f>
        <v>0</v>
      </c>
      <c r="CG281" s="284">
        <f t="shared" si="79"/>
        <v>2320.9300800126416</v>
      </c>
      <c r="CO281" s="560">
        <v>0</v>
      </c>
      <c r="CP281" s="155" t="str">
        <f t="shared" si="74"/>
        <v/>
      </c>
      <c r="CQ281" s="405">
        <v>0</v>
      </c>
      <c r="CR281" s="284">
        <f>IF(CO281,_xll.qDateYears(CO280,CO281,CR$13),0)</f>
        <v>0</v>
      </c>
      <c r="CS281" s="284">
        <f t="shared" si="80"/>
        <v>2166.0491297426292</v>
      </c>
      <c r="DA281" s="560">
        <v>0</v>
      </c>
      <c r="DB281" s="155" t="str">
        <f t="shared" si="75"/>
        <v/>
      </c>
      <c r="DC281" s="405">
        <v>0</v>
      </c>
      <c r="DD281" s="284">
        <f>IF(DA281,_xll.qDateYears(DA280,DA281,DD$13),0)</f>
        <v>0</v>
      </c>
      <c r="DE281" s="284">
        <f t="shared" si="81"/>
        <v>1625.698949379763</v>
      </c>
      <c r="DM281" s="560">
        <v>0</v>
      </c>
      <c r="DN281" s="155" t="str">
        <f t="shared" si="76"/>
        <v/>
      </c>
      <c r="DO281" s="405">
        <v>0</v>
      </c>
      <c r="DP281" s="284">
        <f>IF(DM281,_xll.qDateYears(DM280,DM281,DP$13),0)</f>
        <v>0</v>
      </c>
      <c r="DQ281" s="284">
        <f t="shared" si="82"/>
        <v>2216.4810485334592</v>
      </c>
    </row>
    <row r="282" spans="59:121">
      <c r="BG282" s="560">
        <v>0</v>
      </c>
      <c r="BH282" s="154" t="str">
        <f t="shared" si="71"/>
        <v/>
      </c>
      <c r="BI282" s="405">
        <v>0</v>
      </c>
      <c r="BJ282" s="284">
        <f>IF(BG282,_xll.qDateYears(BG281,BG282,$BJ$13),0)</f>
        <v>0</v>
      </c>
      <c r="BK282" s="284">
        <f t="shared" si="77"/>
        <v>2216.4810485334592</v>
      </c>
      <c r="BQ282" s="560">
        <v>0</v>
      </c>
      <c r="BR282" s="155" t="str">
        <f t="shared" si="72"/>
        <v/>
      </c>
      <c r="BS282" s="405">
        <v>0</v>
      </c>
      <c r="BT282" s="284">
        <f>IF(BQ282,_xll.qDateYears(BQ281,BQ282,BT$13),0)</f>
        <v>0</v>
      </c>
      <c r="BU282" s="284">
        <f t="shared" si="78"/>
        <v>1731.4581291138484</v>
      </c>
      <c r="CC282" s="560">
        <v>0</v>
      </c>
      <c r="CD282" s="155" t="str">
        <f t="shared" si="73"/>
        <v/>
      </c>
      <c r="CE282" s="405">
        <v>0</v>
      </c>
      <c r="CF282" s="284">
        <f>IF(CC282,_xll.qDateYears(CC281,CC282,CF$13),0)</f>
        <v>0</v>
      </c>
      <c r="CG282" s="284">
        <f t="shared" si="79"/>
        <v>2320.9300800126416</v>
      </c>
      <c r="CO282" s="560">
        <v>0</v>
      </c>
      <c r="CP282" s="155" t="str">
        <f t="shared" si="74"/>
        <v/>
      </c>
      <c r="CQ282" s="405">
        <v>0</v>
      </c>
      <c r="CR282" s="284">
        <f>IF(CO282,_xll.qDateYears(CO281,CO282,CR$13),0)</f>
        <v>0</v>
      </c>
      <c r="CS282" s="284">
        <f t="shared" si="80"/>
        <v>2166.0491297426292</v>
      </c>
      <c r="DA282" s="560">
        <v>0</v>
      </c>
      <c r="DB282" s="155" t="str">
        <f t="shared" si="75"/>
        <v/>
      </c>
      <c r="DC282" s="405">
        <v>0</v>
      </c>
      <c r="DD282" s="284">
        <f>IF(DA282,_xll.qDateYears(DA281,DA282,DD$13),0)</f>
        <v>0</v>
      </c>
      <c r="DE282" s="284">
        <f t="shared" si="81"/>
        <v>1625.698949379763</v>
      </c>
      <c r="DM282" s="560">
        <v>0</v>
      </c>
      <c r="DN282" s="155" t="str">
        <f t="shared" si="76"/>
        <v/>
      </c>
      <c r="DO282" s="405">
        <v>0</v>
      </c>
      <c r="DP282" s="284">
        <f>IF(DM282,_xll.qDateYears(DM281,DM282,DP$13),0)</f>
        <v>0</v>
      </c>
      <c r="DQ282" s="284">
        <f t="shared" si="82"/>
        <v>2216.4810485334592</v>
      </c>
    </row>
    <row r="283" spans="59:121">
      <c r="BG283" s="560">
        <v>0</v>
      </c>
      <c r="BH283" s="154" t="str">
        <f t="shared" si="71"/>
        <v/>
      </c>
      <c r="BI283" s="405">
        <v>0</v>
      </c>
      <c r="BJ283" s="284">
        <f>IF(BG283,_xll.qDateYears(BG282,BG283,$BJ$13),0)</f>
        <v>0</v>
      </c>
      <c r="BK283" s="284">
        <f t="shared" si="77"/>
        <v>2216.4810485334592</v>
      </c>
      <c r="BQ283" s="560">
        <v>0</v>
      </c>
      <c r="BR283" s="155" t="str">
        <f t="shared" si="72"/>
        <v/>
      </c>
      <c r="BS283" s="405">
        <v>0</v>
      </c>
      <c r="BT283" s="284">
        <f>IF(BQ283,_xll.qDateYears(BQ282,BQ283,BT$13),0)</f>
        <v>0</v>
      </c>
      <c r="BU283" s="284">
        <f t="shared" si="78"/>
        <v>1731.4581291138484</v>
      </c>
      <c r="CC283" s="560">
        <v>0</v>
      </c>
      <c r="CD283" s="155" t="str">
        <f t="shared" si="73"/>
        <v/>
      </c>
      <c r="CE283" s="405">
        <v>0</v>
      </c>
      <c r="CF283" s="284">
        <f>IF(CC283,_xll.qDateYears(CC282,CC283,CF$13),0)</f>
        <v>0</v>
      </c>
      <c r="CG283" s="284">
        <f t="shared" si="79"/>
        <v>2320.9300800126416</v>
      </c>
      <c r="CO283" s="560">
        <v>0</v>
      </c>
      <c r="CP283" s="155" t="str">
        <f t="shared" si="74"/>
        <v/>
      </c>
      <c r="CQ283" s="405">
        <v>0</v>
      </c>
      <c r="CR283" s="284">
        <f>IF(CO283,_xll.qDateYears(CO282,CO283,CR$13),0)</f>
        <v>0</v>
      </c>
      <c r="CS283" s="284">
        <f t="shared" si="80"/>
        <v>2166.0491297426292</v>
      </c>
      <c r="DA283" s="560">
        <v>0</v>
      </c>
      <c r="DB283" s="155" t="str">
        <f t="shared" si="75"/>
        <v/>
      </c>
      <c r="DC283" s="405">
        <v>0</v>
      </c>
      <c r="DD283" s="284">
        <f>IF(DA283,_xll.qDateYears(DA282,DA283,DD$13),0)</f>
        <v>0</v>
      </c>
      <c r="DE283" s="284">
        <f t="shared" si="81"/>
        <v>1625.698949379763</v>
      </c>
      <c r="DM283" s="560">
        <v>0</v>
      </c>
      <c r="DN283" s="155" t="str">
        <f t="shared" si="76"/>
        <v/>
      </c>
      <c r="DO283" s="405">
        <v>0</v>
      </c>
      <c r="DP283" s="284">
        <f>IF(DM283,_xll.qDateYears(DM282,DM283,DP$13),0)</f>
        <v>0</v>
      </c>
      <c r="DQ283" s="284">
        <f t="shared" si="82"/>
        <v>2216.4810485334592</v>
      </c>
    </row>
    <row r="284" spans="59:121">
      <c r="BG284" s="560">
        <v>0</v>
      </c>
      <c r="BH284" s="154" t="str">
        <f t="shared" si="71"/>
        <v/>
      </c>
      <c r="BI284" s="405">
        <v>0</v>
      </c>
      <c r="BJ284" s="284">
        <f>IF(BG284,_xll.qDateYears(BG283,BG284,$BJ$13),0)</f>
        <v>0</v>
      </c>
      <c r="BK284" s="284">
        <f t="shared" si="77"/>
        <v>2216.4810485334592</v>
      </c>
      <c r="BQ284" s="560">
        <v>0</v>
      </c>
      <c r="BR284" s="155" t="str">
        <f t="shared" si="72"/>
        <v/>
      </c>
      <c r="BS284" s="405">
        <v>0</v>
      </c>
      <c r="BT284" s="284">
        <f>IF(BQ284,_xll.qDateYears(BQ283,BQ284,BT$13),0)</f>
        <v>0</v>
      </c>
      <c r="BU284" s="284">
        <f t="shared" si="78"/>
        <v>1731.4581291138484</v>
      </c>
      <c r="CC284" s="560">
        <v>0</v>
      </c>
      <c r="CD284" s="155" t="str">
        <f t="shared" si="73"/>
        <v/>
      </c>
      <c r="CE284" s="405">
        <v>0</v>
      </c>
      <c r="CF284" s="284">
        <f>IF(CC284,_xll.qDateYears(CC283,CC284,CF$13),0)</f>
        <v>0</v>
      </c>
      <c r="CG284" s="284">
        <f t="shared" si="79"/>
        <v>2320.9300800126416</v>
      </c>
      <c r="CO284" s="560">
        <v>0</v>
      </c>
      <c r="CP284" s="155" t="str">
        <f t="shared" si="74"/>
        <v/>
      </c>
      <c r="CQ284" s="405">
        <v>0</v>
      </c>
      <c r="CR284" s="284">
        <f>IF(CO284,_xll.qDateYears(CO283,CO284,CR$13),0)</f>
        <v>0</v>
      </c>
      <c r="CS284" s="284">
        <f t="shared" si="80"/>
        <v>2166.0491297426292</v>
      </c>
      <c r="DA284" s="560">
        <v>0</v>
      </c>
      <c r="DB284" s="155" t="str">
        <f t="shared" si="75"/>
        <v/>
      </c>
      <c r="DC284" s="405">
        <v>0</v>
      </c>
      <c r="DD284" s="284">
        <f>IF(DA284,_xll.qDateYears(DA283,DA284,DD$13),0)</f>
        <v>0</v>
      </c>
      <c r="DE284" s="284">
        <f t="shared" si="81"/>
        <v>1625.698949379763</v>
      </c>
      <c r="DM284" s="560">
        <v>0</v>
      </c>
      <c r="DN284" s="155" t="str">
        <f t="shared" si="76"/>
        <v/>
      </c>
      <c r="DO284" s="405">
        <v>0</v>
      </c>
      <c r="DP284" s="284">
        <f>IF(DM284,_xll.qDateYears(DM283,DM284,DP$13),0)</f>
        <v>0</v>
      </c>
      <c r="DQ284" s="284">
        <f t="shared" si="82"/>
        <v>2216.4810485334592</v>
      </c>
    </row>
    <row r="285" spans="59:121">
      <c r="BG285" s="560">
        <v>0</v>
      </c>
      <c r="BH285" s="154" t="str">
        <f t="shared" si="71"/>
        <v/>
      </c>
      <c r="BI285" s="405">
        <v>0</v>
      </c>
      <c r="BJ285" s="284">
        <f>IF(BG285,_xll.qDateYears(BG284,BG285,$BJ$13),0)</f>
        <v>0</v>
      </c>
      <c r="BK285" s="284">
        <f t="shared" si="77"/>
        <v>2216.4810485334592</v>
      </c>
      <c r="BQ285" s="560">
        <v>0</v>
      </c>
      <c r="BR285" s="155" t="str">
        <f t="shared" si="72"/>
        <v/>
      </c>
      <c r="BS285" s="405">
        <v>0</v>
      </c>
      <c r="BT285" s="284">
        <f>IF(BQ285,_xll.qDateYears(BQ284,BQ285,BT$13),0)</f>
        <v>0</v>
      </c>
      <c r="BU285" s="284">
        <f t="shared" si="78"/>
        <v>1731.4581291138484</v>
      </c>
      <c r="CC285" s="560">
        <v>0</v>
      </c>
      <c r="CD285" s="155" t="str">
        <f t="shared" si="73"/>
        <v/>
      </c>
      <c r="CE285" s="405">
        <v>0</v>
      </c>
      <c r="CF285" s="284">
        <f>IF(CC285,_xll.qDateYears(CC284,CC285,CF$13),0)</f>
        <v>0</v>
      </c>
      <c r="CG285" s="284">
        <f t="shared" si="79"/>
        <v>2320.9300800126416</v>
      </c>
      <c r="CO285" s="560">
        <v>0</v>
      </c>
      <c r="CP285" s="155" t="str">
        <f t="shared" si="74"/>
        <v/>
      </c>
      <c r="CQ285" s="405">
        <v>0</v>
      </c>
      <c r="CR285" s="284">
        <f>IF(CO285,_xll.qDateYears(CO284,CO285,CR$13),0)</f>
        <v>0</v>
      </c>
      <c r="CS285" s="284">
        <f t="shared" si="80"/>
        <v>2166.0491297426292</v>
      </c>
      <c r="DA285" s="560">
        <v>0</v>
      </c>
      <c r="DB285" s="155" t="str">
        <f t="shared" si="75"/>
        <v/>
      </c>
      <c r="DC285" s="405">
        <v>0</v>
      </c>
      <c r="DD285" s="284">
        <f>IF(DA285,_xll.qDateYears(DA284,DA285,DD$13),0)</f>
        <v>0</v>
      </c>
      <c r="DE285" s="284">
        <f t="shared" si="81"/>
        <v>1625.698949379763</v>
      </c>
      <c r="DM285" s="560">
        <v>0</v>
      </c>
      <c r="DN285" s="155" t="str">
        <f t="shared" si="76"/>
        <v/>
      </c>
      <c r="DO285" s="405">
        <v>0</v>
      </c>
      <c r="DP285" s="284">
        <f>IF(DM285,_xll.qDateYears(DM284,DM285,DP$13),0)</f>
        <v>0</v>
      </c>
      <c r="DQ285" s="284">
        <f t="shared" si="82"/>
        <v>2216.4810485334592</v>
      </c>
    </row>
    <row r="286" spans="59:121">
      <c r="BG286" s="560">
        <v>0</v>
      </c>
      <c r="BH286" s="154" t="str">
        <f t="shared" si="71"/>
        <v/>
      </c>
      <c r="BI286" s="405">
        <v>0</v>
      </c>
      <c r="BJ286" s="284">
        <f>IF(BG286,_xll.qDateYears(BG285,BG286,$BJ$13),0)</f>
        <v>0</v>
      </c>
      <c r="BK286" s="284">
        <f t="shared" si="77"/>
        <v>2216.4810485334592</v>
      </c>
      <c r="BQ286" s="560">
        <v>0</v>
      </c>
      <c r="BR286" s="155" t="str">
        <f t="shared" si="72"/>
        <v/>
      </c>
      <c r="BS286" s="405">
        <v>0</v>
      </c>
      <c r="BT286" s="284">
        <f>IF(BQ286,_xll.qDateYears(BQ285,BQ286,BT$13),0)</f>
        <v>0</v>
      </c>
      <c r="BU286" s="284">
        <f t="shared" si="78"/>
        <v>1731.4581291138484</v>
      </c>
      <c r="CC286" s="560">
        <v>0</v>
      </c>
      <c r="CD286" s="155" t="str">
        <f t="shared" si="73"/>
        <v/>
      </c>
      <c r="CE286" s="405">
        <v>0</v>
      </c>
      <c r="CF286" s="284">
        <f>IF(CC286,_xll.qDateYears(CC285,CC286,CF$13),0)</f>
        <v>0</v>
      </c>
      <c r="CG286" s="284">
        <f t="shared" si="79"/>
        <v>2320.9300800126416</v>
      </c>
      <c r="CO286" s="560">
        <v>0</v>
      </c>
      <c r="CP286" s="155" t="str">
        <f t="shared" si="74"/>
        <v/>
      </c>
      <c r="CQ286" s="405">
        <v>0</v>
      </c>
      <c r="CR286" s="284">
        <f>IF(CO286,_xll.qDateYears(CO285,CO286,CR$13),0)</f>
        <v>0</v>
      </c>
      <c r="CS286" s="284">
        <f t="shared" si="80"/>
        <v>2166.0491297426292</v>
      </c>
      <c r="DA286" s="560">
        <v>0</v>
      </c>
      <c r="DB286" s="155" t="str">
        <f t="shared" si="75"/>
        <v/>
      </c>
      <c r="DC286" s="405">
        <v>0</v>
      </c>
      <c r="DD286" s="284">
        <f>IF(DA286,_xll.qDateYears(DA285,DA286,DD$13),0)</f>
        <v>0</v>
      </c>
      <c r="DE286" s="284">
        <f t="shared" si="81"/>
        <v>1625.698949379763</v>
      </c>
      <c r="DM286" s="560">
        <v>0</v>
      </c>
      <c r="DN286" s="155" t="str">
        <f t="shared" si="76"/>
        <v/>
      </c>
      <c r="DO286" s="405">
        <v>0</v>
      </c>
      <c r="DP286" s="284">
        <f>IF(DM286,_xll.qDateYears(DM285,DM286,DP$13),0)</f>
        <v>0</v>
      </c>
      <c r="DQ286" s="284">
        <f t="shared" si="82"/>
        <v>2216.4810485334592</v>
      </c>
    </row>
    <row r="287" spans="59:121">
      <c r="BG287" s="560">
        <v>0</v>
      </c>
      <c r="BH287" s="154" t="str">
        <f t="shared" si="71"/>
        <v/>
      </c>
      <c r="BI287" s="405">
        <v>0</v>
      </c>
      <c r="BJ287" s="284">
        <f>IF(BG287,_xll.qDateYears(BG286,BG287,$BJ$13),0)</f>
        <v>0</v>
      </c>
      <c r="BK287" s="284">
        <f t="shared" si="77"/>
        <v>2216.4810485334592</v>
      </c>
      <c r="BQ287" s="560">
        <v>0</v>
      </c>
      <c r="BR287" s="155" t="str">
        <f t="shared" si="72"/>
        <v/>
      </c>
      <c r="BS287" s="405">
        <v>0</v>
      </c>
      <c r="BT287" s="284">
        <f>IF(BQ287,_xll.qDateYears(BQ286,BQ287,BT$13),0)</f>
        <v>0</v>
      </c>
      <c r="BU287" s="284">
        <f t="shared" si="78"/>
        <v>1731.4581291138484</v>
      </c>
      <c r="CC287" s="560">
        <v>0</v>
      </c>
      <c r="CD287" s="155" t="str">
        <f t="shared" si="73"/>
        <v/>
      </c>
      <c r="CE287" s="405">
        <v>0</v>
      </c>
      <c r="CF287" s="284">
        <f>IF(CC287,_xll.qDateYears(CC286,CC287,CF$13),0)</f>
        <v>0</v>
      </c>
      <c r="CG287" s="284">
        <f t="shared" si="79"/>
        <v>2320.9300800126416</v>
      </c>
      <c r="CO287" s="560">
        <v>0</v>
      </c>
      <c r="CP287" s="155" t="str">
        <f t="shared" si="74"/>
        <v/>
      </c>
      <c r="CQ287" s="405">
        <v>0</v>
      </c>
      <c r="CR287" s="284">
        <f>IF(CO287,_xll.qDateYears(CO286,CO287,CR$13),0)</f>
        <v>0</v>
      </c>
      <c r="CS287" s="284">
        <f t="shared" si="80"/>
        <v>2166.0491297426292</v>
      </c>
      <c r="DA287" s="560">
        <v>0</v>
      </c>
      <c r="DB287" s="155" t="str">
        <f t="shared" si="75"/>
        <v/>
      </c>
      <c r="DC287" s="405">
        <v>0</v>
      </c>
      <c r="DD287" s="284">
        <f>IF(DA287,_xll.qDateYears(DA286,DA287,DD$13),0)</f>
        <v>0</v>
      </c>
      <c r="DE287" s="284">
        <f t="shared" si="81"/>
        <v>1625.698949379763</v>
      </c>
      <c r="DM287" s="560">
        <v>0</v>
      </c>
      <c r="DN287" s="155" t="str">
        <f t="shared" si="76"/>
        <v/>
      </c>
      <c r="DO287" s="405">
        <v>0</v>
      </c>
      <c r="DP287" s="284">
        <f>IF(DM287,_xll.qDateYears(DM286,DM287,DP$13),0)</f>
        <v>0</v>
      </c>
      <c r="DQ287" s="284">
        <f t="shared" si="82"/>
        <v>2216.4810485334592</v>
      </c>
    </row>
    <row r="288" spans="59:121">
      <c r="BG288" s="560">
        <v>0</v>
      </c>
      <c r="BH288" s="154" t="str">
        <f t="shared" si="71"/>
        <v/>
      </c>
      <c r="BI288" s="405">
        <v>0</v>
      </c>
      <c r="BJ288" s="284">
        <f>IF(BG288,_xll.qDateYears(BG287,BG288,$BJ$13),0)</f>
        <v>0</v>
      </c>
      <c r="BK288" s="284">
        <f t="shared" si="77"/>
        <v>2216.4810485334592</v>
      </c>
      <c r="BQ288" s="560">
        <v>0</v>
      </c>
      <c r="BR288" s="155" t="str">
        <f t="shared" si="72"/>
        <v/>
      </c>
      <c r="BS288" s="405">
        <v>0</v>
      </c>
      <c r="BT288" s="284">
        <f>IF(BQ288,_xll.qDateYears(BQ287,BQ288,BT$13),0)</f>
        <v>0</v>
      </c>
      <c r="BU288" s="284">
        <f t="shared" si="78"/>
        <v>1731.4581291138484</v>
      </c>
      <c r="CC288" s="560">
        <v>0</v>
      </c>
      <c r="CD288" s="155" t="str">
        <f t="shared" si="73"/>
        <v/>
      </c>
      <c r="CE288" s="405">
        <v>0</v>
      </c>
      <c r="CF288" s="284">
        <f>IF(CC288,_xll.qDateYears(CC287,CC288,CF$13),0)</f>
        <v>0</v>
      </c>
      <c r="CG288" s="284">
        <f t="shared" si="79"/>
        <v>2320.9300800126416</v>
      </c>
      <c r="CO288" s="560">
        <v>0</v>
      </c>
      <c r="CP288" s="155" t="str">
        <f t="shared" si="74"/>
        <v/>
      </c>
      <c r="CQ288" s="405">
        <v>0</v>
      </c>
      <c r="CR288" s="284">
        <f>IF(CO288,_xll.qDateYears(CO287,CO288,CR$13),0)</f>
        <v>0</v>
      </c>
      <c r="CS288" s="284">
        <f t="shared" si="80"/>
        <v>2166.0491297426292</v>
      </c>
      <c r="DA288" s="560">
        <v>0</v>
      </c>
      <c r="DB288" s="155" t="str">
        <f t="shared" si="75"/>
        <v/>
      </c>
      <c r="DC288" s="405">
        <v>0</v>
      </c>
      <c r="DD288" s="284">
        <f>IF(DA288,_xll.qDateYears(DA287,DA288,DD$13),0)</f>
        <v>0</v>
      </c>
      <c r="DE288" s="284">
        <f t="shared" si="81"/>
        <v>1625.698949379763</v>
      </c>
      <c r="DM288" s="560">
        <v>0</v>
      </c>
      <c r="DN288" s="155" t="str">
        <f t="shared" si="76"/>
        <v/>
      </c>
      <c r="DO288" s="405">
        <v>0</v>
      </c>
      <c r="DP288" s="284">
        <f>IF(DM288,_xll.qDateYears(DM287,DM288,DP$13),0)</f>
        <v>0</v>
      </c>
      <c r="DQ288" s="284">
        <f t="shared" si="82"/>
        <v>2216.4810485334592</v>
      </c>
    </row>
    <row r="289" spans="59:121">
      <c r="BG289" s="560">
        <v>0</v>
      </c>
      <c r="BH289" s="154" t="str">
        <f t="shared" si="71"/>
        <v/>
      </c>
      <c r="BI289" s="405">
        <v>0</v>
      </c>
      <c r="BJ289" s="284">
        <f>IF(BG289,_xll.qDateYears(BG288,BG289,$BJ$13),0)</f>
        <v>0</v>
      </c>
      <c r="BK289" s="284">
        <f t="shared" si="77"/>
        <v>2216.4810485334592</v>
      </c>
      <c r="BQ289" s="560">
        <v>0</v>
      </c>
      <c r="BR289" s="155" t="str">
        <f t="shared" si="72"/>
        <v/>
      </c>
      <c r="BS289" s="405">
        <v>0</v>
      </c>
      <c r="BT289" s="284">
        <f>IF(BQ289,_xll.qDateYears(BQ288,BQ289,BT$13),0)</f>
        <v>0</v>
      </c>
      <c r="BU289" s="284">
        <f t="shared" si="78"/>
        <v>1731.4581291138484</v>
      </c>
      <c r="CC289" s="560">
        <v>0</v>
      </c>
      <c r="CD289" s="155" t="str">
        <f t="shared" si="73"/>
        <v/>
      </c>
      <c r="CE289" s="405">
        <v>0</v>
      </c>
      <c r="CF289" s="284">
        <f>IF(CC289,_xll.qDateYears(CC288,CC289,CF$13),0)</f>
        <v>0</v>
      </c>
      <c r="CG289" s="284">
        <f t="shared" si="79"/>
        <v>2320.9300800126416</v>
      </c>
      <c r="CO289" s="560">
        <v>0</v>
      </c>
      <c r="CP289" s="155" t="str">
        <f t="shared" si="74"/>
        <v/>
      </c>
      <c r="CQ289" s="405">
        <v>0</v>
      </c>
      <c r="CR289" s="284">
        <f>IF(CO289,_xll.qDateYears(CO288,CO289,CR$13),0)</f>
        <v>0</v>
      </c>
      <c r="CS289" s="284">
        <f t="shared" si="80"/>
        <v>2166.0491297426292</v>
      </c>
      <c r="DA289" s="560">
        <v>0</v>
      </c>
      <c r="DB289" s="155" t="str">
        <f t="shared" si="75"/>
        <v/>
      </c>
      <c r="DC289" s="405">
        <v>0</v>
      </c>
      <c r="DD289" s="284">
        <f>IF(DA289,_xll.qDateYears(DA288,DA289,DD$13),0)</f>
        <v>0</v>
      </c>
      <c r="DE289" s="284">
        <f t="shared" si="81"/>
        <v>1625.698949379763</v>
      </c>
      <c r="DM289" s="560">
        <v>0</v>
      </c>
      <c r="DN289" s="155" t="str">
        <f t="shared" si="76"/>
        <v/>
      </c>
      <c r="DO289" s="405">
        <v>0</v>
      </c>
      <c r="DP289" s="284">
        <f>IF(DM289,_xll.qDateYears(DM288,DM289,DP$13),0)</f>
        <v>0</v>
      </c>
      <c r="DQ289" s="284">
        <f t="shared" si="82"/>
        <v>2216.4810485334592</v>
      </c>
    </row>
    <row r="290" spans="59:121">
      <c r="BG290" s="560">
        <v>0</v>
      </c>
      <c r="BH290" s="154" t="str">
        <f t="shared" si="71"/>
        <v/>
      </c>
      <c r="BI290" s="405">
        <v>0</v>
      </c>
      <c r="BJ290" s="284">
        <f>IF(BG290,_xll.qDateYears(BG289,BG290,$BJ$13),0)</f>
        <v>0</v>
      </c>
      <c r="BK290" s="284">
        <f t="shared" si="77"/>
        <v>2216.4810485334592</v>
      </c>
      <c r="BQ290" s="560">
        <v>0</v>
      </c>
      <c r="BR290" s="155" t="str">
        <f t="shared" si="72"/>
        <v/>
      </c>
      <c r="BS290" s="405">
        <v>0</v>
      </c>
      <c r="BT290" s="284">
        <f>IF(BQ290,_xll.qDateYears(BQ289,BQ290,BT$13),0)</f>
        <v>0</v>
      </c>
      <c r="BU290" s="284">
        <f t="shared" si="78"/>
        <v>1731.4581291138484</v>
      </c>
      <c r="CC290" s="560">
        <v>0</v>
      </c>
      <c r="CD290" s="155" t="str">
        <f t="shared" si="73"/>
        <v/>
      </c>
      <c r="CE290" s="405">
        <v>0</v>
      </c>
      <c r="CF290" s="284">
        <f>IF(CC290,_xll.qDateYears(CC289,CC290,CF$13),0)</f>
        <v>0</v>
      </c>
      <c r="CG290" s="284">
        <f t="shared" si="79"/>
        <v>2320.9300800126416</v>
      </c>
      <c r="CO290" s="560">
        <v>0</v>
      </c>
      <c r="CP290" s="155" t="str">
        <f t="shared" si="74"/>
        <v/>
      </c>
      <c r="CQ290" s="405">
        <v>0</v>
      </c>
      <c r="CR290" s="284">
        <f>IF(CO290,_xll.qDateYears(CO289,CO290,CR$13),0)</f>
        <v>0</v>
      </c>
      <c r="CS290" s="284">
        <f t="shared" si="80"/>
        <v>2166.0491297426292</v>
      </c>
      <c r="DA290" s="560">
        <v>0</v>
      </c>
      <c r="DB290" s="155" t="str">
        <f t="shared" si="75"/>
        <v/>
      </c>
      <c r="DC290" s="405">
        <v>0</v>
      </c>
      <c r="DD290" s="284">
        <f>IF(DA290,_xll.qDateYears(DA289,DA290,DD$13),0)</f>
        <v>0</v>
      </c>
      <c r="DE290" s="284">
        <f t="shared" si="81"/>
        <v>1625.698949379763</v>
      </c>
      <c r="DM290" s="560">
        <v>0</v>
      </c>
      <c r="DN290" s="155" t="str">
        <f t="shared" si="76"/>
        <v/>
      </c>
      <c r="DO290" s="405">
        <v>0</v>
      </c>
      <c r="DP290" s="284">
        <f>IF(DM290,_xll.qDateYears(DM289,DM290,DP$13),0)</f>
        <v>0</v>
      </c>
      <c r="DQ290" s="284">
        <f t="shared" si="82"/>
        <v>2216.4810485334592</v>
      </c>
    </row>
    <row r="291" spans="59:121">
      <c r="BG291" s="560">
        <v>0</v>
      </c>
      <c r="BH291" s="154" t="str">
        <f t="shared" si="71"/>
        <v/>
      </c>
      <c r="BI291" s="405">
        <v>0</v>
      </c>
      <c r="BJ291" s="284">
        <f>IF(BG291,_xll.qDateYears(BG290,BG291,$BJ$13),0)</f>
        <v>0</v>
      </c>
      <c r="BK291" s="284">
        <f t="shared" si="77"/>
        <v>2216.4810485334592</v>
      </c>
      <c r="BQ291" s="560">
        <v>0</v>
      </c>
      <c r="BR291" s="155" t="str">
        <f t="shared" si="72"/>
        <v/>
      </c>
      <c r="BS291" s="405">
        <v>0</v>
      </c>
      <c r="BT291" s="284">
        <f>IF(BQ291,_xll.qDateYears(BQ290,BQ291,BT$13),0)</f>
        <v>0</v>
      </c>
      <c r="BU291" s="284">
        <f t="shared" si="78"/>
        <v>1731.4581291138484</v>
      </c>
      <c r="CC291" s="560">
        <v>0</v>
      </c>
      <c r="CD291" s="155" t="str">
        <f t="shared" si="73"/>
        <v/>
      </c>
      <c r="CE291" s="405">
        <v>0</v>
      </c>
      <c r="CF291" s="284">
        <f>IF(CC291,_xll.qDateYears(CC290,CC291,CF$13),0)</f>
        <v>0</v>
      </c>
      <c r="CG291" s="284">
        <f t="shared" si="79"/>
        <v>2320.9300800126416</v>
      </c>
      <c r="CO291" s="560">
        <v>0</v>
      </c>
      <c r="CP291" s="155" t="str">
        <f t="shared" si="74"/>
        <v/>
      </c>
      <c r="CQ291" s="405">
        <v>0</v>
      </c>
      <c r="CR291" s="284">
        <f>IF(CO291,_xll.qDateYears(CO290,CO291,CR$13),0)</f>
        <v>0</v>
      </c>
      <c r="CS291" s="284">
        <f t="shared" si="80"/>
        <v>2166.0491297426292</v>
      </c>
      <c r="DA291" s="560">
        <v>0</v>
      </c>
      <c r="DB291" s="155" t="str">
        <f t="shared" si="75"/>
        <v/>
      </c>
      <c r="DC291" s="405">
        <v>0</v>
      </c>
      <c r="DD291" s="284">
        <f>IF(DA291,_xll.qDateYears(DA290,DA291,DD$13),0)</f>
        <v>0</v>
      </c>
      <c r="DE291" s="284">
        <f t="shared" si="81"/>
        <v>1625.698949379763</v>
      </c>
      <c r="DM291" s="560">
        <v>0</v>
      </c>
      <c r="DN291" s="155" t="str">
        <f t="shared" si="76"/>
        <v/>
      </c>
      <c r="DO291" s="405">
        <v>0</v>
      </c>
      <c r="DP291" s="284">
        <f>IF(DM291,_xll.qDateYears(DM290,DM291,DP$13),0)</f>
        <v>0</v>
      </c>
      <c r="DQ291" s="284">
        <f t="shared" si="82"/>
        <v>2216.4810485334592</v>
      </c>
    </row>
    <row r="292" spans="59:121">
      <c r="BG292" s="560">
        <v>0</v>
      </c>
      <c r="BH292" s="154" t="str">
        <f t="shared" si="71"/>
        <v/>
      </c>
      <c r="BI292" s="405">
        <v>0</v>
      </c>
      <c r="BJ292" s="284">
        <f>IF(BG292,_xll.qDateYears(BG291,BG292,$BJ$13),0)</f>
        <v>0</v>
      </c>
      <c r="BK292" s="284">
        <f t="shared" si="77"/>
        <v>2216.4810485334592</v>
      </c>
      <c r="BQ292" s="560">
        <v>0</v>
      </c>
      <c r="BR292" s="155" t="str">
        <f t="shared" si="72"/>
        <v/>
      </c>
      <c r="BS292" s="405">
        <v>0</v>
      </c>
      <c r="BT292" s="284">
        <f>IF(BQ292,_xll.qDateYears(BQ291,BQ292,BT$13),0)</f>
        <v>0</v>
      </c>
      <c r="BU292" s="284">
        <f t="shared" si="78"/>
        <v>1731.4581291138484</v>
      </c>
      <c r="CC292" s="560">
        <v>0</v>
      </c>
      <c r="CD292" s="155" t="str">
        <f t="shared" si="73"/>
        <v/>
      </c>
      <c r="CE292" s="405">
        <v>0</v>
      </c>
      <c r="CF292" s="284">
        <f>IF(CC292,_xll.qDateYears(CC291,CC292,CF$13),0)</f>
        <v>0</v>
      </c>
      <c r="CG292" s="284">
        <f t="shared" si="79"/>
        <v>2320.9300800126416</v>
      </c>
      <c r="CO292" s="560">
        <v>0</v>
      </c>
      <c r="CP292" s="155" t="str">
        <f t="shared" si="74"/>
        <v/>
      </c>
      <c r="CQ292" s="405">
        <v>0</v>
      </c>
      <c r="CR292" s="284">
        <f>IF(CO292,_xll.qDateYears(CO291,CO292,CR$13),0)</f>
        <v>0</v>
      </c>
      <c r="CS292" s="284">
        <f t="shared" si="80"/>
        <v>2166.0491297426292</v>
      </c>
      <c r="DA292" s="560">
        <v>0</v>
      </c>
      <c r="DB292" s="155" t="str">
        <f t="shared" si="75"/>
        <v/>
      </c>
      <c r="DC292" s="405">
        <v>0</v>
      </c>
      <c r="DD292" s="284">
        <f>IF(DA292,_xll.qDateYears(DA291,DA292,DD$13),0)</f>
        <v>0</v>
      </c>
      <c r="DE292" s="284">
        <f t="shared" si="81"/>
        <v>1625.698949379763</v>
      </c>
      <c r="DM292" s="560">
        <v>0</v>
      </c>
      <c r="DN292" s="155" t="str">
        <f t="shared" si="76"/>
        <v/>
      </c>
      <c r="DO292" s="405">
        <v>0</v>
      </c>
      <c r="DP292" s="284">
        <f>IF(DM292,_xll.qDateYears(DM291,DM292,DP$13),0)</f>
        <v>0</v>
      </c>
      <c r="DQ292" s="284">
        <f t="shared" si="82"/>
        <v>2216.4810485334592</v>
      </c>
    </row>
    <row r="293" spans="59:121">
      <c r="BG293" s="560">
        <v>0</v>
      </c>
      <c r="BH293" s="154" t="str">
        <f t="shared" si="71"/>
        <v/>
      </c>
      <c r="BI293" s="405">
        <v>0</v>
      </c>
      <c r="BJ293" s="284">
        <f>IF(BG293,_xll.qDateYears(BG292,BG293,$BJ$13),0)</f>
        <v>0</v>
      </c>
      <c r="BK293" s="284">
        <f t="shared" si="77"/>
        <v>2216.4810485334592</v>
      </c>
      <c r="BQ293" s="560">
        <v>0</v>
      </c>
      <c r="BR293" s="155" t="str">
        <f t="shared" si="72"/>
        <v/>
      </c>
      <c r="BS293" s="405">
        <v>0</v>
      </c>
      <c r="BT293" s="284">
        <f>IF(BQ293,_xll.qDateYears(BQ292,BQ293,BT$13),0)</f>
        <v>0</v>
      </c>
      <c r="BU293" s="284">
        <f t="shared" si="78"/>
        <v>1731.4581291138484</v>
      </c>
      <c r="CC293" s="560">
        <v>0</v>
      </c>
      <c r="CD293" s="155" t="str">
        <f t="shared" si="73"/>
        <v/>
      </c>
      <c r="CE293" s="405">
        <v>0</v>
      </c>
      <c r="CF293" s="284">
        <f>IF(CC293,_xll.qDateYears(CC292,CC293,CF$13),0)</f>
        <v>0</v>
      </c>
      <c r="CG293" s="284">
        <f t="shared" si="79"/>
        <v>2320.9300800126416</v>
      </c>
      <c r="CO293" s="560">
        <v>0</v>
      </c>
      <c r="CP293" s="155" t="str">
        <f t="shared" si="74"/>
        <v/>
      </c>
      <c r="CQ293" s="405">
        <v>0</v>
      </c>
      <c r="CR293" s="284">
        <f>IF(CO293,_xll.qDateYears(CO292,CO293,CR$13),0)</f>
        <v>0</v>
      </c>
      <c r="CS293" s="284">
        <f t="shared" si="80"/>
        <v>2166.0491297426292</v>
      </c>
      <c r="DA293" s="560">
        <v>0</v>
      </c>
      <c r="DB293" s="155" t="str">
        <f t="shared" si="75"/>
        <v/>
      </c>
      <c r="DC293" s="405">
        <v>0</v>
      </c>
      <c r="DD293" s="284">
        <f>IF(DA293,_xll.qDateYears(DA292,DA293,DD$13),0)</f>
        <v>0</v>
      </c>
      <c r="DE293" s="284">
        <f t="shared" si="81"/>
        <v>1625.698949379763</v>
      </c>
      <c r="DM293" s="560">
        <v>0</v>
      </c>
      <c r="DN293" s="155" t="str">
        <f t="shared" si="76"/>
        <v/>
      </c>
      <c r="DO293" s="405">
        <v>0</v>
      </c>
      <c r="DP293" s="284">
        <f>IF(DM293,_xll.qDateYears(DM292,DM293,DP$13),0)</f>
        <v>0</v>
      </c>
      <c r="DQ293" s="284">
        <f t="shared" si="82"/>
        <v>2216.4810485334592</v>
      </c>
    </row>
    <row r="294" spans="59:121">
      <c r="BG294" s="560">
        <v>0</v>
      </c>
      <c r="BH294" s="154" t="str">
        <f t="shared" si="71"/>
        <v/>
      </c>
      <c r="BI294" s="405">
        <v>0</v>
      </c>
      <c r="BJ294" s="284">
        <f>IF(BG294,_xll.qDateYears(BG293,BG294,$BJ$13),0)</f>
        <v>0</v>
      </c>
      <c r="BK294" s="284">
        <f t="shared" si="77"/>
        <v>2216.4810485334592</v>
      </c>
      <c r="BQ294" s="560">
        <v>0</v>
      </c>
      <c r="BR294" s="155" t="str">
        <f t="shared" si="72"/>
        <v/>
      </c>
      <c r="BS294" s="405">
        <v>0</v>
      </c>
      <c r="BT294" s="284">
        <f>IF(BQ294,_xll.qDateYears(BQ293,BQ294,BT$13),0)</f>
        <v>0</v>
      </c>
      <c r="BU294" s="284">
        <f t="shared" si="78"/>
        <v>1731.4581291138484</v>
      </c>
      <c r="CC294" s="560">
        <v>0</v>
      </c>
      <c r="CD294" s="155" t="str">
        <f t="shared" si="73"/>
        <v/>
      </c>
      <c r="CE294" s="405">
        <v>0</v>
      </c>
      <c r="CF294" s="284">
        <f>IF(CC294,_xll.qDateYears(CC293,CC294,CF$13),0)</f>
        <v>0</v>
      </c>
      <c r="CG294" s="284">
        <f t="shared" si="79"/>
        <v>2320.9300800126416</v>
      </c>
      <c r="CO294" s="560">
        <v>0</v>
      </c>
      <c r="CP294" s="155" t="str">
        <f t="shared" si="74"/>
        <v/>
      </c>
      <c r="CQ294" s="405">
        <v>0</v>
      </c>
      <c r="CR294" s="284">
        <f>IF(CO294,_xll.qDateYears(CO293,CO294,CR$13),0)</f>
        <v>0</v>
      </c>
      <c r="CS294" s="284">
        <f t="shared" si="80"/>
        <v>2166.0491297426292</v>
      </c>
      <c r="DA294" s="560">
        <v>0</v>
      </c>
      <c r="DB294" s="155" t="str">
        <f t="shared" si="75"/>
        <v/>
      </c>
      <c r="DC294" s="405">
        <v>0</v>
      </c>
      <c r="DD294" s="284">
        <f>IF(DA294,_xll.qDateYears(DA293,DA294,DD$13),0)</f>
        <v>0</v>
      </c>
      <c r="DE294" s="284">
        <f t="shared" si="81"/>
        <v>1625.698949379763</v>
      </c>
      <c r="DM294" s="560">
        <v>0</v>
      </c>
      <c r="DN294" s="155" t="str">
        <f t="shared" si="76"/>
        <v/>
      </c>
      <c r="DO294" s="405">
        <v>0</v>
      </c>
      <c r="DP294" s="284">
        <f>IF(DM294,_xll.qDateYears(DM293,DM294,DP$13),0)</f>
        <v>0</v>
      </c>
      <c r="DQ294" s="284">
        <f t="shared" si="82"/>
        <v>2216.4810485334592</v>
      </c>
    </row>
    <row r="295" spans="59:121">
      <c r="BG295" s="560">
        <v>0</v>
      </c>
      <c r="BH295" s="154" t="str">
        <f t="shared" si="71"/>
        <v/>
      </c>
      <c r="BI295" s="405">
        <v>0</v>
      </c>
      <c r="BJ295" s="284">
        <f>IF(BG295,_xll.qDateYears(BG294,BG295,$BJ$13),0)</f>
        <v>0</v>
      </c>
      <c r="BK295" s="284">
        <f t="shared" si="77"/>
        <v>2216.4810485334592</v>
      </c>
      <c r="BQ295" s="560">
        <v>0</v>
      </c>
      <c r="BR295" s="155" t="str">
        <f t="shared" si="72"/>
        <v/>
      </c>
      <c r="BS295" s="405">
        <v>0</v>
      </c>
      <c r="BT295" s="284">
        <f>IF(BQ295,_xll.qDateYears(BQ294,BQ295,BT$13),0)</f>
        <v>0</v>
      </c>
      <c r="BU295" s="284">
        <f t="shared" si="78"/>
        <v>1731.4581291138484</v>
      </c>
      <c r="CC295" s="560">
        <v>0</v>
      </c>
      <c r="CD295" s="155" t="str">
        <f t="shared" si="73"/>
        <v/>
      </c>
      <c r="CE295" s="405">
        <v>0</v>
      </c>
      <c r="CF295" s="284">
        <f>IF(CC295,_xll.qDateYears(CC294,CC295,CF$13),0)</f>
        <v>0</v>
      </c>
      <c r="CG295" s="284">
        <f t="shared" si="79"/>
        <v>2320.9300800126416</v>
      </c>
      <c r="CO295" s="560">
        <v>0</v>
      </c>
      <c r="CP295" s="155" t="str">
        <f t="shared" si="74"/>
        <v/>
      </c>
      <c r="CQ295" s="405">
        <v>0</v>
      </c>
      <c r="CR295" s="284">
        <f>IF(CO295,_xll.qDateYears(CO294,CO295,CR$13),0)</f>
        <v>0</v>
      </c>
      <c r="CS295" s="284">
        <f t="shared" si="80"/>
        <v>2166.0491297426292</v>
      </c>
      <c r="DA295" s="560">
        <v>0</v>
      </c>
      <c r="DB295" s="155" t="str">
        <f t="shared" si="75"/>
        <v/>
      </c>
      <c r="DC295" s="405">
        <v>0</v>
      </c>
      <c r="DD295" s="284">
        <f>IF(DA295,_xll.qDateYears(DA294,DA295,DD$13),0)</f>
        <v>0</v>
      </c>
      <c r="DE295" s="284">
        <f t="shared" si="81"/>
        <v>1625.698949379763</v>
      </c>
      <c r="DM295" s="560">
        <v>0</v>
      </c>
      <c r="DN295" s="155" t="str">
        <f t="shared" si="76"/>
        <v/>
      </c>
      <c r="DO295" s="405">
        <v>0</v>
      </c>
      <c r="DP295" s="284">
        <f>IF(DM295,_xll.qDateYears(DM294,DM295,DP$13),0)</f>
        <v>0</v>
      </c>
      <c r="DQ295" s="284">
        <f t="shared" si="82"/>
        <v>2216.4810485334592</v>
      </c>
    </row>
    <row r="296" spans="59:121">
      <c r="BG296" s="560">
        <v>0</v>
      </c>
      <c r="BH296" s="154" t="str">
        <f t="shared" si="71"/>
        <v/>
      </c>
      <c r="BI296" s="405">
        <v>0</v>
      </c>
      <c r="BJ296" s="284">
        <f>IF(BG296,_xll.qDateYears(BG295,BG296,$BJ$13),0)</f>
        <v>0</v>
      </c>
      <c r="BK296" s="284">
        <f t="shared" si="77"/>
        <v>2216.4810485334592</v>
      </c>
      <c r="BQ296" s="560">
        <v>0</v>
      </c>
      <c r="BR296" s="155" t="str">
        <f t="shared" si="72"/>
        <v/>
      </c>
      <c r="BS296" s="405">
        <v>0</v>
      </c>
      <c r="BT296" s="284">
        <f>IF(BQ296,_xll.qDateYears(BQ295,BQ296,BT$13),0)</f>
        <v>0</v>
      </c>
      <c r="BU296" s="284">
        <f t="shared" si="78"/>
        <v>1731.4581291138484</v>
      </c>
      <c r="CC296" s="560">
        <v>0</v>
      </c>
      <c r="CD296" s="155" t="str">
        <f t="shared" si="73"/>
        <v/>
      </c>
      <c r="CE296" s="405">
        <v>0</v>
      </c>
      <c r="CF296" s="284">
        <f>IF(CC296,_xll.qDateYears(CC295,CC296,CF$13),0)</f>
        <v>0</v>
      </c>
      <c r="CG296" s="284">
        <f t="shared" si="79"/>
        <v>2320.9300800126416</v>
      </c>
      <c r="CO296" s="560">
        <v>0</v>
      </c>
      <c r="CP296" s="155" t="str">
        <f t="shared" si="74"/>
        <v/>
      </c>
      <c r="CQ296" s="405">
        <v>0</v>
      </c>
      <c r="CR296" s="284">
        <f>IF(CO296,_xll.qDateYears(CO295,CO296,CR$13),0)</f>
        <v>0</v>
      </c>
      <c r="CS296" s="284">
        <f t="shared" si="80"/>
        <v>2166.0491297426292</v>
      </c>
      <c r="DA296" s="560">
        <v>0</v>
      </c>
      <c r="DB296" s="155" t="str">
        <f t="shared" si="75"/>
        <v/>
      </c>
      <c r="DC296" s="405">
        <v>0</v>
      </c>
      <c r="DD296" s="284">
        <f>IF(DA296,_xll.qDateYears(DA295,DA296,DD$13),0)</f>
        <v>0</v>
      </c>
      <c r="DE296" s="284">
        <f t="shared" si="81"/>
        <v>1625.698949379763</v>
      </c>
      <c r="DM296" s="560">
        <v>0</v>
      </c>
      <c r="DN296" s="155" t="str">
        <f t="shared" si="76"/>
        <v/>
      </c>
      <c r="DO296" s="405">
        <v>0</v>
      </c>
      <c r="DP296" s="284">
        <f>IF(DM296,_xll.qDateYears(DM295,DM296,DP$13),0)</f>
        <v>0</v>
      </c>
      <c r="DQ296" s="284">
        <f t="shared" si="82"/>
        <v>2216.4810485334592</v>
      </c>
    </row>
    <row r="297" spans="59:121">
      <c r="BG297" s="560">
        <v>0</v>
      </c>
      <c r="BH297" s="154" t="str">
        <f t="shared" si="71"/>
        <v/>
      </c>
      <c r="BI297" s="405">
        <v>0</v>
      </c>
      <c r="BJ297" s="284">
        <f>IF(BG297,_xll.qDateYears(BG296,BG297,$BJ$13),0)</f>
        <v>0</v>
      </c>
      <c r="BK297" s="284">
        <f t="shared" si="77"/>
        <v>2216.4810485334592</v>
      </c>
      <c r="BQ297" s="560">
        <v>0</v>
      </c>
      <c r="BR297" s="155" t="str">
        <f t="shared" si="72"/>
        <v/>
      </c>
      <c r="BS297" s="405">
        <v>0</v>
      </c>
      <c r="BT297" s="284">
        <f>IF(BQ297,_xll.qDateYears(BQ296,BQ297,BT$13),0)</f>
        <v>0</v>
      </c>
      <c r="BU297" s="284">
        <f t="shared" si="78"/>
        <v>1731.4581291138484</v>
      </c>
      <c r="CC297" s="560">
        <v>0</v>
      </c>
      <c r="CD297" s="155" t="str">
        <f t="shared" si="73"/>
        <v/>
      </c>
      <c r="CE297" s="405">
        <v>0</v>
      </c>
      <c r="CF297" s="284">
        <f>IF(CC297,_xll.qDateYears(CC296,CC297,CF$13),0)</f>
        <v>0</v>
      </c>
      <c r="CG297" s="284">
        <f t="shared" si="79"/>
        <v>2320.9300800126416</v>
      </c>
      <c r="CO297" s="560">
        <v>0</v>
      </c>
      <c r="CP297" s="155" t="str">
        <f t="shared" si="74"/>
        <v/>
      </c>
      <c r="CQ297" s="405">
        <v>0</v>
      </c>
      <c r="CR297" s="284">
        <f>IF(CO297,_xll.qDateYears(CO296,CO297,CR$13),0)</f>
        <v>0</v>
      </c>
      <c r="CS297" s="284">
        <f t="shared" si="80"/>
        <v>2166.0491297426292</v>
      </c>
      <c r="DA297" s="560">
        <v>0</v>
      </c>
      <c r="DB297" s="155" t="str">
        <f t="shared" si="75"/>
        <v/>
      </c>
      <c r="DC297" s="405">
        <v>0</v>
      </c>
      <c r="DD297" s="284">
        <f>IF(DA297,_xll.qDateYears(DA296,DA297,DD$13),0)</f>
        <v>0</v>
      </c>
      <c r="DE297" s="284">
        <f t="shared" si="81"/>
        <v>1625.698949379763</v>
      </c>
      <c r="DM297" s="560">
        <v>0</v>
      </c>
      <c r="DN297" s="155" t="str">
        <f t="shared" si="76"/>
        <v/>
      </c>
      <c r="DO297" s="405">
        <v>0</v>
      </c>
      <c r="DP297" s="284">
        <f>IF(DM297,_xll.qDateYears(DM296,DM297,DP$13),0)</f>
        <v>0</v>
      </c>
      <c r="DQ297" s="284">
        <f t="shared" si="82"/>
        <v>2216.4810485334592</v>
      </c>
    </row>
    <row r="298" spans="59:121">
      <c r="BG298" s="560">
        <v>0</v>
      </c>
      <c r="BH298" s="154" t="str">
        <f t="shared" si="71"/>
        <v/>
      </c>
      <c r="BI298" s="405">
        <v>0</v>
      </c>
      <c r="BJ298" s="284">
        <f>IF(BG298,_xll.qDateYears(BG297,BG298,$BJ$13),0)</f>
        <v>0</v>
      </c>
      <c r="BK298" s="284">
        <f t="shared" si="77"/>
        <v>2216.4810485334592</v>
      </c>
      <c r="BQ298" s="560">
        <v>0</v>
      </c>
      <c r="BR298" s="155" t="str">
        <f t="shared" si="72"/>
        <v/>
      </c>
      <c r="BS298" s="405">
        <v>0</v>
      </c>
      <c r="BT298" s="284">
        <f>IF(BQ298,_xll.qDateYears(BQ297,BQ298,BT$13),0)</f>
        <v>0</v>
      </c>
      <c r="BU298" s="284">
        <f t="shared" si="78"/>
        <v>1731.4581291138484</v>
      </c>
      <c r="CC298" s="560">
        <v>0</v>
      </c>
      <c r="CD298" s="155" t="str">
        <f t="shared" si="73"/>
        <v/>
      </c>
      <c r="CE298" s="405">
        <v>0</v>
      </c>
      <c r="CF298" s="284">
        <f>IF(CC298,_xll.qDateYears(CC297,CC298,CF$13),0)</f>
        <v>0</v>
      </c>
      <c r="CG298" s="284">
        <f t="shared" si="79"/>
        <v>2320.9300800126416</v>
      </c>
      <c r="CO298" s="560">
        <v>0</v>
      </c>
      <c r="CP298" s="155" t="str">
        <f t="shared" si="74"/>
        <v/>
      </c>
      <c r="CQ298" s="405">
        <v>0</v>
      </c>
      <c r="CR298" s="284">
        <f>IF(CO298,_xll.qDateYears(CO297,CO298,CR$13),0)</f>
        <v>0</v>
      </c>
      <c r="CS298" s="284">
        <f t="shared" si="80"/>
        <v>2166.0491297426292</v>
      </c>
      <c r="DA298" s="560">
        <v>0</v>
      </c>
      <c r="DB298" s="155" t="str">
        <f t="shared" si="75"/>
        <v/>
      </c>
      <c r="DC298" s="405">
        <v>0</v>
      </c>
      <c r="DD298" s="284">
        <f>IF(DA298,_xll.qDateYears(DA297,DA298,DD$13),0)</f>
        <v>0</v>
      </c>
      <c r="DE298" s="284">
        <f t="shared" si="81"/>
        <v>1625.698949379763</v>
      </c>
      <c r="DM298" s="560">
        <v>0</v>
      </c>
      <c r="DN298" s="155" t="str">
        <f t="shared" si="76"/>
        <v/>
      </c>
      <c r="DO298" s="405">
        <v>0</v>
      </c>
      <c r="DP298" s="284">
        <f>IF(DM298,_xll.qDateYears(DM297,DM298,DP$13),0)</f>
        <v>0</v>
      </c>
      <c r="DQ298" s="284">
        <f t="shared" si="82"/>
        <v>2216.4810485334592</v>
      </c>
    </row>
    <row r="299" spans="59:121">
      <c r="BG299" s="560">
        <v>0</v>
      </c>
      <c r="BH299" s="154" t="str">
        <f t="shared" si="71"/>
        <v/>
      </c>
      <c r="BI299" s="405">
        <v>0</v>
      </c>
      <c r="BJ299" s="284">
        <f>IF(BG299,_xll.qDateYears(BG298,BG299,$BJ$13),0)</f>
        <v>0</v>
      </c>
      <c r="BK299" s="284">
        <f t="shared" si="77"/>
        <v>2216.4810485334592</v>
      </c>
      <c r="BQ299" s="560">
        <v>0</v>
      </c>
      <c r="BR299" s="155" t="str">
        <f t="shared" si="72"/>
        <v/>
      </c>
      <c r="BS299" s="405">
        <v>0</v>
      </c>
      <c r="BT299" s="284">
        <f>IF(BQ299,_xll.qDateYears(BQ298,BQ299,BT$13),0)</f>
        <v>0</v>
      </c>
      <c r="BU299" s="284">
        <f t="shared" si="78"/>
        <v>1731.4581291138484</v>
      </c>
      <c r="CC299" s="560">
        <v>0</v>
      </c>
      <c r="CD299" s="155" t="str">
        <f t="shared" si="73"/>
        <v/>
      </c>
      <c r="CE299" s="405">
        <v>0</v>
      </c>
      <c r="CF299" s="284">
        <f>IF(CC299,_xll.qDateYears(CC298,CC299,CF$13),0)</f>
        <v>0</v>
      </c>
      <c r="CG299" s="284">
        <f t="shared" si="79"/>
        <v>2320.9300800126416</v>
      </c>
      <c r="CO299" s="560">
        <v>0</v>
      </c>
      <c r="CP299" s="155" t="str">
        <f t="shared" si="74"/>
        <v/>
      </c>
      <c r="CQ299" s="405">
        <v>0</v>
      </c>
      <c r="CR299" s="284">
        <f>IF(CO299,_xll.qDateYears(CO298,CO299,CR$13),0)</f>
        <v>0</v>
      </c>
      <c r="CS299" s="284">
        <f t="shared" si="80"/>
        <v>2166.0491297426292</v>
      </c>
      <c r="DA299" s="560">
        <v>0</v>
      </c>
      <c r="DB299" s="155" t="str">
        <f t="shared" si="75"/>
        <v/>
      </c>
      <c r="DC299" s="405">
        <v>0</v>
      </c>
      <c r="DD299" s="284">
        <f>IF(DA299,_xll.qDateYears(DA298,DA299,DD$13),0)</f>
        <v>0</v>
      </c>
      <c r="DE299" s="284">
        <f t="shared" si="81"/>
        <v>1625.698949379763</v>
      </c>
      <c r="DM299" s="560">
        <v>0</v>
      </c>
      <c r="DN299" s="155" t="str">
        <f t="shared" si="76"/>
        <v/>
      </c>
      <c r="DO299" s="405">
        <v>0</v>
      </c>
      <c r="DP299" s="284">
        <f>IF(DM299,_xll.qDateYears(DM298,DM299,DP$13),0)</f>
        <v>0</v>
      </c>
      <c r="DQ299" s="284">
        <f t="shared" si="82"/>
        <v>2216.4810485334592</v>
      </c>
    </row>
    <row r="300" spans="59:121">
      <c r="BG300" s="560">
        <v>0</v>
      </c>
      <c r="BH300" s="154" t="str">
        <f t="shared" si="71"/>
        <v/>
      </c>
      <c r="BI300" s="405">
        <v>0</v>
      </c>
      <c r="BJ300" s="284">
        <f>IF(BG300,_xll.qDateYears(BG299,BG300,$BJ$13),0)</f>
        <v>0</v>
      </c>
      <c r="BK300" s="284">
        <f t="shared" si="77"/>
        <v>2216.4810485334592</v>
      </c>
      <c r="BQ300" s="560">
        <v>0</v>
      </c>
      <c r="BR300" s="155" t="str">
        <f t="shared" si="72"/>
        <v/>
      </c>
      <c r="BS300" s="405">
        <v>0</v>
      </c>
      <c r="BT300" s="284">
        <f>IF(BQ300,_xll.qDateYears(BQ299,BQ300,BT$13),0)</f>
        <v>0</v>
      </c>
      <c r="BU300" s="284">
        <f t="shared" si="78"/>
        <v>1731.4581291138484</v>
      </c>
      <c r="CC300" s="560">
        <v>0</v>
      </c>
      <c r="CD300" s="155" t="str">
        <f t="shared" si="73"/>
        <v/>
      </c>
      <c r="CE300" s="405">
        <v>0</v>
      </c>
      <c r="CF300" s="284">
        <f>IF(CC300,_xll.qDateYears(CC299,CC300,CF$13),0)</f>
        <v>0</v>
      </c>
      <c r="CG300" s="284">
        <f t="shared" si="79"/>
        <v>2320.9300800126416</v>
      </c>
      <c r="CO300" s="560">
        <v>0</v>
      </c>
      <c r="CP300" s="155" t="str">
        <f t="shared" si="74"/>
        <v/>
      </c>
      <c r="CQ300" s="405">
        <v>0</v>
      </c>
      <c r="CR300" s="284">
        <f>IF(CO300,_xll.qDateYears(CO299,CO300,CR$13),0)</f>
        <v>0</v>
      </c>
      <c r="CS300" s="284">
        <f t="shared" si="80"/>
        <v>2166.0491297426292</v>
      </c>
      <c r="DA300" s="560">
        <v>0</v>
      </c>
      <c r="DB300" s="155" t="str">
        <f t="shared" si="75"/>
        <v/>
      </c>
      <c r="DC300" s="405">
        <v>0</v>
      </c>
      <c r="DD300" s="284">
        <f>IF(DA300,_xll.qDateYears(DA299,DA300,DD$13),0)</f>
        <v>0</v>
      </c>
      <c r="DE300" s="284">
        <f t="shared" si="81"/>
        <v>1625.698949379763</v>
      </c>
      <c r="DM300" s="560">
        <v>0</v>
      </c>
      <c r="DN300" s="155" t="str">
        <f t="shared" si="76"/>
        <v/>
      </c>
      <c r="DO300" s="405">
        <v>0</v>
      </c>
      <c r="DP300" s="284">
        <f>IF(DM300,_xll.qDateYears(DM299,DM300,DP$13),0)</f>
        <v>0</v>
      </c>
      <c r="DQ300" s="284">
        <f t="shared" si="82"/>
        <v>2216.4810485334592</v>
      </c>
    </row>
    <row r="301" spans="59:121">
      <c r="BG301" s="560">
        <v>0</v>
      </c>
      <c r="BH301" s="154" t="str">
        <f t="shared" si="71"/>
        <v/>
      </c>
      <c r="BI301" s="405">
        <v>0</v>
      </c>
      <c r="BJ301" s="284">
        <f>IF(BG301,_xll.qDateYears(BG300,BG301,$BJ$13),0)</f>
        <v>0</v>
      </c>
      <c r="BK301" s="284">
        <f t="shared" si="77"/>
        <v>2216.4810485334592</v>
      </c>
      <c r="BQ301" s="560">
        <v>0</v>
      </c>
      <c r="BR301" s="155" t="str">
        <f t="shared" si="72"/>
        <v/>
      </c>
      <c r="BS301" s="405">
        <v>0</v>
      </c>
      <c r="BT301" s="284">
        <f>IF(BQ301,_xll.qDateYears(BQ300,BQ301,BT$13),0)</f>
        <v>0</v>
      </c>
      <c r="BU301" s="284">
        <f t="shared" si="78"/>
        <v>1731.4581291138484</v>
      </c>
      <c r="CC301" s="560">
        <v>0</v>
      </c>
      <c r="CD301" s="155" t="str">
        <f t="shared" si="73"/>
        <v/>
      </c>
      <c r="CE301" s="405">
        <v>0</v>
      </c>
      <c r="CF301" s="284">
        <f>IF(CC301,_xll.qDateYears(CC300,CC301,CF$13),0)</f>
        <v>0</v>
      </c>
      <c r="CG301" s="284">
        <f t="shared" si="79"/>
        <v>2320.9300800126416</v>
      </c>
      <c r="CO301" s="560">
        <v>0</v>
      </c>
      <c r="CP301" s="155" t="str">
        <f t="shared" si="74"/>
        <v/>
      </c>
      <c r="CQ301" s="405">
        <v>0</v>
      </c>
      <c r="CR301" s="284">
        <f>IF(CO301,_xll.qDateYears(CO300,CO301,CR$13),0)</f>
        <v>0</v>
      </c>
      <c r="CS301" s="284">
        <f t="shared" si="80"/>
        <v>2166.0491297426292</v>
      </c>
      <c r="DA301" s="560">
        <v>0</v>
      </c>
      <c r="DB301" s="155" t="str">
        <f t="shared" si="75"/>
        <v/>
      </c>
      <c r="DC301" s="405">
        <v>0</v>
      </c>
      <c r="DD301" s="284">
        <f>IF(DA301,_xll.qDateYears(DA300,DA301,DD$13),0)</f>
        <v>0</v>
      </c>
      <c r="DE301" s="284">
        <f t="shared" si="81"/>
        <v>1625.698949379763</v>
      </c>
      <c r="DM301" s="560">
        <v>0</v>
      </c>
      <c r="DN301" s="155" t="str">
        <f t="shared" si="76"/>
        <v/>
      </c>
      <c r="DO301" s="405">
        <v>0</v>
      </c>
      <c r="DP301" s="284">
        <f>IF(DM301,_xll.qDateYears(DM300,DM301,DP$13),0)</f>
        <v>0</v>
      </c>
      <c r="DQ301" s="284">
        <f t="shared" si="82"/>
        <v>2216.4810485334592</v>
      </c>
    </row>
    <row r="302" spans="59:121">
      <c r="BG302" s="560">
        <v>0</v>
      </c>
      <c r="BH302" s="154" t="str">
        <f t="shared" si="71"/>
        <v/>
      </c>
      <c r="BI302" s="405">
        <v>0</v>
      </c>
      <c r="BJ302" s="284">
        <f>IF(BG302,_xll.qDateYears(BG301,BG302,$BJ$13),0)</f>
        <v>0</v>
      </c>
      <c r="BK302" s="284">
        <f t="shared" si="77"/>
        <v>2216.4810485334592</v>
      </c>
      <c r="BQ302" s="560">
        <v>0</v>
      </c>
      <c r="BR302" s="155" t="str">
        <f t="shared" si="72"/>
        <v/>
      </c>
      <c r="BS302" s="405">
        <v>0</v>
      </c>
      <c r="BT302" s="284">
        <f>IF(BQ302,_xll.qDateYears(BQ301,BQ302,BT$13),0)</f>
        <v>0</v>
      </c>
      <c r="BU302" s="284">
        <f t="shared" si="78"/>
        <v>1731.4581291138484</v>
      </c>
      <c r="CC302" s="560">
        <v>0</v>
      </c>
      <c r="CD302" s="155" t="str">
        <f t="shared" si="73"/>
        <v/>
      </c>
      <c r="CE302" s="405">
        <v>0</v>
      </c>
      <c r="CF302" s="284">
        <f>IF(CC302,_xll.qDateYears(CC301,CC302,CF$13),0)</f>
        <v>0</v>
      </c>
      <c r="CG302" s="284">
        <f t="shared" si="79"/>
        <v>2320.9300800126416</v>
      </c>
      <c r="CO302" s="560">
        <v>0</v>
      </c>
      <c r="CP302" s="155" t="str">
        <f t="shared" si="74"/>
        <v/>
      </c>
      <c r="CQ302" s="405">
        <v>0</v>
      </c>
      <c r="CR302" s="284">
        <f>IF(CO302,_xll.qDateYears(CO301,CO302,CR$13),0)</f>
        <v>0</v>
      </c>
      <c r="CS302" s="284">
        <f t="shared" si="80"/>
        <v>2166.0491297426292</v>
      </c>
      <c r="DA302" s="560">
        <v>0</v>
      </c>
      <c r="DB302" s="155" t="str">
        <f t="shared" si="75"/>
        <v/>
      </c>
      <c r="DC302" s="405">
        <v>0</v>
      </c>
      <c r="DD302" s="284">
        <f>IF(DA302,_xll.qDateYears(DA301,DA302,DD$13),0)</f>
        <v>0</v>
      </c>
      <c r="DE302" s="284">
        <f t="shared" si="81"/>
        <v>1625.698949379763</v>
      </c>
      <c r="DM302" s="560">
        <v>0</v>
      </c>
      <c r="DN302" s="155" t="str">
        <f t="shared" si="76"/>
        <v/>
      </c>
      <c r="DO302" s="405">
        <v>0</v>
      </c>
      <c r="DP302" s="284">
        <f>IF(DM302,_xll.qDateYears(DM301,DM302,DP$13),0)</f>
        <v>0</v>
      </c>
      <c r="DQ302" s="284">
        <f t="shared" si="82"/>
        <v>2216.4810485334592</v>
      </c>
    </row>
    <row r="303" spans="59:121">
      <c r="BG303" s="560">
        <v>0</v>
      </c>
      <c r="BH303" s="154" t="str">
        <f t="shared" si="71"/>
        <v/>
      </c>
      <c r="BI303" s="405">
        <v>0</v>
      </c>
      <c r="BJ303" s="284">
        <f>IF(BG303,_xll.qDateYears(BG302,BG303,$BJ$13),0)</f>
        <v>0</v>
      </c>
      <c r="BK303" s="284">
        <f t="shared" si="77"/>
        <v>2216.4810485334592</v>
      </c>
      <c r="BQ303" s="560">
        <v>0</v>
      </c>
      <c r="BR303" s="155" t="str">
        <f t="shared" si="72"/>
        <v/>
      </c>
      <c r="BS303" s="405">
        <v>0</v>
      </c>
      <c r="BT303" s="284">
        <f>IF(BQ303,_xll.qDateYears(BQ302,BQ303,BT$13),0)</f>
        <v>0</v>
      </c>
      <c r="BU303" s="284">
        <f t="shared" si="78"/>
        <v>1731.4581291138484</v>
      </c>
      <c r="CC303" s="560">
        <v>0</v>
      </c>
      <c r="CD303" s="155" t="str">
        <f t="shared" si="73"/>
        <v/>
      </c>
      <c r="CE303" s="405">
        <v>0</v>
      </c>
      <c r="CF303" s="284">
        <f>IF(CC303,_xll.qDateYears(CC302,CC303,CF$13),0)</f>
        <v>0</v>
      </c>
      <c r="CG303" s="284">
        <f t="shared" si="79"/>
        <v>2320.9300800126416</v>
      </c>
      <c r="CO303" s="560">
        <v>0</v>
      </c>
      <c r="CP303" s="155" t="str">
        <f t="shared" si="74"/>
        <v/>
      </c>
      <c r="CQ303" s="405">
        <v>0</v>
      </c>
      <c r="CR303" s="284">
        <f>IF(CO303,_xll.qDateYears(CO302,CO303,CR$13),0)</f>
        <v>0</v>
      </c>
      <c r="CS303" s="284">
        <f t="shared" si="80"/>
        <v>2166.0491297426292</v>
      </c>
      <c r="DA303" s="560">
        <v>0</v>
      </c>
      <c r="DB303" s="155" t="str">
        <f t="shared" si="75"/>
        <v/>
      </c>
      <c r="DC303" s="405">
        <v>0</v>
      </c>
      <c r="DD303" s="284">
        <f>IF(DA303,_xll.qDateYears(DA302,DA303,DD$13),0)</f>
        <v>0</v>
      </c>
      <c r="DE303" s="284">
        <f t="shared" si="81"/>
        <v>1625.698949379763</v>
      </c>
      <c r="DM303" s="560">
        <v>0</v>
      </c>
      <c r="DN303" s="155" t="str">
        <f t="shared" si="76"/>
        <v/>
      </c>
      <c r="DO303" s="405">
        <v>0</v>
      </c>
      <c r="DP303" s="284">
        <f>IF(DM303,_xll.qDateYears(DM302,DM303,DP$13),0)</f>
        <v>0</v>
      </c>
      <c r="DQ303" s="284">
        <f t="shared" si="82"/>
        <v>2216.4810485334592</v>
      </c>
    </row>
    <row r="304" spans="59:121">
      <c r="BG304" s="560">
        <v>0</v>
      </c>
      <c r="BH304" s="154" t="str">
        <f t="shared" si="71"/>
        <v/>
      </c>
      <c r="BI304" s="405">
        <v>0</v>
      </c>
      <c r="BJ304" s="284">
        <f>IF(BG304,_xll.qDateYears(BG303,BG304,$BJ$13),0)</f>
        <v>0</v>
      </c>
      <c r="BK304" s="284">
        <f t="shared" si="77"/>
        <v>2216.4810485334592</v>
      </c>
      <c r="BQ304" s="560">
        <v>0</v>
      </c>
      <c r="BR304" s="155" t="str">
        <f t="shared" si="72"/>
        <v/>
      </c>
      <c r="BS304" s="405">
        <v>0</v>
      </c>
      <c r="BT304" s="284">
        <f>IF(BQ304,_xll.qDateYears(BQ303,BQ304,BT$13),0)</f>
        <v>0</v>
      </c>
      <c r="BU304" s="284">
        <f t="shared" si="78"/>
        <v>1731.4581291138484</v>
      </c>
      <c r="CC304" s="560">
        <v>0</v>
      </c>
      <c r="CD304" s="155" t="str">
        <f t="shared" si="73"/>
        <v/>
      </c>
      <c r="CE304" s="405">
        <v>0</v>
      </c>
      <c r="CF304" s="284">
        <f>IF(CC304,_xll.qDateYears(CC303,CC304,CF$13),0)</f>
        <v>0</v>
      </c>
      <c r="CG304" s="284">
        <f t="shared" si="79"/>
        <v>2320.9300800126416</v>
      </c>
      <c r="CO304" s="560">
        <v>0</v>
      </c>
      <c r="CP304" s="155" t="str">
        <f t="shared" si="74"/>
        <v/>
      </c>
      <c r="CQ304" s="405">
        <v>0</v>
      </c>
      <c r="CR304" s="284">
        <f>IF(CO304,_xll.qDateYears(CO303,CO304,CR$13),0)</f>
        <v>0</v>
      </c>
      <c r="CS304" s="284">
        <f t="shared" si="80"/>
        <v>2166.0491297426292</v>
      </c>
      <c r="DA304" s="560">
        <v>0</v>
      </c>
      <c r="DB304" s="155" t="str">
        <f t="shared" si="75"/>
        <v/>
      </c>
      <c r="DC304" s="405">
        <v>0</v>
      </c>
      <c r="DD304" s="284">
        <f>IF(DA304,_xll.qDateYears(DA303,DA304,DD$13),0)</f>
        <v>0</v>
      </c>
      <c r="DE304" s="284">
        <f t="shared" si="81"/>
        <v>1625.698949379763</v>
      </c>
      <c r="DM304" s="560">
        <v>0</v>
      </c>
      <c r="DN304" s="155" t="str">
        <f t="shared" si="76"/>
        <v/>
      </c>
      <c r="DO304" s="405">
        <v>0</v>
      </c>
      <c r="DP304" s="284">
        <f>IF(DM304,_xll.qDateYears(DM303,DM304,DP$13),0)</f>
        <v>0</v>
      </c>
      <c r="DQ304" s="284">
        <f t="shared" si="82"/>
        <v>2216.4810485334592</v>
      </c>
    </row>
    <row r="305" spans="59:121">
      <c r="BG305" s="560">
        <v>0</v>
      </c>
      <c r="BH305" s="154" t="str">
        <f t="shared" si="71"/>
        <v/>
      </c>
      <c r="BI305" s="405">
        <v>0</v>
      </c>
      <c r="BJ305" s="284">
        <f>IF(BG305,_xll.qDateYears(BG304,BG305,$BJ$13),0)</f>
        <v>0</v>
      </c>
      <c r="BK305" s="284">
        <f t="shared" si="77"/>
        <v>2216.4810485334592</v>
      </c>
      <c r="BQ305" s="560">
        <v>0</v>
      </c>
      <c r="BR305" s="155" t="str">
        <f t="shared" si="72"/>
        <v/>
      </c>
      <c r="BS305" s="405">
        <v>0</v>
      </c>
      <c r="BT305" s="284">
        <f>IF(BQ305,_xll.qDateYears(BQ304,BQ305,BT$13),0)</f>
        <v>0</v>
      </c>
      <c r="BU305" s="284">
        <f t="shared" si="78"/>
        <v>1731.4581291138484</v>
      </c>
      <c r="CC305" s="560">
        <v>0</v>
      </c>
      <c r="CD305" s="155" t="str">
        <f t="shared" si="73"/>
        <v/>
      </c>
      <c r="CE305" s="405">
        <v>0</v>
      </c>
      <c r="CF305" s="284">
        <f>IF(CC305,_xll.qDateYears(CC304,CC305,CF$13),0)</f>
        <v>0</v>
      </c>
      <c r="CG305" s="284">
        <f t="shared" si="79"/>
        <v>2320.9300800126416</v>
      </c>
      <c r="CO305" s="560">
        <v>0</v>
      </c>
      <c r="CP305" s="155" t="str">
        <f t="shared" si="74"/>
        <v/>
      </c>
      <c r="CQ305" s="405">
        <v>0</v>
      </c>
      <c r="CR305" s="284">
        <f>IF(CO305,_xll.qDateYears(CO304,CO305,CR$13),0)</f>
        <v>0</v>
      </c>
      <c r="CS305" s="284">
        <f t="shared" si="80"/>
        <v>2166.0491297426292</v>
      </c>
      <c r="DA305" s="560">
        <v>0</v>
      </c>
      <c r="DB305" s="155" t="str">
        <f t="shared" si="75"/>
        <v/>
      </c>
      <c r="DC305" s="405">
        <v>0</v>
      </c>
      <c r="DD305" s="284">
        <f>IF(DA305,_xll.qDateYears(DA304,DA305,DD$13),0)</f>
        <v>0</v>
      </c>
      <c r="DE305" s="284">
        <f t="shared" si="81"/>
        <v>1625.698949379763</v>
      </c>
      <c r="DM305" s="560">
        <v>0</v>
      </c>
      <c r="DN305" s="155" t="str">
        <f t="shared" si="76"/>
        <v/>
      </c>
      <c r="DO305" s="405">
        <v>0</v>
      </c>
      <c r="DP305" s="284">
        <f>IF(DM305,_xll.qDateYears(DM304,DM305,DP$13),0)</f>
        <v>0</v>
      </c>
      <c r="DQ305" s="284">
        <f t="shared" si="82"/>
        <v>2216.4810485334592</v>
      </c>
    </row>
    <row r="306" spans="59:121">
      <c r="BG306" s="560">
        <v>0</v>
      </c>
      <c r="BH306" s="154" t="str">
        <f t="shared" si="71"/>
        <v/>
      </c>
      <c r="BI306" s="405">
        <v>0</v>
      </c>
      <c r="BJ306" s="284">
        <f>IF(BG306,_xll.qDateYears(BG305,BG306,$BJ$13),0)</f>
        <v>0</v>
      </c>
      <c r="BK306" s="284">
        <f t="shared" si="77"/>
        <v>2216.4810485334592</v>
      </c>
      <c r="BQ306" s="560">
        <v>0</v>
      </c>
      <c r="BR306" s="155" t="str">
        <f t="shared" si="72"/>
        <v/>
      </c>
      <c r="BS306" s="405">
        <v>0</v>
      </c>
      <c r="BT306" s="284">
        <f>IF(BQ306,_xll.qDateYears(BQ305,BQ306,BT$13),0)</f>
        <v>0</v>
      </c>
      <c r="BU306" s="284">
        <f t="shared" si="78"/>
        <v>1731.4581291138484</v>
      </c>
      <c r="CC306" s="560">
        <v>0</v>
      </c>
      <c r="CD306" s="155" t="str">
        <f t="shared" si="73"/>
        <v/>
      </c>
      <c r="CE306" s="405">
        <v>0</v>
      </c>
      <c r="CF306" s="284">
        <f>IF(CC306,_xll.qDateYears(CC305,CC306,CF$13),0)</f>
        <v>0</v>
      </c>
      <c r="CG306" s="284">
        <f t="shared" si="79"/>
        <v>2320.9300800126416</v>
      </c>
      <c r="CO306" s="560">
        <v>0</v>
      </c>
      <c r="CP306" s="155" t="str">
        <f t="shared" si="74"/>
        <v/>
      </c>
      <c r="CQ306" s="405">
        <v>0</v>
      </c>
      <c r="CR306" s="284">
        <f>IF(CO306,_xll.qDateYears(CO305,CO306,CR$13),0)</f>
        <v>0</v>
      </c>
      <c r="CS306" s="284">
        <f t="shared" si="80"/>
        <v>2166.0491297426292</v>
      </c>
      <c r="DA306" s="560">
        <v>0</v>
      </c>
      <c r="DB306" s="155" t="str">
        <f t="shared" si="75"/>
        <v/>
      </c>
      <c r="DC306" s="405">
        <v>0</v>
      </c>
      <c r="DD306" s="284">
        <f>IF(DA306,_xll.qDateYears(DA305,DA306,DD$13),0)</f>
        <v>0</v>
      </c>
      <c r="DE306" s="284">
        <f t="shared" si="81"/>
        <v>1625.698949379763</v>
      </c>
      <c r="DM306" s="560">
        <v>0</v>
      </c>
      <c r="DN306" s="155" t="str">
        <f t="shared" si="76"/>
        <v/>
      </c>
      <c r="DO306" s="405">
        <v>0</v>
      </c>
      <c r="DP306" s="284">
        <f>IF(DM306,_xll.qDateYears(DM305,DM306,DP$13),0)</f>
        <v>0</v>
      </c>
      <c r="DQ306" s="284">
        <f t="shared" si="82"/>
        <v>2216.4810485334592</v>
      </c>
    </row>
    <row r="307" spans="59:121">
      <c r="BG307" s="560">
        <v>0</v>
      </c>
      <c r="BH307" s="154" t="str">
        <f t="shared" si="71"/>
        <v/>
      </c>
      <c r="BI307" s="405">
        <v>0</v>
      </c>
      <c r="BJ307" s="284">
        <f>IF(BG307,_xll.qDateYears(BG306,BG307,$BJ$13),0)</f>
        <v>0</v>
      </c>
      <c r="BK307" s="284">
        <f t="shared" si="77"/>
        <v>2216.4810485334592</v>
      </c>
      <c r="BQ307" s="560">
        <v>0</v>
      </c>
      <c r="BR307" s="155" t="str">
        <f t="shared" si="72"/>
        <v/>
      </c>
      <c r="BS307" s="405">
        <v>0</v>
      </c>
      <c r="BT307" s="284">
        <f>IF(BQ307,_xll.qDateYears(BQ306,BQ307,BT$13),0)</f>
        <v>0</v>
      </c>
      <c r="BU307" s="284">
        <f t="shared" si="78"/>
        <v>1731.4581291138484</v>
      </c>
      <c r="CC307" s="560">
        <v>0</v>
      </c>
      <c r="CD307" s="155" t="str">
        <f t="shared" si="73"/>
        <v/>
      </c>
      <c r="CE307" s="405">
        <v>0</v>
      </c>
      <c r="CF307" s="284">
        <f>IF(CC307,_xll.qDateYears(CC306,CC307,CF$13),0)</f>
        <v>0</v>
      </c>
      <c r="CG307" s="284">
        <f t="shared" si="79"/>
        <v>2320.9300800126416</v>
      </c>
      <c r="CO307" s="560">
        <v>0</v>
      </c>
      <c r="CP307" s="155" t="str">
        <f t="shared" si="74"/>
        <v/>
      </c>
      <c r="CQ307" s="405">
        <v>0</v>
      </c>
      <c r="CR307" s="284">
        <f>IF(CO307,_xll.qDateYears(CO306,CO307,CR$13),0)</f>
        <v>0</v>
      </c>
      <c r="CS307" s="284">
        <f t="shared" si="80"/>
        <v>2166.0491297426292</v>
      </c>
      <c r="DA307" s="560">
        <v>0</v>
      </c>
      <c r="DB307" s="155" t="str">
        <f t="shared" si="75"/>
        <v/>
      </c>
      <c r="DC307" s="405">
        <v>0</v>
      </c>
      <c r="DD307" s="284">
        <f>IF(DA307,_xll.qDateYears(DA306,DA307,DD$13),0)</f>
        <v>0</v>
      </c>
      <c r="DE307" s="284">
        <f t="shared" si="81"/>
        <v>1625.698949379763</v>
      </c>
      <c r="DM307" s="560">
        <v>0</v>
      </c>
      <c r="DN307" s="155" t="str">
        <f t="shared" si="76"/>
        <v/>
      </c>
      <c r="DO307" s="405">
        <v>0</v>
      </c>
      <c r="DP307" s="284">
        <f>IF(DM307,_xll.qDateYears(DM306,DM307,DP$13),0)</f>
        <v>0</v>
      </c>
      <c r="DQ307" s="284">
        <f t="shared" si="82"/>
        <v>2216.4810485334592</v>
      </c>
    </row>
    <row r="308" spans="59:121">
      <c r="BG308" s="560">
        <v>0</v>
      </c>
      <c r="BH308" s="154" t="str">
        <f t="shared" si="71"/>
        <v/>
      </c>
      <c r="BI308" s="405">
        <v>0</v>
      </c>
      <c r="BJ308" s="284">
        <f>IF(BG308,_xll.qDateYears(BG307,BG308,$BJ$13),0)</f>
        <v>0</v>
      </c>
      <c r="BK308" s="284">
        <f t="shared" si="77"/>
        <v>2216.4810485334592</v>
      </c>
      <c r="BQ308" s="560">
        <v>0</v>
      </c>
      <c r="BR308" s="155" t="str">
        <f t="shared" si="72"/>
        <v/>
      </c>
      <c r="BS308" s="405">
        <v>0</v>
      </c>
      <c r="BT308" s="284">
        <f>IF(BQ308,_xll.qDateYears(BQ307,BQ308,BT$13),0)</f>
        <v>0</v>
      </c>
      <c r="BU308" s="284">
        <f t="shared" si="78"/>
        <v>1731.4581291138484</v>
      </c>
      <c r="CC308" s="560">
        <v>0</v>
      </c>
      <c r="CD308" s="155" t="str">
        <f t="shared" si="73"/>
        <v/>
      </c>
      <c r="CE308" s="405">
        <v>0</v>
      </c>
      <c r="CF308" s="284">
        <f>IF(CC308,_xll.qDateYears(CC307,CC308,CF$13),0)</f>
        <v>0</v>
      </c>
      <c r="CG308" s="284">
        <f t="shared" si="79"/>
        <v>2320.9300800126416</v>
      </c>
      <c r="CO308" s="560">
        <v>0</v>
      </c>
      <c r="CP308" s="155" t="str">
        <f t="shared" si="74"/>
        <v/>
      </c>
      <c r="CQ308" s="405">
        <v>0</v>
      </c>
      <c r="CR308" s="284">
        <f>IF(CO308,_xll.qDateYears(CO307,CO308,CR$13),0)</f>
        <v>0</v>
      </c>
      <c r="CS308" s="284">
        <f t="shared" si="80"/>
        <v>2166.0491297426292</v>
      </c>
      <c r="DA308" s="560">
        <v>0</v>
      </c>
      <c r="DB308" s="155" t="str">
        <f t="shared" si="75"/>
        <v/>
      </c>
      <c r="DC308" s="405">
        <v>0</v>
      </c>
      <c r="DD308" s="284">
        <f>IF(DA308,_xll.qDateYears(DA307,DA308,DD$13),0)</f>
        <v>0</v>
      </c>
      <c r="DE308" s="284">
        <f t="shared" si="81"/>
        <v>1625.698949379763</v>
      </c>
      <c r="DM308" s="560">
        <v>0</v>
      </c>
      <c r="DN308" s="155" t="str">
        <f t="shared" si="76"/>
        <v/>
      </c>
      <c r="DO308" s="405">
        <v>0</v>
      </c>
      <c r="DP308" s="284">
        <f>IF(DM308,_xll.qDateYears(DM307,DM308,DP$13),0)</f>
        <v>0</v>
      </c>
      <c r="DQ308" s="284">
        <f t="shared" si="82"/>
        <v>2216.4810485334592</v>
      </c>
    </row>
    <row r="309" spans="59:121">
      <c r="BG309" s="560">
        <v>0</v>
      </c>
      <c r="BH309" s="154" t="str">
        <f t="shared" si="71"/>
        <v/>
      </c>
      <c r="BI309" s="405">
        <v>0</v>
      </c>
      <c r="BJ309" s="284">
        <f>IF(BG309,_xll.qDateYears(BG308,BG309,$BJ$13),0)</f>
        <v>0</v>
      </c>
      <c r="BK309" s="284">
        <f t="shared" si="77"/>
        <v>2216.4810485334592</v>
      </c>
      <c r="BQ309" s="560">
        <v>0</v>
      </c>
      <c r="BR309" s="155" t="str">
        <f t="shared" si="72"/>
        <v/>
      </c>
      <c r="BS309" s="405">
        <v>0</v>
      </c>
      <c r="BT309" s="284">
        <f>IF(BQ309,_xll.qDateYears(BQ308,BQ309,BT$13),0)</f>
        <v>0</v>
      </c>
      <c r="BU309" s="284">
        <f t="shared" si="78"/>
        <v>1731.4581291138484</v>
      </c>
      <c r="CC309" s="560">
        <v>0</v>
      </c>
      <c r="CD309" s="155" t="str">
        <f t="shared" si="73"/>
        <v/>
      </c>
      <c r="CE309" s="405">
        <v>0</v>
      </c>
      <c r="CF309" s="284">
        <f>IF(CC309,_xll.qDateYears(CC308,CC309,CF$13),0)</f>
        <v>0</v>
      </c>
      <c r="CG309" s="284">
        <f t="shared" si="79"/>
        <v>2320.9300800126416</v>
      </c>
      <c r="CO309" s="560">
        <v>0</v>
      </c>
      <c r="CP309" s="155" t="str">
        <f t="shared" si="74"/>
        <v/>
      </c>
      <c r="CQ309" s="405">
        <v>0</v>
      </c>
      <c r="CR309" s="284">
        <f>IF(CO309,_xll.qDateYears(CO308,CO309,CR$13),0)</f>
        <v>0</v>
      </c>
      <c r="CS309" s="284">
        <f t="shared" si="80"/>
        <v>2166.0491297426292</v>
      </c>
      <c r="DA309" s="560">
        <v>0</v>
      </c>
      <c r="DB309" s="155" t="str">
        <f t="shared" si="75"/>
        <v/>
      </c>
      <c r="DC309" s="405">
        <v>0</v>
      </c>
      <c r="DD309" s="284">
        <f>IF(DA309,_xll.qDateYears(DA308,DA309,DD$13),0)</f>
        <v>0</v>
      </c>
      <c r="DE309" s="284">
        <f t="shared" si="81"/>
        <v>1625.698949379763</v>
      </c>
      <c r="DM309" s="560">
        <v>0</v>
      </c>
      <c r="DN309" s="155" t="str">
        <f t="shared" si="76"/>
        <v/>
      </c>
      <c r="DO309" s="405">
        <v>0</v>
      </c>
      <c r="DP309" s="284">
        <f>IF(DM309,_xll.qDateYears(DM308,DM309,DP$13),0)</f>
        <v>0</v>
      </c>
      <c r="DQ309" s="284">
        <f t="shared" si="82"/>
        <v>2216.4810485334592</v>
      </c>
    </row>
    <row r="310" spans="59:121">
      <c r="BG310" s="560">
        <v>0</v>
      </c>
      <c r="BH310" s="154" t="str">
        <f t="shared" si="71"/>
        <v/>
      </c>
      <c r="BI310" s="405">
        <v>0</v>
      </c>
      <c r="BJ310" s="284">
        <f>IF(BG310,_xll.qDateYears(BG309,BG310,$BJ$13),0)</f>
        <v>0</v>
      </c>
      <c r="BK310" s="284">
        <f t="shared" si="77"/>
        <v>2216.4810485334592</v>
      </c>
      <c r="BQ310" s="560">
        <v>0</v>
      </c>
      <c r="BR310" s="155" t="str">
        <f t="shared" si="72"/>
        <v/>
      </c>
      <c r="BS310" s="405">
        <v>0</v>
      </c>
      <c r="BT310" s="284">
        <f>IF(BQ310,_xll.qDateYears(BQ309,BQ310,BT$13),0)</f>
        <v>0</v>
      </c>
      <c r="BU310" s="284">
        <f t="shared" si="78"/>
        <v>1731.4581291138484</v>
      </c>
      <c r="CC310" s="560">
        <v>0</v>
      </c>
      <c r="CD310" s="155" t="str">
        <f t="shared" si="73"/>
        <v/>
      </c>
      <c r="CE310" s="405">
        <v>0</v>
      </c>
      <c r="CF310" s="284">
        <f>IF(CC310,_xll.qDateYears(CC309,CC310,CF$13),0)</f>
        <v>0</v>
      </c>
      <c r="CG310" s="284">
        <f t="shared" si="79"/>
        <v>2320.9300800126416</v>
      </c>
      <c r="CO310" s="560">
        <v>0</v>
      </c>
      <c r="CP310" s="155" t="str">
        <f t="shared" si="74"/>
        <v/>
      </c>
      <c r="CQ310" s="405">
        <v>0</v>
      </c>
      <c r="CR310" s="284">
        <f>IF(CO310,_xll.qDateYears(CO309,CO310,CR$13),0)</f>
        <v>0</v>
      </c>
      <c r="CS310" s="284">
        <f t="shared" si="80"/>
        <v>2166.0491297426292</v>
      </c>
      <c r="DA310" s="560">
        <v>0</v>
      </c>
      <c r="DB310" s="155" t="str">
        <f t="shared" si="75"/>
        <v/>
      </c>
      <c r="DC310" s="405">
        <v>0</v>
      </c>
      <c r="DD310" s="284">
        <f>IF(DA310,_xll.qDateYears(DA309,DA310,DD$13),0)</f>
        <v>0</v>
      </c>
      <c r="DE310" s="284">
        <f t="shared" si="81"/>
        <v>1625.698949379763</v>
      </c>
      <c r="DM310" s="560">
        <v>0</v>
      </c>
      <c r="DN310" s="155" t="str">
        <f t="shared" si="76"/>
        <v/>
      </c>
      <c r="DO310" s="405">
        <v>0</v>
      </c>
      <c r="DP310" s="284">
        <f>IF(DM310,_xll.qDateYears(DM309,DM310,DP$13),0)</f>
        <v>0</v>
      </c>
      <c r="DQ310" s="284">
        <f t="shared" si="82"/>
        <v>2216.4810485334592</v>
      </c>
    </row>
    <row r="311" spans="59:121">
      <c r="BG311" s="560">
        <v>0</v>
      </c>
      <c r="BH311" s="154" t="str">
        <f t="shared" si="71"/>
        <v/>
      </c>
      <c r="BI311" s="405">
        <v>0</v>
      </c>
      <c r="BJ311" s="284">
        <f>IF(BG311,_xll.qDateYears(BG310,BG311,$BJ$13),0)</f>
        <v>0</v>
      </c>
      <c r="BK311" s="284">
        <f t="shared" si="77"/>
        <v>2216.4810485334592</v>
      </c>
      <c r="BQ311" s="560">
        <v>0</v>
      </c>
      <c r="BR311" s="155" t="str">
        <f t="shared" si="72"/>
        <v/>
      </c>
      <c r="BS311" s="405">
        <v>0</v>
      </c>
      <c r="BT311" s="284">
        <f>IF(BQ311,_xll.qDateYears(BQ310,BQ311,BT$13),0)</f>
        <v>0</v>
      </c>
      <c r="BU311" s="284">
        <f t="shared" si="78"/>
        <v>1731.4581291138484</v>
      </c>
      <c r="CC311" s="560">
        <v>0</v>
      </c>
      <c r="CD311" s="155" t="str">
        <f t="shared" si="73"/>
        <v/>
      </c>
      <c r="CE311" s="405">
        <v>0</v>
      </c>
      <c r="CF311" s="284">
        <f>IF(CC311,_xll.qDateYears(CC310,CC311,CF$13),0)</f>
        <v>0</v>
      </c>
      <c r="CG311" s="284">
        <f t="shared" si="79"/>
        <v>2320.9300800126416</v>
      </c>
      <c r="CO311" s="560">
        <v>0</v>
      </c>
      <c r="CP311" s="155" t="str">
        <f t="shared" si="74"/>
        <v/>
      </c>
      <c r="CQ311" s="405">
        <v>0</v>
      </c>
      <c r="CR311" s="284">
        <f>IF(CO311,_xll.qDateYears(CO310,CO311,CR$13),0)</f>
        <v>0</v>
      </c>
      <c r="CS311" s="284">
        <f t="shared" si="80"/>
        <v>2166.0491297426292</v>
      </c>
      <c r="DA311" s="560">
        <v>0</v>
      </c>
      <c r="DB311" s="155" t="str">
        <f t="shared" si="75"/>
        <v/>
      </c>
      <c r="DC311" s="405">
        <v>0</v>
      </c>
      <c r="DD311" s="284">
        <f>IF(DA311,_xll.qDateYears(DA310,DA311,DD$13),0)</f>
        <v>0</v>
      </c>
      <c r="DE311" s="284">
        <f t="shared" si="81"/>
        <v>1625.698949379763</v>
      </c>
      <c r="DM311" s="560">
        <v>0</v>
      </c>
      <c r="DN311" s="155" t="str">
        <f t="shared" si="76"/>
        <v/>
      </c>
      <c r="DO311" s="405">
        <v>0</v>
      </c>
      <c r="DP311" s="284">
        <f>IF(DM311,_xll.qDateYears(DM310,DM311,DP$13),0)</f>
        <v>0</v>
      </c>
      <c r="DQ311" s="284">
        <f t="shared" si="82"/>
        <v>2216.4810485334592</v>
      </c>
    </row>
    <row r="312" spans="59:121">
      <c r="BG312" s="560">
        <v>0</v>
      </c>
      <c r="BH312" s="154" t="str">
        <f t="shared" si="71"/>
        <v/>
      </c>
      <c r="BI312" s="405">
        <v>0</v>
      </c>
      <c r="BJ312" s="284">
        <f>IF(BG312,_xll.qDateYears(BG311,BG312,$BJ$13),0)</f>
        <v>0</v>
      </c>
      <c r="BK312" s="284">
        <f t="shared" si="77"/>
        <v>2216.4810485334592</v>
      </c>
      <c r="BQ312" s="560">
        <v>0</v>
      </c>
      <c r="BR312" s="155" t="str">
        <f t="shared" si="72"/>
        <v/>
      </c>
      <c r="BS312" s="405">
        <v>0</v>
      </c>
      <c r="BT312" s="284">
        <f>IF(BQ312,_xll.qDateYears(BQ311,BQ312,BT$13),0)</f>
        <v>0</v>
      </c>
      <c r="BU312" s="284">
        <f t="shared" si="78"/>
        <v>1731.4581291138484</v>
      </c>
      <c r="CC312" s="560">
        <v>0</v>
      </c>
      <c r="CD312" s="155" t="str">
        <f t="shared" si="73"/>
        <v/>
      </c>
      <c r="CE312" s="405">
        <v>0</v>
      </c>
      <c r="CF312" s="284">
        <f>IF(CC312,_xll.qDateYears(CC311,CC312,CF$13),0)</f>
        <v>0</v>
      </c>
      <c r="CG312" s="284">
        <f t="shared" si="79"/>
        <v>2320.9300800126416</v>
      </c>
      <c r="CO312" s="560">
        <v>0</v>
      </c>
      <c r="CP312" s="155" t="str">
        <f t="shared" si="74"/>
        <v/>
      </c>
      <c r="CQ312" s="405">
        <v>0</v>
      </c>
      <c r="CR312" s="284">
        <f>IF(CO312,_xll.qDateYears(CO311,CO312,CR$13),0)</f>
        <v>0</v>
      </c>
      <c r="CS312" s="284">
        <f t="shared" si="80"/>
        <v>2166.0491297426292</v>
      </c>
      <c r="DA312" s="560">
        <v>0</v>
      </c>
      <c r="DB312" s="155" t="str">
        <f t="shared" si="75"/>
        <v/>
      </c>
      <c r="DC312" s="405">
        <v>0</v>
      </c>
      <c r="DD312" s="284">
        <f>IF(DA312,_xll.qDateYears(DA311,DA312,DD$13),0)</f>
        <v>0</v>
      </c>
      <c r="DE312" s="284">
        <f t="shared" si="81"/>
        <v>1625.698949379763</v>
      </c>
      <c r="DM312" s="560">
        <v>0</v>
      </c>
      <c r="DN312" s="155" t="str">
        <f t="shared" si="76"/>
        <v/>
      </c>
      <c r="DO312" s="405">
        <v>0</v>
      </c>
      <c r="DP312" s="284">
        <f>IF(DM312,_xll.qDateYears(DM311,DM312,DP$13),0)</f>
        <v>0</v>
      </c>
      <c r="DQ312" s="284">
        <f t="shared" si="82"/>
        <v>2216.4810485334592</v>
      </c>
    </row>
    <row r="313" spans="59:121">
      <c r="BG313" s="560">
        <v>0</v>
      </c>
      <c r="BH313" s="154" t="str">
        <f t="shared" si="71"/>
        <v/>
      </c>
      <c r="BI313" s="405">
        <v>0</v>
      </c>
      <c r="BJ313" s="284">
        <f>IF(BG313,_xll.qDateYears(BG312,BG313,$BJ$13),0)</f>
        <v>0</v>
      </c>
      <c r="BK313" s="284">
        <f t="shared" si="77"/>
        <v>2216.4810485334592</v>
      </c>
      <c r="BQ313" s="560">
        <v>0</v>
      </c>
      <c r="BR313" s="155" t="str">
        <f t="shared" si="72"/>
        <v/>
      </c>
      <c r="BS313" s="405">
        <v>0</v>
      </c>
      <c r="BT313" s="284">
        <f>IF(BQ313,_xll.qDateYears(BQ312,BQ313,BT$13),0)</f>
        <v>0</v>
      </c>
      <c r="BU313" s="284">
        <f t="shared" si="78"/>
        <v>1731.4581291138484</v>
      </c>
      <c r="CC313" s="560">
        <v>0</v>
      </c>
      <c r="CD313" s="155" t="str">
        <f t="shared" si="73"/>
        <v/>
      </c>
      <c r="CE313" s="405">
        <v>0</v>
      </c>
      <c r="CF313" s="284">
        <f>IF(CC313,_xll.qDateYears(CC312,CC313,CF$13),0)</f>
        <v>0</v>
      </c>
      <c r="CG313" s="284">
        <f t="shared" si="79"/>
        <v>2320.9300800126416</v>
      </c>
      <c r="CO313" s="560">
        <v>0</v>
      </c>
      <c r="CP313" s="155" t="str">
        <f t="shared" si="74"/>
        <v/>
      </c>
      <c r="CQ313" s="405">
        <v>0</v>
      </c>
      <c r="CR313" s="284">
        <f>IF(CO313,_xll.qDateYears(CO312,CO313,CR$13),0)</f>
        <v>0</v>
      </c>
      <c r="CS313" s="284">
        <f t="shared" si="80"/>
        <v>2166.0491297426292</v>
      </c>
      <c r="DA313" s="560">
        <v>0</v>
      </c>
      <c r="DB313" s="155" t="str">
        <f t="shared" si="75"/>
        <v/>
      </c>
      <c r="DC313" s="405">
        <v>0</v>
      </c>
      <c r="DD313" s="284">
        <f>IF(DA313,_xll.qDateYears(DA312,DA313,DD$13),0)</f>
        <v>0</v>
      </c>
      <c r="DE313" s="284">
        <f t="shared" si="81"/>
        <v>1625.698949379763</v>
      </c>
      <c r="DM313" s="560">
        <v>0</v>
      </c>
      <c r="DN313" s="155" t="str">
        <f t="shared" si="76"/>
        <v/>
      </c>
      <c r="DO313" s="405">
        <v>0</v>
      </c>
      <c r="DP313" s="284">
        <f>IF(DM313,_xll.qDateYears(DM312,DM313,DP$13),0)</f>
        <v>0</v>
      </c>
      <c r="DQ313" s="284">
        <f t="shared" si="82"/>
        <v>2216.4810485334592</v>
      </c>
    </row>
    <row r="314" spans="59:121">
      <c r="BG314" s="560">
        <v>0</v>
      </c>
      <c r="BH314" s="154" t="str">
        <f t="shared" si="71"/>
        <v/>
      </c>
      <c r="BI314" s="405">
        <v>0</v>
      </c>
      <c r="BJ314" s="284">
        <f>IF(BG314,_xll.qDateYears(BG313,BG314,$BJ$13),0)</f>
        <v>0</v>
      </c>
      <c r="BK314" s="284">
        <f t="shared" si="77"/>
        <v>2216.4810485334592</v>
      </c>
      <c r="BQ314" s="560">
        <v>0</v>
      </c>
      <c r="BR314" s="155" t="str">
        <f t="shared" si="72"/>
        <v/>
      </c>
      <c r="BS314" s="405">
        <v>0</v>
      </c>
      <c r="BT314" s="284">
        <f>IF(BQ314,_xll.qDateYears(BQ313,BQ314,BT$13),0)</f>
        <v>0</v>
      </c>
      <c r="BU314" s="284">
        <f t="shared" si="78"/>
        <v>1731.4581291138484</v>
      </c>
      <c r="CC314" s="560">
        <v>0</v>
      </c>
      <c r="CD314" s="155" t="str">
        <f t="shared" si="73"/>
        <v/>
      </c>
      <c r="CE314" s="405">
        <v>0</v>
      </c>
      <c r="CF314" s="284">
        <f>IF(CC314,_xll.qDateYears(CC313,CC314,CF$13),0)</f>
        <v>0</v>
      </c>
      <c r="CG314" s="284">
        <f t="shared" si="79"/>
        <v>2320.9300800126416</v>
      </c>
      <c r="CO314" s="560">
        <v>0</v>
      </c>
      <c r="CP314" s="155" t="str">
        <f t="shared" si="74"/>
        <v/>
      </c>
      <c r="CQ314" s="405">
        <v>0</v>
      </c>
      <c r="CR314" s="284">
        <f>IF(CO314,_xll.qDateYears(CO313,CO314,CR$13),0)</f>
        <v>0</v>
      </c>
      <c r="CS314" s="284">
        <f t="shared" si="80"/>
        <v>2166.0491297426292</v>
      </c>
      <c r="DA314" s="560">
        <v>0</v>
      </c>
      <c r="DB314" s="155" t="str">
        <f t="shared" si="75"/>
        <v/>
      </c>
      <c r="DC314" s="405">
        <v>0</v>
      </c>
      <c r="DD314" s="284">
        <f>IF(DA314,_xll.qDateYears(DA313,DA314,DD$13),0)</f>
        <v>0</v>
      </c>
      <c r="DE314" s="284">
        <f t="shared" si="81"/>
        <v>1625.698949379763</v>
      </c>
      <c r="DM314" s="560">
        <v>0</v>
      </c>
      <c r="DN314" s="155" t="str">
        <f t="shared" si="76"/>
        <v/>
      </c>
      <c r="DO314" s="405">
        <v>0</v>
      </c>
      <c r="DP314" s="284">
        <f>IF(DM314,_xll.qDateYears(DM313,DM314,DP$13),0)</f>
        <v>0</v>
      </c>
      <c r="DQ314" s="284">
        <f t="shared" si="82"/>
        <v>2216.4810485334592</v>
      </c>
    </row>
    <row r="315" spans="59:121">
      <c r="BG315" s="560">
        <v>0</v>
      </c>
      <c r="BH315" s="154" t="str">
        <f t="shared" si="71"/>
        <v/>
      </c>
      <c r="BI315" s="405">
        <v>0</v>
      </c>
      <c r="BJ315" s="284">
        <f>IF(BG315,_xll.qDateYears(BG314,BG315,$BJ$13),0)</f>
        <v>0</v>
      </c>
      <c r="BK315" s="284">
        <f t="shared" si="77"/>
        <v>2216.4810485334592</v>
      </c>
      <c r="BQ315" s="560">
        <v>0</v>
      </c>
      <c r="BR315" s="155" t="str">
        <f t="shared" si="72"/>
        <v/>
      </c>
      <c r="BS315" s="405">
        <v>0</v>
      </c>
      <c r="BT315" s="284">
        <f>IF(BQ315,_xll.qDateYears(BQ314,BQ315,BT$13),0)</f>
        <v>0</v>
      </c>
      <c r="BU315" s="284">
        <f t="shared" si="78"/>
        <v>1731.4581291138484</v>
      </c>
      <c r="CC315" s="560">
        <v>0</v>
      </c>
      <c r="CD315" s="155" t="str">
        <f t="shared" si="73"/>
        <v/>
      </c>
      <c r="CE315" s="405">
        <v>0</v>
      </c>
      <c r="CF315" s="284">
        <f>IF(CC315,_xll.qDateYears(CC314,CC315,CF$13),0)</f>
        <v>0</v>
      </c>
      <c r="CG315" s="284">
        <f t="shared" si="79"/>
        <v>2320.9300800126416</v>
      </c>
      <c r="CO315" s="560">
        <v>0</v>
      </c>
      <c r="CP315" s="155" t="str">
        <f t="shared" si="74"/>
        <v/>
      </c>
      <c r="CQ315" s="405">
        <v>0</v>
      </c>
      <c r="CR315" s="284">
        <f>IF(CO315,_xll.qDateYears(CO314,CO315,CR$13),0)</f>
        <v>0</v>
      </c>
      <c r="CS315" s="284">
        <f t="shared" si="80"/>
        <v>2166.0491297426292</v>
      </c>
      <c r="DA315" s="560">
        <v>0</v>
      </c>
      <c r="DB315" s="155" t="str">
        <f t="shared" si="75"/>
        <v/>
      </c>
      <c r="DC315" s="405">
        <v>0</v>
      </c>
      <c r="DD315" s="284">
        <f>IF(DA315,_xll.qDateYears(DA314,DA315,DD$13),0)</f>
        <v>0</v>
      </c>
      <c r="DE315" s="284">
        <f t="shared" si="81"/>
        <v>1625.698949379763</v>
      </c>
      <c r="DM315" s="560">
        <v>0</v>
      </c>
      <c r="DN315" s="155" t="str">
        <f t="shared" si="76"/>
        <v/>
      </c>
      <c r="DO315" s="405">
        <v>0</v>
      </c>
      <c r="DP315" s="284">
        <f>IF(DM315,_xll.qDateYears(DM314,DM315,DP$13),0)</f>
        <v>0</v>
      </c>
      <c r="DQ315" s="284">
        <f t="shared" si="82"/>
        <v>2216.4810485334592</v>
      </c>
    </row>
    <row r="316" spans="59:121">
      <c r="BG316" s="560">
        <v>0</v>
      </c>
      <c r="BH316" s="154" t="str">
        <f t="shared" si="71"/>
        <v/>
      </c>
      <c r="BI316" s="405">
        <v>0</v>
      </c>
      <c r="BJ316" s="284">
        <f>IF(BG316,_xll.qDateYears(BG315,BG316,$BJ$13),0)</f>
        <v>0</v>
      </c>
      <c r="BK316" s="284">
        <f t="shared" si="77"/>
        <v>2216.4810485334592</v>
      </c>
      <c r="BQ316" s="560">
        <v>0</v>
      </c>
      <c r="BR316" s="155" t="str">
        <f t="shared" si="72"/>
        <v/>
      </c>
      <c r="BS316" s="405">
        <v>0</v>
      </c>
      <c r="BT316" s="284">
        <f>IF(BQ316,_xll.qDateYears(BQ315,BQ316,BT$13),0)</f>
        <v>0</v>
      </c>
      <c r="BU316" s="284">
        <f t="shared" si="78"/>
        <v>1731.4581291138484</v>
      </c>
      <c r="CC316" s="560">
        <v>0</v>
      </c>
      <c r="CD316" s="155" t="str">
        <f t="shared" si="73"/>
        <v/>
      </c>
      <c r="CE316" s="405">
        <v>0</v>
      </c>
      <c r="CF316" s="284">
        <f>IF(CC316,_xll.qDateYears(CC315,CC316,CF$13),0)</f>
        <v>0</v>
      </c>
      <c r="CG316" s="284">
        <f t="shared" si="79"/>
        <v>2320.9300800126416</v>
      </c>
      <c r="CO316" s="560">
        <v>0</v>
      </c>
      <c r="CP316" s="155" t="str">
        <f t="shared" si="74"/>
        <v/>
      </c>
      <c r="CQ316" s="405">
        <v>0</v>
      </c>
      <c r="CR316" s="284">
        <f>IF(CO316,_xll.qDateYears(CO315,CO316,CR$13),0)</f>
        <v>0</v>
      </c>
      <c r="CS316" s="284">
        <f t="shared" si="80"/>
        <v>2166.0491297426292</v>
      </c>
      <c r="DA316" s="560">
        <v>0</v>
      </c>
      <c r="DB316" s="155" t="str">
        <f t="shared" si="75"/>
        <v/>
      </c>
      <c r="DC316" s="405">
        <v>0</v>
      </c>
      <c r="DD316" s="284">
        <f>IF(DA316,_xll.qDateYears(DA315,DA316,DD$13),0)</f>
        <v>0</v>
      </c>
      <c r="DE316" s="284">
        <f t="shared" si="81"/>
        <v>1625.698949379763</v>
      </c>
      <c r="DM316" s="560">
        <v>0</v>
      </c>
      <c r="DN316" s="155" t="str">
        <f t="shared" si="76"/>
        <v/>
      </c>
      <c r="DO316" s="405">
        <v>0</v>
      </c>
      <c r="DP316" s="284">
        <f>IF(DM316,_xll.qDateYears(DM315,DM316,DP$13),0)</f>
        <v>0</v>
      </c>
      <c r="DQ316" s="284">
        <f t="shared" si="82"/>
        <v>2216.4810485334592</v>
      </c>
    </row>
    <row r="317" spans="59:121">
      <c r="BG317" s="560">
        <v>0</v>
      </c>
      <c r="BH317" s="154" t="str">
        <f t="shared" si="71"/>
        <v/>
      </c>
      <c r="BI317" s="405">
        <v>0</v>
      </c>
      <c r="BJ317" s="284">
        <f>IF(BG317,_xll.qDateYears(BG316,BG317,$BJ$13),0)</f>
        <v>0</v>
      </c>
      <c r="BK317" s="284">
        <f t="shared" si="77"/>
        <v>2216.4810485334592</v>
      </c>
      <c r="BQ317" s="560">
        <v>0</v>
      </c>
      <c r="BR317" s="155" t="str">
        <f t="shared" si="72"/>
        <v/>
      </c>
      <c r="BS317" s="405">
        <v>0</v>
      </c>
      <c r="BT317" s="284">
        <f>IF(BQ317,_xll.qDateYears(BQ316,BQ317,BT$13),0)</f>
        <v>0</v>
      </c>
      <c r="BU317" s="284">
        <f t="shared" si="78"/>
        <v>1731.4581291138484</v>
      </c>
      <c r="CC317" s="560">
        <v>0</v>
      </c>
      <c r="CD317" s="155" t="str">
        <f t="shared" si="73"/>
        <v/>
      </c>
      <c r="CE317" s="405">
        <v>0</v>
      </c>
      <c r="CF317" s="284">
        <f>IF(CC317,_xll.qDateYears(CC316,CC317,CF$13),0)</f>
        <v>0</v>
      </c>
      <c r="CG317" s="284">
        <f t="shared" si="79"/>
        <v>2320.9300800126416</v>
      </c>
      <c r="CO317" s="560">
        <v>0</v>
      </c>
      <c r="CP317" s="155" t="str">
        <f t="shared" si="74"/>
        <v/>
      </c>
      <c r="CQ317" s="405">
        <v>0</v>
      </c>
      <c r="CR317" s="284">
        <f>IF(CO317,_xll.qDateYears(CO316,CO317,CR$13),0)</f>
        <v>0</v>
      </c>
      <c r="CS317" s="284">
        <f t="shared" si="80"/>
        <v>2166.0491297426292</v>
      </c>
      <c r="DA317" s="560">
        <v>0</v>
      </c>
      <c r="DB317" s="155" t="str">
        <f t="shared" si="75"/>
        <v/>
      </c>
      <c r="DC317" s="405">
        <v>0</v>
      </c>
      <c r="DD317" s="284">
        <f>IF(DA317,_xll.qDateYears(DA316,DA317,DD$13),0)</f>
        <v>0</v>
      </c>
      <c r="DE317" s="284">
        <f t="shared" si="81"/>
        <v>1625.698949379763</v>
      </c>
      <c r="DM317" s="560">
        <v>0</v>
      </c>
      <c r="DN317" s="155" t="str">
        <f t="shared" si="76"/>
        <v/>
      </c>
      <c r="DO317" s="405">
        <v>0</v>
      </c>
      <c r="DP317" s="284">
        <f>IF(DM317,_xll.qDateYears(DM316,DM317,DP$13),0)</f>
        <v>0</v>
      </c>
      <c r="DQ317" s="284">
        <f t="shared" si="82"/>
        <v>2216.4810485334592</v>
      </c>
    </row>
    <row r="318" spans="59:121">
      <c r="BG318" s="560">
        <v>0</v>
      </c>
      <c r="BH318" s="154" t="str">
        <f t="shared" si="71"/>
        <v/>
      </c>
      <c r="BI318" s="405">
        <v>0</v>
      </c>
      <c r="BJ318" s="284">
        <f>IF(BG318,_xll.qDateYears(BG317,BG318,$BJ$13),0)</f>
        <v>0</v>
      </c>
      <c r="BK318" s="284">
        <f t="shared" si="77"/>
        <v>2216.4810485334592</v>
      </c>
      <c r="BQ318" s="560">
        <v>0</v>
      </c>
      <c r="BR318" s="155" t="str">
        <f t="shared" si="72"/>
        <v/>
      </c>
      <c r="BS318" s="405">
        <v>0</v>
      </c>
      <c r="BT318" s="284">
        <f>IF(BQ318,_xll.qDateYears(BQ317,BQ318,BT$13),0)</f>
        <v>0</v>
      </c>
      <c r="BU318" s="284">
        <f t="shared" si="78"/>
        <v>1731.4581291138484</v>
      </c>
      <c r="CC318" s="560">
        <v>0</v>
      </c>
      <c r="CD318" s="155" t="str">
        <f t="shared" si="73"/>
        <v/>
      </c>
      <c r="CE318" s="405">
        <v>0</v>
      </c>
      <c r="CF318" s="284">
        <f>IF(CC318,_xll.qDateYears(CC317,CC318,CF$13),0)</f>
        <v>0</v>
      </c>
      <c r="CG318" s="284">
        <f t="shared" si="79"/>
        <v>2320.9300800126416</v>
      </c>
      <c r="CO318" s="560">
        <v>0</v>
      </c>
      <c r="CP318" s="155" t="str">
        <f t="shared" si="74"/>
        <v/>
      </c>
      <c r="CQ318" s="405">
        <v>0</v>
      </c>
      <c r="CR318" s="284">
        <f>IF(CO318,_xll.qDateYears(CO317,CO318,CR$13),0)</f>
        <v>0</v>
      </c>
      <c r="CS318" s="284">
        <f t="shared" si="80"/>
        <v>2166.0491297426292</v>
      </c>
      <c r="DA318" s="560">
        <v>0</v>
      </c>
      <c r="DB318" s="155" t="str">
        <f t="shared" si="75"/>
        <v/>
      </c>
      <c r="DC318" s="405">
        <v>0</v>
      </c>
      <c r="DD318" s="284">
        <f>IF(DA318,_xll.qDateYears(DA317,DA318,DD$13),0)</f>
        <v>0</v>
      </c>
      <c r="DE318" s="284">
        <f t="shared" si="81"/>
        <v>1625.698949379763</v>
      </c>
      <c r="DM318" s="560">
        <v>0</v>
      </c>
      <c r="DN318" s="155" t="str">
        <f t="shared" si="76"/>
        <v/>
      </c>
      <c r="DO318" s="405">
        <v>0</v>
      </c>
      <c r="DP318" s="284">
        <f>IF(DM318,_xll.qDateYears(DM317,DM318,DP$13),0)</f>
        <v>0</v>
      </c>
      <c r="DQ318" s="284">
        <f t="shared" si="82"/>
        <v>2216.4810485334592</v>
      </c>
    </row>
    <row r="319" spans="59:121">
      <c r="BG319" s="560">
        <v>0</v>
      </c>
      <c r="BH319" s="154" t="str">
        <f t="shared" si="71"/>
        <v/>
      </c>
      <c r="BI319" s="405">
        <v>0</v>
      </c>
      <c r="BJ319" s="284">
        <f>IF(BG319,_xll.qDateYears(BG318,BG319,$BJ$13),0)</f>
        <v>0</v>
      </c>
      <c r="BK319" s="284">
        <f t="shared" si="77"/>
        <v>2216.4810485334592</v>
      </c>
      <c r="BQ319" s="560">
        <v>0</v>
      </c>
      <c r="BR319" s="155" t="str">
        <f t="shared" si="72"/>
        <v/>
      </c>
      <c r="BS319" s="405">
        <v>0</v>
      </c>
      <c r="BT319" s="284">
        <f>IF(BQ319,_xll.qDateYears(BQ318,BQ319,BT$13),0)</f>
        <v>0</v>
      </c>
      <c r="BU319" s="284">
        <f t="shared" si="78"/>
        <v>1731.4581291138484</v>
      </c>
      <c r="CC319" s="560">
        <v>0</v>
      </c>
      <c r="CD319" s="155" t="str">
        <f t="shared" si="73"/>
        <v/>
      </c>
      <c r="CE319" s="405">
        <v>0</v>
      </c>
      <c r="CF319" s="284">
        <f>IF(CC319,_xll.qDateYears(CC318,CC319,CF$13),0)</f>
        <v>0</v>
      </c>
      <c r="CG319" s="284">
        <f t="shared" si="79"/>
        <v>2320.9300800126416</v>
      </c>
      <c r="CO319" s="560">
        <v>0</v>
      </c>
      <c r="CP319" s="155" t="str">
        <f t="shared" si="74"/>
        <v/>
      </c>
      <c r="CQ319" s="405">
        <v>0</v>
      </c>
      <c r="CR319" s="284">
        <f>IF(CO319,_xll.qDateYears(CO318,CO319,CR$13),0)</f>
        <v>0</v>
      </c>
      <c r="CS319" s="284">
        <f t="shared" si="80"/>
        <v>2166.0491297426292</v>
      </c>
      <c r="DA319" s="560">
        <v>0</v>
      </c>
      <c r="DB319" s="155" t="str">
        <f t="shared" si="75"/>
        <v/>
      </c>
      <c r="DC319" s="405">
        <v>0</v>
      </c>
      <c r="DD319" s="284">
        <f>IF(DA319,_xll.qDateYears(DA318,DA319,DD$13),0)</f>
        <v>0</v>
      </c>
      <c r="DE319" s="284">
        <f t="shared" si="81"/>
        <v>1625.698949379763</v>
      </c>
      <c r="DM319" s="560">
        <v>0</v>
      </c>
      <c r="DN319" s="155" t="str">
        <f t="shared" si="76"/>
        <v/>
      </c>
      <c r="DO319" s="405">
        <v>0</v>
      </c>
      <c r="DP319" s="284">
        <f>IF(DM319,_xll.qDateYears(DM318,DM319,DP$13),0)</f>
        <v>0</v>
      </c>
      <c r="DQ319" s="284">
        <f t="shared" si="82"/>
        <v>2216.4810485334592</v>
      </c>
    </row>
    <row r="320" spans="59:121">
      <c r="BG320" s="560">
        <v>0</v>
      </c>
      <c r="BH320" s="154" t="str">
        <f t="shared" si="71"/>
        <v/>
      </c>
      <c r="BI320" s="405">
        <v>0</v>
      </c>
      <c r="BJ320" s="284">
        <f>IF(BG320,_xll.qDateYears(BG319,BG320,$BJ$13),0)</f>
        <v>0</v>
      </c>
      <c r="BK320" s="284">
        <f t="shared" si="77"/>
        <v>2216.4810485334592</v>
      </c>
      <c r="BQ320" s="560">
        <v>0</v>
      </c>
      <c r="BR320" s="155" t="str">
        <f t="shared" si="72"/>
        <v/>
      </c>
      <c r="BS320" s="405">
        <v>0</v>
      </c>
      <c r="BT320" s="284">
        <f>IF(BQ320,_xll.qDateYears(BQ319,BQ320,BT$13),0)</f>
        <v>0</v>
      </c>
      <c r="BU320" s="284">
        <f t="shared" si="78"/>
        <v>1731.4581291138484</v>
      </c>
      <c r="CC320" s="560">
        <v>0</v>
      </c>
      <c r="CD320" s="155" t="str">
        <f t="shared" si="73"/>
        <v/>
      </c>
      <c r="CE320" s="405">
        <v>0</v>
      </c>
      <c r="CF320" s="284">
        <f>IF(CC320,_xll.qDateYears(CC319,CC320,CF$13),0)</f>
        <v>0</v>
      </c>
      <c r="CG320" s="284">
        <f t="shared" si="79"/>
        <v>2320.9300800126416</v>
      </c>
      <c r="CO320" s="560">
        <v>0</v>
      </c>
      <c r="CP320" s="155" t="str">
        <f t="shared" si="74"/>
        <v/>
      </c>
      <c r="CQ320" s="405">
        <v>0</v>
      </c>
      <c r="CR320" s="284">
        <f>IF(CO320,_xll.qDateYears(CO319,CO320,CR$13),0)</f>
        <v>0</v>
      </c>
      <c r="CS320" s="284">
        <f t="shared" si="80"/>
        <v>2166.0491297426292</v>
      </c>
      <c r="DA320" s="560">
        <v>0</v>
      </c>
      <c r="DB320" s="155" t="str">
        <f t="shared" si="75"/>
        <v/>
      </c>
      <c r="DC320" s="405">
        <v>0</v>
      </c>
      <c r="DD320" s="284">
        <f>IF(DA320,_xll.qDateYears(DA319,DA320,DD$13),0)</f>
        <v>0</v>
      </c>
      <c r="DE320" s="284">
        <f t="shared" si="81"/>
        <v>1625.698949379763</v>
      </c>
      <c r="DM320" s="560">
        <v>0</v>
      </c>
      <c r="DN320" s="155" t="str">
        <f t="shared" si="76"/>
        <v/>
      </c>
      <c r="DO320" s="405">
        <v>0</v>
      </c>
      <c r="DP320" s="284">
        <f>IF(DM320,_xll.qDateYears(DM319,DM320,DP$13),0)</f>
        <v>0</v>
      </c>
      <c r="DQ320" s="284">
        <f t="shared" si="82"/>
        <v>2216.4810485334592</v>
      </c>
    </row>
    <row r="321" spans="59:121">
      <c r="BG321" s="560">
        <v>0</v>
      </c>
      <c r="BH321" s="154" t="str">
        <f t="shared" si="71"/>
        <v/>
      </c>
      <c r="BI321" s="405">
        <v>0</v>
      </c>
      <c r="BJ321" s="284">
        <f>IF(BG321,_xll.qDateYears(BG320,BG321,$BJ$13),0)</f>
        <v>0</v>
      </c>
      <c r="BK321" s="284">
        <f t="shared" si="77"/>
        <v>2216.4810485334592</v>
      </c>
      <c r="BQ321" s="560">
        <v>0</v>
      </c>
      <c r="BR321" s="155" t="str">
        <f t="shared" si="72"/>
        <v/>
      </c>
      <c r="BS321" s="405">
        <v>0</v>
      </c>
      <c r="BT321" s="284">
        <f>IF(BQ321,_xll.qDateYears(BQ320,BQ321,BT$13),0)</f>
        <v>0</v>
      </c>
      <c r="BU321" s="284">
        <f t="shared" si="78"/>
        <v>1731.4581291138484</v>
      </c>
      <c r="CC321" s="560">
        <v>0</v>
      </c>
      <c r="CD321" s="155" t="str">
        <f t="shared" si="73"/>
        <v/>
      </c>
      <c r="CE321" s="405">
        <v>0</v>
      </c>
      <c r="CF321" s="284">
        <f>IF(CC321,_xll.qDateYears(CC320,CC321,CF$13),0)</f>
        <v>0</v>
      </c>
      <c r="CG321" s="284">
        <f t="shared" si="79"/>
        <v>2320.9300800126416</v>
      </c>
      <c r="CO321" s="560">
        <v>0</v>
      </c>
      <c r="CP321" s="155" t="str">
        <f t="shared" si="74"/>
        <v/>
      </c>
      <c r="CQ321" s="405">
        <v>0</v>
      </c>
      <c r="CR321" s="284">
        <f>IF(CO321,_xll.qDateYears(CO320,CO321,CR$13),0)</f>
        <v>0</v>
      </c>
      <c r="CS321" s="284">
        <f t="shared" si="80"/>
        <v>2166.0491297426292</v>
      </c>
      <c r="DA321" s="560">
        <v>0</v>
      </c>
      <c r="DB321" s="155" t="str">
        <f t="shared" si="75"/>
        <v/>
      </c>
      <c r="DC321" s="405">
        <v>0</v>
      </c>
      <c r="DD321" s="284">
        <f>IF(DA321,_xll.qDateYears(DA320,DA321,DD$13),0)</f>
        <v>0</v>
      </c>
      <c r="DE321" s="284">
        <f t="shared" si="81"/>
        <v>1625.698949379763</v>
      </c>
      <c r="DM321" s="560">
        <v>0</v>
      </c>
      <c r="DN321" s="155" t="str">
        <f t="shared" si="76"/>
        <v/>
      </c>
      <c r="DO321" s="405">
        <v>0</v>
      </c>
      <c r="DP321" s="284">
        <f>IF(DM321,_xll.qDateYears(DM320,DM321,DP$13),0)</f>
        <v>0</v>
      </c>
      <c r="DQ321" s="284">
        <f t="shared" si="82"/>
        <v>2216.4810485334592</v>
      </c>
    </row>
    <row r="322" spans="59:121">
      <c r="BG322" s="560">
        <v>0</v>
      </c>
      <c r="BH322" s="154" t="str">
        <f t="shared" si="71"/>
        <v/>
      </c>
      <c r="BI322" s="405">
        <v>0</v>
      </c>
      <c r="BJ322" s="284">
        <f>IF(BG322,_xll.qDateYears(BG321,BG322,$BJ$13),0)</f>
        <v>0</v>
      </c>
      <c r="BK322" s="284">
        <f t="shared" si="77"/>
        <v>2216.4810485334592</v>
      </c>
      <c r="BQ322" s="560">
        <v>0</v>
      </c>
      <c r="BR322" s="155" t="str">
        <f t="shared" si="72"/>
        <v/>
      </c>
      <c r="BS322" s="405">
        <v>0</v>
      </c>
      <c r="BT322" s="284">
        <f>IF(BQ322,_xll.qDateYears(BQ321,BQ322,BT$13),0)</f>
        <v>0</v>
      </c>
      <c r="BU322" s="284">
        <f t="shared" si="78"/>
        <v>1731.4581291138484</v>
      </c>
      <c r="CC322" s="560">
        <v>0</v>
      </c>
      <c r="CD322" s="155" t="str">
        <f t="shared" si="73"/>
        <v/>
      </c>
      <c r="CE322" s="405">
        <v>0</v>
      </c>
      <c r="CF322" s="284">
        <f>IF(CC322,_xll.qDateYears(CC321,CC322,CF$13),0)</f>
        <v>0</v>
      </c>
      <c r="CG322" s="284">
        <f t="shared" si="79"/>
        <v>2320.9300800126416</v>
      </c>
      <c r="CO322" s="560">
        <v>0</v>
      </c>
      <c r="CP322" s="155" t="str">
        <f t="shared" si="74"/>
        <v/>
      </c>
      <c r="CQ322" s="405">
        <v>0</v>
      </c>
      <c r="CR322" s="284">
        <f>IF(CO322,_xll.qDateYears(CO321,CO322,CR$13),0)</f>
        <v>0</v>
      </c>
      <c r="CS322" s="284">
        <f t="shared" si="80"/>
        <v>2166.0491297426292</v>
      </c>
      <c r="DA322" s="560">
        <v>0</v>
      </c>
      <c r="DB322" s="155" t="str">
        <f t="shared" si="75"/>
        <v/>
      </c>
      <c r="DC322" s="405">
        <v>0</v>
      </c>
      <c r="DD322" s="284">
        <f>IF(DA322,_xll.qDateYears(DA321,DA322,DD$13),0)</f>
        <v>0</v>
      </c>
      <c r="DE322" s="284">
        <f t="shared" si="81"/>
        <v>1625.698949379763</v>
      </c>
      <c r="DM322" s="560">
        <v>0</v>
      </c>
      <c r="DN322" s="155" t="str">
        <f t="shared" si="76"/>
        <v/>
      </c>
      <c r="DO322" s="405">
        <v>0</v>
      </c>
      <c r="DP322" s="284">
        <f>IF(DM322,_xll.qDateYears(DM321,DM322,DP$13),0)</f>
        <v>0</v>
      </c>
      <c r="DQ322" s="284">
        <f t="shared" si="82"/>
        <v>2216.4810485334592</v>
      </c>
    </row>
    <row r="323" spans="59:121">
      <c r="BG323" s="560">
        <v>0</v>
      </c>
      <c r="BH323" s="154" t="str">
        <f t="shared" si="71"/>
        <v/>
      </c>
      <c r="BI323" s="405">
        <v>0</v>
      </c>
      <c r="BJ323" s="284">
        <f>IF(BG323,_xll.qDateYears(BG322,BG323,$BJ$13),0)</f>
        <v>0</v>
      </c>
      <c r="BK323" s="284">
        <f t="shared" si="77"/>
        <v>2216.4810485334592</v>
      </c>
      <c r="BQ323" s="560">
        <v>0</v>
      </c>
      <c r="BR323" s="155" t="str">
        <f t="shared" si="72"/>
        <v/>
      </c>
      <c r="BS323" s="405">
        <v>0</v>
      </c>
      <c r="BT323" s="284">
        <f>IF(BQ323,_xll.qDateYears(BQ322,BQ323,BT$13),0)</f>
        <v>0</v>
      </c>
      <c r="BU323" s="284">
        <f t="shared" si="78"/>
        <v>1731.4581291138484</v>
      </c>
      <c r="CC323" s="560">
        <v>0</v>
      </c>
      <c r="CD323" s="155" t="str">
        <f t="shared" si="73"/>
        <v/>
      </c>
      <c r="CE323" s="405">
        <v>0</v>
      </c>
      <c r="CF323" s="284">
        <f>IF(CC323,_xll.qDateYears(CC322,CC323,CF$13),0)</f>
        <v>0</v>
      </c>
      <c r="CG323" s="284">
        <f t="shared" si="79"/>
        <v>2320.9300800126416</v>
      </c>
      <c r="CO323" s="560">
        <v>0</v>
      </c>
      <c r="CP323" s="155" t="str">
        <f t="shared" si="74"/>
        <v/>
      </c>
      <c r="CQ323" s="405">
        <v>0</v>
      </c>
      <c r="CR323" s="284">
        <f>IF(CO323,_xll.qDateYears(CO322,CO323,CR$13),0)</f>
        <v>0</v>
      </c>
      <c r="CS323" s="284">
        <f t="shared" si="80"/>
        <v>2166.0491297426292</v>
      </c>
      <c r="DA323" s="560">
        <v>0</v>
      </c>
      <c r="DB323" s="155" t="str">
        <f t="shared" si="75"/>
        <v/>
      </c>
      <c r="DC323" s="405">
        <v>0</v>
      </c>
      <c r="DD323" s="284">
        <f>IF(DA323,_xll.qDateYears(DA322,DA323,DD$13),0)</f>
        <v>0</v>
      </c>
      <c r="DE323" s="284">
        <f t="shared" si="81"/>
        <v>1625.698949379763</v>
      </c>
      <c r="DM323" s="560">
        <v>0</v>
      </c>
      <c r="DN323" s="155" t="str">
        <f t="shared" si="76"/>
        <v/>
      </c>
      <c r="DO323" s="405">
        <v>0</v>
      </c>
      <c r="DP323" s="284">
        <f>IF(DM323,_xll.qDateYears(DM322,DM323,DP$13),0)</f>
        <v>0</v>
      </c>
      <c r="DQ323" s="284">
        <f t="shared" si="82"/>
        <v>2216.4810485334592</v>
      </c>
    </row>
    <row r="324" spans="59:121">
      <c r="BG324" s="560">
        <v>0</v>
      </c>
      <c r="BH324" s="154" t="str">
        <f t="shared" si="71"/>
        <v/>
      </c>
      <c r="BI324" s="405">
        <v>0</v>
      </c>
      <c r="BJ324" s="284">
        <f>IF(BG324,_xll.qDateYears(BG323,BG324,$BJ$13),0)</f>
        <v>0</v>
      </c>
      <c r="BK324" s="284">
        <f t="shared" si="77"/>
        <v>2216.4810485334592</v>
      </c>
      <c r="BQ324" s="560">
        <v>0</v>
      </c>
      <c r="BR324" s="155" t="str">
        <f t="shared" si="72"/>
        <v/>
      </c>
      <c r="BS324" s="405">
        <v>0</v>
      </c>
      <c r="BT324" s="284">
        <f>IF(BQ324,_xll.qDateYears(BQ323,BQ324,BT$13),0)</f>
        <v>0</v>
      </c>
      <c r="BU324" s="284">
        <f t="shared" si="78"/>
        <v>1731.4581291138484</v>
      </c>
      <c r="CC324" s="560">
        <v>0</v>
      </c>
      <c r="CD324" s="155" t="str">
        <f t="shared" si="73"/>
        <v/>
      </c>
      <c r="CE324" s="405">
        <v>0</v>
      </c>
      <c r="CF324" s="284">
        <f>IF(CC324,_xll.qDateYears(CC323,CC324,CF$13),0)</f>
        <v>0</v>
      </c>
      <c r="CG324" s="284">
        <f t="shared" si="79"/>
        <v>2320.9300800126416</v>
      </c>
      <c r="CO324" s="560">
        <v>0</v>
      </c>
      <c r="CP324" s="155" t="str">
        <f t="shared" si="74"/>
        <v/>
      </c>
      <c r="CQ324" s="405">
        <v>0</v>
      </c>
      <c r="CR324" s="284">
        <f>IF(CO324,_xll.qDateYears(CO323,CO324,CR$13),0)</f>
        <v>0</v>
      </c>
      <c r="CS324" s="284">
        <f t="shared" si="80"/>
        <v>2166.0491297426292</v>
      </c>
      <c r="DA324" s="560">
        <v>0</v>
      </c>
      <c r="DB324" s="155" t="str">
        <f t="shared" si="75"/>
        <v/>
      </c>
      <c r="DC324" s="405">
        <v>0</v>
      </c>
      <c r="DD324" s="284">
        <f>IF(DA324,_xll.qDateYears(DA323,DA324,DD$13),0)</f>
        <v>0</v>
      </c>
      <c r="DE324" s="284">
        <f t="shared" si="81"/>
        <v>1625.698949379763</v>
      </c>
      <c r="DM324" s="560">
        <v>0</v>
      </c>
      <c r="DN324" s="155" t="str">
        <f t="shared" si="76"/>
        <v/>
      </c>
      <c r="DO324" s="405">
        <v>0</v>
      </c>
      <c r="DP324" s="284">
        <f>IF(DM324,_xll.qDateYears(DM323,DM324,DP$13),0)</f>
        <v>0</v>
      </c>
      <c r="DQ324" s="284">
        <f t="shared" si="82"/>
        <v>2216.4810485334592</v>
      </c>
    </row>
    <row r="325" spans="59:121">
      <c r="BG325" s="560">
        <v>0</v>
      </c>
      <c r="BH325" s="154" t="str">
        <f t="shared" si="71"/>
        <v/>
      </c>
      <c r="BI325" s="405">
        <v>0</v>
      </c>
      <c r="BJ325" s="284">
        <f>IF(BG325,_xll.qDateYears(BG324,BG325,$BJ$13),0)</f>
        <v>0</v>
      </c>
      <c r="BK325" s="284">
        <f t="shared" si="77"/>
        <v>2216.4810485334592</v>
      </c>
      <c r="BQ325" s="560">
        <v>0</v>
      </c>
      <c r="BR325" s="155" t="str">
        <f t="shared" si="72"/>
        <v/>
      </c>
      <c r="BS325" s="405">
        <v>0</v>
      </c>
      <c r="BT325" s="284">
        <f>IF(BQ325,_xll.qDateYears(BQ324,BQ325,BT$13),0)</f>
        <v>0</v>
      </c>
      <c r="BU325" s="284">
        <f t="shared" si="78"/>
        <v>1731.4581291138484</v>
      </c>
      <c r="CC325" s="560">
        <v>0</v>
      </c>
      <c r="CD325" s="155" t="str">
        <f t="shared" si="73"/>
        <v/>
      </c>
      <c r="CE325" s="405">
        <v>0</v>
      </c>
      <c r="CF325" s="284">
        <f>IF(CC325,_xll.qDateYears(CC324,CC325,CF$13),0)</f>
        <v>0</v>
      </c>
      <c r="CG325" s="284">
        <f t="shared" si="79"/>
        <v>2320.9300800126416</v>
      </c>
      <c r="CO325" s="560">
        <v>0</v>
      </c>
      <c r="CP325" s="155" t="str">
        <f t="shared" si="74"/>
        <v/>
      </c>
      <c r="CQ325" s="405">
        <v>0</v>
      </c>
      <c r="CR325" s="284">
        <f>IF(CO325,_xll.qDateYears(CO324,CO325,CR$13),0)</f>
        <v>0</v>
      </c>
      <c r="CS325" s="284">
        <f t="shared" si="80"/>
        <v>2166.0491297426292</v>
      </c>
      <c r="DA325" s="560">
        <v>0</v>
      </c>
      <c r="DB325" s="155" t="str">
        <f t="shared" si="75"/>
        <v/>
      </c>
      <c r="DC325" s="405">
        <v>0</v>
      </c>
      <c r="DD325" s="284">
        <f>IF(DA325,_xll.qDateYears(DA324,DA325,DD$13),0)</f>
        <v>0</v>
      </c>
      <c r="DE325" s="284">
        <f t="shared" si="81"/>
        <v>1625.698949379763</v>
      </c>
      <c r="DM325" s="560">
        <v>0</v>
      </c>
      <c r="DN325" s="155" t="str">
        <f t="shared" si="76"/>
        <v/>
      </c>
      <c r="DO325" s="405">
        <v>0</v>
      </c>
      <c r="DP325" s="284">
        <f>IF(DM325,_xll.qDateYears(DM324,DM325,DP$13),0)</f>
        <v>0</v>
      </c>
      <c r="DQ325" s="284">
        <f t="shared" si="82"/>
        <v>2216.4810485334592</v>
      </c>
    </row>
    <row r="326" spans="59:121">
      <c r="BG326" s="560">
        <v>0</v>
      </c>
      <c r="BH326" s="154" t="str">
        <f t="shared" si="71"/>
        <v/>
      </c>
      <c r="BI326" s="405">
        <v>0</v>
      </c>
      <c r="BJ326" s="284">
        <f>IF(BG326,_xll.qDateYears(BG325,BG326,$BJ$13),0)</f>
        <v>0</v>
      </c>
      <c r="BK326" s="284">
        <f t="shared" si="77"/>
        <v>2216.4810485334592</v>
      </c>
      <c r="BQ326" s="560">
        <v>0</v>
      </c>
      <c r="BR326" s="155" t="str">
        <f t="shared" si="72"/>
        <v/>
      </c>
      <c r="BS326" s="405">
        <v>0</v>
      </c>
      <c r="BT326" s="284">
        <f>IF(BQ326,_xll.qDateYears(BQ325,BQ326,BT$13),0)</f>
        <v>0</v>
      </c>
      <c r="BU326" s="284">
        <f t="shared" si="78"/>
        <v>1731.4581291138484</v>
      </c>
      <c r="CC326" s="560">
        <v>0</v>
      </c>
      <c r="CD326" s="155" t="str">
        <f t="shared" si="73"/>
        <v/>
      </c>
      <c r="CE326" s="405">
        <v>0</v>
      </c>
      <c r="CF326" s="284">
        <f>IF(CC326,_xll.qDateYears(CC325,CC326,CF$13),0)</f>
        <v>0</v>
      </c>
      <c r="CG326" s="284">
        <f t="shared" si="79"/>
        <v>2320.9300800126416</v>
      </c>
      <c r="CO326" s="560">
        <v>0</v>
      </c>
      <c r="CP326" s="155" t="str">
        <f t="shared" si="74"/>
        <v/>
      </c>
      <c r="CQ326" s="405">
        <v>0</v>
      </c>
      <c r="CR326" s="284">
        <f>IF(CO326,_xll.qDateYears(CO325,CO326,CR$13),0)</f>
        <v>0</v>
      </c>
      <c r="CS326" s="284">
        <f t="shared" si="80"/>
        <v>2166.0491297426292</v>
      </c>
      <c r="DA326" s="560">
        <v>0</v>
      </c>
      <c r="DB326" s="155" t="str">
        <f t="shared" si="75"/>
        <v/>
      </c>
      <c r="DC326" s="405">
        <v>0</v>
      </c>
      <c r="DD326" s="284">
        <f>IF(DA326,_xll.qDateYears(DA325,DA326,DD$13),0)</f>
        <v>0</v>
      </c>
      <c r="DE326" s="284">
        <f t="shared" si="81"/>
        <v>1625.698949379763</v>
      </c>
      <c r="DM326" s="560">
        <v>0</v>
      </c>
      <c r="DN326" s="155" t="str">
        <f t="shared" si="76"/>
        <v/>
      </c>
      <c r="DO326" s="405">
        <v>0</v>
      </c>
      <c r="DP326" s="284">
        <f>IF(DM326,_xll.qDateYears(DM325,DM326,DP$13),0)</f>
        <v>0</v>
      </c>
      <c r="DQ326" s="284">
        <f t="shared" si="82"/>
        <v>2216.4810485334592</v>
      </c>
    </row>
    <row r="327" spans="59:121">
      <c r="BG327" s="560">
        <v>0</v>
      </c>
      <c r="BH327" s="154" t="str">
        <f t="shared" si="71"/>
        <v/>
      </c>
      <c r="BI327" s="405">
        <v>0</v>
      </c>
      <c r="BJ327" s="284">
        <f>IF(BG327,_xll.qDateYears(BG326,BG327,$BJ$13),0)</f>
        <v>0</v>
      </c>
      <c r="BK327" s="284">
        <f t="shared" si="77"/>
        <v>2216.4810485334592</v>
      </c>
      <c r="BQ327" s="560">
        <v>0</v>
      </c>
      <c r="BR327" s="155" t="str">
        <f t="shared" si="72"/>
        <v/>
      </c>
      <c r="BS327" s="405">
        <v>0</v>
      </c>
      <c r="BT327" s="284">
        <f>IF(BQ327,_xll.qDateYears(BQ326,BQ327,BT$13),0)</f>
        <v>0</v>
      </c>
      <c r="BU327" s="284">
        <f t="shared" si="78"/>
        <v>1731.4581291138484</v>
      </c>
      <c r="CC327" s="560">
        <v>0</v>
      </c>
      <c r="CD327" s="155" t="str">
        <f t="shared" si="73"/>
        <v/>
      </c>
      <c r="CE327" s="405">
        <v>0</v>
      </c>
      <c r="CF327" s="284">
        <f>IF(CC327,_xll.qDateYears(CC326,CC327,CF$13),0)</f>
        <v>0</v>
      </c>
      <c r="CG327" s="284">
        <f t="shared" si="79"/>
        <v>2320.9300800126416</v>
      </c>
      <c r="CO327" s="560">
        <v>0</v>
      </c>
      <c r="CP327" s="155" t="str">
        <f t="shared" si="74"/>
        <v/>
      </c>
      <c r="CQ327" s="405">
        <v>0</v>
      </c>
      <c r="CR327" s="284">
        <f>IF(CO327,_xll.qDateYears(CO326,CO327,CR$13),0)</f>
        <v>0</v>
      </c>
      <c r="CS327" s="284">
        <f t="shared" si="80"/>
        <v>2166.0491297426292</v>
      </c>
      <c r="DA327" s="560">
        <v>0</v>
      </c>
      <c r="DB327" s="155" t="str">
        <f t="shared" si="75"/>
        <v/>
      </c>
      <c r="DC327" s="405">
        <v>0</v>
      </c>
      <c r="DD327" s="284">
        <f>IF(DA327,_xll.qDateYears(DA326,DA327,DD$13),0)</f>
        <v>0</v>
      </c>
      <c r="DE327" s="284">
        <f t="shared" si="81"/>
        <v>1625.698949379763</v>
      </c>
      <c r="DM327" s="560">
        <v>0</v>
      </c>
      <c r="DN327" s="155" t="str">
        <f t="shared" si="76"/>
        <v/>
      </c>
      <c r="DO327" s="405">
        <v>0</v>
      </c>
      <c r="DP327" s="284">
        <f>IF(DM327,_xll.qDateYears(DM326,DM327,DP$13),0)</f>
        <v>0</v>
      </c>
      <c r="DQ327" s="284">
        <f t="shared" si="82"/>
        <v>2216.4810485334592</v>
      </c>
    </row>
    <row r="328" spans="59:121">
      <c r="BG328" s="560">
        <v>0</v>
      </c>
      <c r="BH328" s="154" t="str">
        <f t="shared" si="71"/>
        <v/>
      </c>
      <c r="BI328" s="405">
        <v>0</v>
      </c>
      <c r="BJ328" s="284">
        <f>IF(BG328,_xll.qDateYears(BG327,BG328,$BJ$13),0)</f>
        <v>0</v>
      </c>
      <c r="BK328" s="284">
        <f t="shared" si="77"/>
        <v>2216.4810485334592</v>
      </c>
      <c r="BQ328" s="560">
        <v>0</v>
      </c>
      <c r="BR328" s="155" t="str">
        <f t="shared" si="72"/>
        <v/>
      </c>
      <c r="BS328" s="405">
        <v>0</v>
      </c>
      <c r="BT328" s="284">
        <f>IF(BQ328,_xll.qDateYears(BQ327,BQ328,BT$13),0)</f>
        <v>0</v>
      </c>
      <c r="BU328" s="284">
        <f t="shared" si="78"/>
        <v>1731.4581291138484</v>
      </c>
      <c r="CC328" s="560">
        <v>0</v>
      </c>
      <c r="CD328" s="155" t="str">
        <f t="shared" si="73"/>
        <v/>
      </c>
      <c r="CE328" s="405">
        <v>0</v>
      </c>
      <c r="CF328" s="284">
        <f>IF(CC328,_xll.qDateYears(CC327,CC328,CF$13),0)</f>
        <v>0</v>
      </c>
      <c r="CG328" s="284">
        <f t="shared" si="79"/>
        <v>2320.9300800126416</v>
      </c>
      <c r="CO328" s="560">
        <v>0</v>
      </c>
      <c r="CP328" s="155" t="str">
        <f t="shared" si="74"/>
        <v/>
      </c>
      <c r="CQ328" s="405">
        <v>0</v>
      </c>
      <c r="CR328" s="284">
        <f>IF(CO328,_xll.qDateYears(CO327,CO328,CR$13),0)</f>
        <v>0</v>
      </c>
      <c r="CS328" s="284">
        <f t="shared" si="80"/>
        <v>2166.0491297426292</v>
      </c>
      <c r="DA328" s="560">
        <v>0</v>
      </c>
      <c r="DB328" s="155" t="str">
        <f t="shared" si="75"/>
        <v/>
      </c>
      <c r="DC328" s="405">
        <v>0</v>
      </c>
      <c r="DD328" s="284">
        <f>IF(DA328,_xll.qDateYears(DA327,DA328,DD$13),0)</f>
        <v>0</v>
      </c>
      <c r="DE328" s="284">
        <f t="shared" si="81"/>
        <v>1625.698949379763</v>
      </c>
      <c r="DM328" s="560">
        <v>0</v>
      </c>
      <c r="DN328" s="155" t="str">
        <f t="shared" si="76"/>
        <v/>
      </c>
      <c r="DO328" s="405">
        <v>0</v>
      </c>
      <c r="DP328" s="284">
        <f>IF(DM328,_xll.qDateYears(DM327,DM328,DP$13),0)</f>
        <v>0</v>
      </c>
      <c r="DQ328" s="284">
        <f t="shared" si="82"/>
        <v>2216.4810485334592</v>
      </c>
    </row>
    <row r="329" spans="59:121">
      <c r="BG329" s="560">
        <v>0</v>
      </c>
      <c r="BH329" s="154" t="str">
        <f t="shared" si="71"/>
        <v/>
      </c>
      <c r="BI329" s="405">
        <v>0</v>
      </c>
      <c r="BJ329" s="284">
        <f>IF(BG329,_xll.qDateYears(BG328,BG329,$BJ$13),0)</f>
        <v>0</v>
      </c>
      <c r="BK329" s="284">
        <f t="shared" si="77"/>
        <v>2216.4810485334592</v>
      </c>
      <c r="BQ329" s="560">
        <v>0</v>
      </c>
      <c r="BR329" s="155" t="str">
        <f t="shared" si="72"/>
        <v/>
      </c>
      <c r="BS329" s="405">
        <v>0</v>
      </c>
      <c r="BT329" s="284">
        <f>IF(BQ329,_xll.qDateYears(BQ328,BQ329,BT$13),0)</f>
        <v>0</v>
      </c>
      <c r="BU329" s="284">
        <f t="shared" si="78"/>
        <v>1731.4581291138484</v>
      </c>
      <c r="CC329" s="560">
        <v>0</v>
      </c>
      <c r="CD329" s="155" t="str">
        <f t="shared" si="73"/>
        <v/>
      </c>
      <c r="CE329" s="405">
        <v>0</v>
      </c>
      <c r="CF329" s="284">
        <f>IF(CC329,_xll.qDateYears(CC328,CC329,CF$13),0)</f>
        <v>0</v>
      </c>
      <c r="CG329" s="284">
        <f t="shared" si="79"/>
        <v>2320.9300800126416</v>
      </c>
      <c r="CO329" s="560">
        <v>0</v>
      </c>
      <c r="CP329" s="155" t="str">
        <f t="shared" si="74"/>
        <v/>
      </c>
      <c r="CQ329" s="405">
        <v>0</v>
      </c>
      <c r="CR329" s="284">
        <f>IF(CO329,_xll.qDateYears(CO328,CO329,CR$13),0)</f>
        <v>0</v>
      </c>
      <c r="CS329" s="284">
        <f t="shared" si="80"/>
        <v>2166.0491297426292</v>
      </c>
      <c r="DA329" s="560">
        <v>0</v>
      </c>
      <c r="DB329" s="155" t="str">
        <f t="shared" si="75"/>
        <v/>
      </c>
      <c r="DC329" s="405">
        <v>0</v>
      </c>
      <c r="DD329" s="284">
        <f>IF(DA329,_xll.qDateYears(DA328,DA329,DD$13),0)</f>
        <v>0</v>
      </c>
      <c r="DE329" s="284">
        <f t="shared" si="81"/>
        <v>1625.698949379763</v>
      </c>
      <c r="DM329" s="560">
        <v>0</v>
      </c>
      <c r="DN329" s="155" t="str">
        <f t="shared" si="76"/>
        <v/>
      </c>
      <c r="DO329" s="405">
        <v>0</v>
      </c>
      <c r="DP329" s="284">
        <f>IF(DM329,_xll.qDateYears(DM328,DM329,DP$13),0)</f>
        <v>0</v>
      </c>
      <c r="DQ329" s="284">
        <f t="shared" si="82"/>
        <v>2216.4810485334592</v>
      </c>
    </row>
    <row r="330" spans="59:121">
      <c r="BG330" s="560">
        <v>0</v>
      </c>
      <c r="BH330" s="154" t="str">
        <f t="shared" si="71"/>
        <v/>
      </c>
      <c r="BI330" s="405">
        <v>0</v>
      </c>
      <c r="BJ330" s="284">
        <f>IF(BG330,_xll.qDateYears(BG329,BG330,$BJ$13),0)</f>
        <v>0</v>
      </c>
      <c r="BK330" s="284">
        <f t="shared" si="77"/>
        <v>2216.4810485334592</v>
      </c>
      <c r="BQ330" s="560">
        <v>0</v>
      </c>
      <c r="BR330" s="155" t="str">
        <f t="shared" si="72"/>
        <v/>
      </c>
      <c r="BS330" s="405">
        <v>0</v>
      </c>
      <c r="BT330" s="284">
        <f>IF(BQ330,_xll.qDateYears(BQ329,BQ330,BT$13),0)</f>
        <v>0</v>
      </c>
      <c r="BU330" s="284">
        <f t="shared" si="78"/>
        <v>1731.4581291138484</v>
      </c>
      <c r="CC330" s="560">
        <v>0</v>
      </c>
      <c r="CD330" s="155" t="str">
        <f t="shared" si="73"/>
        <v/>
      </c>
      <c r="CE330" s="405">
        <v>0</v>
      </c>
      <c r="CF330" s="284">
        <f>IF(CC330,_xll.qDateYears(CC329,CC330,CF$13),0)</f>
        <v>0</v>
      </c>
      <c r="CG330" s="284">
        <f t="shared" si="79"/>
        <v>2320.9300800126416</v>
      </c>
      <c r="CO330" s="560">
        <v>0</v>
      </c>
      <c r="CP330" s="155" t="str">
        <f t="shared" si="74"/>
        <v/>
      </c>
      <c r="CQ330" s="405">
        <v>0</v>
      </c>
      <c r="CR330" s="284">
        <f>IF(CO330,_xll.qDateYears(CO329,CO330,CR$13),0)</f>
        <v>0</v>
      </c>
      <c r="CS330" s="284">
        <f t="shared" si="80"/>
        <v>2166.0491297426292</v>
      </c>
      <c r="DA330" s="560">
        <v>0</v>
      </c>
      <c r="DB330" s="155" t="str">
        <f t="shared" si="75"/>
        <v/>
      </c>
      <c r="DC330" s="405">
        <v>0</v>
      </c>
      <c r="DD330" s="284">
        <f>IF(DA330,_xll.qDateYears(DA329,DA330,DD$13),0)</f>
        <v>0</v>
      </c>
      <c r="DE330" s="284">
        <f t="shared" si="81"/>
        <v>1625.698949379763</v>
      </c>
      <c r="DM330" s="560">
        <v>0</v>
      </c>
      <c r="DN330" s="155" t="str">
        <f t="shared" si="76"/>
        <v/>
      </c>
      <c r="DO330" s="405">
        <v>0</v>
      </c>
      <c r="DP330" s="284">
        <f>IF(DM330,_xll.qDateYears(DM329,DM330,DP$13),0)</f>
        <v>0</v>
      </c>
      <c r="DQ330" s="284">
        <f t="shared" si="82"/>
        <v>2216.4810485334592</v>
      </c>
    </row>
    <row r="331" spans="59:121">
      <c r="BG331" s="560">
        <v>0</v>
      </c>
      <c r="BH331" s="154" t="str">
        <f t="shared" si="71"/>
        <v/>
      </c>
      <c r="BI331" s="405">
        <v>0</v>
      </c>
      <c r="BJ331" s="284">
        <f>IF(BG331,_xll.qDateYears(BG330,BG331,$BJ$13),0)</f>
        <v>0</v>
      </c>
      <c r="BK331" s="284">
        <f t="shared" si="77"/>
        <v>2216.4810485334592</v>
      </c>
      <c r="BQ331" s="560">
        <v>0</v>
      </c>
      <c r="BR331" s="155" t="str">
        <f t="shared" si="72"/>
        <v/>
      </c>
      <c r="BS331" s="405">
        <v>0</v>
      </c>
      <c r="BT331" s="284">
        <f>IF(BQ331,_xll.qDateYears(BQ330,BQ331,BT$13),0)</f>
        <v>0</v>
      </c>
      <c r="BU331" s="284">
        <f t="shared" si="78"/>
        <v>1731.4581291138484</v>
      </c>
      <c r="CC331" s="560">
        <v>0</v>
      </c>
      <c r="CD331" s="155" t="str">
        <f t="shared" si="73"/>
        <v/>
      </c>
      <c r="CE331" s="405">
        <v>0</v>
      </c>
      <c r="CF331" s="284">
        <f>IF(CC331,_xll.qDateYears(CC330,CC331,CF$13),0)</f>
        <v>0</v>
      </c>
      <c r="CG331" s="284">
        <f t="shared" si="79"/>
        <v>2320.9300800126416</v>
      </c>
      <c r="CO331" s="560">
        <v>0</v>
      </c>
      <c r="CP331" s="155" t="str">
        <f t="shared" si="74"/>
        <v/>
      </c>
      <c r="CQ331" s="405">
        <v>0</v>
      </c>
      <c r="CR331" s="284">
        <f>IF(CO331,_xll.qDateYears(CO330,CO331,CR$13),0)</f>
        <v>0</v>
      </c>
      <c r="CS331" s="284">
        <f t="shared" si="80"/>
        <v>2166.0491297426292</v>
      </c>
      <c r="DA331" s="560">
        <v>0</v>
      </c>
      <c r="DB331" s="155" t="str">
        <f t="shared" si="75"/>
        <v/>
      </c>
      <c r="DC331" s="405">
        <v>0</v>
      </c>
      <c r="DD331" s="284">
        <f>IF(DA331,_xll.qDateYears(DA330,DA331,DD$13),0)</f>
        <v>0</v>
      </c>
      <c r="DE331" s="284">
        <f t="shared" si="81"/>
        <v>1625.698949379763</v>
      </c>
      <c r="DM331" s="560">
        <v>0</v>
      </c>
      <c r="DN331" s="155" t="str">
        <f t="shared" si="76"/>
        <v/>
      </c>
      <c r="DO331" s="405">
        <v>0</v>
      </c>
      <c r="DP331" s="284">
        <f>IF(DM331,_xll.qDateYears(DM330,DM331,DP$13),0)</f>
        <v>0</v>
      </c>
      <c r="DQ331" s="284">
        <f t="shared" si="82"/>
        <v>2216.4810485334592</v>
      </c>
    </row>
    <row r="332" spans="59:121">
      <c r="BG332" s="560">
        <v>0</v>
      </c>
      <c r="BH332" s="154" t="str">
        <f t="shared" si="71"/>
        <v/>
      </c>
      <c r="BI332" s="405">
        <v>0</v>
      </c>
      <c r="BJ332" s="284">
        <f>IF(BG332,_xll.qDateYears(BG331,BG332,$BJ$13),0)</f>
        <v>0</v>
      </c>
      <c r="BK332" s="284">
        <f t="shared" si="77"/>
        <v>2216.4810485334592</v>
      </c>
      <c r="BQ332" s="560">
        <v>0</v>
      </c>
      <c r="BR332" s="155" t="str">
        <f t="shared" si="72"/>
        <v/>
      </c>
      <c r="BS332" s="405">
        <v>0</v>
      </c>
      <c r="BT332" s="284">
        <f>IF(BQ332,_xll.qDateYears(BQ331,BQ332,BT$13),0)</f>
        <v>0</v>
      </c>
      <c r="BU332" s="284">
        <f t="shared" si="78"/>
        <v>1731.4581291138484</v>
      </c>
      <c r="CC332" s="560">
        <v>0</v>
      </c>
      <c r="CD332" s="155" t="str">
        <f t="shared" si="73"/>
        <v/>
      </c>
      <c r="CE332" s="405">
        <v>0</v>
      </c>
      <c r="CF332" s="284">
        <f>IF(CC332,_xll.qDateYears(CC331,CC332,CF$13),0)</f>
        <v>0</v>
      </c>
      <c r="CG332" s="284">
        <f t="shared" si="79"/>
        <v>2320.9300800126416</v>
      </c>
      <c r="CO332" s="560">
        <v>0</v>
      </c>
      <c r="CP332" s="155" t="str">
        <f t="shared" si="74"/>
        <v/>
      </c>
      <c r="CQ332" s="405">
        <v>0</v>
      </c>
      <c r="CR332" s="284">
        <f>IF(CO332,_xll.qDateYears(CO331,CO332,CR$13),0)</f>
        <v>0</v>
      </c>
      <c r="CS332" s="284">
        <f t="shared" si="80"/>
        <v>2166.0491297426292</v>
      </c>
      <c r="DA332" s="560">
        <v>0</v>
      </c>
      <c r="DB332" s="155" t="str">
        <f t="shared" si="75"/>
        <v/>
      </c>
      <c r="DC332" s="405">
        <v>0</v>
      </c>
      <c r="DD332" s="284">
        <f>IF(DA332,_xll.qDateYears(DA331,DA332,DD$13),0)</f>
        <v>0</v>
      </c>
      <c r="DE332" s="284">
        <f t="shared" si="81"/>
        <v>1625.698949379763</v>
      </c>
      <c r="DM332" s="560">
        <v>0</v>
      </c>
      <c r="DN332" s="155" t="str">
        <f t="shared" si="76"/>
        <v/>
      </c>
      <c r="DO332" s="405">
        <v>0</v>
      </c>
      <c r="DP332" s="284">
        <f>IF(DM332,_xll.qDateYears(DM331,DM332,DP$13),0)</f>
        <v>0</v>
      </c>
      <c r="DQ332" s="284">
        <f t="shared" si="82"/>
        <v>2216.4810485334592</v>
      </c>
    </row>
    <row r="333" spans="59:121">
      <c r="BG333" s="560">
        <v>0</v>
      </c>
      <c r="BH333" s="154" t="str">
        <f t="shared" si="71"/>
        <v/>
      </c>
      <c r="BI333" s="405">
        <v>0</v>
      </c>
      <c r="BJ333" s="284">
        <f>IF(BG333,_xll.qDateYears(BG332,BG333,$BJ$13),0)</f>
        <v>0</v>
      </c>
      <c r="BK333" s="284">
        <f t="shared" si="77"/>
        <v>2216.4810485334592</v>
      </c>
      <c r="BQ333" s="560">
        <v>0</v>
      </c>
      <c r="BR333" s="155" t="str">
        <f t="shared" si="72"/>
        <v/>
      </c>
      <c r="BS333" s="405">
        <v>0</v>
      </c>
      <c r="BT333" s="284">
        <f>IF(BQ333,_xll.qDateYears(BQ332,BQ333,BT$13),0)</f>
        <v>0</v>
      </c>
      <c r="BU333" s="284">
        <f t="shared" si="78"/>
        <v>1731.4581291138484</v>
      </c>
      <c r="CC333" s="560">
        <v>0</v>
      </c>
      <c r="CD333" s="155" t="str">
        <f t="shared" si="73"/>
        <v/>
      </c>
      <c r="CE333" s="405">
        <v>0</v>
      </c>
      <c r="CF333" s="284">
        <f>IF(CC333,_xll.qDateYears(CC332,CC333,CF$13),0)</f>
        <v>0</v>
      </c>
      <c r="CG333" s="284">
        <f t="shared" si="79"/>
        <v>2320.9300800126416</v>
      </c>
      <c r="CO333" s="560">
        <v>0</v>
      </c>
      <c r="CP333" s="155" t="str">
        <f t="shared" si="74"/>
        <v/>
      </c>
      <c r="CQ333" s="405">
        <v>0</v>
      </c>
      <c r="CR333" s="284">
        <f>IF(CO333,_xll.qDateYears(CO332,CO333,CR$13),0)</f>
        <v>0</v>
      </c>
      <c r="CS333" s="284">
        <f t="shared" si="80"/>
        <v>2166.0491297426292</v>
      </c>
      <c r="DA333" s="560">
        <v>0</v>
      </c>
      <c r="DB333" s="155" t="str">
        <f t="shared" si="75"/>
        <v/>
      </c>
      <c r="DC333" s="405">
        <v>0</v>
      </c>
      <c r="DD333" s="284">
        <f>IF(DA333,_xll.qDateYears(DA332,DA333,DD$13),0)</f>
        <v>0</v>
      </c>
      <c r="DE333" s="284">
        <f t="shared" si="81"/>
        <v>1625.698949379763</v>
      </c>
      <c r="DM333" s="560">
        <v>0</v>
      </c>
      <c r="DN333" s="155" t="str">
        <f t="shared" si="76"/>
        <v/>
      </c>
      <c r="DO333" s="405">
        <v>0</v>
      </c>
      <c r="DP333" s="284">
        <f>IF(DM333,_xll.qDateYears(DM332,DM333,DP$13),0)</f>
        <v>0</v>
      </c>
      <c r="DQ333" s="284">
        <f t="shared" si="82"/>
        <v>2216.4810485334592</v>
      </c>
    </row>
    <row r="334" spans="59:121">
      <c r="BG334" s="560">
        <v>0</v>
      </c>
      <c r="BH334" s="154" t="str">
        <f t="shared" si="71"/>
        <v/>
      </c>
      <c r="BI334" s="405">
        <v>0</v>
      </c>
      <c r="BJ334" s="284">
        <f>IF(BG334,_xll.qDateYears(BG333,BG334,$BJ$13),0)</f>
        <v>0</v>
      </c>
      <c r="BK334" s="284">
        <f t="shared" si="77"/>
        <v>2216.4810485334592</v>
      </c>
      <c r="BQ334" s="560">
        <v>0</v>
      </c>
      <c r="BR334" s="155" t="str">
        <f t="shared" si="72"/>
        <v/>
      </c>
      <c r="BS334" s="405">
        <v>0</v>
      </c>
      <c r="BT334" s="284">
        <f>IF(BQ334,_xll.qDateYears(BQ333,BQ334,BT$13),0)</f>
        <v>0</v>
      </c>
      <c r="BU334" s="284">
        <f t="shared" si="78"/>
        <v>1731.4581291138484</v>
      </c>
      <c r="CC334" s="560">
        <v>0</v>
      </c>
      <c r="CD334" s="155" t="str">
        <f t="shared" si="73"/>
        <v/>
      </c>
      <c r="CE334" s="405">
        <v>0</v>
      </c>
      <c r="CF334" s="284">
        <f>IF(CC334,_xll.qDateYears(CC333,CC334,CF$13),0)</f>
        <v>0</v>
      </c>
      <c r="CG334" s="284">
        <f t="shared" si="79"/>
        <v>2320.9300800126416</v>
      </c>
      <c r="CO334" s="560">
        <v>0</v>
      </c>
      <c r="CP334" s="155" t="str">
        <f t="shared" si="74"/>
        <v/>
      </c>
      <c r="CQ334" s="405">
        <v>0</v>
      </c>
      <c r="CR334" s="284">
        <f>IF(CO334,_xll.qDateYears(CO333,CO334,CR$13),0)</f>
        <v>0</v>
      </c>
      <c r="CS334" s="284">
        <f t="shared" si="80"/>
        <v>2166.0491297426292</v>
      </c>
      <c r="DA334" s="560">
        <v>0</v>
      </c>
      <c r="DB334" s="155" t="str">
        <f t="shared" si="75"/>
        <v/>
      </c>
      <c r="DC334" s="405">
        <v>0</v>
      </c>
      <c r="DD334" s="284">
        <f>IF(DA334,_xll.qDateYears(DA333,DA334,DD$13),0)</f>
        <v>0</v>
      </c>
      <c r="DE334" s="284">
        <f t="shared" si="81"/>
        <v>1625.698949379763</v>
      </c>
      <c r="DM334" s="560">
        <v>0</v>
      </c>
      <c r="DN334" s="155" t="str">
        <f t="shared" si="76"/>
        <v/>
      </c>
      <c r="DO334" s="405">
        <v>0</v>
      </c>
      <c r="DP334" s="284">
        <f>IF(DM334,_xll.qDateYears(DM333,DM334,DP$13),0)</f>
        <v>0</v>
      </c>
      <c r="DQ334" s="284">
        <f t="shared" si="82"/>
        <v>2216.4810485334592</v>
      </c>
    </row>
    <row r="335" spans="59:121">
      <c r="BG335" s="560">
        <v>0</v>
      </c>
      <c r="BH335" s="154" t="str">
        <f t="shared" ref="BH335:BH398" si="83">IF(BG335,ROUND((BG335-$BG$15)/365/0.25,0)*0.25&amp;"Y","")</f>
        <v/>
      </c>
      <c r="BI335" s="405">
        <v>0</v>
      </c>
      <c r="BJ335" s="284">
        <f>IF(BG335,_xll.qDateYears(BG334,BG335,$BJ$13),0)</f>
        <v>0</v>
      </c>
      <c r="BK335" s="284">
        <f t="shared" si="77"/>
        <v>2216.4810485334592</v>
      </c>
      <c r="BQ335" s="560">
        <v>0</v>
      </c>
      <c r="BR335" s="155" t="str">
        <f t="shared" ref="BR335:BR398" si="84">IF(BQ335,ROUND((BQ335-$BG$15)/365/0.25,0)*0.25&amp;"Y","")</f>
        <v/>
      </c>
      <c r="BS335" s="405">
        <v>0</v>
      </c>
      <c r="BT335" s="284">
        <f>IF(BQ335,_xll.qDateYears(BQ334,BQ335,BT$13),0)</f>
        <v>0</v>
      </c>
      <c r="BU335" s="284">
        <f t="shared" si="78"/>
        <v>1731.4581291138484</v>
      </c>
      <c r="CC335" s="560">
        <v>0</v>
      </c>
      <c r="CD335" s="155" t="str">
        <f t="shared" ref="CD335:CD398" si="85">IF(CC335,ROUND((CC335-$BG$15)/365/0.25,0)*0.25&amp;"Y","")</f>
        <v/>
      </c>
      <c r="CE335" s="405">
        <v>0</v>
      </c>
      <c r="CF335" s="284">
        <f>IF(CC335,_xll.qDateYears(CC334,CC335,CF$13),0)</f>
        <v>0</v>
      </c>
      <c r="CG335" s="284">
        <f t="shared" si="79"/>
        <v>2320.9300800126416</v>
      </c>
      <c r="CO335" s="560">
        <v>0</v>
      </c>
      <c r="CP335" s="155" t="str">
        <f t="shared" ref="CP335:CP398" si="86">IF(CO335,ROUND((CO335-$BG$15)/365/0.25,0)*0.25&amp;"Y","")</f>
        <v/>
      </c>
      <c r="CQ335" s="405">
        <v>0</v>
      </c>
      <c r="CR335" s="284">
        <f>IF(CO335,_xll.qDateYears(CO334,CO335,CR$13),0)</f>
        <v>0</v>
      </c>
      <c r="CS335" s="284">
        <f t="shared" si="80"/>
        <v>2166.0491297426292</v>
      </c>
      <c r="DA335" s="560">
        <v>0</v>
      </c>
      <c r="DB335" s="155" t="str">
        <f t="shared" ref="DB335:DB398" si="87">IF(DA335,ROUND((DA335-$BG$15)/365/0.25,0)*0.25&amp;"Y","")</f>
        <v/>
      </c>
      <c r="DC335" s="405">
        <v>0</v>
      </c>
      <c r="DD335" s="284">
        <f>IF(DA335,_xll.qDateYears(DA334,DA335,DD$13),0)</f>
        <v>0</v>
      </c>
      <c r="DE335" s="284">
        <f t="shared" si="81"/>
        <v>1625.698949379763</v>
      </c>
      <c r="DM335" s="560">
        <v>0</v>
      </c>
      <c r="DN335" s="155" t="str">
        <f t="shared" ref="DN335:DN398" si="88">IF(DM335,ROUND((DM335-$BG$15)/365/0.25,0)*0.25&amp;"Y","")</f>
        <v/>
      </c>
      <c r="DO335" s="405">
        <v>0</v>
      </c>
      <c r="DP335" s="284">
        <f>IF(DM335,_xll.qDateYears(DM334,DM335,DP$13),0)</f>
        <v>0</v>
      </c>
      <c r="DQ335" s="284">
        <f t="shared" si="82"/>
        <v>2216.4810485334592</v>
      </c>
    </row>
    <row r="336" spans="59:121">
      <c r="BG336" s="560">
        <v>0</v>
      </c>
      <c r="BH336" s="154" t="str">
        <f t="shared" si="83"/>
        <v/>
      </c>
      <c r="BI336" s="405">
        <v>0</v>
      </c>
      <c r="BJ336" s="284">
        <f>IF(BG336,_xll.qDateYears(BG335,BG336,$BJ$13),0)</f>
        <v>0</v>
      </c>
      <c r="BK336" s="284">
        <f t="shared" si="77"/>
        <v>2216.4810485334592</v>
      </c>
      <c r="BQ336" s="560">
        <v>0</v>
      </c>
      <c r="BR336" s="155" t="str">
        <f t="shared" si="84"/>
        <v/>
      </c>
      <c r="BS336" s="405">
        <v>0</v>
      </c>
      <c r="BT336" s="284">
        <f>IF(BQ336,_xll.qDateYears(BQ335,BQ336,BT$13),0)</f>
        <v>0</v>
      </c>
      <c r="BU336" s="284">
        <f t="shared" si="78"/>
        <v>1731.4581291138484</v>
      </c>
      <c r="CC336" s="560">
        <v>0</v>
      </c>
      <c r="CD336" s="155" t="str">
        <f t="shared" si="85"/>
        <v/>
      </c>
      <c r="CE336" s="405">
        <v>0</v>
      </c>
      <c r="CF336" s="284">
        <f>IF(CC336,_xll.qDateYears(CC335,CC336,CF$13),0)</f>
        <v>0</v>
      </c>
      <c r="CG336" s="284">
        <f t="shared" si="79"/>
        <v>2320.9300800126416</v>
      </c>
      <c r="CO336" s="560">
        <v>0</v>
      </c>
      <c r="CP336" s="155" t="str">
        <f t="shared" si="86"/>
        <v/>
      </c>
      <c r="CQ336" s="405">
        <v>0</v>
      </c>
      <c r="CR336" s="284">
        <f>IF(CO336,_xll.qDateYears(CO335,CO336,CR$13),0)</f>
        <v>0</v>
      </c>
      <c r="CS336" s="284">
        <f t="shared" si="80"/>
        <v>2166.0491297426292</v>
      </c>
      <c r="DA336" s="560">
        <v>0</v>
      </c>
      <c r="DB336" s="155" t="str">
        <f t="shared" si="87"/>
        <v/>
      </c>
      <c r="DC336" s="405">
        <v>0</v>
      </c>
      <c r="DD336" s="284">
        <f>IF(DA336,_xll.qDateYears(DA335,DA336,DD$13),0)</f>
        <v>0</v>
      </c>
      <c r="DE336" s="284">
        <f t="shared" si="81"/>
        <v>1625.698949379763</v>
      </c>
      <c r="DM336" s="560">
        <v>0</v>
      </c>
      <c r="DN336" s="155" t="str">
        <f t="shared" si="88"/>
        <v/>
      </c>
      <c r="DO336" s="405">
        <v>0</v>
      </c>
      <c r="DP336" s="284">
        <f>IF(DM336,_xll.qDateYears(DM335,DM336,DP$13),0)</f>
        <v>0</v>
      </c>
      <c r="DQ336" s="284">
        <f t="shared" si="82"/>
        <v>2216.4810485334592</v>
      </c>
    </row>
    <row r="337" spans="59:121">
      <c r="BG337" s="560">
        <v>0</v>
      </c>
      <c r="BH337" s="154" t="str">
        <f t="shared" si="83"/>
        <v/>
      </c>
      <c r="BI337" s="405">
        <v>0</v>
      </c>
      <c r="BJ337" s="284">
        <f>IF(BG337,_xll.qDateYears(BG336,BG337,$BJ$13),0)</f>
        <v>0</v>
      </c>
      <c r="BK337" s="284">
        <f t="shared" ref="BK337:BK400" si="89">BK336+BJ337*BI337*100</f>
        <v>2216.4810485334592</v>
      </c>
      <c r="BQ337" s="560">
        <v>0</v>
      </c>
      <c r="BR337" s="155" t="str">
        <f t="shared" si="84"/>
        <v/>
      </c>
      <c r="BS337" s="405">
        <v>0</v>
      </c>
      <c r="BT337" s="284">
        <f>IF(BQ337,_xll.qDateYears(BQ336,BQ337,BT$13),0)</f>
        <v>0</v>
      </c>
      <c r="BU337" s="284">
        <f t="shared" ref="BU337:BU400" si="90">BU336+BT337*BS337*100</f>
        <v>1731.4581291138484</v>
      </c>
      <c r="CC337" s="560">
        <v>0</v>
      </c>
      <c r="CD337" s="155" t="str">
        <f t="shared" si="85"/>
        <v/>
      </c>
      <c r="CE337" s="405">
        <v>0</v>
      </c>
      <c r="CF337" s="284">
        <f>IF(CC337,_xll.qDateYears(CC336,CC337,CF$13),0)</f>
        <v>0</v>
      </c>
      <c r="CG337" s="284">
        <f t="shared" ref="CG337:CG400" si="91">CG336+CF337*CE337*100</f>
        <v>2320.9300800126416</v>
      </c>
      <c r="CO337" s="560">
        <v>0</v>
      </c>
      <c r="CP337" s="155" t="str">
        <f t="shared" si="86"/>
        <v/>
      </c>
      <c r="CQ337" s="405">
        <v>0</v>
      </c>
      <c r="CR337" s="284">
        <f>IF(CO337,_xll.qDateYears(CO336,CO337,CR$13),0)</f>
        <v>0</v>
      </c>
      <c r="CS337" s="284">
        <f t="shared" ref="CS337:CS400" si="92">CS336+CR337*CQ337*100</f>
        <v>2166.0491297426292</v>
      </c>
      <c r="DA337" s="560">
        <v>0</v>
      </c>
      <c r="DB337" s="155" t="str">
        <f t="shared" si="87"/>
        <v/>
      </c>
      <c r="DC337" s="405">
        <v>0</v>
      </c>
      <c r="DD337" s="284">
        <f>IF(DA337,_xll.qDateYears(DA336,DA337,DD$13),0)</f>
        <v>0</v>
      </c>
      <c r="DE337" s="284">
        <f t="shared" ref="DE337:DE400" si="93">DE336+DD337*DC337*100</f>
        <v>1625.698949379763</v>
      </c>
      <c r="DM337" s="560">
        <v>0</v>
      </c>
      <c r="DN337" s="155" t="str">
        <f t="shared" si="88"/>
        <v/>
      </c>
      <c r="DO337" s="405">
        <v>0</v>
      </c>
      <c r="DP337" s="284">
        <f>IF(DM337,_xll.qDateYears(DM336,DM337,DP$13),0)</f>
        <v>0</v>
      </c>
      <c r="DQ337" s="284">
        <f t="shared" ref="DQ337:DQ400" si="94">DQ336+DP337*DO337*100</f>
        <v>2216.4810485334592</v>
      </c>
    </row>
    <row r="338" spans="59:121">
      <c r="BG338" s="560">
        <v>0</v>
      </c>
      <c r="BH338" s="154" t="str">
        <f t="shared" si="83"/>
        <v/>
      </c>
      <c r="BI338" s="405">
        <v>0</v>
      </c>
      <c r="BJ338" s="284">
        <f>IF(BG338,_xll.qDateYears(BG337,BG338,$BJ$13),0)</f>
        <v>0</v>
      </c>
      <c r="BK338" s="284">
        <f t="shared" si="89"/>
        <v>2216.4810485334592</v>
      </c>
      <c r="BQ338" s="560">
        <v>0</v>
      </c>
      <c r="BR338" s="155" t="str">
        <f t="shared" si="84"/>
        <v/>
      </c>
      <c r="BS338" s="405">
        <v>0</v>
      </c>
      <c r="BT338" s="284">
        <f>IF(BQ338,_xll.qDateYears(BQ337,BQ338,BT$13),0)</f>
        <v>0</v>
      </c>
      <c r="BU338" s="284">
        <f t="shared" si="90"/>
        <v>1731.4581291138484</v>
      </c>
      <c r="CC338" s="560">
        <v>0</v>
      </c>
      <c r="CD338" s="155" t="str">
        <f t="shared" si="85"/>
        <v/>
      </c>
      <c r="CE338" s="405">
        <v>0</v>
      </c>
      <c r="CF338" s="284">
        <f>IF(CC338,_xll.qDateYears(CC337,CC338,CF$13),0)</f>
        <v>0</v>
      </c>
      <c r="CG338" s="284">
        <f t="shared" si="91"/>
        <v>2320.9300800126416</v>
      </c>
      <c r="CO338" s="560">
        <v>0</v>
      </c>
      <c r="CP338" s="155" t="str">
        <f t="shared" si="86"/>
        <v/>
      </c>
      <c r="CQ338" s="405">
        <v>0</v>
      </c>
      <c r="CR338" s="284">
        <f>IF(CO338,_xll.qDateYears(CO337,CO338,CR$13),0)</f>
        <v>0</v>
      </c>
      <c r="CS338" s="284">
        <f t="shared" si="92"/>
        <v>2166.0491297426292</v>
      </c>
      <c r="DA338" s="560">
        <v>0</v>
      </c>
      <c r="DB338" s="155" t="str">
        <f t="shared" si="87"/>
        <v/>
      </c>
      <c r="DC338" s="405">
        <v>0</v>
      </c>
      <c r="DD338" s="284">
        <f>IF(DA338,_xll.qDateYears(DA337,DA338,DD$13),0)</f>
        <v>0</v>
      </c>
      <c r="DE338" s="284">
        <f t="shared" si="93"/>
        <v>1625.698949379763</v>
      </c>
      <c r="DM338" s="560">
        <v>0</v>
      </c>
      <c r="DN338" s="155" t="str">
        <f t="shared" si="88"/>
        <v/>
      </c>
      <c r="DO338" s="405">
        <v>0</v>
      </c>
      <c r="DP338" s="284">
        <f>IF(DM338,_xll.qDateYears(DM337,DM338,DP$13),0)</f>
        <v>0</v>
      </c>
      <c r="DQ338" s="284">
        <f t="shared" si="94"/>
        <v>2216.4810485334592</v>
      </c>
    </row>
    <row r="339" spans="59:121">
      <c r="BG339" s="560">
        <v>0</v>
      </c>
      <c r="BH339" s="154" t="str">
        <f t="shared" si="83"/>
        <v/>
      </c>
      <c r="BI339" s="405">
        <v>0</v>
      </c>
      <c r="BJ339" s="284">
        <f>IF(BG339,_xll.qDateYears(BG338,BG339,$BJ$13),0)</f>
        <v>0</v>
      </c>
      <c r="BK339" s="284">
        <f t="shared" si="89"/>
        <v>2216.4810485334592</v>
      </c>
      <c r="BQ339" s="560">
        <v>0</v>
      </c>
      <c r="BR339" s="155" t="str">
        <f t="shared" si="84"/>
        <v/>
      </c>
      <c r="BS339" s="405">
        <v>0</v>
      </c>
      <c r="BT339" s="284">
        <f>IF(BQ339,_xll.qDateYears(BQ338,BQ339,BT$13),0)</f>
        <v>0</v>
      </c>
      <c r="BU339" s="284">
        <f t="shared" si="90"/>
        <v>1731.4581291138484</v>
      </c>
      <c r="CC339" s="560">
        <v>0</v>
      </c>
      <c r="CD339" s="155" t="str">
        <f t="shared" si="85"/>
        <v/>
      </c>
      <c r="CE339" s="405">
        <v>0</v>
      </c>
      <c r="CF339" s="284">
        <f>IF(CC339,_xll.qDateYears(CC338,CC339,CF$13),0)</f>
        <v>0</v>
      </c>
      <c r="CG339" s="284">
        <f t="shared" si="91"/>
        <v>2320.9300800126416</v>
      </c>
      <c r="CO339" s="560">
        <v>0</v>
      </c>
      <c r="CP339" s="155" t="str">
        <f t="shared" si="86"/>
        <v/>
      </c>
      <c r="CQ339" s="405">
        <v>0</v>
      </c>
      <c r="CR339" s="284">
        <f>IF(CO339,_xll.qDateYears(CO338,CO339,CR$13),0)</f>
        <v>0</v>
      </c>
      <c r="CS339" s="284">
        <f t="shared" si="92"/>
        <v>2166.0491297426292</v>
      </c>
      <c r="DA339" s="560">
        <v>0</v>
      </c>
      <c r="DB339" s="155" t="str">
        <f t="shared" si="87"/>
        <v/>
      </c>
      <c r="DC339" s="405">
        <v>0</v>
      </c>
      <c r="DD339" s="284">
        <f>IF(DA339,_xll.qDateYears(DA338,DA339,DD$13),0)</f>
        <v>0</v>
      </c>
      <c r="DE339" s="284">
        <f t="shared" si="93"/>
        <v>1625.698949379763</v>
      </c>
      <c r="DM339" s="560">
        <v>0</v>
      </c>
      <c r="DN339" s="155" t="str">
        <f t="shared" si="88"/>
        <v/>
      </c>
      <c r="DO339" s="405">
        <v>0</v>
      </c>
      <c r="DP339" s="284">
        <f>IF(DM339,_xll.qDateYears(DM338,DM339,DP$13),0)</f>
        <v>0</v>
      </c>
      <c r="DQ339" s="284">
        <f t="shared" si="94"/>
        <v>2216.4810485334592</v>
      </c>
    </row>
    <row r="340" spans="59:121">
      <c r="BG340" s="560">
        <v>0</v>
      </c>
      <c r="BH340" s="154" t="str">
        <f t="shared" si="83"/>
        <v/>
      </c>
      <c r="BI340" s="405">
        <v>0</v>
      </c>
      <c r="BJ340" s="284">
        <f>IF(BG340,_xll.qDateYears(BG339,BG340,$BJ$13),0)</f>
        <v>0</v>
      </c>
      <c r="BK340" s="284">
        <f t="shared" si="89"/>
        <v>2216.4810485334592</v>
      </c>
      <c r="BQ340" s="560">
        <v>0</v>
      </c>
      <c r="BR340" s="155" t="str">
        <f t="shared" si="84"/>
        <v/>
      </c>
      <c r="BS340" s="405">
        <v>0</v>
      </c>
      <c r="BT340" s="284">
        <f>IF(BQ340,_xll.qDateYears(BQ339,BQ340,BT$13),0)</f>
        <v>0</v>
      </c>
      <c r="BU340" s="284">
        <f t="shared" si="90"/>
        <v>1731.4581291138484</v>
      </c>
      <c r="CC340" s="560">
        <v>0</v>
      </c>
      <c r="CD340" s="155" t="str">
        <f t="shared" si="85"/>
        <v/>
      </c>
      <c r="CE340" s="405">
        <v>0</v>
      </c>
      <c r="CF340" s="284">
        <f>IF(CC340,_xll.qDateYears(CC339,CC340,CF$13),0)</f>
        <v>0</v>
      </c>
      <c r="CG340" s="284">
        <f t="shared" si="91"/>
        <v>2320.9300800126416</v>
      </c>
      <c r="CO340" s="560">
        <v>0</v>
      </c>
      <c r="CP340" s="155" t="str">
        <f t="shared" si="86"/>
        <v/>
      </c>
      <c r="CQ340" s="405">
        <v>0</v>
      </c>
      <c r="CR340" s="284">
        <f>IF(CO340,_xll.qDateYears(CO339,CO340,CR$13),0)</f>
        <v>0</v>
      </c>
      <c r="CS340" s="284">
        <f t="shared" si="92"/>
        <v>2166.0491297426292</v>
      </c>
      <c r="DA340" s="560">
        <v>0</v>
      </c>
      <c r="DB340" s="155" t="str">
        <f t="shared" si="87"/>
        <v/>
      </c>
      <c r="DC340" s="405">
        <v>0</v>
      </c>
      <c r="DD340" s="284">
        <f>IF(DA340,_xll.qDateYears(DA339,DA340,DD$13),0)</f>
        <v>0</v>
      </c>
      <c r="DE340" s="284">
        <f t="shared" si="93"/>
        <v>1625.698949379763</v>
      </c>
      <c r="DM340" s="560">
        <v>0</v>
      </c>
      <c r="DN340" s="155" t="str">
        <f t="shared" si="88"/>
        <v/>
      </c>
      <c r="DO340" s="405">
        <v>0</v>
      </c>
      <c r="DP340" s="284">
        <f>IF(DM340,_xll.qDateYears(DM339,DM340,DP$13),0)</f>
        <v>0</v>
      </c>
      <c r="DQ340" s="284">
        <f t="shared" si="94"/>
        <v>2216.4810485334592</v>
      </c>
    </row>
    <row r="341" spans="59:121">
      <c r="BG341" s="560">
        <v>0</v>
      </c>
      <c r="BH341" s="154" t="str">
        <f t="shared" si="83"/>
        <v/>
      </c>
      <c r="BI341" s="405">
        <v>0</v>
      </c>
      <c r="BJ341" s="284">
        <f>IF(BG341,_xll.qDateYears(BG340,BG341,$BJ$13),0)</f>
        <v>0</v>
      </c>
      <c r="BK341" s="284">
        <f t="shared" si="89"/>
        <v>2216.4810485334592</v>
      </c>
      <c r="BQ341" s="560">
        <v>0</v>
      </c>
      <c r="BR341" s="155" t="str">
        <f t="shared" si="84"/>
        <v/>
      </c>
      <c r="BS341" s="405">
        <v>0</v>
      </c>
      <c r="BT341" s="284">
        <f>IF(BQ341,_xll.qDateYears(BQ340,BQ341,BT$13),0)</f>
        <v>0</v>
      </c>
      <c r="BU341" s="284">
        <f t="shared" si="90"/>
        <v>1731.4581291138484</v>
      </c>
      <c r="CC341" s="560">
        <v>0</v>
      </c>
      <c r="CD341" s="155" t="str">
        <f t="shared" si="85"/>
        <v/>
      </c>
      <c r="CE341" s="405">
        <v>0</v>
      </c>
      <c r="CF341" s="284">
        <f>IF(CC341,_xll.qDateYears(CC340,CC341,CF$13),0)</f>
        <v>0</v>
      </c>
      <c r="CG341" s="284">
        <f t="shared" si="91"/>
        <v>2320.9300800126416</v>
      </c>
      <c r="CO341" s="560">
        <v>0</v>
      </c>
      <c r="CP341" s="155" t="str">
        <f t="shared" si="86"/>
        <v/>
      </c>
      <c r="CQ341" s="405">
        <v>0</v>
      </c>
      <c r="CR341" s="284">
        <f>IF(CO341,_xll.qDateYears(CO340,CO341,CR$13),0)</f>
        <v>0</v>
      </c>
      <c r="CS341" s="284">
        <f t="shared" si="92"/>
        <v>2166.0491297426292</v>
      </c>
      <c r="DA341" s="560">
        <v>0</v>
      </c>
      <c r="DB341" s="155" t="str">
        <f t="shared" si="87"/>
        <v/>
      </c>
      <c r="DC341" s="405">
        <v>0</v>
      </c>
      <c r="DD341" s="284">
        <f>IF(DA341,_xll.qDateYears(DA340,DA341,DD$13),0)</f>
        <v>0</v>
      </c>
      <c r="DE341" s="284">
        <f t="shared" si="93"/>
        <v>1625.698949379763</v>
      </c>
      <c r="DM341" s="560">
        <v>0</v>
      </c>
      <c r="DN341" s="155" t="str">
        <f t="shared" si="88"/>
        <v/>
      </c>
      <c r="DO341" s="405">
        <v>0</v>
      </c>
      <c r="DP341" s="284">
        <f>IF(DM341,_xll.qDateYears(DM340,DM341,DP$13),0)</f>
        <v>0</v>
      </c>
      <c r="DQ341" s="284">
        <f t="shared" si="94"/>
        <v>2216.4810485334592</v>
      </c>
    </row>
    <row r="342" spans="59:121">
      <c r="BG342" s="560">
        <v>0</v>
      </c>
      <c r="BH342" s="154" t="str">
        <f t="shared" si="83"/>
        <v/>
      </c>
      <c r="BI342" s="405">
        <v>0</v>
      </c>
      <c r="BJ342" s="284">
        <f>IF(BG342,_xll.qDateYears(BG341,BG342,$BJ$13),0)</f>
        <v>0</v>
      </c>
      <c r="BK342" s="284">
        <f t="shared" si="89"/>
        <v>2216.4810485334592</v>
      </c>
      <c r="BQ342" s="560">
        <v>0</v>
      </c>
      <c r="BR342" s="155" t="str">
        <f t="shared" si="84"/>
        <v/>
      </c>
      <c r="BS342" s="405">
        <v>0</v>
      </c>
      <c r="BT342" s="284">
        <f>IF(BQ342,_xll.qDateYears(BQ341,BQ342,BT$13),0)</f>
        <v>0</v>
      </c>
      <c r="BU342" s="284">
        <f t="shared" si="90"/>
        <v>1731.4581291138484</v>
      </c>
      <c r="CC342" s="560">
        <v>0</v>
      </c>
      <c r="CD342" s="155" t="str">
        <f t="shared" si="85"/>
        <v/>
      </c>
      <c r="CE342" s="405">
        <v>0</v>
      </c>
      <c r="CF342" s="284">
        <f>IF(CC342,_xll.qDateYears(CC341,CC342,CF$13),0)</f>
        <v>0</v>
      </c>
      <c r="CG342" s="284">
        <f t="shared" si="91"/>
        <v>2320.9300800126416</v>
      </c>
      <c r="CO342" s="560">
        <v>0</v>
      </c>
      <c r="CP342" s="155" t="str">
        <f t="shared" si="86"/>
        <v/>
      </c>
      <c r="CQ342" s="405">
        <v>0</v>
      </c>
      <c r="CR342" s="284">
        <f>IF(CO342,_xll.qDateYears(CO341,CO342,CR$13),0)</f>
        <v>0</v>
      </c>
      <c r="CS342" s="284">
        <f t="shared" si="92"/>
        <v>2166.0491297426292</v>
      </c>
      <c r="DA342" s="560">
        <v>0</v>
      </c>
      <c r="DB342" s="155" t="str">
        <f t="shared" si="87"/>
        <v/>
      </c>
      <c r="DC342" s="405">
        <v>0</v>
      </c>
      <c r="DD342" s="284">
        <f>IF(DA342,_xll.qDateYears(DA341,DA342,DD$13),0)</f>
        <v>0</v>
      </c>
      <c r="DE342" s="284">
        <f t="shared" si="93"/>
        <v>1625.698949379763</v>
      </c>
      <c r="DM342" s="560">
        <v>0</v>
      </c>
      <c r="DN342" s="155" t="str">
        <f t="shared" si="88"/>
        <v/>
      </c>
      <c r="DO342" s="405">
        <v>0</v>
      </c>
      <c r="DP342" s="284">
        <f>IF(DM342,_xll.qDateYears(DM341,DM342,DP$13),0)</f>
        <v>0</v>
      </c>
      <c r="DQ342" s="284">
        <f t="shared" si="94"/>
        <v>2216.4810485334592</v>
      </c>
    </row>
    <row r="343" spans="59:121">
      <c r="BG343" s="560">
        <v>0</v>
      </c>
      <c r="BH343" s="154" t="str">
        <f t="shared" si="83"/>
        <v/>
      </c>
      <c r="BI343" s="405">
        <v>0</v>
      </c>
      <c r="BJ343" s="284">
        <f>IF(BG343,_xll.qDateYears(BG342,BG343,$BJ$13),0)</f>
        <v>0</v>
      </c>
      <c r="BK343" s="284">
        <f t="shared" si="89"/>
        <v>2216.4810485334592</v>
      </c>
      <c r="BQ343" s="560">
        <v>0</v>
      </c>
      <c r="BR343" s="155" t="str">
        <f t="shared" si="84"/>
        <v/>
      </c>
      <c r="BS343" s="405">
        <v>0</v>
      </c>
      <c r="BT343" s="284">
        <f>IF(BQ343,_xll.qDateYears(BQ342,BQ343,BT$13),0)</f>
        <v>0</v>
      </c>
      <c r="BU343" s="284">
        <f t="shared" si="90"/>
        <v>1731.4581291138484</v>
      </c>
      <c r="CC343" s="560">
        <v>0</v>
      </c>
      <c r="CD343" s="155" t="str">
        <f t="shared" si="85"/>
        <v/>
      </c>
      <c r="CE343" s="405">
        <v>0</v>
      </c>
      <c r="CF343" s="284">
        <f>IF(CC343,_xll.qDateYears(CC342,CC343,CF$13),0)</f>
        <v>0</v>
      </c>
      <c r="CG343" s="284">
        <f t="shared" si="91"/>
        <v>2320.9300800126416</v>
      </c>
      <c r="CO343" s="560">
        <v>0</v>
      </c>
      <c r="CP343" s="155" t="str">
        <f t="shared" si="86"/>
        <v/>
      </c>
      <c r="CQ343" s="405">
        <v>0</v>
      </c>
      <c r="CR343" s="284">
        <f>IF(CO343,_xll.qDateYears(CO342,CO343,CR$13),0)</f>
        <v>0</v>
      </c>
      <c r="CS343" s="284">
        <f t="shared" si="92"/>
        <v>2166.0491297426292</v>
      </c>
      <c r="DA343" s="560">
        <v>0</v>
      </c>
      <c r="DB343" s="155" t="str">
        <f t="shared" si="87"/>
        <v/>
      </c>
      <c r="DC343" s="405">
        <v>0</v>
      </c>
      <c r="DD343" s="284">
        <f>IF(DA343,_xll.qDateYears(DA342,DA343,DD$13),0)</f>
        <v>0</v>
      </c>
      <c r="DE343" s="284">
        <f t="shared" si="93"/>
        <v>1625.698949379763</v>
      </c>
      <c r="DM343" s="560">
        <v>0</v>
      </c>
      <c r="DN343" s="155" t="str">
        <f t="shared" si="88"/>
        <v/>
      </c>
      <c r="DO343" s="405">
        <v>0</v>
      </c>
      <c r="DP343" s="284">
        <f>IF(DM343,_xll.qDateYears(DM342,DM343,DP$13),0)</f>
        <v>0</v>
      </c>
      <c r="DQ343" s="284">
        <f t="shared" si="94"/>
        <v>2216.4810485334592</v>
      </c>
    </row>
    <row r="344" spans="59:121">
      <c r="BG344" s="560">
        <v>0</v>
      </c>
      <c r="BH344" s="154" t="str">
        <f t="shared" si="83"/>
        <v/>
      </c>
      <c r="BI344" s="405">
        <v>0</v>
      </c>
      <c r="BJ344" s="284">
        <f>IF(BG344,_xll.qDateYears(BG343,BG344,$BJ$13),0)</f>
        <v>0</v>
      </c>
      <c r="BK344" s="284">
        <f t="shared" si="89"/>
        <v>2216.4810485334592</v>
      </c>
      <c r="BQ344" s="560">
        <v>0</v>
      </c>
      <c r="BR344" s="155" t="str">
        <f t="shared" si="84"/>
        <v/>
      </c>
      <c r="BS344" s="405">
        <v>0</v>
      </c>
      <c r="BT344" s="284">
        <f>IF(BQ344,_xll.qDateYears(BQ343,BQ344,BT$13),0)</f>
        <v>0</v>
      </c>
      <c r="BU344" s="284">
        <f t="shared" si="90"/>
        <v>1731.4581291138484</v>
      </c>
      <c r="CC344" s="560">
        <v>0</v>
      </c>
      <c r="CD344" s="155" t="str">
        <f t="shared" si="85"/>
        <v/>
      </c>
      <c r="CE344" s="405">
        <v>0</v>
      </c>
      <c r="CF344" s="284">
        <f>IF(CC344,_xll.qDateYears(CC343,CC344,CF$13),0)</f>
        <v>0</v>
      </c>
      <c r="CG344" s="284">
        <f t="shared" si="91"/>
        <v>2320.9300800126416</v>
      </c>
      <c r="CO344" s="560">
        <v>0</v>
      </c>
      <c r="CP344" s="155" t="str">
        <f t="shared" si="86"/>
        <v/>
      </c>
      <c r="CQ344" s="405">
        <v>0</v>
      </c>
      <c r="CR344" s="284">
        <f>IF(CO344,_xll.qDateYears(CO343,CO344,CR$13),0)</f>
        <v>0</v>
      </c>
      <c r="CS344" s="284">
        <f t="shared" si="92"/>
        <v>2166.0491297426292</v>
      </c>
      <c r="DA344" s="560">
        <v>0</v>
      </c>
      <c r="DB344" s="155" t="str">
        <f t="shared" si="87"/>
        <v/>
      </c>
      <c r="DC344" s="405">
        <v>0</v>
      </c>
      <c r="DD344" s="284">
        <f>IF(DA344,_xll.qDateYears(DA343,DA344,DD$13),0)</f>
        <v>0</v>
      </c>
      <c r="DE344" s="284">
        <f t="shared" si="93"/>
        <v>1625.698949379763</v>
      </c>
      <c r="DM344" s="560">
        <v>0</v>
      </c>
      <c r="DN344" s="155" t="str">
        <f t="shared" si="88"/>
        <v/>
      </c>
      <c r="DO344" s="405">
        <v>0</v>
      </c>
      <c r="DP344" s="284">
        <f>IF(DM344,_xll.qDateYears(DM343,DM344,DP$13),0)</f>
        <v>0</v>
      </c>
      <c r="DQ344" s="284">
        <f t="shared" si="94"/>
        <v>2216.4810485334592</v>
      </c>
    </row>
    <row r="345" spans="59:121">
      <c r="BG345" s="560">
        <v>0</v>
      </c>
      <c r="BH345" s="154" t="str">
        <f t="shared" si="83"/>
        <v/>
      </c>
      <c r="BI345" s="405">
        <v>0</v>
      </c>
      <c r="BJ345" s="284">
        <f>IF(BG345,_xll.qDateYears(BG344,BG345,$BJ$13),0)</f>
        <v>0</v>
      </c>
      <c r="BK345" s="284">
        <f t="shared" si="89"/>
        <v>2216.4810485334592</v>
      </c>
      <c r="BQ345" s="560">
        <v>0</v>
      </c>
      <c r="BR345" s="155" t="str">
        <f t="shared" si="84"/>
        <v/>
      </c>
      <c r="BS345" s="405">
        <v>0</v>
      </c>
      <c r="BT345" s="284">
        <f>IF(BQ345,_xll.qDateYears(BQ344,BQ345,BT$13),0)</f>
        <v>0</v>
      </c>
      <c r="BU345" s="284">
        <f t="shared" si="90"/>
        <v>1731.4581291138484</v>
      </c>
      <c r="CC345" s="560">
        <v>0</v>
      </c>
      <c r="CD345" s="155" t="str">
        <f t="shared" si="85"/>
        <v/>
      </c>
      <c r="CE345" s="405">
        <v>0</v>
      </c>
      <c r="CF345" s="284">
        <f>IF(CC345,_xll.qDateYears(CC344,CC345,CF$13),0)</f>
        <v>0</v>
      </c>
      <c r="CG345" s="284">
        <f t="shared" si="91"/>
        <v>2320.9300800126416</v>
      </c>
      <c r="CO345" s="560">
        <v>0</v>
      </c>
      <c r="CP345" s="155" t="str">
        <f t="shared" si="86"/>
        <v/>
      </c>
      <c r="CQ345" s="405">
        <v>0</v>
      </c>
      <c r="CR345" s="284">
        <f>IF(CO345,_xll.qDateYears(CO344,CO345,CR$13),0)</f>
        <v>0</v>
      </c>
      <c r="CS345" s="284">
        <f t="shared" si="92"/>
        <v>2166.0491297426292</v>
      </c>
      <c r="DA345" s="560">
        <v>0</v>
      </c>
      <c r="DB345" s="155" t="str">
        <f t="shared" si="87"/>
        <v/>
      </c>
      <c r="DC345" s="405">
        <v>0</v>
      </c>
      <c r="DD345" s="284">
        <f>IF(DA345,_xll.qDateYears(DA344,DA345,DD$13),0)</f>
        <v>0</v>
      </c>
      <c r="DE345" s="284">
        <f t="shared" si="93"/>
        <v>1625.698949379763</v>
      </c>
      <c r="DM345" s="560">
        <v>0</v>
      </c>
      <c r="DN345" s="155" t="str">
        <f t="shared" si="88"/>
        <v/>
      </c>
      <c r="DO345" s="405">
        <v>0</v>
      </c>
      <c r="DP345" s="284">
        <f>IF(DM345,_xll.qDateYears(DM344,DM345,DP$13),0)</f>
        <v>0</v>
      </c>
      <c r="DQ345" s="284">
        <f t="shared" si="94"/>
        <v>2216.4810485334592</v>
      </c>
    </row>
    <row r="346" spans="59:121">
      <c r="BG346" s="560">
        <v>0</v>
      </c>
      <c r="BH346" s="154" t="str">
        <f t="shared" si="83"/>
        <v/>
      </c>
      <c r="BI346" s="405">
        <v>0</v>
      </c>
      <c r="BJ346" s="284">
        <f>IF(BG346,_xll.qDateYears(BG345,BG346,$BJ$13),0)</f>
        <v>0</v>
      </c>
      <c r="BK346" s="284">
        <f t="shared" si="89"/>
        <v>2216.4810485334592</v>
      </c>
      <c r="BQ346" s="560">
        <v>0</v>
      </c>
      <c r="BR346" s="155" t="str">
        <f t="shared" si="84"/>
        <v/>
      </c>
      <c r="BS346" s="405">
        <v>0</v>
      </c>
      <c r="BT346" s="284">
        <f>IF(BQ346,_xll.qDateYears(BQ345,BQ346,BT$13),0)</f>
        <v>0</v>
      </c>
      <c r="BU346" s="284">
        <f t="shared" si="90"/>
        <v>1731.4581291138484</v>
      </c>
      <c r="CC346" s="560">
        <v>0</v>
      </c>
      <c r="CD346" s="155" t="str">
        <f t="shared" si="85"/>
        <v/>
      </c>
      <c r="CE346" s="405">
        <v>0</v>
      </c>
      <c r="CF346" s="284">
        <f>IF(CC346,_xll.qDateYears(CC345,CC346,CF$13),0)</f>
        <v>0</v>
      </c>
      <c r="CG346" s="284">
        <f t="shared" si="91"/>
        <v>2320.9300800126416</v>
      </c>
      <c r="CO346" s="560">
        <v>0</v>
      </c>
      <c r="CP346" s="155" t="str">
        <f t="shared" si="86"/>
        <v/>
      </c>
      <c r="CQ346" s="405">
        <v>0</v>
      </c>
      <c r="CR346" s="284">
        <f>IF(CO346,_xll.qDateYears(CO345,CO346,CR$13),0)</f>
        <v>0</v>
      </c>
      <c r="CS346" s="284">
        <f t="shared" si="92"/>
        <v>2166.0491297426292</v>
      </c>
      <c r="DA346" s="560">
        <v>0</v>
      </c>
      <c r="DB346" s="155" t="str">
        <f t="shared" si="87"/>
        <v/>
      </c>
      <c r="DC346" s="405">
        <v>0</v>
      </c>
      <c r="DD346" s="284">
        <f>IF(DA346,_xll.qDateYears(DA345,DA346,DD$13),0)</f>
        <v>0</v>
      </c>
      <c r="DE346" s="284">
        <f t="shared" si="93"/>
        <v>1625.698949379763</v>
      </c>
      <c r="DM346" s="560">
        <v>0</v>
      </c>
      <c r="DN346" s="155" t="str">
        <f t="shared" si="88"/>
        <v/>
      </c>
      <c r="DO346" s="405">
        <v>0</v>
      </c>
      <c r="DP346" s="284">
        <f>IF(DM346,_xll.qDateYears(DM345,DM346,DP$13),0)</f>
        <v>0</v>
      </c>
      <c r="DQ346" s="284">
        <f t="shared" si="94"/>
        <v>2216.4810485334592</v>
      </c>
    </row>
    <row r="347" spans="59:121">
      <c r="BG347" s="560">
        <v>0</v>
      </c>
      <c r="BH347" s="154" t="str">
        <f t="shared" si="83"/>
        <v/>
      </c>
      <c r="BI347" s="405">
        <v>0</v>
      </c>
      <c r="BJ347" s="284">
        <f>IF(BG347,_xll.qDateYears(BG346,BG347,$BJ$13),0)</f>
        <v>0</v>
      </c>
      <c r="BK347" s="284">
        <f t="shared" si="89"/>
        <v>2216.4810485334592</v>
      </c>
      <c r="BQ347" s="560">
        <v>0</v>
      </c>
      <c r="BR347" s="155" t="str">
        <f t="shared" si="84"/>
        <v/>
      </c>
      <c r="BS347" s="405">
        <v>0</v>
      </c>
      <c r="BT347" s="284">
        <f>IF(BQ347,_xll.qDateYears(BQ346,BQ347,BT$13),0)</f>
        <v>0</v>
      </c>
      <c r="BU347" s="284">
        <f t="shared" si="90"/>
        <v>1731.4581291138484</v>
      </c>
      <c r="CC347" s="560">
        <v>0</v>
      </c>
      <c r="CD347" s="155" t="str">
        <f t="shared" si="85"/>
        <v/>
      </c>
      <c r="CE347" s="405">
        <v>0</v>
      </c>
      <c r="CF347" s="284">
        <f>IF(CC347,_xll.qDateYears(CC346,CC347,CF$13),0)</f>
        <v>0</v>
      </c>
      <c r="CG347" s="284">
        <f t="shared" si="91"/>
        <v>2320.9300800126416</v>
      </c>
      <c r="CO347" s="560">
        <v>0</v>
      </c>
      <c r="CP347" s="155" t="str">
        <f t="shared" si="86"/>
        <v/>
      </c>
      <c r="CQ347" s="405">
        <v>0</v>
      </c>
      <c r="CR347" s="284">
        <f>IF(CO347,_xll.qDateYears(CO346,CO347,CR$13),0)</f>
        <v>0</v>
      </c>
      <c r="CS347" s="284">
        <f t="shared" si="92"/>
        <v>2166.0491297426292</v>
      </c>
      <c r="DA347" s="560">
        <v>0</v>
      </c>
      <c r="DB347" s="155" t="str">
        <f t="shared" si="87"/>
        <v/>
      </c>
      <c r="DC347" s="405">
        <v>0</v>
      </c>
      <c r="DD347" s="284">
        <f>IF(DA347,_xll.qDateYears(DA346,DA347,DD$13),0)</f>
        <v>0</v>
      </c>
      <c r="DE347" s="284">
        <f t="shared" si="93"/>
        <v>1625.698949379763</v>
      </c>
      <c r="DM347" s="560">
        <v>0</v>
      </c>
      <c r="DN347" s="155" t="str">
        <f t="shared" si="88"/>
        <v/>
      </c>
      <c r="DO347" s="405">
        <v>0</v>
      </c>
      <c r="DP347" s="284">
        <f>IF(DM347,_xll.qDateYears(DM346,DM347,DP$13),0)</f>
        <v>0</v>
      </c>
      <c r="DQ347" s="284">
        <f t="shared" si="94"/>
        <v>2216.4810485334592</v>
      </c>
    </row>
    <row r="348" spans="59:121">
      <c r="BG348" s="560">
        <v>0</v>
      </c>
      <c r="BH348" s="154" t="str">
        <f t="shared" si="83"/>
        <v/>
      </c>
      <c r="BI348" s="405">
        <v>0</v>
      </c>
      <c r="BJ348" s="284">
        <f>IF(BG348,_xll.qDateYears(BG347,BG348,$BJ$13),0)</f>
        <v>0</v>
      </c>
      <c r="BK348" s="284">
        <f t="shared" si="89"/>
        <v>2216.4810485334592</v>
      </c>
      <c r="BQ348" s="560">
        <v>0</v>
      </c>
      <c r="BR348" s="155" t="str">
        <f t="shared" si="84"/>
        <v/>
      </c>
      <c r="BS348" s="405">
        <v>0</v>
      </c>
      <c r="BT348" s="284">
        <f>IF(BQ348,_xll.qDateYears(BQ347,BQ348,BT$13),0)</f>
        <v>0</v>
      </c>
      <c r="BU348" s="284">
        <f t="shared" si="90"/>
        <v>1731.4581291138484</v>
      </c>
      <c r="CC348" s="560">
        <v>0</v>
      </c>
      <c r="CD348" s="155" t="str">
        <f t="shared" si="85"/>
        <v/>
      </c>
      <c r="CE348" s="405">
        <v>0</v>
      </c>
      <c r="CF348" s="284">
        <f>IF(CC348,_xll.qDateYears(CC347,CC348,CF$13),0)</f>
        <v>0</v>
      </c>
      <c r="CG348" s="284">
        <f t="shared" si="91"/>
        <v>2320.9300800126416</v>
      </c>
      <c r="CO348" s="560">
        <v>0</v>
      </c>
      <c r="CP348" s="155" t="str">
        <f t="shared" si="86"/>
        <v/>
      </c>
      <c r="CQ348" s="405">
        <v>0</v>
      </c>
      <c r="CR348" s="284">
        <f>IF(CO348,_xll.qDateYears(CO347,CO348,CR$13),0)</f>
        <v>0</v>
      </c>
      <c r="CS348" s="284">
        <f t="shared" si="92"/>
        <v>2166.0491297426292</v>
      </c>
      <c r="DA348" s="560">
        <v>0</v>
      </c>
      <c r="DB348" s="155" t="str">
        <f t="shared" si="87"/>
        <v/>
      </c>
      <c r="DC348" s="405">
        <v>0</v>
      </c>
      <c r="DD348" s="284">
        <f>IF(DA348,_xll.qDateYears(DA347,DA348,DD$13),0)</f>
        <v>0</v>
      </c>
      <c r="DE348" s="284">
        <f t="shared" si="93"/>
        <v>1625.698949379763</v>
      </c>
      <c r="DM348" s="560">
        <v>0</v>
      </c>
      <c r="DN348" s="155" t="str">
        <f t="shared" si="88"/>
        <v/>
      </c>
      <c r="DO348" s="405">
        <v>0</v>
      </c>
      <c r="DP348" s="284">
        <f>IF(DM348,_xll.qDateYears(DM347,DM348,DP$13),0)</f>
        <v>0</v>
      </c>
      <c r="DQ348" s="284">
        <f t="shared" si="94"/>
        <v>2216.4810485334592</v>
      </c>
    </row>
    <row r="349" spans="59:121">
      <c r="BG349" s="560">
        <v>0</v>
      </c>
      <c r="BH349" s="154" t="str">
        <f t="shared" si="83"/>
        <v/>
      </c>
      <c r="BI349" s="405">
        <v>0</v>
      </c>
      <c r="BJ349" s="284">
        <f>IF(BG349,_xll.qDateYears(BG348,BG349,$BJ$13),0)</f>
        <v>0</v>
      </c>
      <c r="BK349" s="284">
        <f t="shared" si="89"/>
        <v>2216.4810485334592</v>
      </c>
      <c r="BQ349" s="560">
        <v>0</v>
      </c>
      <c r="BR349" s="155" t="str">
        <f t="shared" si="84"/>
        <v/>
      </c>
      <c r="BS349" s="405">
        <v>0</v>
      </c>
      <c r="BT349" s="284">
        <f>IF(BQ349,_xll.qDateYears(BQ348,BQ349,BT$13),0)</f>
        <v>0</v>
      </c>
      <c r="BU349" s="284">
        <f t="shared" si="90"/>
        <v>1731.4581291138484</v>
      </c>
      <c r="CC349" s="560">
        <v>0</v>
      </c>
      <c r="CD349" s="155" t="str">
        <f t="shared" si="85"/>
        <v/>
      </c>
      <c r="CE349" s="405">
        <v>0</v>
      </c>
      <c r="CF349" s="284">
        <f>IF(CC349,_xll.qDateYears(CC348,CC349,CF$13),0)</f>
        <v>0</v>
      </c>
      <c r="CG349" s="284">
        <f t="shared" si="91"/>
        <v>2320.9300800126416</v>
      </c>
      <c r="CO349" s="560">
        <v>0</v>
      </c>
      <c r="CP349" s="155" t="str">
        <f t="shared" si="86"/>
        <v/>
      </c>
      <c r="CQ349" s="405">
        <v>0</v>
      </c>
      <c r="CR349" s="284">
        <f>IF(CO349,_xll.qDateYears(CO348,CO349,CR$13),0)</f>
        <v>0</v>
      </c>
      <c r="CS349" s="284">
        <f t="shared" si="92"/>
        <v>2166.0491297426292</v>
      </c>
      <c r="DA349" s="560">
        <v>0</v>
      </c>
      <c r="DB349" s="155" t="str">
        <f t="shared" si="87"/>
        <v/>
      </c>
      <c r="DC349" s="405">
        <v>0</v>
      </c>
      <c r="DD349" s="284">
        <f>IF(DA349,_xll.qDateYears(DA348,DA349,DD$13),0)</f>
        <v>0</v>
      </c>
      <c r="DE349" s="284">
        <f t="shared" si="93"/>
        <v>1625.698949379763</v>
      </c>
      <c r="DM349" s="560">
        <v>0</v>
      </c>
      <c r="DN349" s="155" t="str">
        <f t="shared" si="88"/>
        <v/>
      </c>
      <c r="DO349" s="405">
        <v>0</v>
      </c>
      <c r="DP349" s="284">
        <f>IF(DM349,_xll.qDateYears(DM348,DM349,DP$13),0)</f>
        <v>0</v>
      </c>
      <c r="DQ349" s="284">
        <f t="shared" si="94"/>
        <v>2216.4810485334592</v>
      </c>
    </row>
    <row r="350" spans="59:121">
      <c r="BG350" s="560">
        <v>0</v>
      </c>
      <c r="BH350" s="154" t="str">
        <f t="shared" si="83"/>
        <v/>
      </c>
      <c r="BI350" s="405">
        <v>0</v>
      </c>
      <c r="BJ350" s="284">
        <f>IF(BG350,_xll.qDateYears(BG349,BG350,$BJ$13),0)</f>
        <v>0</v>
      </c>
      <c r="BK350" s="284">
        <f t="shared" si="89"/>
        <v>2216.4810485334592</v>
      </c>
      <c r="BQ350" s="560">
        <v>0</v>
      </c>
      <c r="BR350" s="155" t="str">
        <f t="shared" si="84"/>
        <v/>
      </c>
      <c r="BS350" s="405">
        <v>0</v>
      </c>
      <c r="BT350" s="284">
        <f>IF(BQ350,_xll.qDateYears(BQ349,BQ350,BT$13),0)</f>
        <v>0</v>
      </c>
      <c r="BU350" s="284">
        <f t="shared" si="90"/>
        <v>1731.4581291138484</v>
      </c>
      <c r="CC350" s="560">
        <v>0</v>
      </c>
      <c r="CD350" s="155" t="str">
        <f t="shared" si="85"/>
        <v/>
      </c>
      <c r="CE350" s="405">
        <v>0</v>
      </c>
      <c r="CF350" s="284">
        <f>IF(CC350,_xll.qDateYears(CC349,CC350,CF$13),0)</f>
        <v>0</v>
      </c>
      <c r="CG350" s="284">
        <f t="shared" si="91"/>
        <v>2320.9300800126416</v>
      </c>
      <c r="CO350" s="560">
        <v>0</v>
      </c>
      <c r="CP350" s="155" t="str">
        <f t="shared" si="86"/>
        <v/>
      </c>
      <c r="CQ350" s="405">
        <v>0</v>
      </c>
      <c r="CR350" s="284">
        <f>IF(CO350,_xll.qDateYears(CO349,CO350,CR$13),0)</f>
        <v>0</v>
      </c>
      <c r="CS350" s="284">
        <f t="shared" si="92"/>
        <v>2166.0491297426292</v>
      </c>
      <c r="DA350" s="560">
        <v>0</v>
      </c>
      <c r="DB350" s="155" t="str">
        <f t="shared" si="87"/>
        <v/>
      </c>
      <c r="DC350" s="405">
        <v>0</v>
      </c>
      <c r="DD350" s="284">
        <f>IF(DA350,_xll.qDateYears(DA349,DA350,DD$13),0)</f>
        <v>0</v>
      </c>
      <c r="DE350" s="284">
        <f t="shared" si="93"/>
        <v>1625.698949379763</v>
      </c>
      <c r="DM350" s="560">
        <v>0</v>
      </c>
      <c r="DN350" s="155" t="str">
        <f t="shared" si="88"/>
        <v/>
      </c>
      <c r="DO350" s="405">
        <v>0</v>
      </c>
      <c r="DP350" s="284">
        <f>IF(DM350,_xll.qDateYears(DM349,DM350,DP$13),0)</f>
        <v>0</v>
      </c>
      <c r="DQ350" s="284">
        <f t="shared" si="94"/>
        <v>2216.4810485334592</v>
      </c>
    </row>
    <row r="351" spans="59:121">
      <c r="BG351" s="560">
        <v>0</v>
      </c>
      <c r="BH351" s="154" t="str">
        <f t="shared" si="83"/>
        <v/>
      </c>
      <c r="BI351" s="405">
        <v>0</v>
      </c>
      <c r="BJ351" s="284">
        <f>IF(BG351,_xll.qDateYears(BG350,BG351,$BJ$13),0)</f>
        <v>0</v>
      </c>
      <c r="BK351" s="284">
        <f t="shared" si="89"/>
        <v>2216.4810485334592</v>
      </c>
      <c r="BQ351" s="560">
        <v>0</v>
      </c>
      <c r="BR351" s="155" t="str">
        <f t="shared" si="84"/>
        <v/>
      </c>
      <c r="BS351" s="405">
        <v>0</v>
      </c>
      <c r="BT351" s="284">
        <f>IF(BQ351,_xll.qDateYears(BQ350,BQ351,BT$13),0)</f>
        <v>0</v>
      </c>
      <c r="BU351" s="284">
        <f t="shared" si="90"/>
        <v>1731.4581291138484</v>
      </c>
      <c r="CC351" s="560">
        <v>0</v>
      </c>
      <c r="CD351" s="155" t="str">
        <f t="shared" si="85"/>
        <v/>
      </c>
      <c r="CE351" s="405">
        <v>0</v>
      </c>
      <c r="CF351" s="284">
        <f>IF(CC351,_xll.qDateYears(CC350,CC351,CF$13),0)</f>
        <v>0</v>
      </c>
      <c r="CG351" s="284">
        <f t="shared" si="91"/>
        <v>2320.9300800126416</v>
      </c>
      <c r="CO351" s="560">
        <v>0</v>
      </c>
      <c r="CP351" s="155" t="str">
        <f t="shared" si="86"/>
        <v/>
      </c>
      <c r="CQ351" s="405">
        <v>0</v>
      </c>
      <c r="CR351" s="284">
        <f>IF(CO351,_xll.qDateYears(CO350,CO351,CR$13),0)</f>
        <v>0</v>
      </c>
      <c r="CS351" s="284">
        <f t="shared" si="92"/>
        <v>2166.0491297426292</v>
      </c>
      <c r="DA351" s="560">
        <v>0</v>
      </c>
      <c r="DB351" s="155" t="str">
        <f t="shared" si="87"/>
        <v/>
      </c>
      <c r="DC351" s="405">
        <v>0</v>
      </c>
      <c r="DD351" s="284">
        <f>IF(DA351,_xll.qDateYears(DA350,DA351,DD$13),0)</f>
        <v>0</v>
      </c>
      <c r="DE351" s="284">
        <f t="shared" si="93"/>
        <v>1625.698949379763</v>
      </c>
      <c r="DM351" s="560">
        <v>0</v>
      </c>
      <c r="DN351" s="155" t="str">
        <f t="shared" si="88"/>
        <v/>
      </c>
      <c r="DO351" s="405">
        <v>0</v>
      </c>
      <c r="DP351" s="284">
        <f>IF(DM351,_xll.qDateYears(DM350,DM351,DP$13),0)</f>
        <v>0</v>
      </c>
      <c r="DQ351" s="284">
        <f t="shared" si="94"/>
        <v>2216.4810485334592</v>
      </c>
    </row>
    <row r="352" spans="59:121">
      <c r="BG352" s="560">
        <v>0</v>
      </c>
      <c r="BH352" s="154" t="str">
        <f t="shared" si="83"/>
        <v/>
      </c>
      <c r="BI352" s="405">
        <v>0</v>
      </c>
      <c r="BJ352" s="284">
        <f>IF(BG352,_xll.qDateYears(BG351,BG352,$BJ$13),0)</f>
        <v>0</v>
      </c>
      <c r="BK352" s="284">
        <f t="shared" si="89"/>
        <v>2216.4810485334592</v>
      </c>
      <c r="BQ352" s="560">
        <v>0</v>
      </c>
      <c r="BR352" s="155" t="str">
        <f t="shared" si="84"/>
        <v/>
      </c>
      <c r="BS352" s="405">
        <v>0</v>
      </c>
      <c r="BT352" s="284">
        <f>IF(BQ352,_xll.qDateYears(BQ351,BQ352,BT$13),0)</f>
        <v>0</v>
      </c>
      <c r="BU352" s="284">
        <f t="shared" si="90"/>
        <v>1731.4581291138484</v>
      </c>
      <c r="CC352" s="560">
        <v>0</v>
      </c>
      <c r="CD352" s="155" t="str">
        <f t="shared" si="85"/>
        <v/>
      </c>
      <c r="CE352" s="405">
        <v>0</v>
      </c>
      <c r="CF352" s="284">
        <f>IF(CC352,_xll.qDateYears(CC351,CC352,CF$13),0)</f>
        <v>0</v>
      </c>
      <c r="CG352" s="284">
        <f t="shared" si="91"/>
        <v>2320.9300800126416</v>
      </c>
      <c r="CO352" s="560">
        <v>0</v>
      </c>
      <c r="CP352" s="155" t="str">
        <f t="shared" si="86"/>
        <v/>
      </c>
      <c r="CQ352" s="405">
        <v>0</v>
      </c>
      <c r="CR352" s="284">
        <f>IF(CO352,_xll.qDateYears(CO351,CO352,CR$13),0)</f>
        <v>0</v>
      </c>
      <c r="CS352" s="284">
        <f t="shared" si="92"/>
        <v>2166.0491297426292</v>
      </c>
      <c r="DA352" s="560">
        <v>0</v>
      </c>
      <c r="DB352" s="155" t="str">
        <f t="shared" si="87"/>
        <v/>
      </c>
      <c r="DC352" s="405">
        <v>0</v>
      </c>
      <c r="DD352" s="284">
        <f>IF(DA352,_xll.qDateYears(DA351,DA352,DD$13),0)</f>
        <v>0</v>
      </c>
      <c r="DE352" s="284">
        <f t="shared" si="93"/>
        <v>1625.698949379763</v>
      </c>
      <c r="DM352" s="560">
        <v>0</v>
      </c>
      <c r="DN352" s="155" t="str">
        <f t="shared" si="88"/>
        <v/>
      </c>
      <c r="DO352" s="405">
        <v>0</v>
      </c>
      <c r="DP352" s="284">
        <f>IF(DM352,_xll.qDateYears(DM351,DM352,DP$13),0)</f>
        <v>0</v>
      </c>
      <c r="DQ352" s="284">
        <f t="shared" si="94"/>
        <v>2216.4810485334592</v>
      </c>
    </row>
    <row r="353" spans="59:121">
      <c r="BG353" s="560">
        <v>0</v>
      </c>
      <c r="BH353" s="154" t="str">
        <f t="shared" si="83"/>
        <v/>
      </c>
      <c r="BI353" s="405">
        <v>0</v>
      </c>
      <c r="BJ353" s="284">
        <f>IF(BG353,_xll.qDateYears(BG352,BG353,$BJ$13),0)</f>
        <v>0</v>
      </c>
      <c r="BK353" s="284">
        <f t="shared" si="89"/>
        <v>2216.4810485334592</v>
      </c>
      <c r="BQ353" s="560">
        <v>0</v>
      </c>
      <c r="BR353" s="155" t="str">
        <f t="shared" si="84"/>
        <v/>
      </c>
      <c r="BS353" s="405">
        <v>0</v>
      </c>
      <c r="BT353" s="284">
        <f>IF(BQ353,_xll.qDateYears(BQ352,BQ353,BT$13),0)</f>
        <v>0</v>
      </c>
      <c r="BU353" s="284">
        <f t="shared" si="90"/>
        <v>1731.4581291138484</v>
      </c>
      <c r="CC353" s="560">
        <v>0</v>
      </c>
      <c r="CD353" s="155" t="str">
        <f t="shared" si="85"/>
        <v/>
      </c>
      <c r="CE353" s="405">
        <v>0</v>
      </c>
      <c r="CF353" s="284">
        <f>IF(CC353,_xll.qDateYears(CC352,CC353,CF$13),0)</f>
        <v>0</v>
      </c>
      <c r="CG353" s="284">
        <f t="shared" si="91"/>
        <v>2320.9300800126416</v>
      </c>
      <c r="CO353" s="560">
        <v>0</v>
      </c>
      <c r="CP353" s="155" t="str">
        <f t="shared" si="86"/>
        <v/>
      </c>
      <c r="CQ353" s="405">
        <v>0</v>
      </c>
      <c r="CR353" s="284">
        <f>IF(CO353,_xll.qDateYears(CO352,CO353,CR$13),0)</f>
        <v>0</v>
      </c>
      <c r="CS353" s="284">
        <f t="shared" si="92"/>
        <v>2166.0491297426292</v>
      </c>
      <c r="DA353" s="560">
        <v>0</v>
      </c>
      <c r="DB353" s="155" t="str">
        <f t="shared" si="87"/>
        <v/>
      </c>
      <c r="DC353" s="405">
        <v>0</v>
      </c>
      <c r="DD353" s="284">
        <f>IF(DA353,_xll.qDateYears(DA352,DA353,DD$13),0)</f>
        <v>0</v>
      </c>
      <c r="DE353" s="284">
        <f t="shared" si="93"/>
        <v>1625.698949379763</v>
      </c>
      <c r="DM353" s="560">
        <v>0</v>
      </c>
      <c r="DN353" s="155" t="str">
        <f t="shared" si="88"/>
        <v/>
      </c>
      <c r="DO353" s="405">
        <v>0</v>
      </c>
      <c r="DP353" s="284">
        <f>IF(DM353,_xll.qDateYears(DM352,DM353,DP$13),0)</f>
        <v>0</v>
      </c>
      <c r="DQ353" s="284">
        <f t="shared" si="94"/>
        <v>2216.4810485334592</v>
      </c>
    </row>
    <row r="354" spans="59:121">
      <c r="BG354" s="560">
        <v>0</v>
      </c>
      <c r="BH354" s="154" t="str">
        <f t="shared" si="83"/>
        <v/>
      </c>
      <c r="BI354" s="405">
        <v>0</v>
      </c>
      <c r="BJ354" s="284">
        <f>IF(BG354,_xll.qDateYears(BG353,BG354,$BJ$13),0)</f>
        <v>0</v>
      </c>
      <c r="BK354" s="284">
        <f t="shared" si="89"/>
        <v>2216.4810485334592</v>
      </c>
      <c r="BQ354" s="560">
        <v>0</v>
      </c>
      <c r="BR354" s="155" t="str">
        <f t="shared" si="84"/>
        <v/>
      </c>
      <c r="BS354" s="405">
        <v>0</v>
      </c>
      <c r="BT354" s="284">
        <f>IF(BQ354,_xll.qDateYears(BQ353,BQ354,BT$13),0)</f>
        <v>0</v>
      </c>
      <c r="BU354" s="284">
        <f t="shared" si="90"/>
        <v>1731.4581291138484</v>
      </c>
      <c r="CC354" s="560">
        <v>0</v>
      </c>
      <c r="CD354" s="155" t="str">
        <f t="shared" si="85"/>
        <v/>
      </c>
      <c r="CE354" s="405">
        <v>0</v>
      </c>
      <c r="CF354" s="284">
        <f>IF(CC354,_xll.qDateYears(CC353,CC354,CF$13),0)</f>
        <v>0</v>
      </c>
      <c r="CG354" s="284">
        <f t="shared" si="91"/>
        <v>2320.9300800126416</v>
      </c>
      <c r="CO354" s="560">
        <v>0</v>
      </c>
      <c r="CP354" s="155" t="str">
        <f t="shared" si="86"/>
        <v/>
      </c>
      <c r="CQ354" s="405">
        <v>0</v>
      </c>
      <c r="CR354" s="284">
        <f>IF(CO354,_xll.qDateYears(CO353,CO354,CR$13),0)</f>
        <v>0</v>
      </c>
      <c r="CS354" s="284">
        <f t="shared" si="92"/>
        <v>2166.0491297426292</v>
      </c>
      <c r="DA354" s="560">
        <v>0</v>
      </c>
      <c r="DB354" s="155" t="str">
        <f t="shared" si="87"/>
        <v/>
      </c>
      <c r="DC354" s="405">
        <v>0</v>
      </c>
      <c r="DD354" s="284">
        <f>IF(DA354,_xll.qDateYears(DA353,DA354,DD$13),0)</f>
        <v>0</v>
      </c>
      <c r="DE354" s="284">
        <f t="shared" si="93"/>
        <v>1625.698949379763</v>
      </c>
      <c r="DM354" s="560">
        <v>0</v>
      </c>
      <c r="DN354" s="155" t="str">
        <f t="shared" si="88"/>
        <v/>
      </c>
      <c r="DO354" s="405">
        <v>0</v>
      </c>
      <c r="DP354" s="284">
        <f>IF(DM354,_xll.qDateYears(DM353,DM354,DP$13),0)</f>
        <v>0</v>
      </c>
      <c r="DQ354" s="284">
        <f t="shared" si="94"/>
        <v>2216.4810485334592</v>
      </c>
    </row>
    <row r="355" spans="59:121">
      <c r="BG355" s="560">
        <v>0</v>
      </c>
      <c r="BH355" s="154" t="str">
        <f t="shared" si="83"/>
        <v/>
      </c>
      <c r="BI355" s="405">
        <v>0</v>
      </c>
      <c r="BJ355" s="284">
        <f>IF(BG355,_xll.qDateYears(BG354,BG355,$BJ$13),0)</f>
        <v>0</v>
      </c>
      <c r="BK355" s="284">
        <f t="shared" si="89"/>
        <v>2216.4810485334592</v>
      </c>
      <c r="BQ355" s="560">
        <v>0</v>
      </c>
      <c r="BR355" s="155" t="str">
        <f t="shared" si="84"/>
        <v/>
      </c>
      <c r="BS355" s="405">
        <v>0</v>
      </c>
      <c r="BT355" s="284">
        <f>IF(BQ355,_xll.qDateYears(BQ354,BQ355,BT$13),0)</f>
        <v>0</v>
      </c>
      <c r="BU355" s="284">
        <f t="shared" si="90"/>
        <v>1731.4581291138484</v>
      </c>
      <c r="CC355" s="560">
        <v>0</v>
      </c>
      <c r="CD355" s="155" t="str">
        <f t="shared" si="85"/>
        <v/>
      </c>
      <c r="CE355" s="405">
        <v>0</v>
      </c>
      <c r="CF355" s="284">
        <f>IF(CC355,_xll.qDateYears(CC354,CC355,CF$13),0)</f>
        <v>0</v>
      </c>
      <c r="CG355" s="284">
        <f t="shared" si="91"/>
        <v>2320.9300800126416</v>
      </c>
      <c r="CO355" s="560">
        <v>0</v>
      </c>
      <c r="CP355" s="155" t="str">
        <f t="shared" si="86"/>
        <v/>
      </c>
      <c r="CQ355" s="405">
        <v>0</v>
      </c>
      <c r="CR355" s="284">
        <f>IF(CO355,_xll.qDateYears(CO354,CO355,CR$13),0)</f>
        <v>0</v>
      </c>
      <c r="CS355" s="284">
        <f t="shared" si="92"/>
        <v>2166.0491297426292</v>
      </c>
      <c r="DA355" s="560">
        <v>0</v>
      </c>
      <c r="DB355" s="155" t="str">
        <f t="shared" si="87"/>
        <v/>
      </c>
      <c r="DC355" s="405">
        <v>0</v>
      </c>
      <c r="DD355" s="284">
        <f>IF(DA355,_xll.qDateYears(DA354,DA355,DD$13),0)</f>
        <v>0</v>
      </c>
      <c r="DE355" s="284">
        <f t="shared" si="93"/>
        <v>1625.698949379763</v>
      </c>
      <c r="DM355" s="560">
        <v>0</v>
      </c>
      <c r="DN355" s="155" t="str">
        <f t="shared" si="88"/>
        <v/>
      </c>
      <c r="DO355" s="405">
        <v>0</v>
      </c>
      <c r="DP355" s="284">
        <f>IF(DM355,_xll.qDateYears(DM354,DM355,DP$13),0)</f>
        <v>0</v>
      </c>
      <c r="DQ355" s="284">
        <f t="shared" si="94"/>
        <v>2216.4810485334592</v>
      </c>
    </row>
    <row r="356" spans="59:121">
      <c r="BG356" s="560">
        <v>0</v>
      </c>
      <c r="BH356" s="154" t="str">
        <f t="shared" si="83"/>
        <v/>
      </c>
      <c r="BI356" s="405">
        <v>0</v>
      </c>
      <c r="BJ356" s="284">
        <f>IF(BG356,_xll.qDateYears(BG355,BG356,$BJ$13),0)</f>
        <v>0</v>
      </c>
      <c r="BK356" s="284">
        <f t="shared" si="89"/>
        <v>2216.4810485334592</v>
      </c>
      <c r="BQ356" s="560">
        <v>0</v>
      </c>
      <c r="BR356" s="155" t="str">
        <f t="shared" si="84"/>
        <v/>
      </c>
      <c r="BS356" s="405">
        <v>0</v>
      </c>
      <c r="BT356" s="284">
        <f>IF(BQ356,_xll.qDateYears(BQ355,BQ356,BT$13),0)</f>
        <v>0</v>
      </c>
      <c r="BU356" s="284">
        <f t="shared" si="90"/>
        <v>1731.4581291138484</v>
      </c>
      <c r="CC356" s="560">
        <v>0</v>
      </c>
      <c r="CD356" s="155" t="str">
        <f t="shared" si="85"/>
        <v/>
      </c>
      <c r="CE356" s="405">
        <v>0</v>
      </c>
      <c r="CF356" s="284">
        <f>IF(CC356,_xll.qDateYears(CC355,CC356,CF$13),0)</f>
        <v>0</v>
      </c>
      <c r="CG356" s="284">
        <f t="shared" si="91"/>
        <v>2320.9300800126416</v>
      </c>
      <c r="CO356" s="560">
        <v>0</v>
      </c>
      <c r="CP356" s="155" t="str">
        <f t="shared" si="86"/>
        <v/>
      </c>
      <c r="CQ356" s="405">
        <v>0</v>
      </c>
      <c r="CR356" s="284">
        <f>IF(CO356,_xll.qDateYears(CO355,CO356,CR$13),0)</f>
        <v>0</v>
      </c>
      <c r="CS356" s="284">
        <f t="shared" si="92"/>
        <v>2166.0491297426292</v>
      </c>
      <c r="DA356" s="560">
        <v>0</v>
      </c>
      <c r="DB356" s="155" t="str">
        <f t="shared" si="87"/>
        <v/>
      </c>
      <c r="DC356" s="405">
        <v>0</v>
      </c>
      <c r="DD356" s="284">
        <f>IF(DA356,_xll.qDateYears(DA355,DA356,DD$13),0)</f>
        <v>0</v>
      </c>
      <c r="DE356" s="284">
        <f t="shared" si="93"/>
        <v>1625.698949379763</v>
      </c>
      <c r="DM356" s="560">
        <v>0</v>
      </c>
      <c r="DN356" s="155" t="str">
        <f t="shared" si="88"/>
        <v/>
      </c>
      <c r="DO356" s="405">
        <v>0</v>
      </c>
      <c r="DP356" s="284">
        <f>IF(DM356,_xll.qDateYears(DM355,DM356,DP$13),0)</f>
        <v>0</v>
      </c>
      <c r="DQ356" s="284">
        <f t="shared" si="94"/>
        <v>2216.4810485334592</v>
      </c>
    </row>
    <row r="357" spans="59:121">
      <c r="BG357" s="560">
        <v>0</v>
      </c>
      <c r="BH357" s="154" t="str">
        <f t="shared" si="83"/>
        <v/>
      </c>
      <c r="BI357" s="405">
        <v>0</v>
      </c>
      <c r="BJ357" s="284">
        <f>IF(BG357,_xll.qDateYears(BG356,BG357,$BJ$13),0)</f>
        <v>0</v>
      </c>
      <c r="BK357" s="284">
        <f t="shared" si="89"/>
        <v>2216.4810485334592</v>
      </c>
      <c r="BQ357" s="560">
        <v>0</v>
      </c>
      <c r="BR357" s="155" t="str">
        <f t="shared" si="84"/>
        <v/>
      </c>
      <c r="BS357" s="405">
        <v>0</v>
      </c>
      <c r="BT357" s="284">
        <f>IF(BQ357,_xll.qDateYears(BQ356,BQ357,BT$13),0)</f>
        <v>0</v>
      </c>
      <c r="BU357" s="284">
        <f t="shared" si="90"/>
        <v>1731.4581291138484</v>
      </c>
      <c r="CC357" s="560">
        <v>0</v>
      </c>
      <c r="CD357" s="155" t="str">
        <f t="shared" si="85"/>
        <v/>
      </c>
      <c r="CE357" s="405">
        <v>0</v>
      </c>
      <c r="CF357" s="284">
        <f>IF(CC357,_xll.qDateYears(CC356,CC357,CF$13),0)</f>
        <v>0</v>
      </c>
      <c r="CG357" s="284">
        <f t="shared" si="91"/>
        <v>2320.9300800126416</v>
      </c>
      <c r="CO357" s="560">
        <v>0</v>
      </c>
      <c r="CP357" s="155" t="str">
        <f t="shared" si="86"/>
        <v/>
      </c>
      <c r="CQ357" s="405">
        <v>0</v>
      </c>
      <c r="CR357" s="284">
        <f>IF(CO357,_xll.qDateYears(CO356,CO357,CR$13),0)</f>
        <v>0</v>
      </c>
      <c r="CS357" s="284">
        <f t="shared" si="92"/>
        <v>2166.0491297426292</v>
      </c>
      <c r="DA357" s="560">
        <v>0</v>
      </c>
      <c r="DB357" s="155" t="str">
        <f t="shared" si="87"/>
        <v/>
      </c>
      <c r="DC357" s="405">
        <v>0</v>
      </c>
      <c r="DD357" s="284">
        <f>IF(DA357,_xll.qDateYears(DA356,DA357,DD$13),0)</f>
        <v>0</v>
      </c>
      <c r="DE357" s="284">
        <f t="shared" si="93"/>
        <v>1625.698949379763</v>
      </c>
      <c r="DM357" s="560">
        <v>0</v>
      </c>
      <c r="DN357" s="155" t="str">
        <f t="shared" si="88"/>
        <v/>
      </c>
      <c r="DO357" s="405">
        <v>0</v>
      </c>
      <c r="DP357" s="284">
        <f>IF(DM357,_xll.qDateYears(DM356,DM357,DP$13),0)</f>
        <v>0</v>
      </c>
      <c r="DQ357" s="284">
        <f t="shared" si="94"/>
        <v>2216.4810485334592</v>
      </c>
    </row>
    <row r="358" spans="59:121">
      <c r="BG358" s="560">
        <v>0</v>
      </c>
      <c r="BH358" s="154" t="str">
        <f t="shared" si="83"/>
        <v/>
      </c>
      <c r="BI358" s="405">
        <v>0</v>
      </c>
      <c r="BJ358" s="284">
        <f>IF(BG358,_xll.qDateYears(BG357,BG358,$BJ$13),0)</f>
        <v>0</v>
      </c>
      <c r="BK358" s="284">
        <f t="shared" si="89"/>
        <v>2216.4810485334592</v>
      </c>
      <c r="BQ358" s="560">
        <v>0</v>
      </c>
      <c r="BR358" s="155" t="str">
        <f t="shared" si="84"/>
        <v/>
      </c>
      <c r="BS358" s="405">
        <v>0</v>
      </c>
      <c r="BT358" s="284">
        <f>IF(BQ358,_xll.qDateYears(BQ357,BQ358,BT$13),0)</f>
        <v>0</v>
      </c>
      <c r="BU358" s="284">
        <f t="shared" si="90"/>
        <v>1731.4581291138484</v>
      </c>
      <c r="CC358" s="560">
        <v>0</v>
      </c>
      <c r="CD358" s="155" t="str">
        <f t="shared" si="85"/>
        <v/>
      </c>
      <c r="CE358" s="405">
        <v>0</v>
      </c>
      <c r="CF358" s="284">
        <f>IF(CC358,_xll.qDateYears(CC357,CC358,CF$13),0)</f>
        <v>0</v>
      </c>
      <c r="CG358" s="284">
        <f t="shared" si="91"/>
        <v>2320.9300800126416</v>
      </c>
      <c r="CO358" s="560">
        <v>0</v>
      </c>
      <c r="CP358" s="155" t="str">
        <f t="shared" si="86"/>
        <v/>
      </c>
      <c r="CQ358" s="405">
        <v>0</v>
      </c>
      <c r="CR358" s="284">
        <f>IF(CO358,_xll.qDateYears(CO357,CO358,CR$13),0)</f>
        <v>0</v>
      </c>
      <c r="CS358" s="284">
        <f t="shared" si="92"/>
        <v>2166.0491297426292</v>
      </c>
      <c r="DA358" s="560">
        <v>0</v>
      </c>
      <c r="DB358" s="155" t="str">
        <f t="shared" si="87"/>
        <v/>
      </c>
      <c r="DC358" s="405">
        <v>0</v>
      </c>
      <c r="DD358" s="284">
        <f>IF(DA358,_xll.qDateYears(DA357,DA358,DD$13),0)</f>
        <v>0</v>
      </c>
      <c r="DE358" s="284">
        <f t="shared" si="93"/>
        <v>1625.698949379763</v>
      </c>
      <c r="DM358" s="560">
        <v>0</v>
      </c>
      <c r="DN358" s="155" t="str">
        <f t="shared" si="88"/>
        <v/>
      </c>
      <c r="DO358" s="405">
        <v>0</v>
      </c>
      <c r="DP358" s="284">
        <f>IF(DM358,_xll.qDateYears(DM357,DM358,DP$13),0)</f>
        <v>0</v>
      </c>
      <c r="DQ358" s="284">
        <f t="shared" si="94"/>
        <v>2216.4810485334592</v>
      </c>
    </row>
    <row r="359" spans="59:121">
      <c r="BG359" s="560">
        <v>0</v>
      </c>
      <c r="BH359" s="154" t="str">
        <f t="shared" si="83"/>
        <v/>
      </c>
      <c r="BI359" s="405">
        <v>0</v>
      </c>
      <c r="BJ359" s="284">
        <f>IF(BG359,_xll.qDateYears(BG358,BG359,$BJ$13),0)</f>
        <v>0</v>
      </c>
      <c r="BK359" s="284">
        <f t="shared" si="89"/>
        <v>2216.4810485334592</v>
      </c>
      <c r="BQ359" s="560">
        <v>0</v>
      </c>
      <c r="BR359" s="155" t="str">
        <f t="shared" si="84"/>
        <v/>
      </c>
      <c r="BS359" s="405">
        <v>0</v>
      </c>
      <c r="BT359" s="284">
        <f>IF(BQ359,_xll.qDateYears(BQ358,BQ359,BT$13),0)</f>
        <v>0</v>
      </c>
      <c r="BU359" s="284">
        <f t="shared" si="90"/>
        <v>1731.4581291138484</v>
      </c>
      <c r="CC359" s="560">
        <v>0</v>
      </c>
      <c r="CD359" s="155" t="str">
        <f t="shared" si="85"/>
        <v/>
      </c>
      <c r="CE359" s="405">
        <v>0</v>
      </c>
      <c r="CF359" s="284">
        <f>IF(CC359,_xll.qDateYears(CC358,CC359,CF$13),0)</f>
        <v>0</v>
      </c>
      <c r="CG359" s="284">
        <f t="shared" si="91"/>
        <v>2320.9300800126416</v>
      </c>
      <c r="CO359" s="560">
        <v>0</v>
      </c>
      <c r="CP359" s="155" t="str">
        <f t="shared" si="86"/>
        <v/>
      </c>
      <c r="CQ359" s="405">
        <v>0</v>
      </c>
      <c r="CR359" s="284">
        <f>IF(CO359,_xll.qDateYears(CO358,CO359,CR$13),0)</f>
        <v>0</v>
      </c>
      <c r="CS359" s="284">
        <f t="shared" si="92"/>
        <v>2166.0491297426292</v>
      </c>
      <c r="DA359" s="560">
        <v>0</v>
      </c>
      <c r="DB359" s="155" t="str">
        <f t="shared" si="87"/>
        <v/>
      </c>
      <c r="DC359" s="405">
        <v>0</v>
      </c>
      <c r="DD359" s="284">
        <f>IF(DA359,_xll.qDateYears(DA358,DA359,DD$13),0)</f>
        <v>0</v>
      </c>
      <c r="DE359" s="284">
        <f t="shared" si="93"/>
        <v>1625.698949379763</v>
      </c>
      <c r="DM359" s="560">
        <v>0</v>
      </c>
      <c r="DN359" s="155" t="str">
        <f t="shared" si="88"/>
        <v/>
      </c>
      <c r="DO359" s="405">
        <v>0</v>
      </c>
      <c r="DP359" s="284">
        <f>IF(DM359,_xll.qDateYears(DM358,DM359,DP$13),0)</f>
        <v>0</v>
      </c>
      <c r="DQ359" s="284">
        <f t="shared" si="94"/>
        <v>2216.4810485334592</v>
      </c>
    </row>
    <row r="360" spans="59:121">
      <c r="BG360" s="560">
        <v>0</v>
      </c>
      <c r="BH360" s="154" t="str">
        <f t="shared" si="83"/>
        <v/>
      </c>
      <c r="BI360" s="405">
        <v>0</v>
      </c>
      <c r="BJ360" s="284">
        <f>IF(BG360,_xll.qDateYears(BG359,BG360,$BJ$13),0)</f>
        <v>0</v>
      </c>
      <c r="BK360" s="284">
        <f t="shared" si="89"/>
        <v>2216.4810485334592</v>
      </c>
      <c r="BQ360" s="560">
        <v>0</v>
      </c>
      <c r="BR360" s="155" t="str">
        <f t="shared" si="84"/>
        <v/>
      </c>
      <c r="BS360" s="405">
        <v>0</v>
      </c>
      <c r="BT360" s="284">
        <f>IF(BQ360,_xll.qDateYears(BQ359,BQ360,BT$13),0)</f>
        <v>0</v>
      </c>
      <c r="BU360" s="284">
        <f t="shared" si="90"/>
        <v>1731.4581291138484</v>
      </c>
      <c r="CC360" s="560">
        <v>0</v>
      </c>
      <c r="CD360" s="155" t="str">
        <f t="shared" si="85"/>
        <v/>
      </c>
      <c r="CE360" s="405">
        <v>0</v>
      </c>
      <c r="CF360" s="284">
        <f>IF(CC360,_xll.qDateYears(CC359,CC360,CF$13),0)</f>
        <v>0</v>
      </c>
      <c r="CG360" s="284">
        <f t="shared" si="91"/>
        <v>2320.9300800126416</v>
      </c>
      <c r="CO360" s="560">
        <v>0</v>
      </c>
      <c r="CP360" s="155" t="str">
        <f t="shared" si="86"/>
        <v/>
      </c>
      <c r="CQ360" s="405">
        <v>0</v>
      </c>
      <c r="CR360" s="284">
        <f>IF(CO360,_xll.qDateYears(CO359,CO360,CR$13),0)</f>
        <v>0</v>
      </c>
      <c r="CS360" s="284">
        <f t="shared" si="92"/>
        <v>2166.0491297426292</v>
      </c>
      <c r="DA360" s="560">
        <v>0</v>
      </c>
      <c r="DB360" s="155" t="str">
        <f t="shared" si="87"/>
        <v/>
      </c>
      <c r="DC360" s="405">
        <v>0</v>
      </c>
      <c r="DD360" s="284">
        <f>IF(DA360,_xll.qDateYears(DA359,DA360,DD$13),0)</f>
        <v>0</v>
      </c>
      <c r="DE360" s="284">
        <f t="shared" si="93"/>
        <v>1625.698949379763</v>
      </c>
      <c r="DM360" s="560">
        <v>0</v>
      </c>
      <c r="DN360" s="155" t="str">
        <f t="shared" si="88"/>
        <v/>
      </c>
      <c r="DO360" s="405">
        <v>0</v>
      </c>
      <c r="DP360" s="284">
        <f>IF(DM360,_xll.qDateYears(DM359,DM360,DP$13),0)</f>
        <v>0</v>
      </c>
      <c r="DQ360" s="284">
        <f t="shared" si="94"/>
        <v>2216.4810485334592</v>
      </c>
    </row>
    <row r="361" spans="59:121">
      <c r="BG361" s="560">
        <v>0</v>
      </c>
      <c r="BH361" s="154" t="str">
        <f t="shared" si="83"/>
        <v/>
      </c>
      <c r="BI361" s="405">
        <v>0</v>
      </c>
      <c r="BJ361" s="284">
        <f>IF(BG361,_xll.qDateYears(BG360,BG361,$BJ$13),0)</f>
        <v>0</v>
      </c>
      <c r="BK361" s="284">
        <f t="shared" si="89"/>
        <v>2216.4810485334592</v>
      </c>
      <c r="BQ361" s="560">
        <v>0</v>
      </c>
      <c r="BR361" s="155" t="str">
        <f t="shared" si="84"/>
        <v/>
      </c>
      <c r="BS361" s="405">
        <v>0</v>
      </c>
      <c r="BT361" s="284">
        <f>IF(BQ361,_xll.qDateYears(BQ360,BQ361,BT$13),0)</f>
        <v>0</v>
      </c>
      <c r="BU361" s="284">
        <f t="shared" si="90"/>
        <v>1731.4581291138484</v>
      </c>
      <c r="CC361" s="560">
        <v>0</v>
      </c>
      <c r="CD361" s="155" t="str">
        <f t="shared" si="85"/>
        <v/>
      </c>
      <c r="CE361" s="405">
        <v>0</v>
      </c>
      <c r="CF361" s="284">
        <f>IF(CC361,_xll.qDateYears(CC360,CC361,CF$13),0)</f>
        <v>0</v>
      </c>
      <c r="CG361" s="284">
        <f t="shared" si="91"/>
        <v>2320.9300800126416</v>
      </c>
      <c r="CO361" s="560">
        <v>0</v>
      </c>
      <c r="CP361" s="155" t="str">
        <f t="shared" si="86"/>
        <v/>
      </c>
      <c r="CQ361" s="405">
        <v>0</v>
      </c>
      <c r="CR361" s="284">
        <f>IF(CO361,_xll.qDateYears(CO360,CO361,CR$13),0)</f>
        <v>0</v>
      </c>
      <c r="CS361" s="284">
        <f t="shared" si="92"/>
        <v>2166.0491297426292</v>
      </c>
      <c r="DA361" s="560">
        <v>0</v>
      </c>
      <c r="DB361" s="155" t="str">
        <f t="shared" si="87"/>
        <v/>
      </c>
      <c r="DC361" s="405">
        <v>0</v>
      </c>
      <c r="DD361" s="284">
        <f>IF(DA361,_xll.qDateYears(DA360,DA361,DD$13),0)</f>
        <v>0</v>
      </c>
      <c r="DE361" s="284">
        <f t="shared" si="93"/>
        <v>1625.698949379763</v>
      </c>
      <c r="DM361" s="560">
        <v>0</v>
      </c>
      <c r="DN361" s="155" t="str">
        <f t="shared" si="88"/>
        <v/>
      </c>
      <c r="DO361" s="405">
        <v>0</v>
      </c>
      <c r="DP361" s="284">
        <f>IF(DM361,_xll.qDateYears(DM360,DM361,DP$13),0)</f>
        <v>0</v>
      </c>
      <c r="DQ361" s="284">
        <f t="shared" si="94"/>
        <v>2216.4810485334592</v>
      </c>
    </row>
    <row r="362" spans="59:121">
      <c r="BG362" s="560">
        <v>0</v>
      </c>
      <c r="BH362" s="154" t="str">
        <f t="shared" si="83"/>
        <v/>
      </c>
      <c r="BI362" s="405">
        <v>0</v>
      </c>
      <c r="BJ362" s="284">
        <f>IF(BG362,_xll.qDateYears(BG361,BG362,$BJ$13),0)</f>
        <v>0</v>
      </c>
      <c r="BK362" s="284">
        <f t="shared" si="89"/>
        <v>2216.4810485334592</v>
      </c>
      <c r="BQ362" s="560">
        <v>0</v>
      </c>
      <c r="BR362" s="155" t="str">
        <f t="shared" si="84"/>
        <v/>
      </c>
      <c r="BS362" s="405">
        <v>0</v>
      </c>
      <c r="BT362" s="284">
        <f>IF(BQ362,_xll.qDateYears(BQ361,BQ362,BT$13),0)</f>
        <v>0</v>
      </c>
      <c r="BU362" s="284">
        <f t="shared" si="90"/>
        <v>1731.4581291138484</v>
      </c>
      <c r="CC362" s="560">
        <v>0</v>
      </c>
      <c r="CD362" s="155" t="str">
        <f t="shared" si="85"/>
        <v/>
      </c>
      <c r="CE362" s="405">
        <v>0</v>
      </c>
      <c r="CF362" s="284">
        <f>IF(CC362,_xll.qDateYears(CC361,CC362,CF$13),0)</f>
        <v>0</v>
      </c>
      <c r="CG362" s="284">
        <f t="shared" si="91"/>
        <v>2320.9300800126416</v>
      </c>
      <c r="CO362" s="560">
        <v>0</v>
      </c>
      <c r="CP362" s="155" t="str">
        <f t="shared" si="86"/>
        <v/>
      </c>
      <c r="CQ362" s="405">
        <v>0</v>
      </c>
      <c r="CR362" s="284">
        <f>IF(CO362,_xll.qDateYears(CO361,CO362,CR$13),0)</f>
        <v>0</v>
      </c>
      <c r="CS362" s="284">
        <f t="shared" si="92"/>
        <v>2166.0491297426292</v>
      </c>
      <c r="DA362" s="560">
        <v>0</v>
      </c>
      <c r="DB362" s="155" t="str">
        <f t="shared" si="87"/>
        <v/>
      </c>
      <c r="DC362" s="405">
        <v>0</v>
      </c>
      <c r="DD362" s="284">
        <f>IF(DA362,_xll.qDateYears(DA361,DA362,DD$13),0)</f>
        <v>0</v>
      </c>
      <c r="DE362" s="284">
        <f t="shared" si="93"/>
        <v>1625.698949379763</v>
      </c>
      <c r="DM362" s="560">
        <v>0</v>
      </c>
      <c r="DN362" s="155" t="str">
        <f t="shared" si="88"/>
        <v/>
      </c>
      <c r="DO362" s="405">
        <v>0</v>
      </c>
      <c r="DP362" s="284">
        <f>IF(DM362,_xll.qDateYears(DM361,DM362,DP$13),0)</f>
        <v>0</v>
      </c>
      <c r="DQ362" s="284">
        <f t="shared" si="94"/>
        <v>2216.4810485334592</v>
      </c>
    </row>
    <row r="363" spans="59:121">
      <c r="BG363" s="560">
        <v>0</v>
      </c>
      <c r="BH363" s="154" t="str">
        <f t="shared" si="83"/>
        <v/>
      </c>
      <c r="BI363" s="405">
        <v>0</v>
      </c>
      <c r="BJ363" s="284">
        <f>IF(BG363,_xll.qDateYears(BG362,BG363,$BJ$13),0)</f>
        <v>0</v>
      </c>
      <c r="BK363" s="284">
        <f t="shared" si="89"/>
        <v>2216.4810485334592</v>
      </c>
      <c r="BQ363" s="560">
        <v>0</v>
      </c>
      <c r="BR363" s="155" t="str">
        <f t="shared" si="84"/>
        <v/>
      </c>
      <c r="BS363" s="405">
        <v>0</v>
      </c>
      <c r="BT363" s="284">
        <f>IF(BQ363,_xll.qDateYears(BQ362,BQ363,BT$13),0)</f>
        <v>0</v>
      </c>
      <c r="BU363" s="284">
        <f t="shared" si="90"/>
        <v>1731.4581291138484</v>
      </c>
      <c r="CC363" s="560">
        <v>0</v>
      </c>
      <c r="CD363" s="155" t="str">
        <f t="shared" si="85"/>
        <v/>
      </c>
      <c r="CE363" s="405">
        <v>0</v>
      </c>
      <c r="CF363" s="284">
        <f>IF(CC363,_xll.qDateYears(CC362,CC363,CF$13),0)</f>
        <v>0</v>
      </c>
      <c r="CG363" s="284">
        <f t="shared" si="91"/>
        <v>2320.9300800126416</v>
      </c>
      <c r="CO363" s="560">
        <v>0</v>
      </c>
      <c r="CP363" s="155" t="str">
        <f t="shared" si="86"/>
        <v/>
      </c>
      <c r="CQ363" s="405">
        <v>0</v>
      </c>
      <c r="CR363" s="284">
        <f>IF(CO363,_xll.qDateYears(CO362,CO363,CR$13),0)</f>
        <v>0</v>
      </c>
      <c r="CS363" s="284">
        <f t="shared" si="92"/>
        <v>2166.0491297426292</v>
      </c>
      <c r="DA363" s="560">
        <v>0</v>
      </c>
      <c r="DB363" s="155" t="str">
        <f t="shared" si="87"/>
        <v/>
      </c>
      <c r="DC363" s="405">
        <v>0</v>
      </c>
      <c r="DD363" s="284">
        <f>IF(DA363,_xll.qDateYears(DA362,DA363,DD$13),0)</f>
        <v>0</v>
      </c>
      <c r="DE363" s="284">
        <f t="shared" si="93"/>
        <v>1625.698949379763</v>
      </c>
      <c r="DM363" s="560">
        <v>0</v>
      </c>
      <c r="DN363" s="155" t="str">
        <f t="shared" si="88"/>
        <v/>
      </c>
      <c r="DO363" s="405">
        <v>0</v>
      </c>
      <c r="DP363" s="284">
        <f>IF(DM363,_xll.qDateYears(DM362,DM363,DP$13),0)</f>
        <v>0</v>
      </c>
      <c r="DQ363" s="284">
        <f t="shared" si="94"/>
        <v>2216.4810485334592</v>
      </c>
    </row>
    <row r="364" spans="59:121">
      <c r="BG364" s="560">
        <v>0</v>
      </c>
      <c r="BH364" s="154" t="str">
        <f t="shared" si="83"/>
        <v/>
      </c>
      <c r="BI364" s="405">
        <v>0</v>
      </c>
      <c r="BJ364" s="284">
        <f>IF(BG364,_xll.qDateYears(BG363,BG364,$BJ$13),0)</f>
        <v>0</v>
      </c>
      <c r="BK364" s="284">
        <f t="shared" si="89"/>
        <v>2216.4810485334592</v>
      </c>
      <c r="BQ364" s="560">
        <v>0</v>
      </c>
      <c r="BR364" s="155" t="str">
        <f t="shared" si="84"/>
        <v/>
      </c>
      <c r="BS364" s="405">
        <v>0</v>
      </c>
      <c r="BT364" s="284">
        <f>IF(BQ364,_xll.qDateYears(BQ363,BQ364,BT$13),0)</f>
        <v>0</v>
      </c>
      <c r="BU364" s="284">
        <f t="shared" si="90"/>
        <v>1731.4581291138484</v>
      </c>
      <c r="CC364" s="560">
        <v>0</v>
      </c>
      <c r="CD364" s="155" t="str">
        <f t="shared" si="85"/>
        <v/>
      </c>
      <c r="CE364" s="405">
        <v>0</v>
      </c>
      <c r="CF364" s="284">
        <f>IF(CC364,_xll.qDateYears(CC363,CC364,CF$13),0)</f>
        <v>0</v>
      </c>
      <c r="CG364" s="284">
        <f t="shared" si="91"/>
        <v>2320.9300800126416</v>
      </c>
      <c r="CO364" s="560">
        <v>0</v>
      </c>
      <c r="CP364" s="155" t="str">
        <f t="shared" si="86"/>
        <v/>
      </c>
      <c r="CQ364" s="405">
        <v>0</v>
      </c>
      <c r="CR364" s="284">
        <f>IF(CO364,_xll.qDateYears(CO363,CO364,CR$13),0)</f>
        <v>0</v>
      </c>
      <c r="CS364" s="284">
        <f t="shared" si="92"/>
        <v>2166.0491297426292</v>
      </c>
      <c r="DA364" s="560">
        <v>0</v>
      </c>
      <c r="DB364" s="155" t="str">
        <f t="shared" si="87"/>
        <v/>
      </c>
      <c r="DC364" s="405">
        <v>0</v>
      </c>
      <c r="DD364" s="284">
        <f>IF(DA364,_xll.qDateYears(DA363,DA364,DD$13),0)</f>
        <v>0</v>
      </c>
      <c r="DE364" s="284">
        <f t="shared" si="93"/>
        <v>1625.698949379763</v>
      </c>
      <c r="DM364" s="560">
        <v>0</v>
      </c>
      <c r="DN364" s="155" t="str">
        <f t="shared" si="88"/>
        <v/>
      </c>
      <c r="DO364" s="405">
        <v>0</v>
      </c>
      <c r="DP364" s="284">
        <f>IF(DM364,_xll.qDateYears(DM363,DM364,DP$13),0)</f>
        <v>0</v>
      </c>
      <c r="DQ364" s="284">
        <f t="shared" si="94"/>
        <v>2216.4810485334592</v>
      </c>
    </row>
    <row r="365" spans="59:121">
      <c r="BG365" s="560">
        <v>0</v>
      </c>
      <c r="BH365" s="154" t="str">
        <f t="shared" si="83"/>
        <v/>
      </c>
      <c r="BI365" s="405">
        <v>0</v>
      </c>
      <c r="BJ365" s="284">
        <f>IF(BG365,_xll.qDateYears(BG364,BG365,$BJ$13),0)</f>
        <v>0</v>
      </c>
      <c r="BK365" s="284">
        <f t="shared" si="89"/>
        <v>2216.4810485334592</v>
      </c>
      <c r="BQ365" s="560">
        <v>0</v>
      </c>
      <c r="BR365" s="155" t="str">
        <f t="shared" si="84"/>
        <v/>
      </c>
      <c r="BS365" s="405">
        <v>0</v>
      </c>
      <c r="BT365" s="284">
        <f>IF(BQ365,_xll.qDateYears(BQ364,BQ365,BT$13),0)</f>
        <v>0</v>
      </c>
      <c r="BU365" s="284">
        <f t="shared" si="90"/>
        <v>1731.4581291138484</v>
      </c>
      <c r="CC365" s="560">
        <v>0</v>
      </c>
      <c r="CD365" s="155" t="str">
        <f t="shared" si="85"/>
        <v/>
      </c>
      <c r="CE365" s="405">
        <v>0</v>
      </c>
      <c r="CF365" s="284">
        <f>IF(CC365,_xll.qDateYears(CC364,CC365,CF$13),0)</f>
        <v>0</v>
      </c>
      <c r="CG365" s="284">
        <f t="shared" si="91"/>
        <v>2320.9300800126416</v>
      </c>
      <c r="CO365" s="560">
        <v>0</v>
      </c>
      <c r="CP365" s="155" t="str">
        <f t="shared" si="86"/>
        <v/>
      </c>
      <c r="CQ365" s="405">
        <v>0</v>
      </c>
      <c r="CR365" s="284">
        <f>IF(CO365,_xll.qDateYears(CO364,CO365,CR$13),0)</f>
        <v>0</v>
      </c>
      <c r="CS365" s="284">
        <f t="shared" si="92"/>
        <v>2166.0491297426292</v>
      </c>
      <c r="DA365" s="560">
        <v>0</v>
      </c>
      <c r="DB365" s="155" t="str">
        <f t="shared" si="87"/>
        <v/>
      </c>
      <c r="DC365" s="405">
        <v>0</v>
      </c>
      <c r="DD365" s="284">
        <f>IF(DA365,_xll.qDateYears(DA364,DA365,DD$13),0)</f>
        <v>0</v>
      </c>
      <c r="DE365" s="284">
        <f t="shared" si="93"/>
        <v>1625.698949379763</v>
      </c>
      <c r="DM365" s="560">
        <v>0</v>
      </c>
      <c r="DN365" s="155" t="str">
        <f t="shared" si="88"/>
        <v/>
      </c>
      <c r="DO365" s="405">
        <v>0</v>
      </c>
      <c r="DP365" s="284">
        <f>IF(DM365,_xll.qDateYears(DM364,DM365,DP$13),0)</f>
        <v>0</v>
      </c>
      <c r="DQ365" s="284">
        <f t="shared" si="94"/>
        <v>2216.4810485334592</v>
      </c>
    </row>
    <row r="366" spans="59:121">
      <c r="BG366" s="560">
        <v>0</v>
      </c>
      <c r="BH366" s="154" t="str">
        <f t="shared" si="83"/>
        <v/>
      </c>
      <c r="BI366" s="405">
        <v>0</v>
      </c>
      <c r="BJ366" s="284">
        <f>IF(BG366,_xll.qDateYears(BG365,BG366,$BJ$13),0)</f>
        <v>0</v>
      </c>
      <c r="BK366" s="284">
        <f t="shared" si="89"/>
        <v>2216.4810485334592</v>
      </c>
      <c r="BQ366" s="560">
        <v>0</v>
      </c>
      <c r="BR366" s="155" t="str">
        <f t="shared" si="84"/>
        <v/>
      </c>
      <c r="BS366" s="405">
        <v>0</v>
      </c>
      <c r="BT366" s="284">
        <f>IF(BQ366,_xll.qDateYears(BQ365,BQ366,BT$13),0)</f>
        <v>0</v>
      </c>
      <c r="BU366" s="284">
        <f t="shared" si="90"/>
        <v>1731.4581291138484</v>
      </c>
      <c r="CC366" s="560">
        <v>0</v>
      </c>
      <c r="CD366" s="155" t="str">
        <f t="shared" si="85"/>
        <v/>
      </c>
      <c r="CE366" s="405">
        <v>0</v>
      </c>
      <c r="CF366" s="284">
        <f>IF(CC366,_xll.qDateYears(CC365,CC366,CF$13),0)</f>
        <v>0</v>
      </c>
      <c r="CG366" s="284">
        <f t="shared" si="91"/>
        <v>2320.9300800126416</v>
      </c>
      <c r="CO366" s="560">
        <v>0</v>
      </c>
      <c r="CP366" s="155" t="str">
        <f t="shared" si="86"/>
        <v/>
      </c>
      <c r="CQ366" s="405">
        <v>0</v>
      </c>
      <c r="CR366" s="284">
        <f>IF(CO366,_xll.qDateYears(CO365,CO366,CR$13),0)</f>
        <v>0</v>
      </c>
      <c r="CS366" s="284">
        <f t="shared" si="92"/>
        <v>2166.0491297426292</v>
      </c>
      <c r="DA366" s="560">
        <v>0</v>
      </c>
      <c r="DB366" s="155" t="str">
        <f t="shared" si="87"/>
        <v/>
      </c>
      <c r="DC366" s="405">
        <v>0</v>
      </c>
      <c r="DD366" s="284">
        <f>IF(DA366,_xll.qDateYears(DA365,DA366,DD$13),0)</f>
        <v>0</v>
      </c>
      <c r="DE366" s="284">
        <f t="shared" si="93"/>
        <v>1625.698949379763</v>
      </c>
      <c r="DM366" s="560">
        <v>0</v>
      </c>
      <c r="DN366" s="155" t="str">
        <f t="shared" si="88"/>
        <v/>
      </c>
      <c r="DO366" s="405">
        <v>0</v>
      </c>
      <c r="DP366" s="284">
        <f>IF(DM366,_xll.qDateYears(DM365,DM366,DP$13),0)</f>
        <v>0</v>
      </c>
      <c r="DQ366" s="284">
        <f t="shared" si="94"/>
        <v>2216.4810485334592</v>
      </c>
    </row>
    <row r="367" spans="59:121">
      <c r="BG367" s="560">
        <v>0</v>
      </c>
      <c r="BH367" s="154" t="str">
        <f t="shared" si="83"/>
        <v/>
      </c>
      <c r="BI367" s="405">
        <v>0</v>
      </c>
      <c r="BJ367" s="284">
        <f>IF(BG367,_xll.qDateYears(BG366,BG367,$BJ$13),0)</f>
        <v>0</v>
      </c>
      <c r="BK367" s="284">
        <f t="shared" si="89"/>
        <v>2216.4810485334592</v>
      </c>
      <c r="BQ367" s="560">
        <v>0</v>
      </c>
      <c r="BR367" s="155" t="str">
        <f t="shared" si="84"/>
        <v/>
      </c>
      <c r="BS367" s="405">
        <v>0</v>
      </c>
      <c r="BT367" s="284">
        <f>IF(BQ367,_xll.qDateYears(BQ366,BQ367,BT$13),0)</f>
        <v>0</v>
      </c>
      <c r="BU367" s="284">
        <f t="shared" si="90"/>
        <v>1731.4581291138484</v>
      </c>
      <c r="CC367" s="560">
        <v>0</v>
      </c>
      <c r="CD367" s="155" t="str">
        <f t="shared" si="85"/>
        <v/>
      </c>
      <c r="CE367" s="405">
        <v>0</v>
      </c>
      <c r="CF367" s="284">
        <f>IF(CC367,_xll.qDateYears(CC366,CC367,CF$13),0)</f>
        <v>0</v>
      </c>
      <c r="CG367" s="284">
        <f t="shared" si="91"/>
        <v>2320.9300800126416</v>
      </c>
      <c r="CO367" s="560">
        <v>0</v>
      </c>
      <c r="CP367" s="155" t="str">
        <f t="shared" si="86"/>
        <v/>
      </c>
      <c r="CQ367" s="405">
        <v>0</v>
      </c>
      <c r="CR367" s="284">
        <f>IF(CO367,_xll.qDateYears(CO366,CO367,CR$13),0)</f>
        <v>0</v>
      </c>
      <c r="CS367" s="284">
        <f t="shared" si="92"/>
        <v>2166.0491297426292</v>
      </c>
      <c r="DA367" s="560">
        <v>0</v>
      </c>
      <c r="DB367" s="155" t="str">
        <f t="shared" si="87"/>
        <v/>
      </c>
      <c r="DC367" s="405">
        <v>0</v>
      </c>
      <c r="DD367" s="284">
        <f>IF(DA367,_xll.qDateYears(DA366,DA367,DD$13),0)</f>
        <v>0</v>
      </c>
      <c r="DE367" s="284">
        <f t="shared" si="93"/>
        <v>1625.698949379763</v>
      </c>
      <c r="DM367" s="560">
        <v>0</v>
      </c>
      <c r="DN367" s="155" t="str">
        <f t="shared" si="88"/>
        <v/>
      </c>
      <c r="DO367" s="405">
        <v>0</v>
      </c>
      <c r="DP367" s="284">
        <f>IF(DM367,_xll.qDateYears(DM366,DM367,DP$13),0)</f>
        <v>0</v>
      </c>
      <c r="DQ367" s="284">
        <f t="shared" si="94"/>
        <v>2216.4810485334592</v>
      </c>
    </row>
    <row r="368" spans="59:121">
      <c r="BG368" s="560">
        <v>0</v>
      </c>
      <c r="BH368" s="154" t="str">
        <f t="shared" si="83"/>
        <v/>
      </c>
      <c r="BI368" s="405">
        <v>0</v>
      </c>
      <c r="BJ368" s="284">
        <f>IF(BG368,_xll.qDateYears(BG367,BG368,$BJ$13),0)</f>
        <v>0</v>
      </c>
      <c r="BK368" s="284">
        <f t="shared" si="89"/>
        <v>2216.4810485334592</v>
      </c>
      <c r="BQ368" s="560">
        <v>0</v>
      </c>
      <c r="BR368" s="155" t="str">
        <f t="shared" si="84"/>
        <v/>
      </c>
      <c r="BS368" s="405">
        <v>0</v>
      </c>
      <c r="BT368" s="284">
        <f>IF(BQ368,_xll.qDateYears(BQ367,BQ368,BT$13),0)</f>
        <v>0</v>
      </c>
      <c r="BU368" s="284">
        <f t="shared" si="90"/>
        <v>1731.4581291138484</v>
      </c>
      <c r="CC368" s="560">
        <v>0</v>
      </c>
      <c r="CD368" s="155" t="str">
        <f t="shared" si="85"/>
        <v/>
      </c>
      <c r="CE368" s="405">
        <v>0</v>
      </c>
      <c r="CF368" s="284">
        <f>IF(CC368,_xll.qDateYears(CC367,CC368,CF$13),0)</f>
        <v>0</v>
      </c>
      <c r="CG368" s="284">
        <f t="shared" si="91"/>
        <v>2320.9300800126416</v>
      </c>
      <c r="CO368" s="560">
        <v>0</v>
      </c>
      <c r="CP368" s="155" t="str">
        <f t="shared" si="86"/>
        <v/>
      </c>
      <c r="CQ368" s="405">
        <v>0</v>
      </c>
      <c r="CR368" s="284">
        <f>IF(CO368,_xll.qDateYears(CO367,CO368,CR$13),0)</f>
        <v>0</v>
      </c>
      <c r="CS368" s="284">
        <f t="shared" si="92"/>
        <v>2166.0491297426292</v>
      </c>
      <c r="DA368" s="560">
        <v>0</v>
      </c>
      <c r="DB368" s="155" t="str">
        <f t="shared" si="87"/>
        <v/>
      </c>
      <c r="DC368" s="405">
        <v>0</v>
      </c>
      <c r="DD368" s="284">
        <f>IF(DA368,_xll.qDateYears(DA367,DA368,DD$13),0)</f>
        <v>0</v>
      </c>
      <c r="DE368" s="284">
        <f t="shared" si="93"/>
        <v>1625.698949379763</v>
      </c>
      <c r="DM368" s="560">
        <v>0</v>
      </c>
      <c r="DN368" s="155" t="str">
        <f t="shared" si="88"/>
        <v/>
      </c>
      <c r="DO368" s="405">
        <v>0</v>
      </c>
      <c r="DP368" s="284">
        <f>IF(DM368,_xll.qDateYears(DM367,DM368,DP$13),0)</f>
        <v>0</v>
      </c>
      <c r="DQ368" s="284">
        <f t="shared" si="94"/>
        <v>2216.4810485334592</v>
      </c>
    </row>
    <row r="369" spans="59:121">
      <c r="BG369" s="560">
        <v>0</v>
      </c>
      <c r="BH369" s="154" t="str">
        <f t="shared" si="83"/>
        <v/>
      </c>
      <c r="BI369" s="405">
        <v>0</v>
      </c>
      <c r="BJ369" s="284">
        <f>IF(BG369,_xll.qDateYears(BG368,BG369,$BJ$13),0)</f>
        <v>0</v>
      </c>
      <c r="BK369" s="284">
        <f t="shared" si="89"/>
        <v>2216.4810485334592</v>
      </c>
      <c r="BQ369" s="560">
        <v>0</v>
      </c>
      <c r="BR369" s="155" t="str">
        <f t="shared" si="84"/>
        <v/>
      </c>
      <c r="BS369" s="405">
        <v>0</v>
      </c>
      <c r="BT369" s="284">
        <f>IF(BQ369,_xll.qDateYears(BQ368,BQ369,BT$13),0)</f>
        <v>0</v>
      </c>
      <c r="BU369" s="284">
        <f t="shared" si="90"/>
        <v>1731.4581291138484</v>
      </c>
      <c r="CC369" s="560">
        <v>0</v>
      </c>
      <c r="CD369" s="155" t="str">
        <f t="shared" si="85"/>
        <v/>
      </c>
      <c r="CE369" s="405">
        <v>0</v>
      </c>
      <c r="CF369" s="284">
        <f>IF(CC369,_xll.qDateYears(CC368,CC369,CF$13),0)</f>
        <v>0</v>
      </c>
      <c r="CG369" s="284">
        <f t="shared" si="91"/>
        <v>2320.9300800126416</v>
      </c>
      <c r="CO369" s="560">
        <v>0</v>
      </c>
      <c r="CP369" s="155" t="str">
        <f t="shared" si="86"/>
        <v/>
      </c>
      <c r="CQ369" s="405">
        <v>0</v>
      </c>
      <c r="CR369" s="284">
        <f>IF(CO369,_xll.qDateYears(CO368,CO369,CR$13),0)</f>
        <v>0</v>
      </c>
      <c r="CS369" s="284">
        <f t="shared" si="92"/>
        <v>2166.0491297426292</v>
      </c>
      <c r="DA369" s="560">
        <v>0</v>
      </c>
      <c r="DB369" s="155" t="str">
        <f t="shared" si="87"/>
        <v/>
      </c>
      <c r="DC369" s="405">
        <v>0</v>
      </c>
      <c r="DD369" s="284">
        <f>IF(DA369,_xll.qDateYears(DA368,DA369,DD$13),0)</f>
        <v>0</v>
      </c>
      <c r="DE369" s="284">
        <f t="shared" si="93"/>
        <v>1625.698949379763</v>
      </c>
      <c r="DM369" s="560">
        <v>0</v>
      </c>
      <c r="DN369" s="155" t="str">
        <f t="shared" si="88"/>
        <v/>
      </c>
      <c r="DO369" s="405">
        <v>0</v>
      </c>
      <c r="DP369" s="284">
        <f>IF(DM369,_xll.qDateYears(DM368,DM369,DP$13),0)</f>
        <v>0</v>
      </c>
      <c r="DQ369" s="284">
        <f t="shared" si="94"/>
        <v>2216.4810485334592</v>
      </c>
    </row>
    <row r="370" spans="59:121">
      <c r="BG370" s="560">
        <v>0</v>
      </c>
      <c r="BH370" s="154" t="str">
        <f t="shared" si="83"/>
        <v/>
      </c>
      <c r="BI370" s="405">
        <v>0</v>
      </c>
      <c r="BJ370" s="284">
        <f>IF(BG370,_xll.qDateYears(BG369,BG370,$BJ$13),0)</f>
        <v>0</v>
      </c>
      <c r="BK370" s="284">
        <f t="shared" si="89"/>
        <v>2216.4810485334592</v>
      </c>
      <c r="BQ370" s="560">
        <v>0</v>
      </c>
      <c r="BR370" s="155" t="str">
        <f t="shared" si="84"/>
        <v/>
      </c>
      <c r="BS370" s="405">
        <v>0</v>
      </c>
      <c r="BT370" s="284">
        <f>IF(BQ370,_xll.qDateYears(BQ369,BQ370,BT$13),0)</f>
        <v>0</v>
      </c>
      <c r="BU370" s="284">
        <f t="shared" si="90"/>
        <v>1731.4581291138484</v>
      </c>
      <c r="CC370" s="560">
        <v>0</v>
      </c>
      <c r="CD370" s="155" t="str">
        <f t="shared" si="85"/>
        <v/>
      </c>
      <c r="CE370" s="405">
        <v>0</v>
      </c>
      <c r="CF370" s="284">
        <f>IF(CC370,_xll.qDateYears(CC369,CC370,CF$13),0)</f>
        <v>0</v>
      </c>
      <c r="CG370" s="284">
        <f t="shared" si="91"/>
        <v>2320.9300800126416</v>
      </c>
      <c r="CO370" s="560">
        <v>0</v>
      </c>
      <c r="CP370" s="155" t="str">
        <f t="shared" si="86"/>
        <v/>
      </c>
      <c r="CQ370" s="405">
        <v>0</v>
      </c>
      <c r="CR370" s="284">
        <f>IF(CO370,_xll.qDateYears(CO369,CO370,CR$13),0)</f>
        <v>0</v>
      </c>
      <c r="CS370" s="284">
        <f t="shared" si="92"/>
        <v>2166.0491297426292</v>
      </c>
      <c r="DA370" s="560">
        <v>0</v>
      </c>
      <c r="DB370" s="155" t="str">
        <f t="shared" si="87"/>
        <v/>
      </c>
      <c r="DC370" s="405">
        <v>0</v>
      </c>
      <c r="DD370" s="284">
        <f>IF(DA370,_xll.qDateYears(DA369,DA370,DD$13),0)</f>
        <v>0</v>
      </c>
      <c r="DE370" s="284">
        <f t="shared" si="93"/>
        <v>1625.698949379763</v>
      </c>
      <c r="DM370" s="560">
        <v>0</v>
      </c>
      <c r="DN370" s="155" t="str">
        <f t="shared" si="88"/>
        <v/>
      </c>
      <c r="DO370" s="405">
        <v>0</v>
      </c>
      <c r="DP370" s="284">
        <f>IF(DM370,_xll.qDateYears(DM369,DM370,DP$13),0)</f>
        <v>0</v>
      </c>
      <c r="DQ370" s="284">
        <f t="shared" si="94"/>
        <v>2216.4810485334592</v>
      </c>
    </row>
    <row r="371" spans="59:121">
      <c r="BG371" s="560">
        <v>0</v>
      </c>
      <c r="BH371" s="154" t="str">
        <f t="shared" si="83"/>
        <v/>
      </c>
      <c r="BI371" s="405">
        <v>0</v>
      </c>
      <c r="BJ371" s="284">
        <f>IF(BG371,_xll.qDateYears(BG370,BG371,$BJ$13),0)</f>
        <v>0</v>
      </c>
      <c r="BK371" s="284">
        <f t="shared" si="89"/>
        <v>2216.4810485334592</v>
      </c>
      <c r="BQ371" s="560">
        <v>0</v>
      </c>
      <c r="BR371" s="155" t="str">
        <f t="shared" si="84"/>
        <v/>
      </c>
      <c r="BS371" s="405">
        <v>0</v>
      </c>
      <c r="BT371" s="284">
        <f>IF(BQ371,_xll.qDateYears(BQ370,BQ371,BT$13),0)</f>
        <v>0</v>
      </c>
      <c r="BU371" s="284">
        <f t="shared" si="90"/>
        <v>1731.4581291138484</v>
      </c>
      <c r="CC371" s="560">
        <v>0</v>
      </c>
      <c r="CD371" s="155" t="str">
        <f t="shared" si="85"/>
        <v/>
      </c>
      <c r="CE371" s="405">
        <v>0</v>
      </c>
      <c r="CF371" s="284">
        <f>IF(CC371,_xll.qDateYears(CC370,CC371,CF$13),0)</f>
        <v>0</v>
      </c>
      <c r="CG371" s="284">
        <f t="shared" si="91"/>
        <v>2320.9300800126416</v>
      </c>
      <c r="CO371" s="560">
        <v>0</v>
      </c>
      <c r="CP371" s="155" t="str">
        <f t="shared" si="86"/>
        <v/>
      </c>
      <c r="CQ371" s="405">
        <v>0</v>
      </c>
      <c r="CR371" s="284">
        <f>IF(CO371,_xll.qDateYears(CO370,CO371,CR$13),0)</f>
        <v>0</v>
      </c>
      <c r="CS371" s="284">
        <f t="shared" si="92"/>
        <v>2166.0491297426292</v>
      </c>
      <c r="DA371" s="560">
        <v>0</v>
      </c>
      <c r="DB371" s="155" t="str">
        <f t="shared" si="87"/>
        <v/>
      </c>
      <c r="DC371" s="405">
        <v>0</v>
      </c>
      <c r="DD371" s="284">
        <f>IF(DA371,_xll.qDateYears(DA370,DA371,DD$13),0)</f>
        <v>0</v>
      </c>
      <c r="DE371" s="284">
        <f t="shared" si="93"/>
        <v>1625.698949379763</v>
      </c>
      <c r="DM371" s="560">
        <v>0</v>
      </c>
      <c r="DN371" s="155" t="str">
        <f t="shared" si="88"/>
        <v/>
      </c>
      <c r="DO371" s="405">
        <v>0</v>
      </c>
      <c r="DP371" s="284">
        <f>IF(DM371,_xll.qDateYears(DM370,DM371,DP$13),0)</f>
        <v>0</v>
      </c>
      <c r="DQ371" s="284">
        <f t="shared" si="94"/>
        <v>2216.4810485334592</v>
      </c>
    </row>
    <row r="372" spans="59:121">
      <c r="BG372" s="560">
        <v>0</v>
      </c>
      <c r="BH372" s="154" t="str">
        <f t="shared" si="83"/>
        <v/>
      </c>
      <c r="BI372" s="405">
        <v>0</v>
      </c>
      <c r="BJ372" s="284">
        <f>IF(BG372,_xll.qDateYears(BG371,BG372,$BJ$13),0)</f>
        <v>0</v>
      </c>
      <c r="BK372" s="284">
        <f t="shared" si="89"/>
        <v>2216.4810485334592</v>
      </c>
      <c r="BQ372" s="560">
        <v>0</v>
      </c>
      <c r="BR372" s="155" t="str">
        <f t="shared" si="84"/>
        <v/>
      </c>
      <c r="BS372" s="405">
        <v>0</v>
      </c>
      <c r="BT372" s="284">
        <f>IF(BQ372,_xll.qDateYears(BQ371,BQ372,BT$13),0)</f>
        <v>0</v>
      </c>
      <c r="BU372" s="284">
        <f t="shared" si="90"/>
        <v>1731.4581291138484</v>
      </c>
      <c r="CC372" s="560">
        <v>0</v>
      </c>
      <c r="CD372" s="155" t="str">
        <f t="shared" si="85"/>
        <v/>
      </c>
      <c r="CE372" s="405">
        <v>0</v>
      </c>
      <c r="CF372" s="284">
        <f>IF(CC372,_xll.qDateYears(CC371,CC372,CF$13),0)</f>
        <v>0</v>
      </c>
      <c r="CG372" s="284">
        <f t="shared" si="91"/>
        <v>2320.9300800126416</v>
      </c>
      <c r="CO372" s="560">
        <v>0</v>
      </c>
      <c r="CP372" s="155" t="str">
        <f t="shared" si="86"/>
        <v/>
      </c>
      <c r="CQ372" s="405">
        <v>0</v>
      </c>
      <c r="CR372" s="284">
        <f>IF(CO372,_xll.qDateYears(CO371,CO372,CR$13),0)</f>
        <v>0</v>
      </c>
      <c r="CS372" s="284">
        <f t="shared" si="92"/>
        <v>2166.0491297426292</v>
      </c>
      <c r="DA372" s="560">
        <v>0</v>
      </c>
      <c r="DB372" s="155" t="str">
        <f t="shared" si="87"/>
        <v/>
      </c>
      <c r="DC372" s="405">
        <v>0</v>
      </c>
      <c r="DD372" s="284">
        <f>IF(DA372,_xll.qDateYears(DA371,DA372,DD$13),0)</f>
        <v>0</v>
      </c>
      <c r="DE372" s="284">
        <f t="shared" si="93"/>
        <v>1625.698949379763</v>
      </c>
      <c r="DM372" s="560">
        <v>0</v>
      </c>
      <c r="DN372" s="155" t="str">
        <f t="shared" si="88"/>
        <v/>
      </c>
      <c r="DO372" s="405">
        <v>0</v>
      </c>
      <c r="DP372" s="284">
        <f>IF(DM372,_xll.qDateYears(DM371,DM372,DP$13),0)</f>
        <v>0</v>
      </c>
      <c r="DQ372" s="284">
        <f t="shared" si="94"/>
        <v>2216.4810485334592</v>
      </c>
    </row>
    <row r="373" spans="59:121">
      <c r="BG373" s="560">
        <v>0</v>
      </c>
      <c r="BH373" s="154" t="str">
        <f t="shared" si="83"/>
        <v/>
      </c>
      <c r="BI373" s="405">
        <v>0</v>
      </c>
      <c r="BJ373" s="284">
        <f>IF(BG373,_xll.qDateYears(BG372,BG373,$BJ$13),0)</f>
        <v>0</v>
      </c>
      <c r="BK373" s="284">
        <f t="shared" si="89"/>
        <v>2216.4810485334592</v>
      </c>
      <c r="BQ373" s="560">
        <v>0</v>
      </c>
      <c r="BR373" s="155" t="str">
        <f t="shared" si="84"/>
        <v/>
      </c>
      <c r="BS373" s="405">
        <v>0</v>
      </c>
      <c r="BT373" s="284">
        <f>IF(BQ373,_xll.qDateYears(BQ372,BQ373,BT$13),0)</f>
        <v>0</v>
      </c>
      <c r="BU373" s="284">
        <f t="shared" si="90"/>
        <v>1731.4581291138484</v>
      </c>
      <c r="CC373" s="560">
        <v>0</v>
      </c>
      <c r="CD373" s="155" t="str">
        <f t="shared" si="85"/>
        <v/>
      </c>
      <c r="CE373" s="405">
        <v>0</v>
      </c>
      <c r="CF373" s="284">
        <f>IF(CC373,_xll.qDateYears(CC372,CC373,CF$13),0)</f>
        <v>0</v>
      </c>
      <c r="CG373" s="284">
        <f t="shared" si="91"/>
        <v>2320.9300800126416</v>
      </c>
      <c r="CO373" s="560">
        <v>0</v>
      </c>
      <c r="CP373" s="155" t="str">
        <f t="shared" si="86"/>
        <v/>
      </c>
      <c r="CQ373" s="405">
        <v>0</v>
      </c>
      <c r="CR373" s="284">
        <f>IF(CO373,_xll.qDateYears(CO372,CO373,CR$13),0)</f>
        <v>0</v>
      </c>
      <c r="CS373" s="284">
        <f t="shared" si="92"/>
        <v>2166.0491297426292</v>
      </c>
      <c r="DA373" s="560">
        <v>0</v>
      </c>
      <c r="DB373" s="155" t="str">
        <f t="shared" si="87"/>
        <v/>
      </c>
      <c r="DC373" s="405">
        <v>0</v>
      </c>
      <c r="DD373" s="284">
        <f>IF(DA373,_xll.qDateYears(DA372,DA373,DD$13),0)</f>
        <v>0</v>
      </c>
      <c r="DE373" s="284">
        <f t="shared" si="93"/>
        <v>1625.698949379763</v>
      </c>
      <c r="DM373" s="560">
        <v>0</v>
      </c>
      <c r="DN373" s="155" t="str">
        <f t="shared" si="88"/>
        <v/>
      </c>
      <c r="DO373" s="405">
        <v>0</v>
      </c>
      <c r="DP373" s="284">
        <f>IF(DM373,_xll.qDateYears(DM372,DM373,DP$13),0)</f>
        <v>0</v>
      </c>
      <c r="DQ373" s="284">
        <f t="shared" si="94"/>
        <v>2216.4810485334592</v>
      </c>
    </row>
    <row r="374" spans="59:121">
      <c r="BG374" s="560">
        <v>0</v>
      </c>
      <c r="BH374" s="154" t="str">
        <f t="shared" si="83"/>
        <v/>
      </c>
      <c r="BI374" s="405">
        <v>0</v>
      </c>
      <c r="BJ374" s="284">
        <f>IF(BG374,_xll.qDateYears(BG373,BG374,$BJ$13),0)</f>
        <v>0</v>
      </c>
      <c r="BK374" s="284">
        <f t="shared" si="89"/>
        <v>2216.4810485334592</v>
      </c>
      <c r="BQ374" s="560">
        <v>0</v>
      </c>
      <c r="BR374" s="155" t="str">
        <f t="shared" si="84"/>
        <v/>
      </c>
      <c r="BS374" s="405">
        <v>0</v>
      </c>
      <c r="BT374" s="284">
        <f>IF(BQ374,_xll.qDateYears(BQ373,BQ374,BT$13),0)</f>
        <v>0</v>
      </c>
      <c r="BU374" s="284">
        <f t="shared" si="90"/>
        <v>1731.4581291138484</v>
      </c>
      <c r="CC374" s="560">
        <v>0</v>
      </c>
      <c r="CD374" s="155" t="str">
        <f t="shared" si="85"/>
        <v/>
      </c>
      <c r="CE374" s="405">
        <v>0</v>
      </c>
      <c r="CF374" s="284">
        <f>IF(CC374,_xll.qDateYears(CC373,CC374,CF$13),0)</f>
        <v>0</v>
      </c>
      <c r="CG374" s="284">
        <f t="shared" si="91"/>
        <v>2320.9300800126416</v>
      </c>
      <c r="CO374" s="560">
        <v>0</v>
      </c>
      <c r="CP374" s="155" t="str">
        <f t="shared" si="86"/>
        <v/>
      </c>
      <c r="CQ374" s="405">
        <v>0</v>
      </c>
      <c r="CR374" s="284">
        <f>IF(CO374,_xll.qDateYears(CO373,CO374,CR$13),0)</f>
        <v>0</v>
      </c>
      <c r="CS374" s="284">
        <f t="shared" si="92"/>
        <v>2166.0491297426292</v>
      </c>
      <c r="DA374" s="560">
        <v>0</v>
      </c>
      <c r="DB374" s="155" t="str">
        <f t="shared" si="87"/>
        <v/>
      </c>
      <c r="DC374" s="405">
        <v>0</v>
      </c>
      <c r="DD374" s="284">
        <f>IF(DA374,_xll.qDateYears(DA373,DA374,DD$13),0)</f>
        <v>0</v>
      </c>
      <c r="DE374" s="284">
        <f t="shared" si="93"/>
        <v>1625.698949379763</v>
      </c>
      <c r="DM374" s="560">
        <v>0</v>
      </c>
      <c r="DN374" s="155" t="str">
        <f t="shared" si="88"/>
        <v/>
      </c>
      <c r="DO374" s="405">
        <v>0</v>
      </c>
      <c r="DP374" s="284">
        <f>IF(DM374,_xll.qDateYears(DM373,DM374,DP$13),0)</f>
        <v>0</v>
      </c>
      <c r="DQ374" s="284">
        <f t="shared" si="94"/>
        <v>2216.4810485334592</v>
      </c>
    </row>
    <row r="375" spans="59:121">
      <c r="BG375" s="560">
        <v>0</v>
      </c>
      <c r="BH375" s="154" t="str">
        <f t="shared" si="83"/>
        <v/>
      </c>
      <c r="BI375" s="405">
        <v>0</v>
      </c>
      <c r="BJ375" s="284">
        <f>IF(BG375,_xll.qDateYears(BG374,BG375,$BJ$13),0)</f>
        <v>0</v>
      </c>
      <c r="BK375" s="284">
        <f t="shared" si="89"/>
        <v>2216.4810485334592</v>
      </c>
      <c r="BQ375" s="560">
        <v>0</v>
      </c>
      <c r="BR375" s="155" t="str">
        <f t="shared" si="84"/>
        <v/>
      </c>
      <c r="BS375" s="405">
        <v>0</v>
      </c>
      <c r="BT375" s="284">
        <f>IF(BQ375,_xll.qDateYears(BQ374,BQ375,BT$13),0)</f>
        <v>0</v>
      </c>
      <c r="BU375" s="284">
        <f t="shared" si="90"/>
        <v>1731.4581291138484</v>
      </c>
      <c r="CC375" s="560">
        <v>0</v>
      </c>
      <c r="CD375" s="155" t="str">
        <f t="shared" si="85"/>
        <v/>
      </c>
      <c r="CE375" s="405">
        <v>0</v>
      </c>
      <c r="CF375" s="284">
        <f>IF(CC375,_xll.qDateYears(CC374,CC375,CF$13),0)</f>
        <v>0</v>
      </c>
      <c r="CG375" s="284">
        <f t="shared" si="91"/>
        <v>2320.9300800126416</v>
      </c>
      <c r="CO375" s="560">
        <v>0</v>
      </c>
      <c r="CP375" s="155" t="str">
        <f t="shared" si="86"/>
        <v/>
      </c>
      <c r="CQ375" s="405">
        <v>0</v>
      </c>
      <c r="CR375" s="284">
        <f>IF(CO375,_xll.qDateYears(CO374,CO375,CR$13),0)</f>
        <v>0</v>
      </c>
      <c r="CS375" s="284">
        <f t="shared" si="92"/>
        <v>2166.0491297426292</v>
      </c>
      <c r="DA375" s="560">
        <v>0</v>
      </c>
      <c r="DB375" s="155" t="str">
        <f t="shared" si="87"/>
        <v/>
      </c>
      <c r="DC375" s="405">
        <v>0</v>
      </c>
      <c r="DD375" s="284">
        <f>IF(DA375,_xll.qDateYears(DA374,DA375,DD$13),0)</f>
        <v>0</v>
      </c>
      <c r="DE375" s="284">
        <f t="shared" si="93"/>
        <v>1625.698949379763</v>
      </c>
      <c r="DM375" s="560">
        <v>0</v>
      </c>
      <c r="DN375" s="155" t="str">
        <f t="shared" si="88"/>
        <v/>
      </c>
      <c r="DO375" s="405">
        <v>0</v>
      </c>
      <c r="DP375" s="284">
        <f>IF(DM375,_xll.qDateYears(DM374,DM375,DP$13),0)</f>
        <v>0</v>
      </c>
      <c r="DQ375" s="284">
        <f t="shared" si="94"/>
        <v>2216.4810485334592</v>
      </c>
    </row>
    <row r="376" spans="59:121">
      <c r="BG376" s="560">
        <v>0</v>
      </c>
      <c r="BH376" s="154" t="str">
        <f t="shared" si="83"/>
        <v/>
      </c>
      <c r="BI376" s="405">
        <v>0</v>
      </c>
      <c r="BJ376" s="284">
        <f>IF(BG376,_xll.qDateYears(BG375,BG376,$BJ$13),0)</f>
        <v>0</v>
      </c>
      <c r="BK376" s="284">
        <f t="shared" si="89"/>
        <v>2216.4810485334592</v>
      </c>
      <c r="BQ376" s="560">
        <v>0</v>
      </c>
      <c r="BR376" s="155" t="str">
        <f t="shared" si="84"/>
        <v/>
      </c>
      <c r="BS376" s="405">
        <v>0</v>
      </c>
      <c r="BT376" s="284">
        <f>IF(BQ376,_xll.qDateYears(BQ375,BQ376,BT$13),0)</f>
        <v>0</v>
      </c>
      <c r="BU376" s="284">
        <f t="shared" si="90"/>
        <v>1731.4581291138484</v>
      </c>
      <c r="CC376" s="560">
        <v>0</v>
      </c>
      <c r="CD376" s="155" t="str">
        <f t="shared" si="85"/>
        <v/>
      </c>
      <c r="CE376" s="405">
        <v>0</v>
      </c>
      <c r="CF376" s="284">
        <f>IF(CC376,_xll.qDateYears(CC375,CC376,CF$13),0)</f>
        <v>0</v>
      </c>
      <c r="CG376" s="284">
        <f t="shared" si="91"/>
        <v>2320.9300800126416</v>
      </c>
      <c r="CO376" s="560">
        <v>0</v>
      </c>
      <c r="CP376" s="155" t="str">
        <f t="shared" si="86"/>
        <v/>
      </c>
      <c r="CQ376" s="405">
        <v>0</v>
      </c>
      <c r="CR376" s="284">
        <f>IF(CO376,_xll.qDateYears(CO375,CO376,CR$13),0)</f>
        <v>0</v>
      </c>
      <c r="CS376" s="284">
        <f t="shared" si="92"/>
        <v>2166.0491297426292</v>
      </c>
      <c r="DA376" s="560">
        <v>0</v>
      </c>
      <c r="DB376" s="155" t="str">
        <f t="shared" si="87"/>
        <v/>
      </c>
      <c r="DC376" s="405">
        <v>0</v>
      </c>
      <c r="DD376" s="284">
        <f>IF(DA376,_xll.qDateYears(DA375,DA376,DD$13),0)</f>
        <v>0</v>
      </c>
      <c r="DE376" s="284">
        <f t="shared" si="93"/>
        <v>1625.698949379763</v>
      </c>
      <c r="DM376" s="560">
        <v>0</v>
      </c>
      <c r="DN376" s="155" t="str">
        <f t="shared" si="88"/>
        <v/>
      </c>
      <c r="DO376" s="405">
        <v>0</v>
      </c>
      <c r="DP376" s="284">
        <f>IF(DM376,_xll.qDateYears(DM375,DM376,DP$13),0)</f>
        <v>0</v>
      </c>
      <c r="DQ376" s="284">
        <f t="shared" si="94"/>
        <v>2216.4810485334592</v>
      </c>
    </row>
    <row r="377" spans="59:121">
      <c r="BG377" s="560">
        <v>0</v>
      </c>
      <c r="BH377" s="154" t="str">
        <f t="shared" si="83"/>
        <v/>
      </c>
      <c r="BI377" s="405">
        <v>0</v>
      </c>
      <c r="BJ377" s="284">
        <f>IF(BG377,_xll.qDateYears(BG376,BG377,$BJ$13),0)</f>
        <v>0</v>
      </c>
      <c r="BK377" s="284">
        <f t="shared" si="89"/>
        <v>2216.4810485334592</v>
      </c>
      <c r="BQ377" s="560">
        <v>0</v>
      </c>
      <c r="BR377" s="155" t="str">
        <f t="shared" si="84"/>
        <v/>
      </c>
      <c r="BS377" s="405">
        <v>0</v>
      </c>
      <c r="BT377" s="284">
        <f>IF(BQ377,_xll.qDateYears(BQ376,BQ377,BT$13),0)</f>
        <v>0</v>
      </c>
      <c r="BU377" s="284">
        <f t="shared" si="90"/>
        <v>1731.4581291138484</v>
      </c>
      <c r="CC377" s="560">
        <v>0</v>
      </c>
      <c r="CD377" s="155" t="str">
        <f t="shared" si="85"/>
        <v/>
      </c>
      <c r="CE377" s="405">
        <v>0</v>
      </c>
      <c r="CF377" s="284">
        <f>IF(CC377,_xll.qDateYears(CC376,CC377,CF$13),0)</f>
        <v>0</v>
      </c>
      <c r="CG377" s="284">
        <f t="shared" si="91"/>
        <v>2320.9300800126416</v>
      </c>
      <c r="CO377" s="560">
        <v>0</v>
      </c>
      <c r="CP377" s="155" t="str">
        <f t="shared" si="86"/>
        <v/>
      </c>
      <c r="CQ377" s="405">
        <v>0</v>
      </c>
      <c r="CR377" s="284">
        <f>IF(CO377,_xll.qDateYears(CO376,CO377,CR$13),0)</f>
        <v>0</v>
      </c>
      <c r="CS377" s="284">
        <f t="shared" si="92"/>
        <v>2166.0491297426292</v>
      </c>
      <c r="DA377" s="560">
        <v>0</v>
      </c>
      <c r="DB377" s="155" t="str">
        <f t="shared" si="87"/>
        <v/>
      </c>
      <c r="DC377" s="405">
        <v>0</v>
      </c>
      <c r="DD377" s="284">
        <f>IF(DA377,_xll.qDateYears(DA376,DA377,DD$13),0)</f>
        <v>0</v>
      </c>
      <c r="DE377" s="284">
        <f t="shared" si="93"/>
        <v>1625.698949379763</v>
      </c>
      <c r="DM377" s="560">
        <v>0</v>
      </c>
      <c r="DN377" s="155" t="str">
        <f t="shared" si="88"/>
        <v/>
      </c>
      <c r="DO377" s="405">
        <v>0</v>
      </c>
      <c r="DP377" s="284">
        <f>IF(DM377,_xll.qDateYears(DM376,DM377,DP$13),0)</f>
        <v>0</v>
      </c>
      <c r="DQ377" s="284">
        <f t="shared" si="94"/>
        <v>2216.4810485334592</v>
      </c>
    </row>
    <row r="378" spans="59:121">
      <c r="BG378" s="560">
        <v>0</v>
      </c>
      <c r="BH378" s="154" t="str">
        <f t="shared" si="83"/>
        <v/>
      </c>
      <c r="BI378" s="405">
        <v>0</v>
      </c>
      <c r="BJ378" s="284">
        <f>IF(BG378,_xll.qDateYears(BG377,BG378,$BJ$13),0)</f>
        <v>0</v>
      </c>
      <c r="BK378" s="284">
        <f t="shared" si="89"/>
        <v>2216.4810485334592</v>
      </c>
      <c r="BQ378" s="560">
        <v>0</v>
      </c>
      <c r="BR378" s="155" t="str">
        <f t="shared" si="84"/>
        <v/>
      </c>
      <c r="BS378" s="405">
        <v>0</v>
      </c>
      <c r="BT378" s="284">
        <f>IF(BQ378,_xll.qDateYears(BQ377,BQ378,BT$13),0)</f>
        <v>0</v>
      </c>
      <c r="BU378" s="284">
        <f t="shared" si="90"/>
        <v>1731.4581291138484</v>
      </c>
      <c r="CC378" s="560">
        <v>0</v>
      </c>
      <c r="CD378" s="155" t="str">
        <f t="shared" si="85"/>
        <v/>
      </c>
      <c r="CE378" s="405">
        <v>0</v>
      </c>
      <c r="CF378" s="284">
        <f>IF(CC378,_xll.qDateYears(CC377,CC378,CF$13),0)</f>
        <v>0</v>
      </c>
      <c r="CG378" s="284">
        <f t="shared" si="91"/>
        <v>2320.9300800126416</v>
      </c>
      <c r="CO378" s="560">
        <v>0</v>
      </c>
      <c r="CP378" s="155" t="str">
        <f t="shared" si="86"/>
        <v/>
      </c>
      <c r="CQ378" s="405">
        <v>0</v>
      </c>
      <c r="CR378" s="284">
        <f>IF(CO378,_xll.qDateYears(CO377,CO378,CR$13),0)</f>
        <v>0</v>
      </c>
      <c r="CS378" s="284">
        <f t="shared" si="92"/>
        <v>2166.0491297426292</v>
      </c>
      <c r="DA378" s="560">
        <v>0</v>
      </c>
      <c r="DB378" s="155" t="str">
        <f t="shared" si="87"/>
        <v/>
      </c>
      <c r="DC378" s="405">
        <v>0</v>
      </c>
      <c r="DD378" s="284">
        <f>IF(DA378,_xll.qDateYears(DA377,DA378,DD$13),0)</f>
        <v>0</v>
      </c>
      <c r="DE378" s="284">
        <f t="shared" si="93"/>
        <v>1625.698949379763</v>
      </c>
      <c r="DM378" s="560">
        <v>0</v>
      </c>
      <c r="DN378" s="155" t="str">
        <f t="shared" si="88"/>
        <v/>
      </c>
      <c r="DO378" s="405">
        <v>0</v>
      </c>
      <c r="DP378" s="284">
        <f>IF(DM378,_xll.qDateYears(DM377,DM378,DP$13),0)</f>
        <v>0</v>
      </c>
      <c r="DQ378" s="284">
        <f t="shared" si="94"/>
        <v>2216.4810485334592</v>
      </c>
    </row>
    <row r="379" spans="59:121">
      <c r="BG379" s="560">
        <v>0</v>
      </c>
      <c r="BH379" s="154" t="str">
        <f t="shared" si="83"/>
        <v/>
      </c>
      <c r="BI379" s="405">
        <v>0</v>
      </c>
      <c r="BJ379" s="284">
        <f>IF(BG379,_xll.qDateYears(BG378,BG379,$BJ$13),0)</f>
        <v>0</v>
      </c>
      <c r="BK379" s="284">
        <f t="shared" si="89"/>
        <v>2216.4810485334592</v>
      </c>
      <c r="BQ379" s="560">
        <v>0</v>
      </c>
      <c r="BR379" s="155" t="str">
        <f t="shared" si="84"/>
        <v/>
      </c>
      <c r="BS379" s="405">
        <v>0</v>
      </c>
      <c r="BT379" s="284">
        <f>IF(BQ379,_xll.qDateYears(BQ378,BQ379,BT$13),0)</f>
        <v>0</v>
      </c>
      <c r="BU379" s="284">
        <f t="shared" si="90"/>
        <v>1731.4581291138484</v>
      </c>
      <c r="CC379" s="560">
        <v>0</v>
      </c>
      <c r="CD379" s="155" t="str">
        <f t="shared" si="85"/>
        <v/>
      </c>
      <c r="CE379" s="405">
        <v>0</v>
      </c>
      <c r="CF379" s="284">
        <f>IF(CC379,_xll.qDateYears(CC378,CC379,CF$13),0)</f>
        <v>0</v>
      </c>
      <c r="CG379" s="284">
        <f t="shared" si="91"/>
        <v>2320.9300800126416</v>
      </c>
      <c r="CO379" s="560">
        <v>0</v>
      </c>
      <c r="CP379" s="155" t="str">
        <f t="shared" si="86"/>
        <v/>
      </c>
      <c r="CQ379" s="405">
        <v>0</v>
      </c>
      <c r="CR379" s="284">
        <f>IF(CO379,_xll.qDateYears(CO378,CO379,CR$13),0)</f>
        <v>0</v>
      </c>
      <c r="CS379" s="284">
        <f t="shared" si="92"/>
        <v>2166.0491297426292</v>
      </c>
      <c r="DA379" s="560">
        <v>0</v>
      </c>
      <c r="DB379" s="155" t="str">
        <f t="shared" si="87"/>
        <v/>
      </c>
      <c r="DC379" s="405">
        <v>0</v>
      </c>
      <c r="DD379" s="284">
        <f>IF(DA379,_xll.qDateYears(DA378,DA379,DD$13),0)</f>
        <v>0</v>
      </c>
      <c r="DE379" s="284">
        <f t="shared" si="93"/>
        <v>1625.698949379763</v>
      </c>
      <c r="DM379" s="560">
        <v>0</v>
      </c>
      <c r="DN379" s="155" t="str">
        <f t="shared" si="88"/>
        <v/>
      </c>
      <c r="DO379" s="405">
        <v>0</v>
      </c>
      <c r="DP379" s="284">
        <f>IF(DM379,_xll.qDateYears(DM378,DM379,DP$13),0)</f>
        <v>0</v>
      </c>
      <c r="DQ379" s="284">
        <f t="shared" si="94"/>
        <v>2216.4810485334592</v>
      </c>
    </row>
    <row r="380" spans="59:121">
      <c r="BG380" s="560">
        <v>0</v>
      </c>
      <c r="BH380" s="154" t="str">
        <f t="shared" si="83"/>
        <v/>
      </c>
      <c r="BI380" s="405">
        <v>0</v>
      </c>
      <c r="BJ380" s="284">
        <f>IF(BG380,_xll.qDateYears(BG379,BG380,$BJ$13),0)</f>
        <v>0</v>
      </c>
      <c r="BK380" s="284">
        <f t="shared" si="89"/>
        <v>2216.4810485334592</v>
      </c>
      <c r="BQ380" s="560">
        <v>0</v>
      </c>
      <c r="BR380" s="155" t="str">
        <f t="shared" si="84"/>
        <v/>
      </c>
      <c r="BS380" s="405">
        <v>0</v>
      </c>
      <c r="BT380" s="284">
        <f>IF(BQ380,_xll.qDateYears(BQ379,BQ380,BT$13),0)</f>
        <v>0</v>
      </c>
      <c r="BU380" s="284">
        <f t="shared" si="90"/>
        <v>1731.4581291138484</v>
      </c>
      <c r="CC380" s="560">
        <v>0</v>
      </c>
      <c r="CD380" s="155" t="str">
        <f t="shared" si="85"/>
        <v/>
      </c>
      <c r="CE380" s="405">
        <v>0</v>
      </c>
      <c r="CF380" s="284">
        <f>IF(CC380,_xll.qDateYears(CC379,CC380,CF$13),0)</f>
        <v>0</v>
      </c>
      <c r="CG380" s="284">
        <f t="shared" si="91"/>
        <v>2320.9300800126416</v>
      </c>
      <c r="CO380" s="560">
        <v>0</v>
      </c>
      <c r="CP380" s="155" t="str">
        <f t="shared" si="86"/>
        <v/>
      </c>
      <c r="CQ380" s="405">
        <v>0</v>
      </c>
      <c r="CR380" s="284">
        <f>IF(CO380,_xll.qDateYears(CO379,CO380,CR$13),0)</f>
        <v>0</v>
      </c>
      <c r="CS380" s="284">
        <f t="shared" si="92"/>
        <v>2166.0491297426292</v>
      </c>
      <c r="DA380" s="560">
        <v>0</v>
      </c>
      <c r="DB380" s="155" t="str">
        <f t="shared" si="87"/>
        <v/>
      </c>
      <c r="DC380" s="405">
        <v>0</v>
      </c>
      <c r="DD380" s="284">
        <f>IF(DA380,_xll.qDateYears(DA379,DA380,DD$13),0)</f>
        <v>0</v>
      </c>
      <c r="DE380" s="284">
        <f t="shared" si="93"/>
        <v>1625.698949379763</v>
      </c>
      <c r="DM380" s="560">
        <v>0</v>
      </c>
      <c r="DN380" s="155" t="str">
        <f t="shared" si="88"/>
        <v/>
      </c>
      <c r="DO380" s="405">
        <v>0</v>
      </c>
      <c r="DP380" s="284">
        <f>IF(DM380,_xll.qDateYears(DM379,DM380,DP$13),0)</f>
        <v>0</v>
      </c>
      <c r="DQ380" s="284">
        <f t="shared" si="94"/>
        <v>2216.4810485334592</v>
      </c>
    </row>
    <row r="381" spans="59:121">
      <c r="BG381" s="560">
        <v>0</v>
      </c>
      <c r="BH381" s="154" t="str">
        <f t="shared" si="83"/>
        <v/>
      </c>
      <c r="BI381" s="405">
        <v>0</v>
      </c>
      <c r="BJ381" s="284">
        <f>IF(BG381,_xll.qDateYears(BG380,BG381,$BJ$13),0)</f>
        <v>0</v>
      </c>
      <c r="BK381" s="284">
        <f t="shared" si="89"/>
        <v>2216.4810485334592</v>
      </c>
      <c r="BQ381" s="560">
        <v>0</v>
      </c>
      <c r="BR381" s="155" t="str">
        <f t="shared" si="84"/>
        <v/>
      </c>
      <c r="BS381" s="405">
        <v>0</v>
      </c>
      <c r="BT381" s="284">
        <f>IF(BQ381,_xll.qDateYears(BQ380,BQ381,BT$13),0)</f>
        <v>0</v>
      </c>
      <c r="BU381" s="284">
        <f t="shared" si="90"/>
        <v>1731.4581291138484</v>
      </c>
      <c r="CC381" s="560">
        <v>0</v>
      </c>
      <c r="CD381" s="155" t="str">
        <f t="shared" si="85"/>
        <v/>
      </c>
      <c r="CE381" s="405">
        <v>0</v>
      </c>
      <c r="CF381" s="284">
        <f>IF(CC381,_xll.qDateYears(CC380,CC381,CF$13),0)</f>
        <v>0</v>
      </c>
      <c r="CG381" s="284">
        <f t="shared" si="91"/>
        <v>2320.9300800126416</v>
      </c>
      <c r="CO381" s="560">
        <v>0</v>
      </c>
      <c r="CP381" s="155" t="str">
        <f t="shared" si="86"/>
        <v/>
      </c>
      <c r="CQ381" s="405">
        <v>0</v>
      </c>
      <c r="CR381" s="284">
        <f>IF(CO381,_xll.qDateYears(CO380,CO381,CR$13),0)</f>
        <v>0</v>
      </c>
      <c r="CS381" s="284">
        <f t="shared" si="92"/>
        <v>2166.0491297426292</v>
      </c>
      <c r="DA381" s="560">
        <v>0</v>
      </c>
      <c r="DB381" s="155" t="str">
        <f t="shared" si="87"/>
        <v/>
      </c>
      <c r="DC381" s="405">
        <v>0</v>
      </c>
      <c r="DD381" s="284">
        <f>IF(DA381,_xll.qDateYears(DA380,DA381,DD$13),0)</f>
        <v>0</v>
      </c>
      <c r="DE381" s="284">
        <f t="shared" si="93"/>
        <v>1625.698949379763</v>
      </c>
      <c r="DM381" s="560">
        <v>0</v>
      </c>
      <c r="DN381" s="155" t="str">
        <f t="shared" si="88"/>
        <v/>
      </c>
      <c r="DO381" s="405">
        <v>0</v>
      </c>
      <c r="DP381" s="284">
        <f>IF(DM381,_xll.qDateYears(DM380,DM381,DP$13),0)</f>
        <v>0</v>
      </c>
      <c r="DQ381" s="284">
        <f t="shared" si="94"/>
        <v>2216.4810485334592</v>
      </c>
    </row>
    <row r="382" spans="59:121">
      <c r="BG382" s="560">
        <v>0</v>
      </c>
      <c r="BH382" s="154" t="str">
        <f t="shared" si="83"/>
        <v/>
      </c>
      <c r="BI382" s="405">
        <v>0</v>
      </c>
      <c r="BJ382" s="284">
        <f>IF(BG382,_xll.qDateYears(BG381,BG382,$BJ$13),0)</f>
        <v>0</v>
      </c>
      <c r="BK382" s="284">
        <f t="shared" si="89"/>
        <v>2216.4810485334592</v>
      </c>
      <c r="BQ382" s="560">
        <v>0</v>
      </c>
      <c r="BR382" s="155" t="str">
        <f t="shared" si="84"/>
        <v/>
      </c>
      <c r="BS382" s="405">
        <v>0</v>
      </c>
      <c r="BT382" s="284">
        <f>IF(BQ382,_xll.qDateYears(BQ381,BQ382,BT$13),0)</f>
        <v>0</v>
      </c>
      <c r="BU382" s="284">
        <f t="shared" si="90"/>
        <v>1731.4581291138484</v>
      </c>
      <c r="CC382" s="560">
        <v>0</v>
      </c>
      <c r="CD382" s="155" t="str">
        <f t="shared" si="85"/>
        <v/>
      </c>
      <c r="CE382" s="405">
        <v>0</v>
      </c>
      <c r="CF382" s="284">
        <f>IF(CC382,_xll.qDateYears(CC381,CC382,CF$13),0)</f>
        <v>0</v>
      </c>
      <c r="CG382" s="284">
        <f t="shared" si="91"/>
        <v>2320.9300800126416</v>
      </c>
      <c r="CO382" s="560">
        <v>0</v>
      </c>
      <c r="CP382" s="155" t="str">
        <f t="shared" si="86"/>
        <v/>
      </c>
      <c r="CQ382" s="405">
        <v>0</v>
      </c>
      <c r="CR382" s="284">
        <f>IF(CO382,_xll.qDateYears(CO381,CO382,CR$13),0)</f>
        <v>0</v>
      </c>
      <c r="CS382" s="284">
        <f t="shared" si="92"/>
        <v>2166.0491297426292</v>
      </c>
      <c r="DA382" s="560">
        <v>0</v>
      </c>
      <c r="DB382" s="155" t="str">
        <f t="shared" si="87"/>
        <v/>
      </c>
      <c r="DC382" s="405">
        <v>0</v>
      </c>
      <c r="DD382" s="284">
        <f>IF(DA382,_xll.qDateYears(DA381,DA382,DD$13),0)</f>
        <v>0</v>
      </c>
      <c r="DE382" s="284">
        <f t="shared" si="93"/>
        <v>1625.698949379763</v>
      </c>
      <c r="DM382" s="560">
        <v>0</v>
      </c>
      <c r="DN382" s="155" t="str">
        <f t="shared" si="88"/>
        <v/>
      </c>
      <c r="DO382" s="405">
        <v>0</v>
      </c>
      <c r="DP382" s="284">
        <f>IF(DM382,_xll.qDateYears(DM381,DM382,DP$13),0)</f>
        <v>0</v>
      </c>
      <c r="DQ382" s="284">
        <f t="shared" si="94"/>
        <v>2216.4810485334592</v>
      </c>
    </row>
    <row r="383" spans="59:121">
      <c r="BG383" s="560">
        <v>0</v>
      </c>
      <c r="BH383" s="154" t="str">
        <f t="shared" si="83"/>
        <v/>
      </c>
      <c r="BI383" s="405">
        <v>0</v>
      </c>
      <c r="BJ383" s="284">
        <f>IF(BG383,_xll.qDateYears(BG382,BG383,$BJ$13),0)</f>
        <v>0</v>
      </c>
      <c r="BK383" s="284">
        <f t="shared" si="89"/>
        <v>2216.4810485334592</v>
      </c>
      <c r="BQ383" s="560">
        <v>0</v>
      </c>
      <c r="BR383" s="155" t="str">
        <f t="shared" si="84"/>
        <v/>
      </c>
      <c r="BS383" s="405">
        <v>0</v>
      </c>
      <c r="BT383" s="284">
        <f>IF(BQ383,_xll.qDateYears(BQ382,BQ383,BT$13),0)</f>
        <v>0</v>
      </c>
      <c r="BU383" s="284">
        <f t="shared" si="90"/>
        <v>1731.4581291138484</v>
      </c>
      <c r="CC383" s="560">
        <v>0</v>
      </c>
      <c r="CD383" s="155" t="str">
        <f t="shared" si="85"/>
        <v/>
      </c>
      <c r="CE383" s="405">
        <v>0</v>
      </c>
      <c r="CF383" s="284">
        <f>IF(CC383,_xll.qDateYears(CC382,CC383,CF$13),0)</f>
        <v>0</v>
      </c>
      <c r="CG383" s="284">
        <f t="shared" si="91"/>
        <v>2320.9300800126416</v>
      </c>
      <c r="CO383" s="560">
        <v>0</v>
      </c>
      <c r="CP383" s="155" t="str">
        <f t="shared" si="86"/>
        <v/>
      </c>
      <c r="CQ383" s="405">
        <v>0</v>
      </c>
      <c r="CR383" s="284">
        <f>IF(CO383,_xll.qDateYears(CO382,CO383,CR$13),0)</f>
        <v>0</v>
      </c>
      <c r="CS383" s="284">
        <f t="shared" si="92"/>
        <v>2166.0491297426292</v>
      </c>
      <c r="DA383" s="560">
        <v>0</v>
      </c>
      <c r="DB383" s="155" t="str">
        <f t="shared" si="87"/>
        <v/>
      </c>
      <c r="DC383" s="405">
        <v>0</v>
      </c>
      <c r="DD383" s="284">
        <f>IF(DA383,_xll.qDateYears(DA382,DA383,DD$13),0)</f>
        <v>0</v>
      </c>
      <c r="DE383" s="284">
        <f t="shared" si="93"/>
        <v>1625.698949379763</v>
      </c>
      <c r="DM383" s="560">
        <v>0</v>
      </c>
      <c r="DN383" s="155" t="str">
        <f t="shared" si="88"/>
        <v/>
      </c>
      <c r="DO383" s="405">
        <v>0</v>
      </c>
      <c r="DP383" s="284">
        <f>IF(DM383,_xll.qDateYears(DM382,DM383,DP$13),0)</f>
        <v>0</v>
      </c>
      <c r="DQ383" s="284">
        <f t="shared" si="94"/>
        <v>2216.4810485334592</v>
      </c>
    </row>
    <row r="384" spans="59:121">
      <c r="BG384" s="560">
        <v>0</v>
      </c>
      <c r="BH384" s="154" t="str">
        <f t="shared" si="83"/>
        <v/>
      </c>
      <c r="BI384" s="405">
        <v>0</v>
      </c>
      <c r="BJ384" s="284">
        <f>IF(BG384,_xll.qDateYears(BG383,BG384,$BJ$13),0)</f>
        <v>0</v>
      </c>
      <c r="BK384" s="284">
        <f t="shared" si="89"/>
        <v>2216.4810485334592</v>
      </c>
      <c r="BQ384" s="560">
        <v>0</v>
      </c>
      <c r="BR384" s="155" t="str">
        <f t="shared" si="84"/>
        <v/>
      </c>
      <c r="BS384" s="405">
        <v>0</v>
      </c>
      <c r="BT384" s="284">
        <f>IF(BQ384,_xll.qDateYears(BQ383,BQ384,BT$13),0)</f>
        <v>0</v>
      </c>
      <c r="BU384" s="284">
        <f t="shared" si="90"/>
        <v>1731.4581291138484</v>
      </c>
      <c r="CC384" s="560">
        <v>0</v>
      </c>
      <c r="CD384" s="155" t="str">
        <f t="shared" si="85"/>
        <v/>
      </c>
      <c r="CE384" s="405">
        <v>0</v>
      </c>
      <c r="CF384" s="284">
        <f>IF(CC384,_xll.qDateYears(CC383,CC384,CF$13),0)</f>
        <v>0</v>
      </c>
      <c r="CG384" s="284">
        <f t="shared" si="91"/>
        <v>2320.9300800126416</v>
      </c>
      <c r="CO384" s="560">
        <v>0</v>
      </c>
      <c r="CP384" s="155" t="str">
        <f t="shared" si="86"/>
        <v/>
      </c>
      <c r="CQ384" s="405">
        <v>0</v>
      </c>
      <c r="CR384" s="284">
        <f>IF(CO384,_xll.qDateYears(CO383,CO384,CR$13),0)</f>
        <v>0</v>
      </c>
      <c r="CS384" s="284">
        <f t="shared" si="92"/>
        <v>2166.0491297426292</v>
      </c>
      <c r="DA384" s="560">
        <v>0</v>
      </c>
      <c r="DB384" s="155" t="str">
        <f t="shared" si="87"/>
        <v/>
      </c>
      <c r="DC384" s="405">
        <v>0</v>
      </c>
      <c r="DD384" s="284">
        <f>IF(DA384,_xll.qDateYears(DA383,DA384,DD$13),0)</f>
        <v>0</v>
      </c>
      <c r="DE384" s="284">
        <f t="shared" si="93"/>
        <v>1625.698949379763</v>
      </c>
      <c r="DM384" s="560">
        <v>0</v>
      </c>
      <c r="DN384" s="155" t="str">
        <f t="shared" si="88"/>
        <v/>
      </c>
      <c r="DO384" s="405">
        <v>0</v>
      </c>
      <c r="DP384" s="284">
        <f>IF(DM384,_xll.qDateYears(DM383,DM384,DP$13),0)</f>
        <v>0</v>
      </c>
      <c r="DQ384" s="284">
        <f t="shared" si="94"/>
        <v>2216.4810485334592</v>
      </c>
    </row>
    <row r="385" spans="59:121">
      <c r="BG385" s="560">
        <v>0</v>
      </c>
      <c r="BH385" s="154" t="str">
        <f t="shared" si="83"/>
        <v/>
      </c>
      <c r="BI385" s="405">
        <v>0</v>
      </c>
      <c r="BJ385" s="284">
        <f>IF(BG385,_xll.qDateYears(BG384,BG385,$BJ$13),0)</f>
        <v>0</v>
      </c>
      <c r="BK385" s="284">
        <f t="shared" si="89"/>
        <v>2216.4810485334592</v>
      </c>
      <c r="BQ385" s="560">
        <v>0</v>
      </c>
      <c r="BR385" s="155" t="str">
        <f t="shared" si="84"/>
        <v/>
      </c>
      <c r="BS385" s="405">
        <v>0</v>
      </c>
      <c r="BT385" s="284">
        <f>IF(BQ385,_xll.qDateYears(BQ384,BQ385,BT$13),0)</f>
        <v>0</v>
      </c>
      <c r="BU385" s="284">
        <f t="shared" si="90"/>
        <v>1731.4581291138484</v>
      </c>
      <c r="CC385" s="560">
        <v>0</v>
      </c>
      <c r="CD385" s="155" t="str">
        <f t="shared" si="85"/>
        <v/>
      </c>
      <c r="CE385" s="405">
        <v>0</v>
      </c>
      <c r="CF385" s="284">
        <f>IF(CC385,_xll.qDateYears(CC384,CC385,CF$13),0)</f>
        <v>0</v>
      </c>
      <c r="CG385" s="284">
        <f t="shared" si="91"/>
        <v>2320.9300800126416</v>
      </c>
      <c r="CO385" s="560">
        <v>0</v>
      </c>
      <c r="CP385" s="155" t="str">
        <f t="shared" si="86"/>
        <v/>
      </c>
      <c r="CQ385" s="405">
        <v>0</v>
      </c>
      <c r="CR385" s="284">
        <f>IF(CO385,_xll.qDateYears(CO384,CO385,CR$13),0)</f>
        <v>0</v>
      </c>
      <c r="CS385" s="284">
        <f t="shared" si="92"/>
        <v>2166.0491297426292</v>
      </c>
      <c r="DA385" s="560">
        <v>0</v>
      </c>
      <c r="DB385" s="155" t="str">
        <f t="shared" si="87"/>
        <v/>
      </c>
      <c r="DC385" s="405">
        <v>0</v>
      </c>
      <c r="DD385" s="284">
        <f>IF(DA385,_xll.qDateYears(DA384,DA385,DD$13),0)</f>
        <v>0</v>
      </c>
      <c r="DE385" s="284">
        <f t="shared" si="93"/>
        <v>1625.698949379763</v>
      </c>
      <c r="DM385" s="560">
        <v>0</v>
      </c>
      <c r="DN385" s="155" t="str">
        <f t="shared" si="88"/>
        <v/>
      </c>
      <c r="DO385" s="405">
        <v>0</v>
      </c>
      <c r="DP385" s="284">
        <f>IF(DM385,_xll.qDateYears(DM384,DM385,DP$13),0)</f>
        <v>0</v>
      </c>
      <c r="DQ385" s="284">
        <f t="shared" si="94"/>
        <v>2216.4810485334592</v>
      </c>
    </row>
    <row r="386" spans="59:121">
      <c r="BG386" s="560">
        <v>0</v>
      </c>
      <c r="BH386" s="154" t="str">
        <f t="shared" si="83"/>
        <v/>
      </c>
      <c r="BI386" s="405">
        <v>0</v>
      </c>
      <c r="BJ386" s="284">
        <f>IF(BG386,_xll.qDateYears(BG385,BG386,$BJ$13),0)</f>
        <v>0</v>
      </c>
      <c r="BK386" s="284">
        <f t="shared" si="89"/>
        <v>2216.4810485334592</v>
      </c>
      <c r="BQ386" s="560">
        <v>0</v>
      </c>
      <c r="BR386" s="155" t="str">
        <f t="shared" si="84"/>
        <v/>
      </c>
      <c r="BS386" s="405">
        <v>0</v>
      </c>
      <c r="BT386" s="284">
        <f>IF(BQ386,_xll.qDateYears(BQ385,BQ386,BT$13),0)</f>
        <v>0</v>
      </c>
      <c r="BU386" s="284">
        <f t="shared" si="90"/>
        <v>1731.4581291138484</v>
      </c>
      <c r="CC386" s="560">
        <v>0</v>
      </c>
      <c r="CD386" s="155" t="str">
        <f t="shared" si="85"/>
        <v/>
      </c>
      <c r="CE386" s="405">
        <v>0</v>
      </c>
      <c r="CF386" s="284">
        <f>IF(CC386,_xll.qDateYears(CC385,CC386,CF$13),0)</f>
        <v>0</v>
      </c>
      <c r="CG386" s="284">
        <f t="shared" si="91"/>
        <v>2320.9300800126416</v>
      </c>
      <c r="CO386" s="560">
        <v>0</v>
      </c>
      <c r="CP386" s="155" t="str">
        <f t="shared" si="86"/>
        <v/>
      </c>
      <c r="CQ386" s="405">
        <v>0</v>
      </c>
      <c r="CR386" s="284">
        <f>IF(CO386,_xll.qDateYears(CO385,CO386,CR$13),0)</f>
        <v>0</v>
      </c>
      <c r="CS386" s="284">
        <f t="shared" si="92"/>
        <v>2166.0491297426292</v>
      </c>
      <c r="DA386" s="560">
        <v>0</v>
      </c>
      <c r="DB386" s="155" t="str">
        <f t="shared" si="87"/>
        <v/>
      </c>
      <c r="DC386" s="405">
        <v>0</v>
      </c>
      <c r="DD386" s="284">
        <f>IF(DA386,_xll.qDateYears(DA385,DA386,DD$13),0)</f>
        <v>0</v>
      </c>
      <c r="DE386" s="284">
        <f t="shared" si="93"/>
        <v>1625.698949379763</v>
      </c>
      <c r="DM386" s="560">
        <v>0</v>
      </c>
      <c r="DN386" s="155" t="str">
        <f t="shared" si="88"/>
        <v/>
      </c>
      <c r="DO386" s="405">
        <v>0</v>
      </c>
      <c r="DP386" s="284">
        <f>IF(DM386,_xll.qDateYears(DM385,DM386,DP$13),0)</f>
        <v>0</v>
      </c>
      <c r="DQ386" s="284">
        <f t="shared" si="94"/>
        <v>2216.4810485334592</v>
      </c>
    </row>
    <row r="387" spans="59:121">
      <c r="BG387" s="560">
        <v>0</v>
      </c>
      <c r="BH387" s="154" t="str">
        <f t="shared" si="83"/>
        <v/>
      </c>
      <c r="BI387" s="405">
        <v>0</v>
      </c>
      <c r="BJ387" s="284">
        <f>IF(BG387,_xll.qDateYears(BG386,BG387,$BJ$13),0)</f>
        <v>0</v>
      </c>
      <c r="BK387" s="284">
        <f t="shared" si="89"/>
        <v>2216.4810485334592</v>
      </c>
      <c r="BQ387" s="560">
        <v>0</v>
      </c>
      <c r="BR387" s="155" t="str">
        <f t="shared" si="84"/>
        <v/>
      </c>
      <c r="BS387" s="405">
        <v>0</v>
      </c>
      <c r="BT387" s="284">
        <f>IF(BQ387,_xll.qDateYears(BQ386,BQ387,BT$13),0)</f>
        <v>0</v>
      </c>
      <c r="BU387" s="284">
        <f t="shared" si="90"/>
        <v>1731.4581291138484</v>
      </c>
      <c r="CC387" s="560">
        <v>0</v>
      </c>
      <c r="CD387" s="155" t="str">
        <f t="shared" si="85"/>
        <v/>
      </c>
      <c r="CE387" s="405">
        <v>0</v>
      </c>
      <c r="CF387" s="284">
        <f>IF(CC387,_xll.qDateYears(CC386,CC387,CF$13),0)</f>
        <v>0</v>
      </c>
      <c r="CG387" s="284">
        <f t="shared" si="91"/>
        <v>2320.9300800126416</v>
      </c>
      <c r="CO387" s="560">
        <v>0</v>
      </c>
      <c r="CP387" s="155" t="str">
        <f t="shared" si="86"/>
        <v/>
      </c>
      <c r="CQ387" s="405">
        <v>0</v>
      </c>
      <c r="CR387" s="284">
        <f>IF(CO387,_xll.qDateYears(CO386,CO387,CR$13),0)</f>
        <v>0</v>
      </c>
      <c r="CS387" s="284">
        <f t="shared" si="92"/>
        <v>2166.0491297426292</v>
      </c>
      <c r="DA387" s="560">
        <v>0</v>
      </c>
      <c r="DB387" s="155" t="str">
        <f t="shared" si="87"/>
        <v/>
      </c>
      <c r="DC387" s="405">
        <v>0</v>
      </c>
      <c r="DD387" s="284">
        <f>IF(DA387,_xll.qDateYears(DA386,DA387,DD$13),0)</f>
        <v>0</v>
      </c>
      <c r="DE387" s="284">
        <f t="shared" si="93"/>
        <v>1625.698949379763</v>
      </c>
      <c r="DM387" s="560">
        <v>0</v>
      </c>
      <c r="DN387" s="155" t="str">
        <f t="shared" si="88"/>
        <v/>
      </c>
      <c r="DO387" s="405">
        <v>0</v>
      </c>
      <c r="DP387" s="284">
        <f>IF(DM387,_xll.qDateYears(DM386,DM387,DP$13),0)</f>
        <v>0</v>
      </c>
      <c r="DQ387" s="284">
        <f t="shared" si="94"/>
        <v>2216.4810485334592</v>
      </c>
    </row>
    <row r="388" spans="59:121">
      <c r="BG388" s="560">
        <v>0</v>
      </c>
      <c r="BH388" s="154" t="str">
        <f t="shared" si="83"/>
        <v/>
      </c>
      <c r="BI388" s="405">
        <v>0</v>
      </c>
      <c r="BJ388" s="284">
        <f>IF(BG388,_xll.qDateYears(BG387,BG388,$BJ$13),0)</f>
        <v>0</v>
      </c>
      <c r="BK388" s="284">
        <f t="shared" si="89"/>
        <v>2216.4810485334592</v>
      </c>
      <c r="BQ388" s="560">
        <v>0</v>
      </c>
      <c r="BR388" s="155" t="str">
        <f t="shared" si="84"/>
        <v/>
      </c>
      <c r="BS388" s="405">
        <v>0</v>
      </c>
      <c r="BT388" s="284">
        <f>IF(BQ388,_xll.qDateYears(BQ387,BQ388,BT$13),0)</f>
        <v>0</v>
      </c>
      <c r="BU388" s="284">
        <f t="shared" si="90"/>
        <v>1731.4581291138484</v>
      </c>
      <c r="CC388" s="560">
        <v>0</v>
      </c>
      <c r="CD388" s="155" t="str">
        <f t="shared" si="85"/>
        <v/>
      </c>
      <c r="CE388" s="405">
        <v>0</v>
      </c>
      <c r="CF388" s="284">
        <f>IF(CC388,_xll.qDateYears(CC387,CC388,CF$13),0)</f>
        <v>0</v>
      </c>
      <c r="CG388" s="284">
        <f t="shared" si="91"/>
        <v>2320.9300800126416</v>
      </c>
      <c r="CO388" s="560">
        <v>0</v>
      </c>
      <c r="CP388" s="155" t="str">
        <f t="shared" si="86"/>
        <v/>
      </c>
      <c r="CQ388" s="405">
        <v>0</v>
      </c>
      <c r="CR388" s="284">
        <f>IF(CO388,_xll.qDateYears(CO387,CO388,CR$13),0)</f>
        <v>0</v>
      </c>
      <c r="CS388" s="284">
        <f t="shared" si="92"/>
        <v>2166.0491297426292</v>
      </c>
      <c r="DA388" s="560">
        <v>0</v>
      </c>
      <c r="DB388" s="155" t="str">
        <f t="shared" si="87"/>
        <v/>
      </c>
      <c r="DC388" s="405">
        <v>0</v>
      </c>
      <c r="DD388" s="284">
        <f>IF(DA388,_xll.qDateYears(DA387,DA388,DD$13),0)</f>
        <v>0</v>
      </c>
      <c r="DE388" s="284">
        <f t="shared" si="93"/>
        <v>1625.698949379763</v>
      </c>
      <c r="DM388" s="560">
        <v>0</v>
      </c>
      <c r="DN388" s="155" t="str">
        <f t="shared" si="88"/>
        <v/>
      </c>
      <c r="DO388" s="405">
        <v>0</v>
      </c>
      <c r="DP388" s="284">
        <f>IF(DM388,_xll.qDateYears(DM387,DM388,DP$13),0)</f>
        <v>0</v>
      </c>
      <c r="DQ388" s="284">
        <f t="shared" si="94"/>
        <v>2216.4810485334592</v>
      </c>
    </row>
    <row r="389" spans="59:121">
      <c r="BG389" s="560">
        <v>0</v>
      </c>
      <c r="BH389" s="154" t="str">
        <f t="shared" si="83"/>
        <v/>
      </c>
      <c r="BI389" s="405">
        <v>0</v>
      </c>
      <c r="BJ389" s="284">
        <f>IF(BG389,_xll.qDateYears(BG388,BG389,$BJ$13),0)</f>
        <v>0</v>
      </c>
      <c r="BK389" s="284">
        <f t="shared" si="89"/>
        <v>2216.4810485334592</v>
      </c>
      <c r="BQ389" s="560">
        <v>0</v>
      </c>
      <c r="BR389" s="155" t="str">
        <f t="shared" si="84"/>
        <v/>
      </c>
      <c r="BS389" s="405">
        <v>0</v>
      </c>
      <c r="BT389" s="284">
        <f>IF(BQ389,_xll.qDateYears(BQ388,BQ389,BT$13),0)</f>
        <v>0</v>
      </c>
      <c r="BU389" s="284">
        <f t="shared" si="90"/>
        <v>1731.4581291138484</v>
      </c>
      <c r="CC389" s="560">
        <v>0</v>
      </c>
      <c r="CD389" s="155" t="str">
        <f t="shared" si="85"/>
        <v/>
      </c>
      <c r="CE389" s="405">
        <v>0</v>
      </c>
      <c r="CF389" s="284">
        <f>IF(CC389,_xll.qDateYears(CC388,CC389,CF$13),0)</f>
        <v>0</v>
      </c>
      <c r="CG389" s="284">
        <f t="shared" si="91"/>
        <v>2320.9300800126416</v>
      </c>
      <c r="CO389" s="560">
        <v>0</v>
      </c>
      <c r="CP389" s="155" t="str">
        <f t="shared" si="86"/>
        <v/>
      </c>
      <c r="CQ389" s="405">
        <v>0</v>
      </c>
      <c r="CR389" s="284">
        <f>IF(CO389,_xll.qDateYears(CO388,CO389,CR$13),0)</f>
        <v>0</v>
      </c>
      <c r="CS389" s="284">
        <f t="shared" si="92"/>
        <v>2166.0491297426292</v>
      </c>
      <c r="DA389" s="560">
        <v>0</v>
      </c>
      <c r="DB389" s="155" t="str">
        <f t="shared" si="87"/>
        <v/>
      </c>
      <c r="DC389" s="405">
        <v>0</v>
      </c>
      <c r="DD389" s="284">
        <f>IF(DA389,_xll.qDateYears(DA388,DA389,DD$13),0)</f>
        <v>0</v>
      </c>
      <c r="DE389" s="284">
        <f t="shared" si="93"/>
        <v>1625.698949379763</v>
      </c>
      <c r="DM389" s="560">
        <v>0</v>
      </c>
      <c r="DN389" s="155" t="str">
        <f t="shared" si="88"/>
        <v/>
      </c>
      <c r="DO389" s="405">
        <v>0</v>
      </c>
      <c r="DP389" s="284">
        <f>IF(DM389,_xll.qDateYears(DM388,DM389,DP$13),0)</f>
        <v>0</v>
      </c>
      <c r="DQ389" s="284">
        <f t="shared" si="94"/>
        <v>2216.4810485334592</v>
      </c>
    </row>
    <row r="390" spans="59:121">
      <c r="BG390" s="560">
        <v>0</v>
      </c>
      <c r="BH390" s="154" t="str">
        <f t="shared" si="83"/>
        <v/>
      </c>
      <c r="BI390" s="405">
        <v>0</v>
      </c>
      <c r="BJ390" s="284">
        <f>IF(BG390,_xll.qDateYears(BG389,BG390,$BJ$13),0)</f>
        <v>0</v>
      </c>
      <c r="BK390" s="284">
        <f t="shared" si="89"/>
        <v>2216.4810485334592</v>
      </c>
      <c r="BQ390" s="560">
        <v>0</v>
      </c>
      <c r="BR390" s="155" t="str">
        <f t="shared" si="84"/>
        <v/>
      </c>
      <c r="BS390" s="405">
        <v>0</v>
      </c>
      <c r="BT390" s="284">
        <f>IF(BQ390,_xll.qDateYears(BQ389,BQ390,BT$13),0)</f>
        <v>0</v>
      </c>
      <c r="BU390" s="284">
        <f t="shared" si="90"/>
        <v>1731.4581291138484</v>
      </c>
      <c r="CC390" s="560">
        <v>0</v>
      </c>
      <c r="CD390" s="155" t="str">
        <f t="shared" si="85"/>
        <v/>
      </c>
      <c r="CE390" s="405">
        <v>0</v>
      </c>
      <c r="CF390" s="284">
        <f>IF(CC390,_xll.qDateYears(CC389,CC390,CF$13),0)</f>
        <v>0</v>
      </c>
      <c r="CG390" s="284">
        <f t="shared" si="91"/>
        <v>2320.9300800126416</v>
      </c>
      <c r="CO390" s="560">
        <v>0</v>
      </c>
      <c r="CP390" s="155" t="str">
        <f t="shared" si="86"/>
        <v/>
      </c>
      <c r="CQ390" s="405">
        <v>0</v>
      </c>
      <c r="CR390" s="284">
        <f>IF(CO390,_xll.qDateYears(CO389,CO390,CR$13),0)</f>
        <v>0</v>
      </c>
      <c r="CS390" s="284">
        <f t="shared" si="92"/>
        <v>2166.0491297426292</v>
      </c>
      <c r="DA390" s="560">
        <v>0</v>
      </c>
      <c r="DB390" s="155" t="str">
        <f t="shared" si="87"/>
        <v/>
      </c>
      <c r="DC390" s="405">
        <v>0</v>
      </c>
      <c r="DD390" s="284">
        <f>IF(DA390,_xll.qDateYears(DA389,DA390,DD$13),0)</f>
        <v>0</v>
      </c>
      <c r="DE390" s="284">
        <f t="shared" si="93"/>
        <v>1625.698949379763</v>
      </c>
      <c r="DM390" s="560">
        <v>0</v>
      </c>
      <c r="DN390" s="155" t="str">
        <f t="shared" si="88"/>
        <v/>
      </c>
      <c r="DO390" s="405">
        <v>0</v>
      </c>
      <c r="DP390" s="284">
        <f>IF(DM390,_xll.qDateYears(DM389,DM390,DP$13),0)</f>
        <v>0</v>
      </c>
      <c r="DQ390" s="284">
        <f t="shared" si="94"/>
        <v>2216.4810485334592</v>
      </c>
    </row>
    <row r="391" spans="59:121">
      <c r="BG391" s="560">
        <v>0</v>
      </c>
      <c r="BH391" s="154" t="str">
        <f t="shared" si="83"/>
        <v/>
      </c>
      <c r="BI391" s="405">
        <v>0</v>
      </c>
      <c r="BJ391" s="284">
        <f>IF(BG391,_xll.qDateYears(BG390,BG391,$BJ$13),0)</f>
        <v>0</v>
      </c>
      <c r="BK391" s="284">
        <f t="shared" si="89"/>
        <v>2216.4810485334592</v>
      </c>
      <c r="BQ391" s="560">
        <v>0</v>
      </c>
      <c r="BR391" s="155" t="str">
        <f t="shared" si="84"/>
        <v/>
      </c>
      <c r="BS391" s="405">
        <v>0</v>
      </c>
      <c r="BT391" s="284">
        <f>IF(BQ391,_xll.qDateYears(BQ390,BQ391,BT$13),0)</f>
        <v>0</v>
      </c>
      <c r="BU391" s="284">
        <f t="shared" si="90"/>
        <v>1731.4581291138484</v>
      </c>
      <c r="CC391" s="560">
        <v>0</v>
      </c>
      <c r="CD391" s="155" t="str">
        <f t="shared" si="85"/>
        <v/>
      </c>
      <c r="CE391" s="405">
        <v>0</v>
      </c>
      <c r="CF391" s="284">
        <f>IF(CC391,_xll.qDateYears(CC390,CC391,CF$13),0)</f>
        <v>0</v>
      </c>
      <c r="CG391" s="284">
        <f t="shared" si="91"/>
        <v>2320.9300800126416</v>
      </c>
      <c r="CO391" s="560">
        <v>0</v>
      </c>
      <c r="CP391" s="155" t="str">
        <f t="shared" si="86"/>
        <v/>
      </c>
      <c r="CQ391" s="405">
        <v>0</v>
      </c>
      <c r="CR391" s="284">
        <f>IF(CO391,_xll.qDateYears(CO390,CO391,CR$13),0)</f>
        <v>0</v>
      </c>
      <c r="CS391" s="284">
        <f t="shared" si="92"/>
        <v>2166.0491297426292</v>
      </c>
      <c r="DA391" s="560">
        <v>0</v>
      </c>
      <c r="DB391" s="155" t="str">
        <f t="shared" si="87"/>
        <v/>
      </c>
      <c r="DC391" s="405">
        <v>0</v>
      </c>
      <c r="DD391" s="284">
        <f>IF(DA391,_xll.qDateYears(DA390,DA391,DD$13),0)</f>
        <v>0</v>
      </c>
      <c r="DE391" s="284">
        <f t="shared" si="93"/>
        <v>1625.698949379763</v>
      </c>
      <c r="DM391" s="560">
        <v>0</v>
      </c>
      <c r="DN391" s="155" t="str">
        <f t="shared" si="88"/>
        <v/>
      </c>
      <c r="DO391" s="405">
        <v>0</v>
      </c>
      <c r="DP391" s="284">
        <f>IF(DM391,_xll.qDateYears(DM390,DM391,DP$13),0)</f>
        <v>0</v>
      </c>
      <c r="DQ391" s="284">
        <f t="shared" si="94"/>
        <v>2216.4810485334592</v>
      </c>
    </row>
    <row r="392" spans="59:121">
      <c r="BG392" s="560">
        <v>0</v>
      </c>
      <c r="BH392" s="154" t="str">
        <f t="shared" si="83"/>
        <v/>
      </c>
      <c r="BI392" s="405">
        <v>0</v>
      </c>
      <c r="BJ392" s="284">
        <f>IF(BG392,_xll.qDateYears(BG391,BG392,$BJ$13),0)</f>
        <v>0</v>
      </c>
      <c r="BK392" s="284">
        <f t="shared" si="89"/>
        <v>2216.4810485334592</v>
      </c>
      <c r="BQ392" s="560">
        <v>0</v>
      </c>
      <c r="BR392" s="155" t="str">
        <f t="shared" si="84"/>
        <v/>
      </c>
      <c r="BS392" s="405">
        <v>0</v>
      </c>
      <c r="BT392" s="284">
        <f>IF(BQ392,_xll.qDateYears(BQ391,BQ392,BT$13),0)</f>
        <v>0</v>
      </c>
      <c r="BU392" s="284">
        <f t="shared" si="90"/>
        <v>1731.4581291138484</v>
      </c>
      <c r="CC392" s="560">
        <v>0</v>
      </c>
      <c r="CD392" s="155" t="str">
        <f t="shared" si="85"/>
        <v/>
      </c>
      <c r="CE392" s="405">
        <v>0</v>
      </c>
      <c r="CF392" s="284">
        <f>IF(CC392,_xll.qDateYears(CC391,CC392,CF$13),0)</f>
        <v>0</v>
      </c>
      <c r="CG392" s="284">
        <f t="shared" si="91"/>
        <v>2320.9300800126416</v>
      </c>
      <c r="CO392" s="560">
        <v>0</v>
      </c>
      <c r="CP392" s="155" t="str">
        <f t="shared" si="86"/>
        <v/>
      </c>
      <c r="CQ392" s="405">
        <v>0</v>
      </c>
      <c r="CR392" s="284">
        <f>IF(CO392,_xll.qDateYears(CO391,CO392,CR$13),0)</f>
        <v>0</v>
      </c>
      <c r="CS392" s="284">
        <f t="shared" si="92"/>
        <v>2166.0491297426292</v>
      </c>
      <c r="DA392" s="560">
        <v>0</v>
      </c>
      <c r="DB392" s="155" t="str">
        <f t="shared" si="87"/>
        <v/>
      </c>
      <c r="DC392" s="405">
        <v>0</v>
      </c>
      <c r="DD392" s="284">
        <f>IF(DA392,_xll.qDateYears(DA391,DA392,DD$13),0)</f>
        <v>0</v>
      </c>
      <c r="DE392" s="284">
        <f t="shared" si="93"/>
        <v>1625.698949379763</v>
      </c>
      <c r="DM392" s="560">
        <v>0</v>
      </c>
      <c r="DN392" s="155" t="str">
        <f t="shared" si="88"/>
        <v/>
      </c>
      <c r="DO392" s="405">
        <v>0</v>
      </c>
      <c r="DP392" s="284">
        <f>IF(DM392,_xll.qDateYears(DM391,DM392,DP$13),0)</f>
        <v>0</v>
      </c>
      <c r="DQ392" s="284">
        <f t="shared" si="94"/>
        <v>2216.4810485334592</v>
      </c>
    </row>
    <row r="393" spans="59:121">
      <c r="BG393" s="560">
        <v>0</v>
      </c>
      <c r="BH393" s="154" t="str">
        <f t="shared" si="83"/>
        <v/>
      </c>
      <c r="BI393" s="405">
        <v>0</v>
      </c>
      <c r="BJ393" s="284">
        <f>IF(BG393,_xll.qDateYears(BG392,BG393,$BJ$13),0)</f>
        <v>0</v>
      </c>
      <c r="BK393" s="284">
        <f t="shared" si="89"/>
        <v>2216.4810485334592</v>
      </c>
      <c r="BQ393" s="560">
        <v>0</v>
      </c>
      <c r="BR393" s="155" t="str">
        <f t="shared" si="84"/>
        <v/>
      </c>
      <c r="BS393" s="405">
        <v>0</v>
      </c>
      <c r="BT393" s="284">
        <f>IF(BQ393,_xll.qDateYears(BQ392,BQ393,BT$13),0)</f>
        <v>0</v>
      </c>
      <c r="BU393" s="284">
        <f t="shared" si="90"/>
        <v>1731.4581291138484</v>
      </c>
      <c r="CC393" s="560">
        <v>0</v>
      </c>
      <c r="CD393" s="155" t="str">
        <f t="shared" si="85"/>
        <v/>
      </c>
      <c r="CE393" s="405">
        <v>0</v>
      </c>
      <c r="CF393" s="284">
        <f>IF(CC393,_xll.qDateYears(CC392,CC393,CF$13),0)</f>
        <v>0</v>
      </c>
      <c r="CG393" s="284">
        <f t="shared" si="91"/>
        <v>2320.9300800126416</v>
      </c>
      <c r="CO393" s="560">
        <v>0</v>
      </c>
      <c r="CP393" s="155" t="str">
        <f t="shared" si="86"/>
        <v/>
      </c>
      <c r="CQ393" s="405">
        <v>0</v>
      </c>
      <c r="CR393" s="284">
        <f>IF(CO393,_xll.qDateYears(CO392,CO393,CR$13),0)</f>
        <v>0</v>
      </c>
      <c r="CS393" s="284">
        <f t="shared" si="92"/>
        <v>2166.0491297426292</v>
      </c>
      <c r="DA393" s="560">
        <v>0</v>
      </c>
      <c r="DB393" s="155" t="str">
        <f t="shared" si="87"/>
        <v/>
      </c>
      <c r="DC393" s="405">
        <v>0</v>
      </c>
      <c r="DD393" s="284">
        <f>IF(DA393,_xll.qDateYears(DA392,DA393,DD$13),0)</f>
        <v>0</v>
      </c>
      <c r="DE393" s="284">
        <f t="shared" si="93"/>
        <v>1625.698949379763</v>
      </c>
      <c r="DM393" s="560">
        <v>0</v>
      </c>
      <c r="DN393" s="155" t="str">
        <f t="shared" si="88"/>
        <v/>
      </c>
      <c r="DO393" s="405">
        <v>0</v>
      </c>
      <c r="DP393" s="284">
        <f>IF(DM393,_xll.qDateYears(DM392,DM393,DP$13),0)</f>
        <v>0</v>
      </c>
      <c r="DQ393" s="284">
        <f t="shared" si="94"/>
        <v>2216.4810485334592</v>
      </c>
    </row>
    <row r="394" spans="59:121">
      <c r="BG394" s="560">
        <v>0</v>
      </c>
      <c r="BH394" s="154" t="str">
        <f t="shared" si="83"/>
        <v/>
      </c>
      <c r="BI394" s="405">
        <v>0</v>
      </c>
      <c r="BJ394" s="284">
        <f>IF(BG394,_xll.qDateYears(BG393,BG394,$BJ$13),0)</f>
        <v>0</v>
      </c>
      <c r="BK394" s="284">
        <f t="shared" si="89"/>
        <v>2216.4810485334592</v>
      </c>
      <c r="BQ394" s="560">
        <v>0</v>
      </c>
      <c r="BR394" s="155" t="str">
        <f t="shared" si="84"/>
        <v/>
      </c>
      <c r="BS394" s="405">
        <v>0</v>
      </c>
      <c r="BT394" s="284">
        <f>IF(BQ394,_xll.qDateYears(BQ393,BQ394,BT$13),0)</f>
        <v>0</v>
      </c>
      <c r="BU394" s="284">
        <f t="shared" si="90"/>
        <v>1731.4581291138484</v>
      </c>
      <c r="CC394" s="560">
        <v>0</v>
      </c>
      <c r="CD394" s="155" t="str">
        <f t="shared" si="85"/>
        <v/>
      </c>
      <c r="CE394" s="405">
        <v>0</v>
      </c>
      <c r="CF394" s="284">
        <f>IF(CC394,_xll.qDateYears(CC393,CC394,CF$13),0)</f>
        <v>0</v>
      </c>
      <c r="CG394" s="284">
        <f t="shared" si="91"/>
        <v>2320.9300800126416</v>
      </c>
      <c r="CO394" s="560">
        <v>0</v>
      </c>
      <c r="CP394" s="155" t="str">
        <f t="shared" si="86"/>
        <v/>
      </c>
      <c r="CQ394" s="405">
        <v>0</v>
      </c>
      <c r="CR394" s="284">
        <f>IF(CO394,_xll.qDateYears(CO393,CO394,CR$13),0)</f>
        <v>0</v>
      </c>
      <c r="CS394" s="284">
        <f t="shared" si="92"/>
        <v>2166.0491297426292</v>
      </c>
      <c r="DA394" s="560">
        <v>0</v>
      </c>
      <c r="DB394" s="155" t="str">
        <f t="shared" si="87"/>
        <v/>
      </c>
      <c r="DC394" s="405">
        <v>0</v>
      </c>
      <c r="DD394" s="284">
        <f>IF(DA394,_xll.qDateYears(DA393,DA394,DD$13),0)</f>
        <v>0</v>
      </c>
      <c r="DE394" s="284">
        <f t="shared" si="93"/>
        <v>1625.698949379763</v>
      </c>
      <c r="DM394" s="560">
        <v>0</v>
      </c>
      <c r="DN394" s="155" t="str">
        <f t="shared" si="88"/>
        <v/>
      </c>
      <c r="DO394" s="405">
        <v>0</v>
      </c>
      <c r="DP394" s="284">
        <f>IF(DM394,_xll.qDateYears(DM393,DM394,DP$13),0)</f>
        <v>0</v>
      </c>
      <c r="DQ394" s="284">
        <f t="shared" si="94"/>
        <v>2216.4810485334592</v>
      </c>
    </row>
    <row r="395" spans="59:121">
      <c r="BG395" s="560">
        <v>0</v>
      </c>
      <c r="BH395" s="154" t="str">
        <f t="shared" si="83"/>
        <v/>
      </c>
      <c r="BI395" s="405">
        <v>0</v>
      </c>
      <c r="BJ395" s="284">
        <f>IF(BG395,_xll.qDateYears(BG394,BG395,$BJ$13),0)</f>
        <v>0</v>
      </c>
      <c r="BK395" s="284">
        <f t="shared" si="89"/>
        <v>2216.4810485334592</v>
      </c>
      <c r="BQ395" s="560">
        <v>0</v>
      </c>
      <c r="BR395" s="155" t="str">
        <f t="shared" si="84"/>
        <v/>
      </c>
      <c r="BS395" s="405">
        <v>0</v>
      </c>
      <c r="BT395" s="284">
        <f>IF(BQ395,_xll.qDateYears(BQ394,BQ395,BT$13),0)</f>
        <v>0</v>
      </c>
      <c r="BU395" s="284">
        <f t="shared" si="90"/>
        <v>1731.4581291138484</v>
      </c>
      <c r="CC395" s="560">
        <v>0</v>
      </c>
      <c r="CD395" s="155" t="str">
        <f t="shared" si="85"/>
        <v/>
      </c>
      <c r="CE395" s="405">
        <v>0</v>
      </c>
      <c r="CF395" s="284">
        <f>IF(CC395,_xll.qDateYears(CC394,CC395,CF$13),0)</f>
        <v>0</v>
      </c>
      <c r="CG395" s="284">
        <f t="shared" si="91"/>
        <v>2320.9300800126416</v>
      </c>
      <c r="CO395" s="560">
        <v>0</v>
      </c>
      <c r="CP395" s="155" t="str">
        <f t="shared" si="86"/>
        <v/>
      </c>
      <c r="CQ395" s="405">
        <v>0</v>
      </c>
      <c r="CR395" s="284">
        <f>IF(CO395,_xll.qDateYears(CO394,CO395,CR$13),0)</f>
        <v>0</v>
      </c>
      <c r="CS395" s="284">
        <f t="shared" si="92"/>
        <v>2166.0491297426292</v>
      </c>
      <c r="DA395" s="560">
        <v>0</v>
      </c>
      <c r="DB395" s="155" t="str">
        <f t="shared" si="87"/>
        <v/>
      </c>
      <c r="DC395" s="405">
        <v>0</v>
      </c>
      <c r="DD395" s="284">
        <f>IF(DA395,_xll.qDateYears(DA394,DA395,DD$13),0)</f>
        <v>0</v>
      </c>
      <c r="DE395" s="284">
        <f t="shared" si="93"/>
        <v>1625.698949379763</v>
      </c>
      <c r="DM395" s="560">
        <v>0</v>
      </c>
      <c r="DN395" s="155" t="str">
        <f t="shared" si="88"/>
        <v/>
      </c>
      <c r="DO395" s="405">
        <v>0</v>
      </c>
      <c r="DP395" s="284">
        <f>IF(DM395,_xll.qDateYears(DM394,DM395,DP$13),0)</f>
        <v>0</v>
      </c>
      <c r="DQ395" s="284">
        <f t="shared" si="94"/>
        <v>2216.4810485334592</v>
      </c>
    </row>
    <row r="396" spans="59:121">
      <c r="BG396" s="560">
        <v>0</v>
      </c>
      <c r="BH396" s="154" t="str">
        <f t="shared" si="83"/>
        <v/>
      </c>
      <c r="BI396" s="405">
        <v>0</v>
      </c>
      <c r="BJ396" s="284">
        <f>IF(BG396,_xll.qDateYears(BG395,BG396,$BJ$13),0)</f>
        <v>0</v>
      </c>
      <c r="BK396" s="284">
        <f t="shared" si="89"/>
        <v>2216.4810485334592</v>
      </c>
      <c r="BQ396" s="560">
        <v>0</v>
      </c>
      <c r="BR396" s="155" t="str">
        <f t="shared" si="84"/>
        <v/>
      </c>
      <c r="BS396" s="405">
        <v>0</v>
      </c>
      <c r="BT396" s="284">
        <f>IF(BQ396,_xll.qDateYears(BQ395,BQ396,BT$13),0)</f>
        <v>0</v>
      </c>
      <c r="BU396" s="284">
        <f t="shared" si="90"/>
        <v>1731.4581291138484</v>
      </c>
      <c r="CC396" s="560">
        <v>0</v>
      </c>
      <c r="CD396" s="155" t="str">
        <f t="shared" si="85"/>
        <v/>
      </c>
      <c r="CE396" s="405">
        <v>0</v>
      </c>
      <c r="CF396" s="284">
        <f>IF(CC396,_xll.qDateYears(CC395,CC396,CF$13),0)</f>
        <v>0</v>
      </c>
      <c r="CG396" s="284">
        <f t="shared" si="91"/>
        <v>2320.9300800126416</v>
      </c>
      <c r="CO396" s="560">
        <v>0</v>
      </c>
      <c r="CP396" s="155" t="str">
        <f t="shared" si="86"/>
        <v/>
      </c>
      <c r="CQ396" s="405">
        <v>0</v>
      </c>
      <c r="CR396" s="284">
        <f>IF(CO396,_xll.qDateYears(CO395,CO396,CR$13),0)</f>
        <v>0</v>
      </c>
      <c r="CS396" s="284">
        <f t="shared" si="92"/>
        <v>2166.0491297426292</v>
      </c>
      <c r="DA396" s="560">
        <v>0</v>
      </c>
      <c r="DB396" s="155" t="str">
        <f t="shared" si="87"/>
        <v/>
      </c>
      <c r="DC396" s="405">
        <v>0</v>
      </c>
      <c r="DD396" s="284">
        <f>IF(DA396,_xll.qDateYears(DA395,DA396,DD$13),0)</f>
        <v>0</v>
      </c>
      <c r="DE396" s="284">
        <f t="shared" si="93"/>
        <v>1625.698949379763</v>
      </c>
      <c r="DM396" s="560">
        <v>0</v>
      </c>
      <c r="DN396" s="155" t="str">
        <f t="shared" si="88"/>
        <v/>
      </c>
      <c r="DO396" s="405">
        <v>0</v>
      </c>
      <c r="DP396" s="284">
        <f>IF(DM396,_xll.qDateYears(DM395,DM396,DP$13),0)</f>
        <v>0</v>
      </c>
      <c r="DQ396" s="284">
        <f t="shared" si="94"/>
        <v>2216.4810485334592</v>
      </c>
    </row>
    <row r="397" spans="59:121">
      <c r="BG397" s="560">
        <v>0</v>
      </c>
      <c r="BH397" s="154" t="str">
        <f t="shared" si="83"/>
        <v/>
      </c>
      <c r="BI397" s="405">
        <v>0</v>
      </c>
      <c r="BJ397" s="284">
        <f>IF(BG397,_xll.qDateYears(BG396,BG397,$BJ$13),0)</f>
        <v>0</v>
      </c>
      <c r="BK397" s="284">
        <f t="shared" si="89"/>
        <v>2216.4810485334592</v>
      </c>
      <c r="BQ397" s="560">
        <v>0</v>
      </c>
      <c r="BR397" s="155" t="str">
        <f t="shared" si="84"/>
        <v/>
      </c>
      <c r="BS397" s="405">
        <v>0</v>
      </c>
      <c r="BT397" s="284">
        <f>IF(BQ397,_xll.qDateYears(BQ396,BQ397,BT$13),0)</f>
        <v>0</v>
      </c>
      <c r="BU397" s="284">
        <f t="shared" si="90"/>
        <v>1731.4581291138484</v>
      </c>
      <c r="CC397" s="560">
        <v>0</v>
      </c>
      <c r="CD397" s="155" t="str">
        <f t="shared" si="85"/>
        <v/>
      </c>
      <c r="CE397" s="405">
        <v>0</v>
      </c>
      <c r="CF397" s="284">
        <f>IF(CC397,_xll.qDateYears(CC396,CC397,CF$13),0)</f>
        <v>0</v>
      </c>
      <c r="CG397" s="284">
        <f t="shared" si="91"/>
        <v>2320.9300800126416</v>
      </c>
      <c r="CO397" s="560">
        <v>0</v>
      </c>
      <c r="CP397" s="155" t="str">
        <f t="shared" si="86"/>
        <v/>
      </c>
      <c r="CQ397" s="405">
        <v>0</v>
      </c>
      <c r="CR397" s="284">
        <f>IF(CO397,_xll.qDateYears(CO396,CO397,CR$13),0)</f>
        <v>0</v>
      </c>
      <c r="CS397" s="284">
        <f t="shared" si="92"/>
        <v>2166.0491297426292</v>
      </c>
      <c r="DA397" s="560">
        <v>0</v>
      </c>
      <c r="DB397" s="155" t="str">
        <f t="shared" si="87"/>
        <v/>
      </c>
      <c r="DC397" s="405">
        <v>0</v>
      </c>
      <c r="DD397" s="284">
        <f>IF(DA397,_xll.qDateYears(DA396,DA397,DD$13),0)</f>
        <v>0</v>
      </c>
      <c r="DE397" s="284">
        <f t="shared" si="93"/>
        <v>1625.698949379763</v>
      </c>
      <c r="DM397" s="560">
        <v>0</v>
      </c>
      <c r="DN397" s="155" t="str">
        <f t="shared" si="88"/>
        <v/>
      </c>
      <c r="DO397" s="405">
        <v>0</v>
      </c>
      <c r="DP397" s="284">
        <f>IF(DM397,_xll.qDateYears(DM396,DM397,DP$13),0)</f>
        <v>0</v>
      </c>
      <c r="DQ397" s="284">
        <f t="shared" si="94"/>
        <v>2216.4810485334592</v>
      </c>
    </row>
    <row r="398" spans="59:121">
      <c r="BG398" s="560">
        <v>0</v>
      </c>
      <c r="BH398" s="154" t="str">
        <f t="shared" si="83"/>
        <v/>
      </c>
      <c r="BI398" s="405">
        <v>0</v>
      </c>
      <c r="BJ398" s="284">
        <f>IF(BG398,_xll.qDateYears(BG397,BG398,$BJ$13),0)</f>
        <v>0</v>
      </c>
      <c r="BK398" s="284">
        <f t="shared" si="89"/>
        <v>2216.4810485334592</v>
      </c>
      <c r="BQ398" s="560">
        <v>0</v>
      </c>
      <c r="BR398" s="155" t="str">
        <f t="shared" si="84"/>
        <v/>
      </c>
      <c r="BS398" s="405">
        <v>0</v>
      </c>
      <c r="BT398" s="284">
        <f>IF(BQ398,_xll.qDateYears(BQ397,BQ398,BT$13),0)</f>
        <v>0</v>
      </c>
      <c r="BU398" s="284">
        <f t="shared" si="90"/>
        <v>1731.4581291138484</v>
      </c>
      <c r="CC398" s="560">
        <v>0</v>
      </c>
      <c r="CD398" s="155" t="str">
        <f t="shared" si="85"/>
        <v/>
      </c>
      <c r="CE398" s="405">
        <v>0</v>
      </c>
      <c r="CF398" s="284">
        <f>IF(CC398,_xll.qDateYears(CC397,CC398,CF$13),0)</f>
        <v>0</v>
      </c>
      <c r="CG398" s="284">
        <f t="shared" si="91"/>
        <v>2320.9300800126416</v>
      </c>
      <c r="CO398" s="560">
        <v>0</v>
      </c>
      <c r="CP398" s="155" t="str">
        <f t="shared" si="86"/>
        <v/>
      </c>
      <c r="CQ398" s="405">
        <v>0</v>
      </c>
      <c r="CR398" s="284">
        <f>IF(CO398,_xll.qDateYears(CO397,CO398,CR$13),0)</f>
        <v>0</v>
      </c>
      <c r="CS398" s="284">
        <f t="shared" si="92"/>
        <v>2166.0491297426292</v>
      </c>
      <c r="DA398" s="560">
        <v>0</v>
      </c>
      <c r="DB398" s="155" t="str">
        <f t="shared" si="87"/>
        <v/>
      </c>
      <c r="DC398" s="405">
        <v>0</v>
      </c>
      <c r="DD398" s="284">
        <f>IF(DA398,_xll.qDateYears(DA397,DA398,DD$13),0)</f>
        <v>0</v>
      </c>
      <c r="DE398" s="284">
        <f t="shared" si="93"/>
        <v>1625.698949379763</v>
      </c>
      <c r="DM398" s="560">
        <v>0</v>
      </c>
      <c r="DN398" s="155" t="str">
        <f t="shared" si="88"/>
        <v/>
      </c>
      <c r="DO398" s="405">
        <v>0</v>
      </c>
      <c r="DP398" s="284">
        <f>IF(DM398,_xll.qDateYears(DM397,DM398,DP$13),0)</f>
        <v>0</v>
      </c>
      <c r="DQ398" s="284">
        <f t="shared" si="94"/>
        <v>2216.4810485334592</v>
      </c>
    </row>
    <row r="399" spans="59:121">
      <c r="BG399" s="560">
        <v>0</v>
      </c>
      <c r="BH399" s="154" t="str">
        <f t="shared" ref="BH399:BH462" si="95">IF(BG399,ROUND((BG399-$BG$15)/365/0.25,0)*0.25&amp;"Y","")</f>
        <v/>
      </c>
      <c r="BI399" s="405">
        <v>0</v>
      </c>
      <c r="BJ399" s="284">
        <f>IF(BG399,_xll.qDateYears(BG398,BG399,$BJ$13),0)</f>
        <v>0</v>
      </c>
      <c r="BK399" s="284">
        <f t="shared" si="89"/>
        <v>2216.4810485334592</v>
      </c>
      <c r="BQ399" s="560">
        <v>0</v>
      </c>
      <c r="BR399" s="155" t="str">
        <f t="shared" ref="BR399:BR462" si="96">IF(BQ399,ROUND((BQ399-$BG$15)/365/0.25,0)*0.25&amp;"Y","")</f>
        <v/>
      </c>
      <c r="BS399" s="405">
        <v>0</v>
      </c>
      <c r="BT399" s="284">
        <f>IF(BQ399,_xll.qDateYears(BQ398,BQ399,BT$13),0)</f>
        <v>0</v>
      </c>
      <c r="BU399" s="284">
        <f t="shared" si="90"/>
        <v>1731.4581291138484</v>
      </c>
      <c r="CC399" s="560">
        <v>0</v>
      </c>
      <c r="CD399" s="155" t="str">
        <f t="shared" ref="CD399:CD462" si="97">IF(CC399,ROUND((CC399-$BG$15)/365/0.25,0)*0.25&amp;"Y","")</f>
        <v/>
      </c>
      <c r="CE399" s="405">
        <v>0</v>
      </c>
      <c r="CF399" s="284">
        <f>IF(CC399,_xll.qDateYears(CC398,CC399,CF$13),0)</f>
        <v>0</v>
      </c>
      <c r="CG399" s="284">
        <f t="shared" si="91"/>
        <v>2320.9300800126416</v>
      </c>
      <c r="CO399" s="560">
        <v>0</v>
      </c>
      <c r="CP399" s="155" t="str">
        <f t="shared" ref="CP399:CP462" si="98">IF(CO399,ROUND((CO399-$BG$15)/365/0.25,0)*0.25&amp;"Y","")</f>
        <v/>
      </c>
      <c r="CQ399" s="405">
        <v>0</v>
      </c>
      <c r="CR399" s="284">
        <f>IF(CO399,_xll.qDateYears(CO398,CO399,CR$13),0)</f>
        <v>0</v>
      </c>
      <c r="CS399" s="284">
        <f t="shared" si="92"/>
        <v>2166.0491297426292</v>
      </c>
      <c r="DA399" s="560">
        <v>0</v>
      </c>
      <c r="DB399" s="155" t="str">
        <f t="shared" ref="DB399:DB462" si="99">IF(DA399,ROUND((DA399-$BG$15)/365/0.25,0)*0.25&amp;"Y","")</f>
        <v/>
      </c>
      <c r="DC399" s="405">
        <v>0</v>
      </c>
      <c r="DD399" s="284">
        <f>IF(DA399,_xll.qDateYears(DA398,DA399,DD$13),0)</f>
        <v>0</v>
      </c>
      <c r="DE399" s="284">
        <f t="shared" si="93"/>
        <v>1625.698949379763</v>
      </c>
      <c r="DM399" s="560">
        <v>0</v>
      </c>
      <c r="DN399" s="155" t="str">
        <f t="shared" ref="DN399:DN462" si="100">IF(DM399,ROUND((DM399-$BG$15)/365/0.25,0)*0.25&amp;"Y","")</f>
        <v/>
      </c>
      <c r="DO399" s="405">
        <v>0</v>
      </c>
      <c r="DP399" s="284">
        <f>IF(DM399,_xll.qDateYears(DM398,DM399,DP$13),0)</f>
        <v>0</v>
      </c>
      <c r="DQ399" s="284">
        <f t="shared" si="94"/>
        <v>2216.4810485334592</v>
      </c>
    </row>
    <row r="400" spans="59:121">
      <c r="BG400" s="560">
        <v>0</v>
      </c>
      <c r="BH400" s="154" t="str">
        <f t="shared" si="95"/>
        <v/>
      </c>
      <c r="BI400" s="405">
        <v>0</v>
      </c>
      <c r="BJ400" s="284">
        <f>IF(BG400,_xll.qDateYears(BG399,BG400,$BJ$13),0)</f>
        <v>0</v>
      </c>
      <c r="BK400" s="284">
        <f t="shared" si="89"/>
        <v>2216.4810485334592</v>
      </c>
      <c r="BQ400" s="560">
        <v>0</v>
      </c>
      <c r="BR400" s="155" t="str">
        <f t="shared" si="96"/>
        <v/>
      </c>
      <c r="BS400" s="405">
        <v>0</v>
      </c>
      <c r="BT400" s="284">
        <f>IF(BQ400,_xll.qDateYears(BQ399,BQ400,BT$13),0)</f>
        <v>0</v>
      </c>
      <c r="BU400" s="284">
        <f t="shared" si="90"/>
        <v>1731.4581291138484</v>
      </c>
      <c r="CC400" s="560">
        <v>0</v>
      </c>
      <c r="CD400" s="155" t="str">
        <f t="shared" si="97"/>
        <v/>
      </c>
      <c r="CE400" s="405">
        <v>0</v>
      </c>
      <c r="CF400" s="284">
        <f>IF(CC400,_xll.qDateYears(CC399,CC400,CF$13),0)</f>
        <v>0</v>
      </c>
      <c r="CG400" s="284">
        <f t="shared" si="91"/>
        <v>2320.9300800126416</v>
      </c>
      <c r="CO400" s="560">
        <v>0</v>
      </c>
      <c r="CP400" s="155" t="str">
        <f t="shared" si="98"/>
        <v/>
      </c>
      <c r="CQ400" s="405">
        <v>0</v>
      </c>
      <c r="CR400" s="284">
        <f>IF(CO400,_xll.qDateYears(CO399,CO400,CR$13),0)</f>
        <v>0</v>
      </c>
      <c r="CS400" s="284">
        <f t="shared" si="92"/>
        <v>2166.0491297426292</v>
      </c>
      <c r="DA400" s="560">
        <v>0</v>
      </c>
      <c r="DB400" s="155" t="str">
        <f t="shared" si="99"/>
        <v/>
      </c>
      <c r="DC400" s="405">
        <v>0</v>
      </c>
      <c r="DD400" s="284">
        <f>IF(DA400,_xll.qDateYears(DA399,DA400,DD$13),0)</f>
        <v>0</v>
      </c>
      <c r="DE400" s="284">
        <f t="shared" si="93"/>
        <v>1625.698949379763</v>
      </c>
      <c r="DM400" s="560">
        <v>0</v>
      </c>
      <c r="DN400" s="155" t="str">
        <f t="shared" si="100"/>
        <v/>
      </c>
      <c r="DO400" s="405">
        <v>0</v>
      </c>
      <c r="DP400" s="284">
        <f>IF(DM400,_xll.qDateYears(DM399,DM400,DP$13),0)</f>
        <v>0</v>
      </c>
      <c r="DQ400" s="284">
        <f t="shared" si="94"/>
        <v>2216.4810485334592</v>
      </c>
    </row>
    <row r="401" spans="59:121">
      <c r="BG401" s="560">
        <v>0</v>
      </c>
      <c r="BH401" s="154" t="str">
        <f t="shared" si="95"/>
        <v/>
      </c>
      <c r="BI401" s="405">
        <v>0</v>
      </c>
      <c r="BJ401" s="284">
        <f>IF(BG401,_xll.qDateYears(BG400,BG401,$BJ$13),0)</f>
        <v>0</v>
      </c>
      <c r="BK401" s="284">
        <f t="shared" ref="BK401:BK464" si="101">BK400+BJ401*BI401*100</f>
        <v>2216.4810485334592</v>
      </c>
      <c r="BQ401" s="560">
        <v>0</v>
      </c>
      <c r="BR401" s="155" t="str">
        <f t="shared" si="96"/>
        <v/>
      </c>
      <c r="BS401" s="405">
        <v>0</v>
      </c>
      <c r="BT401" s="284">
        <f>IF(BQ401,_xll.qDateYears(BQ400,BQ401,BT$13),0)</f>
        <v>0</v>
      </c>
      <c r="BU401" s="284">
        <f t="shared" ref="BU401:BU464" si="102">BU400+BT401*BS401*100</f>
        <v>1731.4581291138484</v>
      </c>
      <c r="CC401" s="560">
        <v>0</v>
      </c>
      <c r="CD401" s="155" t="str">
        <f t="shared" si="97"/>
        <v/>
      </c>
      <c r="CE401" s="405">
        <v>0</v>
      </c>
      <c r="CF401" s="284">
        <f>IF(CC401,_xll.qDateYears(CC400,CC401,CF$13),0)</f>
        <v>0</v>
      </c>
      <c r="CG401" s="284">
        <f t="shared" ref="CG401:CG464" si="103">CG400+CF401*CE401*100</f>
        <v>2320.9300800126416</v>
      </c>
      <c r="CO401" s="560">
        <v>0</v>
      </c>
      <c r="CP401" s="155" t="str">
        <f t="shared" si="98"/>
        <v/>
      </c>
      <c r="CQ401" s="405">
        <v>0</v>
      </c>
      <c r="CR401" s="284">
        <f>IF(CO401,_xll.qDateYears(CO400,CO401,CR$13),0)</f>
        <v>0</v>
      </c>
      <c r="CS401" s="284">
        <f t="shared" ref="CS401:CS464" si="104">CS400+CR401*CQ401*100</f>
        <v>2166.0491297426292</v>
      </c>
      <c r="DA401" s="560">
        <v>0</v>
      </c>
      <c r="DB401" s="155" t="str">
        <f t="shared" si="99"/>
        <v/>
      </c>
      <c r="DC401" s="405">
        <v>0</v>
      </c>
      <c r="DD401" s="284">
        <f>IF(DA401,_xll.qDateYears(DA400,DA401,DD$13),0)</f>
        <v>0</v>
      </c>
      <c r="DE401" s="284">
        <f t="shared" ref="DE401:DE464" si="105">DE400+DD401*DC401*100</f>
        <v>1625.698949379763</v>
      </c>
      <c r="DM401" s="560">
        <v>0</v>
      </c>
      <c r="DN401" s="155" t="str">
        <f t="shared" si="100"/>
        <v/>
      </c>
      <c r="DO401" s="405">
        <v>0</v>
      </c>
      <c r="DP401" s="284">
        <f>IF(DM401,_xll.qDateYears(DM400,DM401,DP$13),0)</f>
        <v>0</v>
      </c>
      <c r="DQ401" s="284">
        <f t="shared" ref="DQ401:DQ464" si="106">DQ400+DP401*DO401*100</f>
        <v>2216.4810485334592</v>
      </c>
    </row>
    <row r="402" spans="59:121">
      <c r="BG402" s="560">
        <v>0</v>
      </c>
      <c r="BH402" s="154" t="str">
        <f t="shared" si="95"/>
        <v/>
      </c>
      <c r="BI402" s="405">
        <v>0</v>
      </c>
      <c r="BJ402" s="284">
        <f>IF(BG402,_xll.qDateYears(BG401,BG402,$BJ$13),0)</f>
        <v>0</v>
      </c>
      <c r="BK402" s="284">
        <f t="shared" si="101"/>
        <v>2216.4810485334592</v>
      </c>
      <c r="BQ402" s="560">
        <v>0</v>
      </c>
      <c r="BR402" s="155" t="str">
        <f t="shared" si="96"/>
        <v/>
      </c>
      <c r="BS402" s="405">
        <v>0</v>
      </c>
      <c r="BT402" s="284">
        <f>IF(BQ402,_xll.qDateYears(BQ401,BQ402,BT$13),0)</f>
        <v>0</v>
      </c>
      <c r="BU402" s="284">
        <f t="shared" si="102"/>
        <v>1731.4581291138484</v>
      </c>
      <c r="CC402" s="560">
        <v>0</v>
      </c>
      <c r="CD402" s="155" t="str">
        <f t="shared" si="97"/>
        <v/>
      </c>
      <c r="CE402" s="405">
        <v>0</v>
      </c>
      <c r="CF402" s="284">
        <f>IF(CC402,_xll.qDateYears(CC401,CC402,CF$13),0)</f>
        <v>0</v>
      </c>
      <c r="CG402" s="284">
        <f t="shared" si="103"/>
        <v>2320.9300800126416</v>
      </c>
      <c r="CO402" s="560">
        <v>0</v>
      </c>
      <c r="CP402" s="155" t="str">
        <f t="shared" si="98"/>
        <v/>
      </c>
      <c r="CQ402" s="405">
        <v>0</v>
      </c>
      <c r="CR402" s="284">
        <f>IF(CO402,_xll.qDateYears(CO401,CO402,CR$13),0)</f>
        <v>0</v>
      </c>
      <c r="CS402" s="284">
        <f t="shared" si="104"/>
        <v>2166.0491297426292</v>
      </c>
      <c r="DA402" s="560">
        <v>0</v>
      </c>
      <c r="DB402" s="155" t="str">
        <f t="shared" si="99"/>
        <v/>
      </c>
      <c r="DC402" s="405">
        <v>0</v>
      </c>
      <c r="DD402" s="284">
        <f>IF(DA402,_xll.qDateYears(DA401,DA402,DD$13),0)</f>
        <v>0</v>
      </c>
      <c r="DE402" s="284">
        <f t="shared" si="105"/>
        <v>1625.698949379763</v>
      </c>
      <c r="DM402" s="560">
        <v>0</v>
      </c>
      <c r="DN402" s="155" t="str">
        <f t="shared" si="100"/>
        <v/>
      </c>
      <c r="DO402" s="405">
        <v>0</v>
      </c>
      <c r="DP402" s="284">
        <f>IF(DM402,_xll.qDateYears(DM401,DM402,DP$13),0)</f>
        <v>0</v>
      </c>
      <c r="DQ402" s="284">
        <f t="shared" si="106"/>
        <v>2216.4810485334592</v>
      </c>
    </row>
    <row r="403" spans="59:121">
      <c r="BG403" s="560">
        <v>0</v>
      </c>
      <c r="BH403" s="154" t="str">
        <f t="shared" si="95"/>
        <v/>
      </c>
      <c r="BI403" s="405">
        <v>0</v>
      </c>
      <c r="BJ403" s="284">
        <f>IF(BG403,_xll.qDateYears(BG402,BG403,$BJ$13),0)</f>
        <v>0</v>
      </c>
      <c r="BK403" s="284">
        <f t="shared" si="101"/>
        <v>2216.4810485334592</v>
      </c>
      <c r="BQ403" s="560">
        <v>0</v>
      </c>
      <c r="BR403" s="155" t="str">
        <f t="shared" si="96"/>
        <v/>
      </c>
      <c r="BS403" s="405">
        <v>0</v>
      </c>
      <c r="BT403" s="284">
        <f>IF(BQ403,_xll.qDateYears(BQ402,BQ403,BT$13),0)</f>
        <v>0</v>
      </c>
      <c r="BU403" s="284">
        <f t="shared" si="102"/>
        <v>1731.4581291138484</v>
      </c>
      <c r="CC403" s="560">
        <v>0</v>
      </c>
      <c r="CD403" s="155" t="str">
        <f t="shared" si="97"/>
        <v/>
      </c>
      <c r="CE403" s="405">
        <v>0</v>
      </c>
      <c r="CF403" s="284">
        <f>IF(CC403,_xll.qDateYears(CC402,CC403,CF$13),0)</f>
        <v>0</v>
      </c>
      <c r="CG403" s="284">
        <f t="shared" si="103"/>
        <v>2320.9300800126416</v>
      </c>
      <c r="CO403" s="560">
        <v>0</v>
      </c>
      <c r="CP403" s="155" t="str">
        <f t="shared" si="98"/>
        <v/>
      </c>
      <c r="CQ403" s="405">
        <v>0</v>
      </c>
      <c r="CR403" s="284">
        <f>IF(CO403,_xll.qDateYears(CO402,CO403,CR$13),0)</f>
        <v>0</v>
      </c>
      <c r="CS403" s="284">
        <f t="shared" si="104"/>
        <v>2166.0491297426292</v>
      </c>
      <c r="DA403" s="560">
        <v>0</v>
      </c>
      <c r="DB403" s="155" t="str">
        <f t="shared" si="99"/>
        <v/>
      </c>
      <c r="DC403" s="405">
        <v>0</v>
      </c>
      <c r="DD403" s="284">
        <f>IF(DA403,_xll.qDateYears(DA402,DA403,DD$13),0)</f>
        <v>0</v>
      </c>
      <c r="DE403" s="284">
        <f t="shared" si="105"/>
        <v>1625.698949379763</v>
      </c>
      <c r="DM403" s="560">
        <v>0</v>
      </c>
      <c r="DN403" s="155" t="str">
        <f t="shared" si="100"/>
        <v/>
      </c>
      <c r="DO403" s="405">
        <v>0</v>
      </c>
      <c r="DP403" s="284">
        <f>IF(DM403,_xll.qDateYears(DM402,DM403,DP$13),0)</f>
        <v>0</v>
      </c>
      <c r="DQ403" s="284">
        <f t="shared" si="106"/>
        <v>2216.4810485334592</v>
      </c>
    </row>
    <row r="404" spans="59:121">
      <c r="BG404" s="560">
        <v>0</v>
      </c>
      <c r="BH404" s="154" t="str">
        <f t="shared" si="95"/>
        <v/>
      </c>
      <c r="BI404" s="405">
        <v>0</v>
      </c>
      <c r="BJ404" s="284">
        <f>IF(BG404,_xll.qDateYears(BG403,BG404,$BJ$13),0)</f>
        <v>0</v>
      </c>
      <c r="BK404" s="284">
        <f t="shared" si="101"/>
        <v>2216.4810485334592</v>
      </c>
      <c r="BQ404" s="560">
        <v>0</v>
      </c>
      <c r="BR404" s="155" t="str">
        <f t="shared" si="96"/>
        <v/>
      </c>
      <c r="BS404" s="405">
        <v>0</v>
      </c>
      <c r="BT404" s="284">
        <f>IF(BQ404,_xll.qDateYears(BQ403,BQ404,BT$13),0)</f>
        <v>0</v>
      </c>
      <c r="BU404" s="284">
        <f t="shared" si="102"/>
        <v>1731.4581291138484</v>
      </c>
      <c r="CC404" s="560">
        <v>0</v>
      </c>
      <c r="CD404" s="155" t="str">
        <f t="shared" si="97"/>
        <v/>
      </c>
      <c r="CE404" s="405">
        <v>0</v>
      </c>
      <c r="CF404" s="284">
        <f>IF(CC404,_xll.qDateYears(CC403,CC404,CF$13),0)</f>
        <v>0</v>
      </c>
      <c r="CG404" s="284">
        <f t="shared" si="103"/>
        <v>2320.9300800126416</v>
      </c>
      <c r="CO404" s="560">
        <v>0</v>
      </c>
      <c r="CP404" s="155" t="str">
        <f t="shared" si="98"/>
        <v/>
      </c>
      <c r="CQ404" s="405">
        <v>0</v>
      </c>
      <c r="CR404" s="284">
        <f>IF(CO404,_xll.qDateYears(CO403,CO404,CR$13),0)</f>
        <v>0</v>
      </c>
      <c r="CS404" s="284">
        <f t="shared" si="104"/>
        <v>2166.0491297426292</v>
      </c>
      <c r="DA404" s="560">
        <v>0</v>
      </c>
      <c r="DB404" s="155" t="str">
        <f t="shared" si="99"/>
        <v/>
      </c>
      <c r="DC404" s="405">
        <v>0</v>
      </c>
      <c r="DD404" s="284">
        <f>IF(DA404,_xll.qDateYears(DA403,DA404,DD$13),0)</f>
        <v>0</v>
      </c>
      <c r="DE404" s="284">
        <f t="shared" si="105"/>
        <v>1625.698949379763</v>
      </c>
      <c r="DM404" s="560">
        <v>0</v>
      </c>
      <c r="DN404" s="155" t="str">
        <f t="shared" si="100"/>
        <v/>
      </c>
      <c r="DO404" s="405">
        <v>0</v>
      </c>
      <c r="DP404" s="284">
        <f>IF(DM404,_xll.qDateYears(DM403,DM404,DP$13),0)</f>
        <v>0</v>
      </c>
      <c r="DQ404" s="284">
        <f t="shared" si="106"/>
        <v>2216.4810485334592</v>
      </c>
    </row>
    <row r="405" spans="59:121">
      <c r="BG405" s="560">
        <v>0</v>
      </c>
      <c r="BH405" s="154" t="str">
        <f t="shared" si="95"/>
        <v/>
      </c>
      <c r="BI405" s="405">
        <v>0</v>
      </c>
      <c r="BJ405" s="284">
        <f>IF(BG405,_xll.qDateYears(BG404,BG405,$BJ$13),0)</f>
        <v>0</v>
      </c>
      <c r="BK405" s="284">
        <f t="shared" si="101"/>
        <v>2216.4810485334592</v>
      </c>
      <c r="BQ405" s="560">
        <v>0</v>
      </c>
      <c r="BR405" s="155" t="str">
        <f t="shared" si="96"/>
        <v/>
      </c>
      <c r="BS405" s="405">
        <v>0</v>
      </c>
      <c r="BT405" s="284">
        <f>IF(BQ405,_xll.qDateYears(BQ404,BQ405,BT$13),0)</f>
        <v>0</v>
      </c>
      <c r="BU405" s="284">
        <f t="shared" si="102"/>
        <v>1731.4581291138484</v>
      </c>
      <c r="CC405" s="560">
        <v>0</v>
      </c>
      <c r="CD405" s="155" t="str">
        <f t="shared" si="97"/>
        <v/>
      </c>
      <c r="CE405" s="405">
        <v>0</v>
      </c>
      <c r="CF405" s="284">
        <f>IF(CC405,_xll.qDateYears(CC404,CC405,CF$13),0)</f>
        <v>0</v>
      </c>
      <c r="CG405" s="284">
        <f t="shared" si="103"/>
        <v>2320.9300800126416</v>
      </c>
      <c r="CO405" s="560">
        <v>0</v>
      </c>
      <c r="CP405" s="155" t="str">
        <f t="shared" si="98"/>
        <v/>
      </c>
      <c r="CQ405" s="405">
        <v>0</v>
      </c>
      <c r="CR405" s="284">
        <f>IF(CO405,_xll.qDateYears(CO404,CO405,CR$13),0)</f>
        <v>0</v>
      </c>
      <c r="CS405" s="284">
        <f t="shared" si="104"/>
        <v>2166.0491297426292</v>
      </c>
      <c r="DA405" s="560">
        <v>0</v>
      </c>
      <c r="DB405" s="155" t="str">
        <f t="shared" si="99"/>
        <v/>
      </c>
      <c r="DC405" s="405">
        <v>0</v>
      </c>
      <c r="DD405" s="284">
        <f>IF(DA405,_xll.qDateYears(DA404,DA405,DD$13),0)</f>
        <v>0</v>
      </c>
      <c r="DE405" s="284">
        <f t="shared" si="105"/>
        <v>1625.698949379763</v>
      </c>
      <c r="DM405" s="560">
        <v>0</v>
      </c>
      <c r="DN405" s="155" t="str">
        <f t="shared" si="100"/>
        <v/>
      </c>
      <c r="DO405" s="405">
        <v>0</v>
      </c>
      <c r="DP405" s="284">
        <f>IF(DM405,_xll.qDateYears(DM404,DM405,DP$13),0)</f>
        <v>0</v>
      </c>
      <c r="DQ405" s="284">
        <f t="shared" si="106"/>
        <v>2216.4810485334592</v>
      </c>
    </row>
    <row r="406" spans="59:121">
      <c r="BG406" s="560">
        <v>0</v>
      </c>
      <c r="BH406" s="154" t="str">
        <f t="shared" si="95"/>
        <v/>
      </c>
      <c r="BI406" s="405">
        <v>0</v>
      </c>
      <c r="BJ406" s="284">
        <f>IF(BG406,_xll.qDateYears(BG405,BG406,$BJ$13),0)</f>
        <v>0</v>
      </c>
      <c r="BK406" s="284">
        <f t="shared" si="101"/>
        <v>2216.4810485334592</v>
      </c>
      <c r="BQ406" s="560">
        <v>0</v>
      </c>
      <c r="BR406" s="155" t="str">
        <f t="shared" si="96"/>
        <v/>
      </c>
      <c r="BS406" s="405">
        <v>0</v>
      </c>
      <c r="BT406" s="284">
        <f>IF(BQ406,_xll.qDateYears(BQ405,BQ406,BT$13),0)</f>
        <v>0</v>
      </c>
      <c r="BU406" s="284">
        <f t="shared" si="102"/>
        <v>1731.4581291138484</v>
      </c>
      <c r="CC406" s="560">
        <v>0</v>
      </c>
      <c r="CD406" s="155" t="str">
        <f t="shared" si="97"/>
        <v/>
      </c>
      <c r="CE406" s="405">
        <v>0</v>
      </c>
      <c r="CF406" s="284">
        <f>IF(CC406,_xll.qDateYears(CC405,CC406,CF$13),0)</f>
        <v>0</v>
      </c>
      <c r="CG406" s="284">
        <f t="shared" si="103"/>
        <v>2320.9300800126416</v>
      </c>
      <c r="CO406" s="560">
        <v>0</v>
      </c>
      <c r="CP406" s="155" t="str">
        <f t="shared" si="98"/>
        <v/>
      </c>
      <c r="CQ406" s="405">
        <v>0</v>
      </c>
      <c r="CR406" s="284">
        <f>IF(CO406,_xll.qDateYears(CO405,CO406,CR$13),0)</f>
        <v>0</v>
      </c>
      <c r="CS406" s="284">
        <f t="shared" si="104"/>
        <v>2166.0491297426292</v>
      </c>
      <c r="DA406" s="560">
        <v>0</v>
      </c>
      <c r="DB406" s="155" t="str">
        <f t="shared" si="99"/>
        <v/>
      </c>
      <c r="DC406" s="405">
        <v>0</v>
      </c>
      <c r="DD406" s="284">
        <f>IF(DA406,_xll.qDateYears(DA405,DA406,DD$13),0)</f>
        <v>0</v>
      </c>
      <c r="DE406" s="284">
        <f t="shared" si="105"/>
        <v>1625.698949379763</v>
      </c>
      <c r="DM406" s="560">
        <v>0</v>
      </c>
      <c r="DN406" s="155" t="str">
        <f t="shared" si="100"/>
        <v/>
      </c>
      <c r="DO406" s="405">
        <v>0</v>
      </c>
      <c r="DP406" s="284">
        <f>IF(DM406,_xll.qDateYears(DM405,DM406,DP$13),0)</f>
        <v>0</v>
      </c>
      <c r="DQ406" s="284">
        <f t="shared" si="106"/>
        <v>2216.4810485334592</v>
      </c>
    </row>
    <row r="407" spans="59:121">
      <c r="BG407" s="560">
        <v>0</v>
      </c>
      <c r="BH407" s="154" t="str">
        <f t="shared" si="95"/>
        <v/>
      </c>
      <c r="BI407" s="405">
        <v>0</v>
      </c>
      <c r="BJ407" s="284">
        <f>IF(BG407,_xll.qDateYears(BG406,BG407,$BJ$13),0)</f>
        <v>0</v>
      </c>
      <c r="BK407" s="284">
        <f t="shared" si="101"/>
        <v>2216.4810485334592</v>
      </c>
      <c r="BQ407" s="560">
        <v>0</v>
      </c>
      <c r="BR407" s="155" t="str">
        <f t="shared" si="96"/>
        <v/>
      </c>
      <c r="BS407" s="405">
        <v>0</v>
      </c>
      <c r="BT407" s="284">
        <f>IF(BQ407,_xll.qDateYears(BQ406,BQ407,BT$13),0)</f>
        <v>0</v>
      </c>
      <c r="BU407" s="284">
        <f t="shared" si="102"/>
        <v>1731.4581291138484</v>
      </c>
      <c r="CC407" s="560">
        <v>0</v>
      </c>
      <c r="CD407" s="155" t="str">
        <f t="shared" si="97"/>
        <v/>
      </c>
      <c r="CE407" s="405">
        <v>0</v>
      </c>
      <c r="CF407" s="284">
        <f>IF(CC407,_xll.qDateYears(CC406,CC407,CF$13),0)</f>
        <v>0</v>
      </c>
      <c r="CG407" s="284">
        <f t="shared" si="103"/>
        <v>2320.9300800126416</v>
      </c>
      <c r="CO407" s="560">
        <v>0</v>
      </c>
      <c r="CP407" s="155" t="str">
        <f t="shared" si="98"/>
        <v/>
      </c>
      <c r="CQ407" s="405">
        <v>0</v>
      </c>
      <c r="CR407" s="284">
        <f>IF(CO407,_xll.qDateYears(CO406,CO407,CR$13),0)</f>
        <v>0</v>
      </c>
      <c r="CS407" s="284">
        <f t="shared" si="104"/>
        <v>2166.0491297426292</v>
      </c>
      <c r="DA407" s="560">
        <v>0</v>
      </c>
      <c r="DB407" s="155" t="str">
        <f t="shared" si="99"/>
        <v/>
      </c>
      <c r="DC407" s="405">
        <v>0</v>
      </c>
      <c r="DD407" s="284">
        <f>IF(DA407,_xll.qDateYears(DA406,DA407,DD$13),0)</f>
        <v>0</v>
      </c>
      <c r="DE407" s="284">
        <f t="shared" si="105"/>
        <v>1625.698949379763</v>
      </c>
      <c r="DM407" s="560">
        <v>0</v>
      </c>
      <c r="DN407" s="155" t="str">
        <f t="shared" si="100"/>
        <v/>
      </c>
      <c r="DO407" s="405">
        <v>0</v>
      </c>
      <c r="DP407" s="284">
        <f>IF(DM407,_xll.qDateYears(DM406,DM407,DP$13),0)</f>
        <v>0</v>
      </c>
      <c r="DQ407" s="284">
        <f t="shared" si="106"/>
        <v>2216.4810485334592</v>
      </c>
    </row>
    <row r="408" spans="59:121">
      <c r="BG408" s="560">
        <v>0</v>
      </c>
      <c r="BH408" s="154" t="str">
        <f t="shared" si="95"/>
        <v/>
      </c>
      <c r="BI408" s="405">
        <v>0</v>
      </c>
      <c r="BJ408" s="284">
        <f>IF(BG408,_xll.qDateYears(BG407,BG408,$BJ$13),0)</f>
        <v>0</v>
      </c>
      <c r="BK408" s="284">
        <f t="shared" si="101"/>
        <v>2216.4810485334592</v>
      </c>
      <c r="BQ408" s="560">
        <v>0</v>
      </c>
      <c r="BR408" s="155" t="str">
        <f t="shared" si="96"/>
        <v/>
      </c>
      <c r="BS408" s="405">
        <v>0</v>
      </c>
      <c r="BT408" s="284">
        <f>IF(BQ408,_xll.qDateYears(BQ407,BQ408,BT$13),0)</f>
        <v>0</v>
      </c>
      <c r="BU408" s="284">
        <f t="shared" si="102"/>
        <v>1731.4581291138484</v>
      </c>
      <c r="CC408" s="560">
        <v>0</v>
      </c>
      <c r="CD408" s="155" t="str">
        <f t="shared" si="97"/>
        <v/>
      </c>
      <c r="CE408" s="405">
        <v>0</v>
      </c>
      <c r="CF408" s="284">
        <f>IF(CC408,_xll.qDateYears(CC407,CC408,CF$13),0)</f>
        <v>0</v>
      </c>
      <c r="CG408" s="284">
        <f t="shared" si="103"/>
        <v>2320.9300800126416</v>
      </c>
      <c r="CO408" s="560">
        <v>0</v>
      </c>
      <c r="CP408" s="155" t="str">
        <f t="shared" si="98"/>
        <v/>
      </c>
      <c r="CQ408" s="405">
        <v>0</v>
      </c>
      <c r="CR408" s="284">
        <f>IF(CO408,_xll.qDateYears(CO407,CO408,CR$13),0)</f>
        <v>0</v>
      </c>
      <c r="CS408" s="284">
        <f t="shared" si="104"/>
        <v>2166.0491297426292</v>
      </c>
      <c r="DA408" s="560">
        <v>0</v>
      </c>
      <c r="DB408" s="155" t="str">
        <f t="shared" si="99"/>
        <v/>
      </c>
      <c r="DC408" s="405">
        <v>0</v>
      </c>
      <c r="DD408" s="284">
        <f>IF(DA408,_xll.qDateYears(DA407,DA408,DD$13),0)</f>
        <v>0</v>
      </c>
      <c r="DE408" s="284">
        <f t="shared" si="105"/>
        <v>1625.698949379763</v>
      </c>
      <c r="DM408" s="560">
        <v>0</v>
      </c>
      <c r="DN408" s="155" t="str">
        <f t="shared" si="100"/>
        <v/>
      </c>
      <c r="DO408" s="405">
        <v>0</v>
      </c>
      <c r="DP408" s="284">
        <f>IF(DM408,_xll.qDateYears(DM407,DM408,DP$13),0)</f>
        <v>0</v>
      </c>
      <c r="DQ408" s="284">
        <f t="shared" si="106"/>
        <v>2216.4810485334592</v>
      </c>
    </row>
    <row r="409" spans="59:121">
      <c r="BG409" s="560">
        <v>0</v>
      </c>
      <c r="BH409" s="154" t="str">
        <f t="shared" si="95"/>
        <v/>
      </c>
      <c r="BI409" s="405">
        <v>0</v>
      </c>
      <c r="BJ409" s="284">
        <f>IF(BG409,_xll.qDateYears(BG408,BG409,$BJ$13),0)</f>
        <v>0</v>
      </c>
      <c r="BK409" s="284">
        <f t="shared" si="101"/>
        <v>2216.4810485334592</v>
      </c>
      <c r="BQ409" s="560">
        <v>0</v>
      </c>
      <c r="BR409" s="155" t="str">
        <f t="shared" si="96"/>
        <v/>
      </c>
      <c r="BS409" s="405">
        <v>0</v>
      </c>
      <c r="BT409" s="284">
        <f>IF(BQ409,_xll.qDateYears(BQ408,BQ409,BT$13),0)</f>
        <v>0</v>
      </c>
      <c r="BU409" s="284">
        <f t="shared" si="102"/>
        <v>1731.4581291138484</v>
      </c>
      <c r="CC409" s="560">
        <v>0</v>
      </c>
      <c r="CD409" s="155" t="str">
        <f t="shared" si="97"/>
        <v/>
      </c>
      <c r="CE409" s="405">
        <v>0</v>
      </c>
      <c r="CF409" s="284">
        <f>IF(CC409,_xll.qDateYears(CC408,CC409,CF$13),0)</f>
        <v>0</v>
      </c>
      <c r="CG409" s="284">
        <f t="shared" si="103"/>
        <v>2320.9300800126416</v>
      </c>
      <c r="CO409" s="560">
        <v>0</v>
      </c>
      <c r="CP409" s="155" t="str">
        <f t="shared" si="98"/>
        <v/>
      </c>
      <c r="CQ409" s="405">
        <v>0</v>
      </c>
      <c r="CR409" s="284">
        <f>IF(CO409,_xll.qDateYears(CO408,CO409,CR$13),0)</f>
        <v>0</v>
      </c>
      <c r="CS409" s="284">
        <f t="shared" si="104"/>
        <v>2166.0491297426292</v>
      </c>
      <c r="DA409" s="560">
        <v>0</v>
      </c>
      <c r="DB409" s="155" t="str">
        <f t="shared" si="99"/>
        <v/>
      </c>
      <c r="DC409" s="405">
        <v>0</v>
      </c>
      <c r="DD409" s="284">
        <f>IF(DA409,_xll.qDateYears(DA408,DA409,DD$13),0)</f>
        <v>0</v>
      </c>
      <c r="DE409" s="284">
        <f t="shared" si="105"/>
        <v>1625.698949379763</v>
      </c>
      <c r="DM409" s="560">
        <v>0</v>
      </c>
      <c r="DN409" s="155" t="str">
        <f t="shared" si="100"/>
        <v/>
      </c>
      <c r="DO409" s="405">
        <v>0</v>
      </c>
      <c r="DP409" s="284">
        <f>IF(DM409,_xll.qDateYears(DM408,DM409,DP$13),0)</f>
        <v>0</v>
      </c>
      <c r="DQ409" s="284">
        <f t="shared" si="106"/>
        <v>2216.4810485334592</v>
      </c>
    </row>
    <row r="410" spans="59:121">
      <c r="BG410" s="560">
        <v>0</v>
      </c>
      <c r="BH410" s="154" t="str">
        <f t="shared" si="95"/>
        <v/>
      </c>
      <c r="BI410" s="405">
        <v>0</v>
      </c>
      <c r="BJ410" s="284">
        <f>IF(BG410,_xll.qDateYears(BG409,BG410,$BJ$13),0)</f>
        <v>0</v>
      </c>
      <c r="BK410" s="284">
        <f t="shared" si="101"/>
        <v>2216.4810485334592</v>
      </c>
      <c r="BQ410" s="560">
        <v>0</v>
      </c>
      <c r="BR410" s="155" t="str">
        <f t="shared" si="96"/>
        <v/>
      </c>
      <c r="BS410" s="405">
        <v>0</v>
      </c>
      <c r="BT410" s="284">
        <f>IF(BQ410,_xll.qDateYears(BQ409,BQ410,BT$13),0)</f>
        <v>0</v>
      </c>
      <c r="BU410" s="284">
        <f t="shared" si="102"/>
        <v>1731.4581291138484</v>
      </c>
      <c r="CC410" s="560">
        <v>0</v>
      </c>
      <c r="CD410" s="155" t="str">
        <f t="shared" si="97"/>
        <v/>
      </c>
      <c r="CE410" s="405">
        <v>0</v>
      </c>
      <c r="CF410" s="284">
        <f>IF(CC410,_xll.qDateYears(CC409,CC410,CF$13),0)</f>
        <v>0</v>
      </c>
      <c r="CG410" s="284">
        <f t="shared" si="103"/>
        <v>2320.9300800126416</v>
      </c>
      <c r="CO410" s="560">
        <v>0</v>
      </c>
      <c r="CP410" s="155" t="str">
        <f t="shared" si="98"/>
        <v/>
      </c>
      <c r="CQ410" s="405">
        <v>0</v>
      </c>
      <c r="CR410" s="284">
        <f>IF(CO410,_xll.qDateYears(CO409,CO410,CR$13),0)</f>
        <v>0</v>
      </c>
      <c r="CS410" s="284">
        <f t="shared" si="104"/>
        <v>2166.0491297426292</v>
      </c>
      <c r="DA410" s="560">
        <v>0</v>
      </c>
      <c r="DB410" s="155" t="str">
        <f t="shared" si="99"/>
        <v/>
      </c>
      <c r="DC410" s="405">
        <v>0</v>
      </c>
      <c r="DD410" s="284">
        <f>IF(DA410,_xll.qDateYears(DA409,DA410,DD$13),0)</f>
        <v>0</v>
      </c>
      <c r="DE410" s="284">
        <f t="shared" si="105"/>
        <v>1625.698949379763</v>
      </c>
      <c r="DM410" s="560">
        <v>0</v>
      </c>
      <c r="DN410" s="155" t="str">
        <f t="shared" si="100"/>
        <v/>
      </c>
      <c r="DO410" s="405">
        <v>0</v>
      </c>
      <c r="DP410" s="284">
        <f>IF(DM410,_xll.qDateYears(DM409,DM410,DP$13),0)</f>
        <v>0</v>
      </c>
      <c r="DQ410" s="284">
        <f t="shared" si="106"/>
        <v>2216.4810485334592</v>
      </c>
    </row>
    <row r="411" spans="59:121">
      <c r="BG411" s="560">
        <v>0</v>
      </c>
      <c r="BH411" s="154" t="str">
        <f t="shared" si="95"/>
        <v/>
      </c>
      <c r="BI411" s="405">
        <v>0</v>
      </c>
      <c r="BJ411" s="284">
        <f>IF(BG411,_xll.qDateYears(BG410,BG411,$BJ$13),0)</f>
        <v>0</v>
      </c>
      <c r="BK411" s="284">
        <f t="shared" si="101"/>
        <v>2216.4810485334592</v>
      </c>
      <c r="BQ411" s="560">
        <v>0</v>
      </c>
      <c r="BR411" s="155" t="str">
        <f t="shared" si="96"/>
        <v/>
      </c>
      <c r="BS411" s="405">
        <v>0</v>
      </c>
      <c r="BT411" s="284">
        <f>IF(BQ411,_xll.qDateYears(BQ410,BQ411,BT$13),0)</f>
        <v>0</v>
      </c>
      <c r="BU411" s="284">
        <f t="shared" si="102"/>
        <v>1731.4581291138484</v>
      </c>
      <c r="CC411" s="560">
        <v>0</v>
      </c>
      <c r="CD411" s="155" t="str">
        <f t="shared" si="97"/>
        <v/>
      </c>
      <c r="CE411" s="405">
        <v>0</v>
      </c>
      <c r="CF411" s="284">
        <f>IF(CC411,_xll.qDateYears(CC410,CC411,CF$13),0)</f>
        <v>0</v>
      </c>
      <c r="CG411" s="284">
        <f t="shared" si="103"/>
        <v>2320.9300800126416</v>
      </c>
      <c r="CO411" s="560">
        <v>0</v>
      </c>
      <c r="CP411" s="155" t="str">
        <f t="shared" si="98"/>
        <v/>
      </c>
      <c r="CQ411" s="405">
        <v>0</v>
      </c>
      <c r="CR411" s="284">
        <f>IF(CO411,_xll.qDateYears(CO410,CO411,CR$13),0)</f>
        <v>0</v>
      </c>
      <c r="CS411" s="284">
        <f t="shared" si="104"/>
        <v>2166.0491297426292</v>
      </c>
      <c r="DA411" s="560">
        <v>0</v>
      </c>
      <c r="DB411" s="155" t="str">
        <f t="shared" si="99"/>
        <v/>
      </c>
      <c r="DC411" s="405">
        <v>0</v>
      </c>
      <c r="DD411" s="284">
        <f>IF(DA411,_xll.qDateYears(DA410,DA411,DD$13),0)</f>
        <v>0</v>
      </c>
      <c r="DE411" s="284">
        <f t="shared" si="105"/>
        <v>1625.698949379763</v>
      </c>
      <c r="DM411" s="560">
        <v>0</v>
      </c>
      <c r="DN411" s="155" t="str">
        <f t="shared" si="100"/>
        <v/>
      </c>
      <c r="DO411" s="405">
        <v>0</v>
      </c>
      <c r="DP411" s="284">
        <f>IF(DM411,_xll.qDateYears(DM410,DM411,DP$13),0)</f>
        <v>0</v>
      </c>
      <c r="DQ411" s="284">
        <f t="shared" si="106"/>
        <v>2216.4810485334592</v>
      </c>
    </row>
    <row r="412" spans="59:121">
      <c r="BG412" s="560">
        <v>0</v>
      </c>
      <c r="BH412" s="154" t="str">
        <f t="shared" si="95"/>
        <v/>
      </c>
      <c r="BI412" s="405">
        <v>0</v>
      </c>
      <c r="BJ412" s="284">
        <f>IF(BG412,_xll.qDateYears(BG411,BG412,$BJ$13),0)</f>
        <v>0</v>
      </c>
      <c r="BK412" s="284">
        <f t="shared" si="101"/>
        <v>2216.4810485334592</v>
      </c>
      <c r="BQ412" s="560">
        <v>0</v>
      </c>
      <c r="BR412" s="155" t="str">
        <f t="shared" si="96"/>
        <v/>
      </c>
      <c r="BS412" s="405">
        <v>0</v>
      </c>
      <c r="BT412" s="284">
        <f>IF(BQ412,_xll.qDateYears(BQ411,BQ412,BT$13),0)</f>
        <v>0</v>
      </c>
      <c r="BU412" s="284">
        <f t="shared" si="102"/>
        <v>1731.4581291138484</v>
      </c>
      <c r="CC412" s="560">
        <v>0</v>
      </c>
      <c r="CD412" s="155" t="str">
        <f t="shared" si="97"/>
        <v/>
      </c>
      <c r="CE412" s="405">
        <v>0</v>
      </c>
      <c r="CF412" s="284">
        <f>IF(CC412,_xll.qDateYears(CC411,CC412,CF$13),0)</f>
        <v>0</v>
      </c>
      <c r="CG412" s="284">
        <f t="shared" si="103"/>
        <v>2320.9300800126416</v>
      </c>
      <c r="CO412" s="560">
        <v>0</v>
      </c>
      <c r="CP412" s="155" t="str">
        <f t="shared" si="98"/>
        <v/>
      </c>
      <c r="CQ412" s="405">
        <v>0</v>
      </c>
      <c r="CR412" s="284">
        <f>IF(CO412,_xll.qDateYears(CO411,CO412,CR$13),0)</f>
        <v>0</v>
      </c>
      <c r="CS412" s="284">
        <f t="shared" si="104"/>
        <v>2166.0491297426292</v>
      </c>
      <c r="DA412" s="560">
        <v>0</v>
      </c>
      <c r="DB412" s="155" t="str">
        <f t="shared" si="99"/>
        <v/>
      </c>
      <c r="DC412" s="405">
        <v>0</v>
      </c>
      <c r="DD412" s="284">
        <f>IF(DA412,_xll.qDateYears(DA411,DA412,DD$13),0)</f>
        <v>0</v>
      </c>
      <c r="DE412" s="284">
        <f t="shared" si="105"/>
        <v>1625.698949379763</v>
      </c>
      <c r="DM412" s="560">
        <v>0</v>
      </c>
      <c r="DN412" s="155" t="str">
        <f t="shared" si="100"/>
        <v/>
      </c>
      <c r="DO412" s="405">
        <v>0</v>
      </c>
      <c r="DP412" s="284">
        <f>IF(DM412,_xll.qDateYears(DM411,DM412,DP$13),0)</f>
        <v>0</v>
      </c>
      <c r="DQ412" s="284">
        <f t="shared" si="106"/>
        <v>2216.4810485334592</v>
      </c>
    </row>
    <row r="413" spans="59:121">
      <c r="BG413" s="560">
        <v>0</v>
      </c>
      <c r="BH413" s="154" t="str">
        <f t="shared" si="95"/>
        <v/>
      </c>
      <c r="BI413" s="405">
        <v>0</v>
      </c>
      <c r="BJ413" s="284">
        <f>IF(BG413,_xll.qDateYears(BG412,BG413,$BJ$13),0)</f>
        <v>0</v>
      </c>
      <c r="BK413" s="284">
        <f t="shared" si="101"/>
        <v>2216.4810485334592</v>
      </c>
      <c r="BQ413" s="560">
        <v>0</v>
      </c>
      <c r="BR413" s="155" t="str">
        <f t="shared" si="96"/>
        <v/>
      </c>
      <c r="BS413" s="405">
        <v>0</v>
      </c>
      <c r="BT413" s="284">
        <f>IF(BQ413,_xll.qDateYears(BQ412,BQ413,BT$13),0)</f>
        <v>0</v>
      </c>
      <c r="BU413" s="284">
        <f t="shared" si="102"/>
        <v>1731.4581291138484</v>
      </c>
      <c r="CC413" s="560">
        <v>0</v>
      </c>
      <c r="CD413" s="155" t="str">
        <f t="shared" si="97"/>
        <v/>
      </c>
      <c r="CE413" s="405">
        <v>0</v>
      </c>
      <c r="CF413" s="284">
        <f>IF(CC413,_xll.qDateYears(CC412,CC413,CF$13),0)</f>
        <v>0</v>
      </c>
      <c r="CG413" s="284">
        <f t="shared" si="103"/>
        <v>2320.9300800126416</v>
      </c>
      <c r="CO413" s="560">
        <v>0</v>
      </c>
      <c r="CP413" s="155" t="str">
        <f t="shared" si="98"/>
        <v/>
      </c>
      <c r="CQ413" s="405">
        <v>0</v>
      </c>
      <c r="CR413" s="284">
        <f>IF(CO413,_xll.qDateYears(CO412,CO413,CR$13),0)</f>
        <v>0</v>
      </c>
      <c r="CS413" s="284">
        <f t="shared" si="104"/>
        <v>2166.0491297426292</v>
      </c>
      <c r="DA413" s="560">
        <v>0</v>
      </c>
      <c r="DB413" s="155" t="str">
        <f t="shared" si="99"/>
        <v/>
      </c>
      <c r="DC413" s="405">
        <v>0</v>
      </c>
      <c r="DD413" s="284">
        <f>IF(DA413,_xll.qDateYears(DA412,DA413,DD$13),0)</f>
        <v>0</v>
      </c>
      <c r="DE413" s="284">
        <f t="shared" si="105"/>
        <v>1625.698949379763</v>
      </c>
      <c r="DM413" s="560">
        <v>0</v>
      </c>
      <c r="DN413" s="155" t="str">
        <f t="shared" si="100"/>
        <v/>
      </c>
      <c r="DO413" s="405">
        <v>0</v>
      </c>
      <c r="DP413" s="284">
        <f>IF(DM413,_xll.qDateYears(DM412,DM413,DP$13),0)</f>
        <v>0</v>
      </c>
      <c r="DQ413" s="284">
        <f t="shared" si="106"/>
        <v>2216.4810485334592</v>
      </c>
    </row>
    <row r="414" spans="59:121">
      <c r="BG414" s="560">
        <v>0</v>
      </c>
      <c r="BH414" s="154" t="str">
        <f t="shared" si="95"/>
        <v/>
      </c>
      <c r="BI414" s="405">
        <v>0</v>
      </c>
      <c r="BJ414" s="284">
        <f>IF(BG414,_xll.qDateYears(BG413,BG414,$BJ$13),0)</f>
        <v>0</v>
      </c>
      <c r="BK414" s="284">
        <f t="shared" si="101"/>
        <v>2216.4810485334592</v>
      </c>
      <c r="BQ414" s="560">
        <v>0</v>
      </c>
      <c r="BR414" s="155" t="str">
        <f t="shared" si="96"/>
        <v/>
      </c>
      <c r="BS414" s="405">
        <v>0</v>
      </c>
      <c r="BT414" s="284">
        <f>IF(BQ414,_xll.qDateYears(BQ413,BQ414,BT$13),0)</f>
        <v>0</v>
      </c>
      <c r="BU414" s="284">
        <f t="shared" si="102"/>
        <v>1731.4581291138484</v>
      </c>
      <c r="CC414" s="560">
        <v>0</v>
      </c>
      <c r="CD414" s="155" t="str">
        <f t="shared" si="97"/>
        <v/>
      </c>
      <c r="CE414" s="405">
        <v>0</v>
      </c>
      <c r="CF414" s="284">
        <f>IF(CC414,_xll.qDateYears(CC413,CC414,CF$13),0)</f>
        <v>0</v>
      </c>
      <c r="CG414" s="284">
        <f t="shared" si="103"/>
        <v>2320.9300800126416</v>
      </c>
      <c r="CO414" s="560">
        <v>0</v>
      </c>
      <c r="CP414" s="155" t="str">
        <f t="shared" si="98"/>
        <v/>
      </c>
      <c r="CQ414" s="405">
        <v>0</v>
      </c>
      <c r="CR414" s="284">
        <f>IF(CO414,_xll.qDateYears(CO413,CO414,CR$13),0)</f>
        <v>0</v>
      </c>
      <c r="CS414" s="284">
        <f t="shared" si="104"/>
        <v>2166.0491297426292</v>
      </c>
      <c r="DA414" s="560">
        <v>0</v>
      </c>
      <c r="DB414" s="155" t="str">
        <f t="shared" si="99"/>
        <v/>
      </c>
      <c r="DC414" s="405">
        <v>0</v>
      </c>
      <c r="DD414" s="284">
        <f>IF(DA414,_xll.qDateYears(DA413,DA414,DD$13),0)</f>
        <v>0</v>
      </c>
      <c r="DE414" s="284">
        <f t="shared" si="105"/>
        <v>1625.698949379763</v>
      </c>
      <c r="DM414" s="560">
        <v>0</v>
      </c>
      <c r="DN414" s="155" t="str">
        <f t="shared" si="100"/>
        <v/>
      </c>
      <c r="DO414" s="405">
        <v>0</v>
      </c>
      <c r="DP414" s="284">
        <f>IF(DM414,_xll.qDateYears(DM413,DM414,DP$13),0)</f>
        <v>0</v>
      </c>
      <c r="DQ414" s="284">
        <f t="shared" si="106"/>
        <v>2216.4810485334592</v>
      </c>
    </row>
    <row r="415" spans="59:121">
      <c r="BG415" s="560">
        <v>0</v>
      </c>
      <c r="BH415" s="154" t="str">
        <f t="shared" si="95"/>
        <v/>
      </c>
      <c r="BI415" s="405">
        <v>0</v>
      </c>
      <c r="BJ415" s="284">
        <f>IF(BG415,_xll.qDateYears(BG414,BG415,$BJ$13),0)</f>
        <v>0</v>
      </c>
      <c r="BK415" s="284">
        <f t="shared" si="101"/>
        <v>2216.4810485334592</v>
      </c>
      <c r="BQ415" s="560">
        <v>0</v>
      </c>
      <c r="BR415" s="155" t="str">
        <f t="shared" si="96"/>
        <v/>
      </c>
      <c r="BS415" s="405">
        <v>0</v>
      </c>
      <c r="BT415" s="284">
        <f>IF(BQ415,_xll.qDateYears(BQ414,BQ415,BT$13),0)</f>
        <v>0</v>
      </c>
      <c r="BU415" s="284">
        <f t="shared" si="102"/>
        <v>1731.4581291138484</v>
      </c>
      <c r="CC415" s="560">
        <v>0</v>
      </c>
      <c r="CD415" s="155" t="str">
        <f t="shared" si="97"/>
        <v/>
      </c>
      <c r="CE415" s="405">
        <v>0</v>
      </c>
      <c r="CF415" s="284">
        <f>IF(CC415,_xll.qDateYears(CC414,CC415,CF$13),0)</f>
        <v>0</v>
      </c>
      <c r="CG415" s="284">
        <f t="shared" si="103"/>
        <v>2320.9300800126416</v>
      </c>
      <c r="CO415" s="560">
        <v>0</v>
      </c>
      <c r="CP415" s="155" t="str">
        <f t="shared" si="98"/>
        <v/>
      </c>
      <c r="CQ415" s="405">
        <v>0</v>
      </c>
      <c r="CR415" s="284">
        <f>IF(CO415,_xll.qDateYears(CO414,CO415,CR$13),0)</f>
        <v>0</v>
      </c>
      <c r="CS415" s="284">
        <f t="shared" si="104"/>
        <v>2166.0491297426292</v>
      </c>
      <c r="DA415" s="560">
        <v>0</v>
      </c>
      <c r="DB415" s="155" t="str">
        <f t="shared" si="99"/>
        <v/>
      </c>
      <c r="DC415" s="405">
        <v>0</v>
      </c>
      <c r="DD415" s="284">
        <f>IF(DA415,_xll.qDateYears(DA414,DA415,DD$13),0)</f>
        <v>0</v>
      </c>
      <c r="DE415" s="284">
        <f t="shared" si="105"/>
        <v>1625.698949379763</v>
      </c>
      <c r="DM415" s="560">
        <v>0</v>
      </c>
      <c r="DN415" s="155" t="str">
        <f t="shared" si="100"/>
        <v/>
      </c>
      <c r="DO415" s="405">
        <v>0</v>
      </c>
      <c r="DP415" s="284">
        <f>IF(DM415,_xll.qDateYears(DM414,DM415,DP$13),0)</f>
        <v>0</v>
      </c>
      <c r="DQ415" s="284">
        <f t="shared" si="106"/>
        <v>2216.4810485334592</v>
      </c>
    </row>
    <row r="416" spans="59:121">
      <c r="BG416" s="560">
        <v>0</v>
      </c>
      <c r="BH416" s="154" t="str">
        <f t="shared" si="95"/>
        <v/>
      </c>
      <c r="BI416" s="405">
        <v>0</v>
      </c>
      <c r="BJ416" s="284">
        <f>IF(BG416,_xll.qDateYears(BG415,BG416,$BJ$13),0)</f>
        <v>0</v>
      </c>
      <c r="BK416" s="284">
        <f t="shared" si="101"/>
        <v>2216.4810485334592</v>
      </c>
      <c r="BQ416" s="560">
        <v>0</v>
      </c>
      <c r="BR416" s="155" t="str">
        <f t="shared" si="96"/>
        <v/>
      </c>
      <c r="BS416" s="405">
        <v>0</v>
      </c>
      <c r="BT416" s="284">
        <f>IF(BQ416,_xll.qDateYears(BQ415,BQ416,BT$13),0)</f>
        <v>0</v>
      </c>
      <c r="BU416" s="284">
        <f t="shared" si="102"/>
        <v>1731.4581291138484</v>
      </c>
      <c r="CC416" s="560">
        <v>0</v>
      </c>
      <c r="CD416" s="155" t="str">
        <f t="shared" si="97"/>
        <v/>
      </c>
      <c r="CE416" s="405">
        <v>0</v>
      </c>
      <c r="CF416" s="284">
        <f>IF(CC416,_xll.qDateYears(CC415,CC416,CF$13),0)</f>
        <v>0</v>
      </c>
      <c r="CG416" s="284">
        <f t="shared" si="103"/>
        <v>2320.9300800126416</v>
      </c>
      <c r="CO416" s="560">
        <v>0</v>
      </c>
      <c r="CP416" s="155" t="str">
        <f t="shared" si="98"/>
        <v/>
      </c>
      <c r="CQ416" s="405">
        <v>0</v>
      </c>
      <c r="CR416" s="284">
        <f>IF(CO416,_xll.qDateYears(CO415,CO416,CR$13),0)</f>
        <v>0</v>
      </c>
      <c r="CS416" s="284">
        <f t="shared" si="104"/>
        <v>2166.0491297426292</v>
      </c>
      <c r="DA416" s="560">
        <v>0</v>
      </c>
      <c r="DB416" s="155" t="str">
        <f t="shared" si="99"/>
        <v/>
      </c>
      <c r="DC416" s="405">
        <v>0</v>
      </c>
      <c r="DD416" s="284">
        <f>IF(DA416,_xll.qDateYears(DA415,DA416,DD$13),0)</f>
        <v>0</v>
      </c>
      <c r="DE416" s="284">
        <f t="shared" si="105"/>
        <v>1625.698949379763</v>
      </c>
      <c r="DM416" s="560">
        <v>0</v>
      </c>
      <c r="DN416" s="155" t="str">
        <f t="shared" si="100"/>
        <v/>
      </c>
      <c r="DO416" s="405">
        <v>0</v>
      </c>
      <c r="DP416" s="284">
        <f>IF(DM416,_xll.qDateYears(DM415,DM416,DP$13),0)</f>
        <v>0</v>
      </c>
      <c r="DQ416" s="284">
        <f t="shared" si="106"/>
        <v>2216.4810485334592</v>
      </c>
    </row>
    <row r="417" spans="59:121">
      <c r="BG417" s="560">
        <v>0</v>
      </c>
      <c r="BH417" s="154" t="str">
        <f t="shared" si="95"/>
        <v/>
      </c>
      <c r="BI417" s="405">
        <v>0</v>
      </c>
      <c r="BJ417" s="284">
        <f>IF(BG417,_xll.qDateYears(BG416,BG417,$BJ$13),0)</f>
        <v>0</v>
      </c>
      <c r="BK417" s="284">
        <f t="shared" si="101"/>
        <v>2216.4810485334592</v>
      </c>
      <c r="BQ417" s="560">
        <v>0</v>
      </c>
      <c r="BR417" s="155" t="str">
        <f t="shared" si="96"/>
        <v/>
      </c>
      <c r="BS417" s="405">
        <v>0</v>
      </c>
      <c r="BT417" s="284">
        <f>IF(BQ417,_xll.qDateYears(BQ416,BQ417,BT$13),0)</f>
        <v>0</v>
      </c>
      <c r="BU417" s="284">
        <f t="shared" si="102"/>
        <v>1731.4581291138484</v>
      </c>
      <c r="CC417" s="560">
        <v>0</v>
      </c>
      <c r="CD417" s="155" t="str">
        <f t="shared" si="97"/>
        <v/>
      </c>
      <c r="CE417" s="405">
        <v>0</v>
      </c>
      <c r="CF417" s="284">
        <f>IF(CC417,_xll.qDateYears(CC416,CC417,CF$13),0)</f>
        <v>0</v>
      </c>
      <c r="CG417" s="284">
        <f t="shared" si="103"/>
        <v>2320.9300800126416</v>
      </c>
      <c r="CO417" s="560">
        <v>0</v>
      </c>
      <c r="CP417" s="155" t="str">
        <f t="shared" si="98"/>
        <v/>
      </c>
      <c r="CQ417" s="405">
        <v>0</v>
      </c>
      <c r="CR417" s="284">
        <f>IF(CO417,_xll.qDateYears(CO416,CO417,CR$13),0)</f>
        <v>0</v>
      </c>
      <c r="CS417" s="284">
        <f t="shared" si="104"/>
        <v>2166.0491297426292</v>
      </c>
      <c r="DA417" s="560">
        <v>0</v>
      </c>
      <c r="DB417" s="155" t="str">
        <f t="shared" si="99"/>
        <v/>
      </c>
      <c r="DC417" s="405">
        <v>0</v>
      </c>
      <c r="DD417" s="284">
        <f>IF(DA417,_xll.qDateYears(DA416,DA417,DD$13),0)</f>
        <v>0</v>
      </c>
      <c r="DE417" s="284">
        <f t="shared" si="105"/>
        <v>1625.698949379763</v>
      </c>
      <c r="DM417" s="560">
        <v>0</v>
      </c>
      <c r="DN417" s="155" t="str">
        <f t="shared" si="100"/>
        <v/>
      </c>
      <c r="DO417" s="405">
        <v>0</v>
      </c>
      <c r="DP417" s="284">
        <f>IF(DM417,_xll.qDateYears(DM416,DM417,DP$13),0)</f>
        <v>0</v>
      </c>
      <c r="DQ417" s="284">
        <f t="shared" si="106"/>
        <v>2216.4810485334592</v>
      </c>
    </row>
    <row r="418" spans="59:121">
      <c r="BG418" s="560">
        <v>0</v>
      </c>
      <c r="BH418" s="154" t="str">
        <f t="shared" si="95"/>
        <v/>
      </c>
      <c r="BI418" s="405">
        <v>0</v>
      </c>
      <c r="BJ418" s="284">
        <f>IF(BG418,_xll.qDateYears(BG417,BG418,$BJ$13),0)</f>
        <v>0</v>
      </c>
      <c r="BK418" s="284">
        <f t="shared" si="101"/>
        <v>2216.4810485334592</v>
      </c>
      <c r="BQ418" s="560">
        <v>0</v>
      </c>
      <c r="BR418" s="155" t="str">
        <f t="shared" si="96"/>
        <v/>
      </c>
      <c r="BS418" s="405">
        <v>0</v>
      </c>
      <c r="BT418" s="284">
        <f>IF(BQ418,_xll.qDateYears(BQ417,BQ418,BT$13),0)</f>
        <v>0</v>
      </c>
      <c r="BU418" s="284">
        <f t="shared" si="102"/>
        <v>1731.4581291138484</v>
      </c>
      <c r="CC418" s="560">
        <v>0</v>
      </c>
      <c r="CD418" s="155" t="str">
        <f t="shared" si="97"/>
        <v/>
      </c>
      <c r="CE418" s="405">
        <v>0</v>
      </c>
      <c r="CF418" s="284">
        <f>IF(CC418,_xll.qDateYears(CC417,CC418,CF$13),0)</f>
        <v>0</v>
      </c>
      <c r="CG418" s="284">
        <f t="shared" si="103"/>
        <v>2320.9300800126416</v>
      </c>
      <c r="CO418" s="560">
        <v>0</v>
      </c>
      <c r="CP418" s="155" t="str">
        <f t="shared" si="98"/>
        <v/>
      </c>
      <c r="CQ418" s="405">
        <v>0</v>
      </c>
      <c r="CR418" s="284">
        <f>IF(CO418,_xll.qDateYears(CO417,CO418,CR$13),0)</f>
        <v>0</v>
      </c>
      <c r="CS418" s="284">
        <f t="shared" si="104"/>
        <v>2166.0491297426292</v>
      </c>
      <c r="DA418" s="560">
        <v>0</v>
      </c>
      <c r="DB418" s="155" t="str">
        <f t="shared" si="99"/>
        <v/>
      </c>
      <c r="DC418" s="405">
        <v>0</v>
      </c>
      <c r="DD418" s="284">
        <f>IF(DA418,_xll.qDateYears(DA417,DA418,DD$13),0)</f>
        <v>0</v>
      </c>
      <c r="DE418" s="284">
        <f t="shared" si="105"/>
        <v>1625.698949379763</v>
      </c>
      <c r="DM418" s="560">
        <v>0</v>
      </c>
      <c r="DN418" s="155" t="str">
        <f t="shared" si="100"/>
        <v/>
      </c>
      <c r="DO418" s="405">
        <v>0</v>
      </c>
      <c r="DP418" s="284">
        <f>IF(DM418,_xll.qDateYears(DM417,DM418,DP$13),0)</f>
        <v>0</v>
      </c>
      <c r="DQ418" s="284">
        <f t="shared" si="106"/>
        <v>2216.4810485334592</v>
      </c>
    </row>
    <row r="419" spans="59:121">
      <c r="BG419" s="560">
        <v>0</v>
      </c>
      <c r="BH419" s="154" t="str">
        <f t="shared" si="95"/>
        <v/>
      </c>
      <c r="BI419" s="405">
        <v>0</v>
      </c>
      <c r="BJ419" s="284">
        <f>IF(BG419,_xll.qDateYears(BG418,BG419,$BJ$13),0)</f>
        <v>0</v>
      </c>
      <c r="BK419" s="284">
        <f t="shared" si="101"/>
        <v>2216.4810485334592</v>
      </c>
      <c r="BQ419" s="560">
        <v>0</v>
      </c>
      <c r="BR419" s="155" t="str">
        <f t="shared" si="96"/>
        <v/>
      </c>
      <c r="BS419" s="405">
        <v>0</v>
      </c>
      <c r="BT419" s="284">
        <f>IF(BQ419,_xll.qDateYears(BQ418,BQ419,BT$13),0)</f>
        <v>0</v>
      </c>
      <c r="BU419" s="284">
        <f t="shared" si="102"/>
        <v>1731.4581291138484</v>
      </c>
      <c r="CC419" s="560">
        <v>0</v>
      </c>
      <c r="CD419" s="155" t="str">
        <f t="shared" si="97"/>
        <v/>
      </c>
      <c r="CE419" s="405">
        <v>0</v>
      </c>
      <c r="CF419" s="284">
        <f>IF(CC419,_xll.qDateYears(CC418,CC419,CF$13),0)</f>
        <v>0</v>
      </c>
      <c r="CG419" s="284">
        <f t="shared" si="103"/>
        <v>2320.9300800126416</v>
      </c>
      <c r="CO419" s="560">
        <v>0</v>
      </c>
      <c r="CP419" s="155" t="str">
        <f t="shared" si="98"/>
        <v/>
      </c>
      <c r="CQ419" s="405">
        <v>0</v>
      </c>
      <c r="CR419" s="284">
        <f>IF(CO419,_xll.qDateYears(CO418,CO419,CR$13),0)</f>
        <v>0</v>
      </c>
      <c r="CS419" s="284">
        <f t="shared" si="104"/>
        <v>2166.0491297426292</v>
      </c>
      <c r="DA419" s="560">
        <v>0</v>
      </c>
      <c r="DB419" s="155" t="str">
        <f t="shared" si="99"/>
        <v/>
      </c>
      <c r="DC419" s="405">
        <v>0</v>
      </c>
      <c r="DD419" s="284">
        <f>IF(DA419,_xll.qDateYears(DA418,DA419,DD$13),0)</f>
        <v>0</v>
      </c>
      <c r="DE419" s="284">
        <f t="shared" si="105"/>
        <v>1625.698949379763</v>
      </c>
      <c r="DM419" s="560">
        <v>0</v>
      </c>
      <c r="DN419" s="155" t="str">
        <f t="shared" si="100"/>
        <v/>
      </c>
      <c r="DO419" s="405">
        <v>0</v>
      </c>
      <c r="DP419" s="284">
        <f>IF(DM419,_xll.qDateYears(DM418,DM419,DP$13),0)</f>
        <v>0</v>
      </c>
      <c r="DQ419" s="284">
        <f t="shared" si="106"/>
        <v>2216.4810485334592</v>
      </c>
    </row>
    <row r="420" spans="59:121">
      <c r="BG420" s="560">
        <v>0</v>
      </c>
      <c r="BH420" s="154" t="str">
        <f t="shared" si="95"/>
        <v/>
      </c>
      <c r="BI420" s="405">
        <v>0</v>
      </c>
      <c r="BJ420" s="284">
        <f>IF(BG420,_xll.qDateYears(BG419,BG420,$BJ$13),0)</f>
        <v>0</v>
      </c>
      <c r="BK420" s="284">
        <f t="shared" si="101"/>
        <v>2216.4810485334592</v>
      </c>
      <c r="BQ420" s="560">
        <v>0</v>
      </c>
      <c r="BR420" s="155" t="str">
        <f t="shared" si="96"/>
        <v/>
      </c>
      <c r="BS420" s="405">
        <v>0</v>
      </c>
      <c r="BT420" s="284">
        <f>IF(BQ420,_xll.qDateYears(BQ419,BQ420,BT$13),0)</f>
        <v>0</v>
      </c>
      <c r="BU420" s="284">
        <f t="shared" si="102"/>
        <v>1731.4581291138484</v>
      </c>
      <c r="CC420" s="560">
        <v>0</v>
      </c>
      <c r="CD420" s="155" t="str">
        <f t="shared" si="97"/>
        <v/>
      </c>
      <c r="CE420" s="405">
        <v>0</v>
      </c>
      <c r="CF420" s="284">
        <f>IF(CC420,_xll.qDateYears(CC419,CC420,CF$13),0)</f>
        <v>0</v>
      </c>
      <c r="CG420" s="284">
        <f t="shared" si="103"/>
        <v>2320.9300800126416</v>
      </c>
      <c r="CO420" s="560">
        <v>0</v>
      </c>
      <c r="CP420" s="155" t="str">
        <f t="shared" si="98"/>
        <v/>
      </c>
      <c r="CQ420" s="405">
        <v>0</v>
      </c>
      <c r="CR420" s="284">
        <f>IF(CO420,_xll.qDateYears(CO419,CO420,CR$13),0)</f>
        <v>0</v>
      </c>
      <c r="CS420" s="284">
        <f t="shared" si="104"/>
        <v>2166.0491297426292</v>
      </c>
      <c r="DA420" s="560">
        <v>0</v>
      </c>
      <c r="DB420" s="155" t="str">
        <f t="shared" si="99"/>
        <v/>
      </c>
      <c r="DC420" s="405">
        <v>0</v>
      </c>
      <c r="DD420" s="284">
        <f>IF(DA420,_xll.qDateYears(DA419,DA420,DD$13),0)</f>
        <v>0</v>
      </c>
      <c r="DE420" s="284">
        <f t="shared" si="105"/>
        <v>1625.698949379763</v>
      </c>
      <c r="DM420" s="560">
        <v>0</v>
      </c>
      <c r="DN420" s="155" t="str">
        <f t="shared" si="100"/>
        <v/>
      </c>
      <c r="DO420" s="405">
        <v>0</v>
      </c>
      <c r="DP420" s="284">
        <f>IF(DM420,_xll.qDateYears(DM419,DM420,DP$13),0)</f>
        <v>0</v>
      </c>
      <c r="DQ420" s="284">
        <f t="shared" si="106"/>
        <v>2216.4810485334592</v>
      </c>
    </row>
    <row r="421" spans="59:121">
      <c r="BG421" s="560">
        <v>0</v>
      </c>
      <c r="BH421" s="154" t="str">
        <f t="shared" si="95"/>
        <v/>
      </c>
      <c r="BI421" s="405">
        <v>0</v>
      </c>
      <c r="BJ421" s="284">
        <f>IF(BG421,_xll.qDateYears(BG420,BG421,$BJ$13),0)</f>
        <v>0</v>
      </c>
      <c r="BK421" s="284">
        <f t="shared" si="101"/>
        <v>2216.4810485334592</v>
      </c>
      <c r="BQ421" s="560">
        <v>0</v>
      </c>
      <c r="BR421" s="155" t="str">
        <f t="shared" si="96"/>
        <v/>
      </c>
      <c r="BS421" s="405">
        <v>0</v>
      </c>
      <c r="BT421" s="284">
        <f>IF(BQ421,_xll.qDateYears(BQ420,BQ421,BT$13),0)</f>
        <v>0</v>
      </c>
      <c r="BU421" s="284">
        <f t="shared" si="102"/>
        <v>1731.4581291138484</v>
      </c>
      <c r="CC421" s="560">
        <v>0</v>
      </c>
      <c r="CD421" s="155" t="str">
        <f t="shared" si="97"/>
        <v/>
      </c>
      <c r="CE421" s="405">
        <v>0</v>
      </c>
      <c r="CF421" s="284">
        <f>IF(CC421,_xll.qDateYears(CC420,CC421,CF$13),0)</f>
        <v>0</v>
      </c>
      <c r="CG421" s="284">
        <f t="shared" si="103"/>
        <v>2320.9300800126416</v>
      </c>
      <c r="CO421" s="560">
        <v>0</v>
      </c>
      <c r="CP421" s="155" t="str">
        <f t="shared" si="98"/>
        <v/>
      </c>
      <c r="CQ421" s="405">
        <v>0</v>
      </c>
      <c r="CR421" s="284">
        <f>IF(CO421,_xll.qDateYears(CO420,CO421,CR$13),0)</f>
        <v>0</v>
      </c>
      <c r="CS421" s="284">
        <f t="shared" si="104"/>
        <v>2166.0491297426292</v>
      </c>
      <c r="DA421" s="560">
        <v>0</v>
      </c>
      <c r="DB421" s="155" t="str">
        <f t="shared" si="99"/>
        <v/>
      </c>
      <c r="DC421" s="405">
        <v>0</v>
      </c>
      <c r="DD421" s="284">
        <f>IF(DA421,_xll.qDateYears(DA420,DA421,DD$13),0)</f>
        <v>0</v>
      </c>
      <c r="DE421" s="284">
        <f t="shared" si="105"/>
        <v>1625.698949379763</v>
      </c>
      <c r="DM421" s="560">
        <v>0</v>
      </c>
      <c r="DN421" s="155" t="str">
        <f t="shared" si="100"/>
        <v/>
      </c>
      <c r="DO421" s="405">
        <v>0</v>
      </c>
      <c r="DP421" s="284">
        <f>IF(DM421,_xll.qDateYears(DM420,DM421,DP$13),0)</f>
        <v>0</v>
      </c>
      <c r="DQ421" s="284">
        <f t="shared" si="106"/>
        <v>2216.4810485334592</v>
      </c>
    </row>
    <row r="422" spans="59:121">
      <c r="BG422" s="560">
        <v>0</v>
      </c>
      <c r="BH422" s="154" t="str">
        <f t="shared" si="95"/>
        <v/>
      </c>
      <c r="BI422" s="405">
        <v>0</v>
      </c>
      <c r="BJ422" s="284">
        <f>IF(BG422,_xll.qDateYears(BG421,BG422,$BJ$13),0)</f>
        <v>0</v>
      </c>
      <c r="BK422" s="284">
        <f t="shared" si="101"/>
        <v>2216.4810485334592</v>
      </c>
      <c r="BQ422" s="560">
        <v>0</v>
      </c>
      <c r="BR422" s="155" t="str">
        <f t="shared" si="96"/>
        <v/>
      </c>
      <c r="BS422" s="405">
        <v>0</v>
      </c>
      <c r="BT422" s="284">
        <f>IF(BQ422,_xll.qDateYears(BQ421,BQ422,BT$13),0)</f>
        <v>0</v>
      </c>
      <c r="BU422" s="284">
        <f t="shared" si="102"/>
        <v>1731.4581291138484</v>
      </c>
      <c r="CC422" s="560">
        <v>0</v>
      </c>
      <c r="CD422" s="155" t="str">
        <f t="shared" si="97"/>
        <v/>
      </c>
      <c r="CE422" s="405">
        <v>0</v>
      </c>
      <c r="CF422" s="284">
        <f>IF(CC422,_xll.qDateYears(CC421,CC422,CF$13),0)</f>
        <v>0</v>
      </c>
      <c r="CG422" s="284">
        <f t="shared" si="103"/>
        <v>2320.9300800126416</v>
      </c>
      <c r="CO422" s="560">
        <v>0</v>
      </c>
      <c r="CP422" s="155" t="str">
        <f t="shared" si="98"/>
        <v/>
      </c>
      <c r="CQ422" s="405">
        <v>0</v>
      </c>
      <c r="CR422" s="284">
        <f>IF(CO422,_xll.qDateYears(CO421,CO422,CR$13),0)</f>
        <v>0</v>
      </c>
      <c r="CS422" s="284">
        <f t="shared" si="104"/>
        <v>2166.0491297426292</v>
      </c>
      <c r="DA422" s="560">
        <v>0</v>
      </c>
      <c r="DB422" s="155" t="str">
        <f t="shared" si="99"/>
        <v/>
      </c>
      <c r="DC422" s="405">
        <v>0</v>
      </c>
      <c r="DD422" s="284">
        <f>IF(DA422,_xll.qDateYears(DA421,DA422,DD$13),0)</f>
        <v>0</v>
      </c>
      <c r="DE422" s="284">
        <f t="shared" si="105"/>
        <v>1625.698949379763</v>
      </c>
      <c r="DM422" s="560">
        <v>0</v>
      </c>
      <c r="DN422" s="155" t="str">
        <f t="shared" si="100"/>
        <v/>
      </c>
      <c r="DO422" s="405">
        <v>0</v>
      </c>
      <c r="DP422" s="284">
        <f>IF(DM422,_xll.qDateYears(DM421,DM422,DP$13),0)</f>
        <v>0</v>
      </c>
      <c r="DQ422" s="284">
        <f t="shared" si="106"/>
        <v>2216.4810485334592</v>
      </c>
    </row>
    <row r="423" spans="59:121">
      <c r="BG423" s="560">
        <v>0</v>
      </c>
      <c r="BH423" s="154" t="str">
        <f t="shared" si="95"/>
        <v/>
      </c>
      <c r="BI423" s="405">
        <v>0</v>
      </c>
      <c r="BJ423" s="284">
        <f>IF(BG423,_xll.qDateYears(BG422,BG423,$BJ$13),0)</f>
        <v>0</v>
      </c>
      <c r="BK423" s="284">
        <f t="shared" si="101"/>
        <v>2216.4810485334592</v>
      </c>
      <c r="BQ423" s="560">
        <v>0</v>
      </c>
      <c r="BR423" s="155" t="str">
        <f t="shared" si="96"/>
        <v/>
      </c>
      <c r="BS423" s="405">
        <v>0</v>
      </c>
      <c r="BT423" s="284">
        <f>IF(BQ423,_xll.qDateYears(BQ422,BQ423,BT$13),0)</f>
        <v>0</v>
      </c>
      <c r="BU423" s="284">
        <f t="shared" si="102"/>
        <v>1731.4581291138484</v>
      </c>
      <c r="CC423" s="560">
        <v>0</v>
      </c>
      <c r="CD423" s="155" t="str">
        <f t="shared" si="97"/>
        <v/>
      </c>
      <c r="CE423" s="405">
        <v>0</v>
      </c>
      <c r="CF423" s="284">
        <f>IF(CC423,_xll.qDateYears(CC422,CC423,CF$13),0)</f>
        <v>0</v>
      </c>
      <c r="CG423" s="284">
        <f t="shared" si="103"/>
        <v>2320.9300800126416</v>
      </c>
      <c r="CO423" s="560">
        <v>0</v>
      </c>
      <c r="CP423" s="155" t="str">
        <f t="shared" si="98"/>
        <v/>
      </c>
      <c r="CQ423" s="405">
        <v>0</v>
      </c>
      <c r="CR423" s="284">
        <f>IF(CO423,_xll.qDateYears(CO422,CO423,CR$13),0)</f>
        <v>0</v>
      </c>
      <c r="CS423" s="284">
        <f t="shared" si="104"/>
        <v>2166.0491297426292</v>
      </c>
      <c r="DA423" s="560">
        <v>0</v>
      </c>
      <c r="DB423" s="155" t="str">
        <f t="shared" si="99"/>
        <v/>
      </c>
      <c r="DC423" s="405">
        <v>0</v>
      </c>
      <c r="DD423" s="284">
        <f>IF(DA423,_xll.qDateYears(DA422,DA423,DD$13),0)</f>
        <v>0</v>
      </c>
      <c r="DE423" s="284">
        <f t="shared" si="105"/>
        <v>1625.698949379763</v>
      </c>
      <c r="DM423" s="560">
        <v>0</v>
      </c>
      <c r="DN423" s="155" t="str">
        <f t="shared" si="100"/>
        <v/>
      </c>
      <c r="DO423" s="405">
        <v>0</v>
      </c>
      <c r="DP423" s="284">
        <f>IF(DM423,_xll.qDateYears(DM422,DM423,DP$13),0)</f>
        <v>0</v>
      </c>
      <c r="DQ423" s="284">
        <f t="shared" si="106"/>
        <v>2216.4810485334592</v>
      </c>
    </row>
    <row r="424" spans="59:121">
      <c r="BG424" s="560">
        <v>0</v>
      </c>
      <c r="BH424" s="154" t="str">
        <f t="shared" si="95"/>
        <v/>
      </c>
      <c r="BI424" s="405">
        <v>0</v>
      </c>
      <c r="BJ424" s="284">
        <f>IF(BG424,_xll.qDateYears(BG423,BG424,$BJ$13),0)</f>
        <v>0</v>
      </c>
      <c r="BK424" s="284">
        <f t="shared" si="101"/>
        <v>2216.4810485334592</v>
      </c>
      <c r="BQ424" s="560">
        <v>0</v>
      </c>
      <c r="BR424" s="155" t="str">
        <f t="shared" si="96"/>
        <v/>
      </c>
      <c r="BS424" s="405">
        <v>0</v>
      </c>
      <c r="BT424" s="284">
        <f>IF(BQ424,_xll.qDateYears(BQ423,BQ424,BT$13),0)</f>
        <v>0</v>
      </c>
      <c r="BU424" s="284">
        <f t="shared" si="102"/>
        <v>1731.4581291138484</v>
      </c>
      <c r="CC424" s="560">
        <v>0</v>
      </c>
      <c r="CD424" s="155" t="str">
        <f t="shared" si="97"/>
        <v/>
      </c>
      <c r="CE424" s="405">
        <v>0</v>
      </c>
      <c r="CF424" s="284">
        <f>IF(CC424,_xll.qDateYears(CC423,CC424,CF$13),0)</f>
        <v>0</v>
      </c>
      <c r="CG424" s="284">
        <f t="shared" si="103"/>
        <v>2320.9300800126416</v>
      </c>
      <c r="CO424" s="560">
        <v>0</v>
      </c>
      <c r="CP424" s="155" t="str">
        <f t="shared" si="98"/>
        <v/>
      </c>
      <c r="CQ424" s="405">
        <v>0</v>
      </c>
      <c r="CR424" s="284">
        <f>IF(CO424,_xll.qDateYears(CO423,CO424,CR$13),0)</f>
        <v>0</v>
      </c>
      <c r="CS424" s="284">
        <f t="shared" si="104"/>
        <v>2166.0491297426292</v>
      </c>
      <c r="DA424" s="560">
        <v>0</v>
      </c>
      <c r="DB424" s="155" t="str">
        <f t="shared" si="99"/>
        <v/>
      </c>
      <c r="DC424" s="405">
        <v>0</v>
      </c>
      <c r="DD424" s="284">
        <f>IF(DA424,_xll.qDateYears(DA423,DA424,DD$13),0)</f>
        <v>0</v>
      </c>
      <c r="DE424" s="284">
        <f t="shared" si="105"/>
        <v>1625.698949379763</v>
      </c>
      <c r="DM424" s="560">
        <v>0</v>
      </c>
      <c r="DN424" s="155" t="str">
        <f t="shared" si="100"/>
        <v/>
      </c>
      <c r="DO424" s="405">
        <v>0</v>
      </c>
      <c r="DP424" s="284">
        <f>IF(DM424,_xll.qDateYears(DM423,DM424,DP$13),0)</f>
        <v>0</v>
      </c>
      <c r="DQ424" s="284">
        <f t="shared" si="106"/>
        <v>2216.4810485334592</v>
      </c>
    </row>
    <row r="425" spans="59:121">
      <c r="BG425" s="560">
        <v>0</v>
      </c>
      <c r="BH425" s="154" t="str">
        <f t="shared" si="95"/>
        <v/>
      </c>
      <c r="BI425" s="405">
        <v>0</v>
      </c>
      <c r="BJ425" s="284">
        <f>IF(BG425,_xll.qDateYears(BG424,BG425,$BJ$13),0)</f>
        <v>0</v>
      </c>
      <c r="BK425" s="284">
        <f t="shared" si="101"/>
        <v>2216.4810485334592</v>
      </c>
      <c r="BQ425" s="560">
        <v>0</v>
      </c>
      <c r="BR425" s="155" t="str">
        <f t="shared" si="96"/>
        <v/>
      </c>
      <c r="BS425" s="405">
        <v>0</v>
      </c>
      <c r="BT425" s="284">
        <f>IF(BQ425,_xll.qDateYears(BQ424,BQ425,BT$13),0)</f>
        <v>0</v>
      </c>
      <c r="BU425" s="284">
        <f t="shared" si="102"/>
        <v>1731.4581291138484</v>
      </c>
      <c r="CC425" s="560">
        <v>0</v>
      </c>
      <c r="CD425" s="155" t="str">
        <f t="shared" si="97"/>
        <v/>
      </c>
      <c r="CE425" s="405">
        <v>0</v>
      </c>
      <c r="CF425" s="284">
        <f>IF(CC425,_xll.qDateYears(CC424,CC425,CF$13),0)</f>
        <v>0</v>
      </c>
      <c r="CG425" s="284">
        <f t="shared" si="103"/>
        <v>2320.9300800126416</v>
      </c>
      <c r="CO425" s="560">
        <v>0</v>
      </c>
      <c r="CP425" s="155" t="str">
        <f t="shared" si="98"/>
        <v/>
      </c>
      <c r="CQ425" s="405">
        <v>0</v>
      </c>
      <c r="CR425" s="284">
        <f>IF(CO425,_xll.qDateYears(CO424,CO425,CR$13),0)</f>
        <v>0</v>
      </c>
      <c r="CS425" s="284">
        <f t="shared" si="104"/>
        <v>2166.0491297426292</v>
      </c>
      <c r="DA425" s="560">
        <v>0</v>
      </c>
      <c r="DB425" s="155" t="str">
        <f t="shared" si="99"/>
        <v/>
      </c>
      <c r="DC425" s="405">
        <v>0</v>
      </c>
      <c r="DD425" s="284">
        <f>IF(DA425,_xll.qDateYears(DA424,DA425,DD$13),0)</f>
        <v>0</v>
      </c>
      <c r="DE425" s="284">
        <f t="shared" si="105"/>
        <v>1625.698949379763</v>
      </c>
      <c r="DM425" s="560">
        <v>0</v>
      </c>
      <c r="DN425" s="155" t="str">
        <f t="shared" si="100"/>
        <v/>
      </c>
      <c r="DO425" s="405">
        <v>0</v>
      </c>
      <c r="DP425" s="284">
        <f>IF(DM425,_xll.qDateYears(DM424,DM425,DP$13),0)</f>
        <v>0</v>
      </c>
      <c r="DQ425" s="284">
        <f t="shared" si="106"/>
        <v>2216.4810485334592</v>
      </c>
    </row>
    <row r="426" spans="59:121">
      <c r="BG426" s="560">
        <v>0</v>
      </c>
      <c r="BH426" s="154" t="str">
        <f t="shared" si="95"/>
        <v/>
      </c>
      <c r="BI426" s="405">
        <v>0</v>
      </c>
      <c r="BJ426" s="284">
        <f>IF(BG426,_xll.qDateYears(BG425,BG426,$BJ$13),0)</f>
        <v>0</v>
      </c>
      <c r="BK426" s="284">
        <f t="shared" si="101"/>
        <v>2216.4810485334592</v>
      </c>
      <c r="BQ426" s="560">
        <v>0</v>
      </c>
      <c r="BR426" s="155" t="str">
        <f t="shared" si="96"/>
        <v/>
      </c>
      <c r="BS426" s="405">
        <v>0</v>
      </c>
      <c r="BT426" s="284">
        <f>IF(BQ426,_xll.qDateYears(BQ425,BQ426,BT$13),0)</f>
        <v>0</v>
      </c>
      <c r="BU426" s="284">
        <f t="shared" si="102"/>
        <v>1731.4581291138484</v>
      </c>
      <c r="CC426" s="560">
        <v>0</v>
      </c>
      <c r="CD426" s="155" t="str">
        <f t="shared" si="97"/>
        <v/>
      </c>
      <c r="CE426" s="405">
        <v>0</v>
      </c>
      <c r="CF426" s="284">
        <f>IF(CC426,_xll.qDateYears(CC425,CC426,CF$13),0)</f>
        <v>0</v>
      </c>
      <c r="CG426" s="284">
        <f t="shared" si="103"/>
        <v>2320.9300800126416</v>
      </c>
      <c r="CO426" s="560">
        <v>0</v>
      </c>
      <c r="CP426" s="155" t="str">
        <f t="shared" si="98"/>
        <v/>
      </c>
      <c r="CQ426" s="405">
        <v>0</v>
      </c>
      <c r="CR426" s="284">
        <f>IF(CO426,_xll.qDateYears(CO425,CO426,CR$13),0)</f>
        <v>0</v>
      </c>
      <c r="CS426" s="284">
        <f t="shared" si="104"/>
        <v>2166.0491297426292</v>
      </c>
      <c r="DA426" s="560">
        <v>0</v>
      </c>
      <c r="DB426" s="155" t="str">
        <f t="shared" si="99"/>
        <v/>
      </c>
      <c r="DC426" s="405">
        <v>0</v>
      </c>
      <c r="DD426" s="284">
        <f>IF(DA426,_xll.qDateYears(DA425,DA426,DD$13),0)</f>
        <v>0</v>
      </c>
      <c r="DE426" s="284">
        <f t="shared" si="105"/>
        <v>1625.698949379763</v>
      </c>
      <c r="DM426" s="560">
        <v>0</v>
      </c>
      <c r="DN426" s="155" t="str">
        <f t="shared" si="100"/>
        <v/>
      </c>
      <c r="DO426" s="405">
        <v>0</v>
      </c>
      <c r="DP426" s="284">
        <f>IF(DM426,_xll.qDateYears(DM425,DM426,DP$13),0)</f>
        <v>0</v>
      </c>
      <c r="DQ426" s="284">
        <f t="shared" si="106"/>
        <v>2216.4810485334592</v>
      </c>
    </row>
    <row r="427" spans="59:121">
      <c r="BG427" s="560">
        <v>0</v>
      </c>
      <c r="BH427" s="154" t="str">
        <f t="shared" si="95"/>
        <v/>
      </c>
      <c r="BI427" s="405">
        <v>0</v>
      </c>
      <c r="BJ427" s="284">
        <f>IF(BG427,_xll.qDateYears(BG426,BG427,$BJ$13),0)</f>
        <v>0</v>
      </c>
      <c r="BK427" s="284">
        <f t="shared" si="101"/>
        <v>2216.4810485334592</v>
      </c>
      <c r="BQ427" s="560">
        <v>0</v>
      </c>
      <c r="BR427" s="155" t="str">
        <f t="shared" si="96"/>
        <v/>
      </c>
      <c r="BS427" s="405">
        <v>0</v>
      </c>
      <c r="BT427" s="284">
        <f>IF(BQ427,_xll.qDateYears(BQ426,BQ427,BT$13),0)</f>
        <v>0</v>
      </c>
      <c r="BU427" s="284">
        <f t="shared" si="102"/>
        <v>1731.4581291138484</v>
      </c>
      <c r="CC427" s="560">
        <v>0</v>
      </c>
      <c r="CD427" s="155" t="str">
        <f t="shared" si="97"/>
        <v/>
      </c>
      <c r="CE427" s="405">
        <v>0</v>
      </c>
      <c r="CF427" s="284">
        <f>IF(CC427,_xll.qDateYears(CC426,CC427,CF$13),0)</f>
        <v>0</v>
      </c>
      <c r="CG427" s="284">
        <f t="shared" si="103"/>
        <v>2320.9300800126416</v>
      </c>
      <c r="CO427" s="560">
        <v>0</v>
      </c>
      <c r="CP427" s="155" t="str">
        <f t="shared" si="98"/>
        <v/>
      </c>
      <c r="CQ427" s="405">
        <v>0</v>
      </c>
      <c r="CR427" s="284">
        <f>IF(CO427,_xll.qDateYears(CO426,CO427,CR$13),0)</f>
        <v>0</v>
      </c>
      <c r="CS427" s="284">
        <f t="shared" si="104"/>
        <v>2166.0491297426292</v>
      </c>
      <c r="DA427" s="560">
        <v>0</v>
      </c>
      <c r="DB427" s="155" t="str">
        <f t="shared" si="99"/>
        <v/>
      </c>
      <c r="DC427" s="405">
        <v>0</v>
      </c>
      <c r="DD427" s="284">
        <f>IF(DA427,_xll.qDateYears(DA426,DA427,DD$13),0)</f>
        <v>0</v>
      </c>
      <c r="DE427" s="284">
        <f t="shared" si="105"/>
        <v>1625.698949379763</v>
      </c>
      <c r="DM427" s="560">
        <v>0</v>
      </c>
      <c r="DN427" s="155" t="str">
        <f t="shared" si="100"/>
        <v/>
      </c>
      <c r="DO427" s="405">
        <v>0</v>
      </c>
      <c r="DP427" s="284">
        <f>IF(DM427,_xll.qDateYears(DM426,DM427,DP$13),0)</f>
        <v>0</v>
      </c>
      <c r="DQ427" s="284">
        <f t="shared" si="106"/>
        <v>2216.4810485334592</v>
      </c>
    </row>
    <row r="428" spans="59:121">
      <c r="BG428" s="560">
        <v>0</v>
      </c>
      <c r="BH428" s="154" t="str">
        <f t="shared" si="95"/>
        <v/>
      </c>
      <c r="BI428" s="405">
        <v>0</v>
      </c>
      <c r="BJ428" s="284">
        <f>IF(BG428,_xll.qDateYears(BG427,BG428,$BJ$13),0)</f>
        <v>0</v>
      </c>
      <c r="BK428" s="284">
        <f t="shared" si="101"/>
        <v>2216.4810485334592</v>
      </c>
      <c r="BQ428" s="560">
        <v>0</v>
      </c>
      <c r="BR428" s="155" t="str">
        <f t="shared" si="96"/>
        <v/>
      </c>
      <c r="BS428" s="405">
        <v>0</v>
      </c>
      <c r="BT428" s="284">
        <f>IF(BQ428,_xll.qDateYears(BQ427,BQ428,BT$13),0)</f>
        <v>0</v>
      </c>
      <c r="BU428" s="284">
        <f t="shared" si="102"/>
        <v>1731.4581291138484</v>
      </c>
      <c r="CC428" s="560">
        <v>0</v>
      </c>
      <c r="CD428" s="155" t="str">
        <f t="shared" si="97"/>
        <v/>
      </c>
      <c r="CE428" s="405">
        <v>0</v>
      </c>
      <c r="CF428" s="284">
        <f>IF(CC428,_xll.qDateYears(CC427,CC428,CF$13),0)</f>
        <v>0</v>
      </c>
      <c r="CG428" s="284">
        <f t="shared" si="103"/>
        <v>2320.9300800126416</v>
      </c>
      <c r="CO428" s="560">
        <v>0</v>
      </c>
      <c r="CP428" s="155" t="str">
        <f t="shared" si="98"/>
        <v/>
      </c>
      <c r="CQ428" s="405">
        <v>0</v>
      </c>
      <c r="CR428" s="284">
        <f>IF(CO428,_xll.qDateYears(CO427,CO428,CR$13),0)</f>
        <v>0</v>
      </c>
      <c r="CS428" s="284">
        <f t="shared" si="104"/>
        <v>2166.0491297426292</v>
      </c>
      <c r="DA428" s="560">
        <v>0</v>
      </c>
      <c r="DB428" s="155" t="str">
        <f t="shared" si="99"/>
        <v/>
      </c>
      <c r="DC428" s="405">
        <v>0</v>
      </c>
      <c r="DD428" s="284">
        <f>IF(DA428,_xll.qDateYears(DA427,DA428,DD$13),0)</f>
        <v>0</v>
      </c>
      <c r="DE428" s="284">
        <f t="shared" si="105"/>
        <v>1625.698949379763</v>
      </c>
      <c r="DM428" s="560">
        <v>0</v>
      </c>
      <c r="DN428" s="155" t="str">
        <f t="shared" si="100"/>
        <v/>
      </c>
      <c r="DO428" s="405">
        <v>0</v>
      </c>
      <c r="DP428" s="284">
        <f>IF(DM428,_xll.qDateYears(DM427,DM428,DP$13),0)</f>
        <v>0</v>
      </c>
      <c r="DQ428" s="284">
        <f t="shared" si="106"/>
        <v>2216.4810485334592</v>
      </c>
    </row>
    <row r="429" spans="59:121">
      <c r="BG429" s="560">
        <v>0</v>
      </c>
      <c r="BH429" s="154" t="str">
        <f t="shared" si="95"/>
        <v/>
      </c>
      <c r="BI429" s="405">
        <v>0</v>
      </c>
      <c r="BJ429" s="284">
        <f>IF(BG429,_xll.qDateYears(BG428,BG429,$BJ$13),0)</f>
        <v>0</v>
      </c>
      <c r="BK429" s="284">
        <f t="shared" si="101"/>
        <v>2216.4810485334592</v>
      </c>
      <c r="BQ429" s="560">
        <v>0</v>
      </c>
      <c r="BR429" s="155" t="str">
        <f t="shared" si="96"/>
        <v/>
      </c>
      <c r="BS429" s="405">
        <v>0</v>
      </c>
      <c r="BT429" s="284">
        <f>IF(BQ429,_xll.qDateYears(BQ428,BQ429,BT$13),0)</f>
        <v>0</v>
      </c>
      <c r="BU429" s="284">
        <f t="shared" si="102"/>
        <v>1731.4581291138484</v>
      </c>
      <c r="CC429" s="560">
        <v>0</v>
      </c>
      <c r="CD429" s="155" t="str">
        <f t="shared" si="97"/>
        <v/>
      </c>
      <c r="CE429" s="405">
        <v>0</v>
      </c>
      <c r="CF429" s="284">
        <f>IF(CC429,_xll.qDateYears(CC428,CC429,CF$13),0)</f>
        <v>0</v>
      </c>
      <c r="CG429" s="284">
        <f t="shared" si="103"/>
        <v>2320.9300800126416</v>
      </c>
      <c r="CO429" s="560">
        <v>0</v>
      </c>
      <c r="CP429" s="155" t="str">
        <f t="shared" si="98"/>
        <v/>
      </c>
      <c r="CQ429" s="405">
        <v>0</v>
      </c>
      <c r="CR429" s="284">
        <f>IF(CO429,_xll.qDateYears(CO428,CO429,CR$13),0)</f>
        <v>0</v>
      </c>
      <c r="CS429" s="284">
        <f t="shared" si="104"/>
        <v>2166.0491297426292</v>
      </c>
      <c r="DA429" s="560">
        <v>0</v>
      </c>
      <c r="DB429" s="155" t="str">
        <f t="shared" si="99"/>
        <v/>
      </c>
      <c r="DC429" s="405">
        <v>0</v>
      </c>
      <c r="DD429" s="284">
        <f>IF(DA429,_xll.qDateYears(DA428,DA429,DD$13),0)</f>
        <v>0</v>
      </c>
      <c r="DE429" s="284">
        <f t="shared" si="105"/>
        <v>1625.698949379763</v>
      </c>
      <c r="DM429" s="560">
        <v>0</v>
      </c>
      <c r="DN429" s="155" t="str">
        <f t="shared" si="100"/>
        <v/>
      </c>
      <c r="DO429" s="405">
        <v>0</v>
      </c>
      <c r="DP429" s="284">
        <f>IF(DM429,_xll.qDateYears(DM428,DM429,DP$13),0)</f>
        <v>0</v>
      </c>
      <c r="DQ429" s="284">
        <f t="shared" si="106"/>
        <v>2216.4810485334592</v>
      </c>
    </row>
    <row r="430" spans="59:121">
      <c r="BG430" s="560">
        <v>0</v>
      </c>
      <c r="BH430" s="154" t="str">
        <f t="shared" si="95"/>
        <v/>
      </c>
      <c r="BI430" s="405">
        <v>0</v>
      </c>
      <c r="BJ430" s="284">
        <f>IF(BG430,_xll.qDateYears(BG429,BG430,$BJ$13),0)</f>
        <v>0</v>
      </c>
      <c r="BK430" s="284">
        <f t="shared" si="101"/>
        <v>2216.4810485334592</v>
      </c>
      <c r="BQ430" s="560">
        <v>0</v>
      </c>
      <c r="BR430" s="155" t="str">
        <f t="shared" si="96"/>
        <v/>
      </c>
      <c r="BS430" s="405">
        <v>0</v>
      </c>
      <c r="BT430" s="284">
        <f>IF(BQ430,_xll.qDateYears(BQ429,BQ430,BT$13),0)</f>
        <v>0</v>
      </c>
      <c r="BU430" s="284">
        <f t="shared" si="102"/>
        <v>1731.4581291138484</v>
      </c>
      <c r="CC430" s="560">
        <v>0</v>
      </c>
      <c r="CD430" s="155" t="str">
        <f t="shared" si="97"/>
        <v/>
      </c>
      <c r="CE430" s="405">
        <v>0</v>
      </c>
      <c r="CF430" s="284">
        <f>IF(CC430,_xll.qDateYears(CC429,CC430,CF$13),0)</f>
        <v>0</v>
      </c>
      <c r="CG430" s="284">
        <f t="shared" si="103"/>
        <v>2320.9300800126416</v>
      </c>
      <c r="CO430" s="560">
        <v>0</v>
      </c>
      <c r="CP430" s="155" t="str">
        <f t="shared" si="98"/>
        <v/>
      </c>
      <c r="CQ430" s="405">
        <v>0</v>
      </c>
      <c r="CR430" s="284">
        <f>IF(CO430,_xll.qDateYears(CO429,CO430,CR$13),0)</f>
        <v>0</v>
      </c>
      <c r="CS430" s="284">
        <f t="shared" si="104"/>
        <v>2166.0491297426292</v>
      </c>
      <c r="DA430" s="560">
        <v>0</v>
      </c>
      <c r="DB430" s="155" t="str">
        <f t="shared" si="99"/>
        <v/>
      </c>
      <c r="DC430" s="405">
        <v>0</v>
      </c>
      <c r="DD430" s="284">
        <f>IF(DA430,_xll.qDateYears(DA429,DA430,DD$13),0)</f>
        <v>0</v>
      </c>
      <c r="DE430" s="284">
        <f t="shared" si="105"/>
        <v>1625.698949379763</v>
      </c>
      <c r="DM430" s="560">
        <v>0</v>
      </c>
      <c r="DN430" s="155" t="str">
        <f t="shared" si="100"/>
        <v/>
      </c>
      <c r="DO430" s="405">
        <v>0</v>
      </c>
      <c r="DP430" s="284">
        <f>IF(DM430,_xll.qDateYears(DM429,DM430,DP$13),0)</f>
        <v>0</v>
      </c>
      <c r="DQ430" s="284">
        <f t="shared" si="106"/>
        <v>2216.4810485334592</v>
      </c>
    </row>
    <row r="431" spans="59:121">
      <c r="BG431" s="560">
        <v>0</v>
      </c>
      <c r="BH431" s="154" t="str">
        <f t="shared" si="95"/>
        <v/>
      </c>
      <c r="BI431" s="405">
        <v>0</v>
      </c>
      <c r="BJ431" s="284">
        <f>IF(BG431,_xll.qDateYears(BG430,BG431,$BJ$13),0)</f>
        <v>0</v>
      </c>
      <c r="BK431" s="284">
        <f t="shared" si="101"/>
        <v>2216.4810485334592</v>
      </c>
      <c r="BQ431" s="560">
        <v>0</v>
      </c>
      <c r="BR431" s="155" t="str">
        <f t="shared" si="96"/>
        <v/>
      </c>
      <c r="BS431" s="405">
        <v>0</v>
      </c>
      <c r="BT431" s="284">
        <f>IF(BQ431,_xll.qDateYears(BQ430,BQ431,BT$13),0)</f>
        <v>0</v>
      </c>
      <c r="BU431" s="284">
        <f t="shared" si="102"/>
        <v>1731.4581291138484</v>
      </c>
      <c r="CC431" s="560">
        <v>0</v>
      </c>
      <c r="CD431" s="155" t="str">
        <f t="shared" si="97"/>
        <v/>
      </c>
      <c r="CE431" s="405">
        <v>0</v>
      </c>
      <c r="CF431" s="284">
        <f>IF(CC431,_xll.qDateYears(CC430,CC431,CF$13),0)</f>
        <v>0</v>
      </c>
      <c r="CG431" s="284">
        <f t="shared" si="103"/>
        <v>2320.9300800126416</v>
      </c>
      <c r="CO431" s="560">
        <v>0</v>
      </c>
      <c r="CP431" s="155" t="str">
        <f t="shared" si="98"/>
        <v/>
      </c>
      <c r="CQ431" s="405">
        <v>0</v>
      </c>
      <c r="CR431" s="284">
        <f>IF(CO431,_xll.qDateYears(CO430,CO431,CR$13),0)</f>
        <v>0</v>
      </c>
      <c r="CS431" s="284">
        <f t="shared" si="104"/>
        <v>2166.0491297426292</v>
      </c>
      <c r="DA431" s="560">
        <v>0</v>
      </c>
      <c r="DB431" s="155" t="str">
        <f t="shared" si="99"/>
        <v/>
      </c>
      <c r="DC431" s="405">
        <v>0</v>
      </c>
      <c r="DD431" s="284">
        <f>IF(DA431,_xll.qDateYears(DA430,DA431,DD$13),0)</f>
        <v>0</v>
      </c>
      <c r="DE431" s="284">
        <f t="shared" si="105"/>
        <v>1625.698949379763</v>
      </c>
      <c r="DM431" s="560">
        <v>0</v>
      </c>
      <c r="DN431" s="155" t="str">
        <f t="shared" si="100"/>
        <v/>
      </c>
      <c r="DO431" s="405">
        <v>0</v>
      </c>
      <c r="DP431" s="284">
        <f>IF(DM431,_xll.qDateYears(DM430,DM431,DP$13),0)</f>
        <v>0</v>
      </c>
      <c r="DQ431" s="284">
        <f t="shared" si="106"/>
        <v>2216.4810485334592</v>
      </c>
    </row>
    <row r="432" spans="59:121">
      <c r="BG432" s="560">
        <v>0</v>
      </c>
      <c r="BH432" s="154" t="str">
        <f t="shared" si="95"/>
        <v/>
      </c>
      <c r="BI432" s="405">
        <v>0</v>
      </c>
      <c r="BJ432" s="284">
        <f>IF(BG432,_xll.qDateYears(BG431,BG432,$BJ$13),0)</f>
        <v>0</v>
      </c>
      <c r="BK432" s="284">
        <f t="shared" si="101"/>
        <v>2216.4810485334592</v>
      </c>
      <c r="BQ432" s="560">
        <v>0</v>
      </c>
      <c r="BR432" s="155" t="str">
        <f t="shared" si="96"/>
        <v/>
      </c>
      <c r="BS432" s="405">
        <v>0</v>
      </c>
      <c r="BT432" s="284">
        <f>IF(BQ432,_xll.qDateYears(BQ431,BQ432,BT$13),0)</f>
        <v>0</v>
      </c>
      <c r="BU432" s="284">
        <f t="shared" si="102"/>
        <v>1731.4581291138484</v>
      </c>
      <c r="CC432" s="560">
        <v>0</v>
      </c>
      <c r="CD432" s="155" t="str">
        <f t="shared" si="97"/>
        <v/>
      </c>
      <c r="CE432" s="405">
        <v>0</v>
      </c>
      <c r="CF432" s="284">
        <f>IF(CC432,_xll.qDateYears(CC431,CC432,CF$13),0)</f>
        <v>0</v>
      </c>
      <c r="CG432" s="284">
        <f t="shared" si="103"/>
        <v>2320.9300800126416</v>
      </c>
      <c r="CO432" s="560">
        <v>0</v>
      </c>
      <c r="CP432" s="155" t="str">
        <f t="shared" si="98"/>
        <v/>
      </c>
      <c r="CQ432" s="405">
        <v>0</v>
      </c>
      <c r="CR432" s="284">
        <f>IF(CO432,_xll.qDateYears(CO431,CO432,CR$13),0)</f>
        <v>0</v>
      </c>
      <c r="CS432" s="284">
        <f t="shared" si="104"/>
        <v>2166.0491297426292</v>
      </c>
      <c r="DA432" s="560">
        <v>0</v>
      </c>
      <c r="DB432" s="155" t="str">
        <f t="shared" si="99"/>
        <v/>
      </c>
      <c r="DC432" s="405">
        <v>0</v>
      </c>
      <c r="DD432" s="284">
        <f>IF(DA432,_xll.qDateYears(DA431,DA432,DD$13),0)</f>
        <v>0</v>
      </c>
      <c r="DE432" s="284">
        <f t="shared" si="105"/>
        <v>1625.698949379763</v>
      </c>
      <c r="DM432" s="560">
        <v>0</v>
      </c>
      <c r="DN432" s="155" t="str">
        <f t="shared" si="100"/>
        <v/>
      </c>
      <c r="DO432" s="405">
        <v>0</v>
      </c>
      <c r="DP432" s="284">
        <f>IF(DM432,_xll.qDateYears(DM431,DM432,DP$13),0)</f>
        <v>0</v>
      </c>
      <c r="DQ432" s="284">
        <f t="shared" si="106"/>
        <v>2216.4810485334592</v>
      </c>
    </row>
    <row r="433" spans="59:121">
      <c r="BG433" s="560">
        <v>0</v>
      </c>
      <c r="BH433" s="154" t="str">
        <f t="shared" si="95"/>
        <v/>
      </c>
      <c r="BI433" s="405">
        <v>0</v>
      </c>
      <c r="BJ433" s="284">
        <f>IF(BG433,_xll.qDateYears(BG432,BG433,$BJ$13),0)</f>
        <v>0</v>
      </c>
      <c r="BK433" s="284">
        <f t="shared" si="101"/>
        <v>2216.4810485334592</v>
      </c>
      <c r="BQ433" s="560">
        <v>0</v>
      </c>
      <c r="BR433" s="155" t="str">
        <f t="shared" si="96"/>
        <v/>
      </c>
      <c r="BS433" s="405">
        <v>0</v>
      </c>
      <c r="BT433" s="284">
        <f>IF(BQ433,_xll.qDateYears(BQ432,BQ433,BT$13),0)</f>
        <v>0</v>
      </c>
      <c r="BU433" s="284">
        <f t="shared" si="102"/>
        <v>1731.4581291138484</v>
      </c>
      <c r="CC433" s="560">
        <v>0</v>
      </c>
      <c r="CD433" s="155" t="str">
        <f t="shared" si="97"/>
        <v/>
      </c>
      <c r="CE433" s="405">
        <v>0</v>
      </c>
      <c r="CF433" s="284">
        <f>IF(CC433,_xll.qDateYears(CC432,CC433,CF$13),0)</f>
        <v>0</v>
      </c>
      <c r="CG433" s="284">
        <f t="shared" si="103"/>
        <v>2320.9300800126416</v>
      </c>
      <c r="CO433" s="560">
        <v>0</v>
      </c>
      <c r="CP433" s="155" t="str">
        <f t="shared" si="98"/>
        <v/>
      </c>
      <c r="CQ433" s="405">
        <v>0</v>
      </c>
      <c r="CR433" s="284">
        <f>IF(CO433,_xll.qDateYears(CO432,CO433,CR$13),0)</f>
        <v>0</v>
      </c>
      <c r="CS433" s="284">
        <f t="shared" si="104"/>
        <v>2166.0491297426292</v>
      </c>
      <c r="DA433" s="560">
        <v>0</v>
      </c>
      <c r="DB433" s="155" t="str">
        <f t="shared" si="99"/>
        <v/>
      </c>
      <c r="DC433" s="405">
        <v>0</v>
      </c>
      <c r="DD433" s="284">
        <f>IF(DA433,_xll.qDateYears(DA432,DA433,DD$13),0)</f>
        <v>0</v>
      </c>
      <c r="DE433" s="284">
        <f t="shared" si="105"/>
        <v>1625.698949379763</v>
      </c>
      <c r="DM433" s="560">
        <v>0</v>
      </c>
      <c r="DN433" s="155" t="str">
        <f t="shared" si="100"/>
        <v/>
      </c>
      <c r="DO433" s="405">
        <v>0</v>
      </c>
      <c r="DP433" s="284">
        <f>IF(DM433,_xll.qDateYears(DM432,DM433,DP$13),0)</f>
        <v>0</v>
      </c>
      <c r="DQ433" s="284">
        <f t="shared" si="106"/>
        <v>2216.4810485334592</v>
      </c>
    </row>
    <row r="434" spans="59:121">
      <c r="BG434" s="560">
        <v>0</v>
      </c>
      <c r="BH434" s="154" t="str">
        <f t="shared" si="95"/>
        <v/>
      </c>
      <c r="BI434" s="405">
        <v>0</v>
      </c>
      <c r="BJ434" s="284">
        <f>IF(BG434,_xll.qDateYears(BG433,BG434,$BJ$13),0)</f>
        <v>0</v>
      </c>
      <c r="BK434" s="284">
        <f t="shared" si="101"/>
        <v>2216.4810485334592</v>
      </c>
      <c r="BQ434" s="560">
        <v>0</v>
      </c>
      <c r="BR434" s="155" t="str">
        <f t="shared" si="96"/>
        <v/>
      </c>
      <c r="BS434" s="405">
        <v>0</v>
      </c>
      <c r="BT434" s="284">
        <f>IF(BQ434,_xll.qDateYears(BQ433,BQ434,BT$13),0)</f>
        <v>0</v>
      </c>
      <c r="BU434" s="284">
        <f t="shared" si="102"/>
        <v>1731.4581291138484</v>
      </c>
      <c r="CC434" s="560">
        <v>0</v>
      </c>
      <c r="CD434" s="155" t="str">
        <f t="shared" si="97"/>
        <v/>
      </c>
      <c r="CE434" s="405">
        <v>0</v>
      </c>
      <c r="CF434" s="284">
        <f>IF(CC434,_xll.qDateYears(CC433,CC434,CF$13),0)</f>
        <v>0</v>
      </c>
      <c r="CG434" s="284">
        <f t="shared" si="103"/>
        <v>2320.9300800126416</v>
      </c>
      <c r="CO434" s="560">
        <v>0</v>
      </c>
      <c r="CP434" s="155" t="str">
        <f t="shared" si="98"/>
        <v/>
      </c>
      <c r="CQ434" s="405">
        <v>0</v>
      </c>
      <c r="CR434" s="284">
        <f>IF(CO434,_xll.qDateYears(CO433,CO434,CR$13),0)</f>
        <v>0</v>
      </c>
      <c r="CS434" s="284">
        <f t="shared" si="104"/>
        <v>2166.0491297426292</v>
      </c>
      <c r="DA434" s="560">
        <v>0</v>
      </c>
      <c r="DB434" s="155" t="str">
        <f t="shared" si="99"/>
        <v/>
      </c>
      <c r="DC434" s="405">
        <v>0</v>
      </c>
      <c r="DD434" s="284">
        <f>IF(DA434,_xll.qDateYears(DA433,DA434,DD$13),0)</f>
        <v>0</v>
      </c>
      <c r="DE434" s="284">
        <f t="shared" si="105"/>
        <v>1625.698949379763</v>
      </c>
      <c r="DM434" s="560">
        <v>0</v>
      </c>
      <c r="DN434" s="155" t="str">
        <f t="shared" si="100"/>
        <v/>
      </c>
      <c r="DO434" s="405">
        <v>0</v>
      </c>
      <c r="DP434" s="284">
        <f>IF(DM434,_xll.qDateYears(DM433,DM434,DP$13),0)</f>
        <v>0</v>
      </c>
      <c r="DQ434" s="284">
        <f t="shared" si="106"/>
        <v>2216.4810485334592</v>
      </c>
    </row>
    <row r="435" spans="59:121">
      <c r="BG435" s="560">
        <v>0</v>
      </c>
      <c r="BH435" s="154" t="str">
        <f t="shared" si="95"/>
        <v/>
      </c>
      <c r="BI435" s="405">
        <v>0</v>
      </c>
      <c r="BJ435" s="284">
        <f>IF(BG435,_xll.qDateYears(BG434,BG435,$BJ$13),0)</f>
        <v>0</v>
      </c>
      <c r="BK435" s="284">
        <f t="shared" si="101"/>
        <v>2216.4810485334592</v>
      </c>
      <c r="BQ435" s="560">
        <v>0</v>
      </c>
      <c r="BR435" s="155" t="str">
        <f t="shared" si="96"/>
        <v/>
      </c>
      <c r="BS435" s="405">
        <v>0</v>
      </c>
      <c r="BT435" s="284">
        <f>IF(BQ435,_xll.qDateYears(BQ434,BQ435,BT$13),0)</f>
        <v>0</v>
      </c>
      <c r="BU435" s="284">
        <f t="shared" si="102"/>
        <v>1731.4581291138484</v>
      </c>
      <c r="CC435" s="560">
        <v>0</v>
      </c>
      <c r="CD435" s="155" t="str">
        <f t="shared" si="97"/>
        <v/>
      </c>
      <c r="CE435" s="405">
        <v>0</v>
      </c>
      <c r="CF435" s="284">
        <f>IF(CC435,_xll.qDateYears(CC434,CC435,CF$13),0)</f>
        <v>0</v>
      </c>
      <c r="CG435" s="284">
        <f t="shared" si="103"/>
        <v>2320.9300800126416</v>
      </c>
      <c r="CO435" s="560">
        <v>0</v>
      </c>
      <c r="CP435" s="155" t="str">
        <f t="shared" si="98"/>
        <v/>
      </c>
      <c r="CQ435" s="405">
        <v>0</v>
      </c>
      <c r="CR435" s="284">
        <f>IF(CO435,_xll.qDateYears(CO434,CO435,CR$13),0)</f>
        <v>0</v>
      </c>
      <c r="CS435" s="284">
        <f t="shared" si="104"/>
        <v>2166.0491297426292</v>
      </c>
      <c r="DA435" s="560">
        <v>0</v>
      </c>
      <c r="DB435" s="155" t="str">
        <f t="shared" si="99"/>
        <v/>
      </c>
      <c r="DC435" s="405">
        <v>0</v>
      </c>
      <c r="DD435" s="284">
        <f>IF(DA435,_xll.qDateYears(DA434,DA435,DD$13),0)</f>
        <v>0</v>
      </c>
      <c r="DE435" s="284">
        <f t="shared" si="105"/>
        <v>1625.698949379763</v>
      </c>
      <c r="DM435" s="560">
        <v>0</v>
      </c>
      <c r="DN435" s="155" t="str">
        <f t="shared" si="100"/>
        <v/>
      </c>
      <c r="DO435" s="405">
        <v>0</v>
      </c>
      <c r="DP435" s="284">
        <f>IF(DM435,_xll.qDateYears(DM434,DM435,DP$13),0)</f>
        <v>0</v>
      </c>
      <c r="DQ435" s="284">
        <f t="shared" si="106"/>
        <v>2216.4810485334592</v>
      </c>
    </row>
    <row r="436" spans="59:121">
      <c r="BG436" s="560">
        <v>0</v>
      </c>
      <c r="BH436" s="154" t="str">
        <f t="shared" si="95"/>
        <v/>
      </c>
      <c r="BI436" s="405">
        <v>0</v>
      </c>
      <c r="BJ436" s="284">
        <f>IF(BG436,_xll.qDateYears(BG435,BG436,$BJ$13),0)</f>
        <v>0</v>
      </c>
      <c r="BK436" s="284">
        <f t="shared" si="101"/>
        <v>2216.4810485334592</v>
      </c>
      <c r="BQ436" s="560">
        <v>0</v>
      </c>
      <c r="BR436" s="155" t="str">
        <f t="shared" si="96"/>
        <v/>
      </c>
      <c r="BS436" s="405">
        <v>0</v>
      </c>
      <c r="BT436" s="284">
        <f>IF(BQ436,_xll.qDateYears(BQ435,BQ436,BT$13),0)</f>
        <v>0</v>
      </c>
      <c r="BU436" s="284">
        <f t="shared" si="102"/>
        <v>1731.4581291138484</v>
      </c>
      <c r="CC436" s="560">
        <v>0</v>
      </c>
      <c r="CD436" s="155" t="str">
        <f t="shared" si="97"/>
        <v/>
      </c>
      <c r="CE436" s="405">
        <v>0</v>
      </c>
      <c r="CF436" s="284">
        <f>IF(CC436,_xll.qDateYears(CC435,CC436,CF$13),0)</f>
        <v>0</v>
      </c>
      <c r="CG436" s="284">
        <f t="shared" si="103"/>
        <v>2320.9300800126416</v>
      </c>
      <c r="CO436" s="560">
        <v>0</v>
      </c>
      <c r="CP436" s="155" t="str">
        <f t="shared" si="98"/>
        <v/>
      </c>
      <c r="CQ436" s="405">
        <v>0</v>
      </c>
      <c r="CR436" s="284">
        <f>IF(CO436,_xll.qDateYears(CO435,CO436,CR$13),0)</f>
        <v>0</v>
      </c>
      <c r="CS436" s="284">
        <f t="shared" si="104"/>
        <v>2166.0491297426292</v>
      </c>
      <c r="DA436" s="560">
        <v>0</v>
      </c>
      <c r="DB436" s="155" t="str">
        <f t="shared" si="99"/>
        <v/>
      </c>
      <c r="DC436" s="405">
        <v>0</v>
      </c>
      <c r="DD436" s="284">
        <f>IF(DA436,_xll.qDateYears(DA435,DA436,DD$13),0)</f>
        <v>0</v>
      </c>
      <c r="DE436" s="284">
        <f t="shared" si="105"/>
        <v>1625.698949379763</v>
      </c>
      <c r="DM436" s="560">
        <v>0</v>
      </c>
      <c r="DN436" s="155" t="str">
        <f t="shared" si="100"/>
        <v/>
      </c>
      <c r="DO436" s="405">
        <v>0</v>
      </c>
      <c r="DP436" s="284">
        <f>IF(DM436,_xll.qDateYears(DM435,DM436,DP$13),0)</f>
        <v>0</v>
      </c>
      <c r="DQ436" s="284">
        <f t="shared" si="106"/>
        <v>2216.4810485334592</v>
      </c>
    </row>
    <row r="437" spans="59:121">
      <c r="BG437" s="560">
        <v>0</v>
      </c>
      <c r="BH437" s="154" t="str">
        <f t="shared" si="95"/>
        <v/>
      </c>
      <c r="BI437" s="405">
        <v>0</v>
      </c>
      <c r="BJ437" s="284">
        <f>IF(BG437,_xll.qDateYears(BG436,BG437,$BJ$13),0)</f>
        <v>0</v>
      </c>
      <c r="BK437" s="284">
        <f t="shared" si="101"/>
        <v>2216.4810485334592</v>
      </c>
      <c r="BQ437" s="560">
        <v>0</v>
      </c>
      <c r="BR437" s="155" t="str">
        <f t="shared" si="96"/>
        <v/>
      </c>
      <c r="BS437" s="405">
        <v>0</v>
      </c>
      <c r="BT437" s="284">
        <f>IF(BQ437,_xll.qDateYears(BQ436,BQ437,BT$13),0)</f>
        <v>0</v>
      </c>
      <c r="BU437" s="284">
        <f t="shared" si="102"/>
        <v>1731.4581291138484</v>
      </c>
      <c r="CC437" s="560">
        <v>0</v>
      </c>
      <c r="CD437" s="155" t="str">
        <f t="shared" si="97"/>
        <v/>
      </c>
      <c r="CE437" s="405">
        <v>0</v>
      </c>
      <c r="CF437" s="284">
        <f>IF(CC437,_xll.qDateYears(CC436,CC437,CF$13),0)</f>
        <v>0</v>
      </c>
      <c r="CG437" s="284">
        <f t="shared" si="103"/>
        <v>2320.9300800126416</v>
      </c>
      <c r="CO437" s="560">
        <v>0</v>
      </c>
      <c r="CP437" s="155" t="str">
        <f t="shared" si="98"/>
        <v/>
      </c>
      <c r="CQ437" s="405">
        <v>0</v>
      </c>
      <c r="CR437" s="284">
        <f>IF(CO437,_xll.qDateYears(CO436,CO437,CR$13),0)</f>
        <v>0</v>
      </c>
      <c r="CS437" s="284">
        <f t="shared" si="104"/>
        <v>2166.0491297426292</v>
      </c>
      <c r="DA437" s="560">
        <v>0</v>
      </c>
      <c r="DB437" s="155" t="str">
        <f t="shared" si="99"/>
        <v/>
      </c>
      <c r="DC437" s="405">
        <v>0</v>
      </c>
      <c r="DD437" s="284">
        <f>IF(DA437,_xll.qDateYears(DA436,DA437,DD$13),0)</f>
        <v>0</v>
      </c>
      <c r="DE437" s="284">
        <f t="shared" si="105"/>
        <v>1625.698949379763</v>
      </c>
      <c r="DM437" s="560">
        <v>0</v>
      </c>
      <c r="DN437" s="155" t="str">
        <f t="shared" si="100"/>
        <v/>
      </c>
      <c r="DO437" s="405">
        <v>0</v>
      </c>
      <c r="DP437" s="284">
        <f>IF(DM437,_xll.qDateYears(DM436,DM437,DP$13),0)</f>
        <v>0</v>
      </c>
      <c r="DQ437" s="284">
        <f t="shared" si="106"/>
        <v>2216.4810485334592</v>
      </c>
    </row>
    <row r="438" spans="59:121">
      <c r="BG438" s="560">
        <v>0</v>
      </c>
      <c r="BH438" s="154" t="str">
        <f t="shared" si="95"/>
        <v/>
      </c>
      <c r="BI438" s="405">
        <v>0</v>
      </c>
      <c r="BJ438" s="284">
        <f>IF(BG438,_xll.qDateYears(BG437,BG438,$BJ$13),0)</f>
        <v>0</v>
      </c>
      <c r="BK438" s="284">
        <f t="shared" si="101"/>
        <v>2216.4810485334592</v>
      </c>
      <c r="BQ438" s="560">
        <v>0</v>
      </c>
      <c r="BR438" s="155" t="str">
        <f t="shared" si="96"/>
        <v/>
      </c>
      <c r="BS438" s="405">
        <v>0</v>
      </c>
      <c r="BT438" s="284">
        <f>IF(BQ438,_xll.qDateYears(BQ437,BQ438,BT$13),0)</f>
        <v>0</v>
      </c>
      <c r="BU438" s="284">
        <f t="shared" si="102"/>
        <v>1731.4581291138484</v>
      </c>
      <c r="CC438" s="560">
        <v>0</v>
      </c>
      <c r="CD438" s="155" t="str">
        <f t="shared" si="97"/>
        <v/>
      </c>
      <c r="CE438" s="405">
        <v>0</v>
      </c>
      <c r="CF438" s="284">
        <f>IF(CC438,_xll.qDateYears(CC437,CC438,CF$13),0)</f>
        <v>0</v>
      </c>
      <c r="CG438" s="284">
        <f t="shared" si="103"/>
        <v>2320.9300800126416</v>
      </c>
      <c r="CO438" s="560">
        <v>0</v>
      </c>
      <c r="CP438" s="155" t="str">
        <f t="shared" si="98"/>
        <v/>
      </c>
      <c r="CQ438" s="405">
        <v>0</v>
      </c>
      <c r="CR438" s="284">
        <f>IF(CO438,_xll.qDateYears(CO437,CO438,CR$13),0)</f>
        <v>0</v>
      </c>
      <c r="CS438" s="284">
        <f t="shared" si="104"/>
        <v>2166.0491297426292</v>
      </c>
      <c r="DA438" s="560">
        <v>0</v>
      </c>
      <c r="DB438" s="155" t="str">
        <f t="shared" si="99"/>
        <v/>
      </c>
      <c r="DC438" s="405">
        <v>0</v>
      </c>
      <c r="DD438" s="284">
        <f>IF(DA438,_xll.qDateYears(DA437,DA438,DD$13),0)</f>
        <v>0</v>
      </c>
      <c r="DE438" s="284">
        <f t="shared" si="105"/>
        <v>1625.698949379763</v>
      </c>
      <c r="DM438" s="560">
        <v>0</v>
      </c>
      <c r="DN438" s="155" t="str">
        <f t="shared" si="100"/>
        <v/>
      </c>
      <c r="DO438" s="405">
        <v>0</v>
      </c>
      <c r="DP438" s="284">
        <f>IF(DM438,_xll.qDateYears(DM437,DM438,DP$13),0)</f>
        <v>0</v>
      </c>
      <c r="DQ438" s="284">
        <f t="shared" si="106"/>
        <v>2216.4810485334592</v>
      </c>
    </row>
    <row r="439" spans="59:121">
      <c r="BG439" s="560">
        <v>0</v>
      </c>
      <c r="BH439" s="154" t="str">
        <f t="shared" si="95"/>
        <v/>
      </c>
      <c r="BI439" s="405">
        <v>0</v>
      </c>
      <c r="BJ439" s="284">
        <f>IF(BG439,_xll.qDateYears(BG438,BG439,$BJ$13),0)</f>
        <v>0</v>
      </c>
      <c r="BK439" s="284">
        <f t="shared" si="101"/>
        <v>2216.4810485334592</v>
      </c>
      <c r="BQ439" s="560">
        <v>0</v>
      </c>
      <c r="BR439" s="155" t="str">
        <f t="shared" si="96"/>
        <v/>
      </c>
      <c r="BS439" s="405">
        <v>0</v>
      </c>
      <c r="BT439" s="284">
        <f>IF(BQ439,_xll.qDateYears(BQ438,BQ439,BT$13),0)</f>
        <v>0</v>
      </c>
      <c r="BU439" s="284">
        <f t="shared" si="102"/>
        <v>1731.4581291138484</v>
      </c>
      <c r="CC439" s="560">
        <v>0</v>
      </c>
      <c r="CD439" s="155" t="str">
        <f t="shared" si="97"/>
        <v/>
      </c>
      <c r="CE439" s="405">
        <v>0</v>
      </c>
      <c r="CF439" s="284">
        <f>IF(CC439,_xll.qDateYears(CC438,CC439,CF$13),0)</f>
        <v>0</v>
      </c>
      <c r="CG439" s="284">
        <f t="shared" si="103"/>
        <v>2320.9300800126416</v>
      </c>
      <c r="CO439" s="560">
        <v>0</v>
      </c>
      <c r="CP439" s="155" t="str">
        <f t="shared" si="98"/>
        <v/>
      </c>
      <c r="CQ439" s="405">
        <v>0</v>
      </c>
      <c r="CR439" s="284">
        <f>IF(CO439,_xll.qDateYears(CO438,CO439,CR$13),0)</f>
        <v>0</v>
      </c>
      <c r="CS439" s="284">
        <f t="shared" si="104"/>
        <v>2166.0491297426292</v>
      </c>
      <c r="DA439" s="560">
        <v>0</v>
      </c>
      <c r="DB439" s="155" t="str">
        <f t="shared" si="99"/>
        <v/>
      </c>
      <c r="DC439" s="405">
        <v>0</v>
      </c>
      <c r="DD439" s="284">
        <f>IF(DA439,_xll.qDateYears(DA438,DA439,DD$13),0)</f>
        <v>0</v>
      </c>
      <c r="DE439" s="284">
        <f t="shared" si="105"/>
        <v>1625.698949379763</v>
      </c>
      <c r="DM439" s="560">
        <v>0</v>
      </c>
      <c r="DN439" s="155" t="str">
        <f t="shared" si="100"/>
        <v/>
      </c>
      <c r="DO439" s="405">
        <v>0</v>
      </c>
      <c r="DP439" s="284">
        <f>IF(DM439,_xll.qDateYears(DM438,DM439,DP$13),0)</f>
        <v>0</v>
      </c>
      <c r="DQ439" s="284">
        <f t="shared" si="106"/>
        <v>2216.4810485334592</v>
      </c>
    </row>
    <row r="440" spans="59:121">
      <c r="BG440" s="560">
        <v>0</v>
      </c>
      <c r="BH440" s="154" t="str">
        <f t="shared" si="95"/>
        <v/>
      </c>
      <c r="BI440" s="405">
        <v>0</v>
      </c>
      <c r="BJ440" s="284">
        <f>IF(BG440,_xll.qDateYears(BG439,BG440,$BJ$13),0)</f>
        <v>0</v>
      </c>
      <c r="BK440" s="284">
        <f t="shared" si="101"/>
        <v>2216.4810485334592</v>
      </c>
      <c r="BQ440" s="560">
        <v>0</v>
      </c>
      <c r="BR440" s="155" t="str">
        <f t="shared" si="96"/>
        <v/>
      </c>
      <c r="BS440" s="405">
        <v>0</v>
      </c>
      <c r="BT440" s="284">
        <f>IF(BQ440,_xll.qDateYears(BQ439,BQ440,BT$13),0)</f>
        <v>0</v>
      </c>
      <c r="BU440" s="284">
        <f t="shared" si="102"/>
        <v>1731.4581291138484</v>
      </c>
      <c r="CC440" s="560">
        <v>0</v>
      </c>
      <c r="CD440" s="155" t="str">
        <f t="shared" si="97"/>
        <v/>
      </c>
      <c r="CE440" s="405">
        <v>0</v>
      </c>
      <c r="CF440" s="284">
        <f>IF(CC440,_xll.qDateYears(CC439,CC440,CF$13),0)</f>
        <v>0</v>
      </c>
      <c r="CG440" s="284">
        <f t="shared" si="103"/>
        <v>2320.9300800126416</v>
      </c>
      <c r="CO440" s="560">
        <v>0</v>
      </c>
      <c r="CP440" s="155" t="str">
        <f t="shared" si="98"/>
        <v/>
      </c>
      <c r="CQ440" s="405">
        <v>0</v>
      </c>
      <c r="CR440" s="284">
        <f>IF(CO440,_xll.qDateYears(CO439,CO440,CR$13),0)</f>
        <v>0</v>
      </c>
      <c r="CS440" s="284">
        <f t="shared" si="104"/>
        <v>2166.0491297426292</v>
      </c>
      <c r="DA440" s="560">
        <v>0</v>
      </c>
      <c r="DB440" s="155" t="str">
        <f t="shared" si="99"/>
        <v/>
      </c>
      <c r="DC440" s="405">
        <v>0</v>
      </c>
      <c r="DD440" s="284">
        <f>IF(DA440,_xll.qDateYears(DA439,DA440,DD$13),0)</f>
        <v>0</v>
      </c>
      <c r="DE440" s="284">
        <f t="shared" si="105"/>
        <v>1625.698949379763</v>
      </c>
      <c r="DM440" s="560">
        <v>0</v>
      </c>
      <c r="DN440" s="155" t="str">
        <f t="shared" si="100"/>
        <v/>
      </c>
      <c r="DO440" s="405">
        <v>0</v>
      </c>
      <c r="DP440" s="284">
        <f>IF(DM440,_xll.qDateYears(DM439,DM440,DP$13),0)</f>
        <v>0</v>
      </c>
      <c r="DQ440" s="284">
        <f t="shared" si="106"/>
        <v>2216.4810485334592</v>
      </c>
    </row>
    <row r="441" spans="59:121">
      <c r="BG441" s="560">
        <v>0</v>
      </c>
      <c r="BH441" s="154" t="str">
        <f t="shared" si="95"/>
        <v/>
      </c>
      <c r="BI441" s="405">
        <v>0</v>
      </c>
      <c r="BJ441" s="284">
        <f>IF(BG441,_xll.qDateYears(BG440,BG441,$BJ$13),0)</f>
        <v>0</v>
      </c>
      <c r="BK441" s="284">
        <f t="shared" si="101"/>
        <v>2216.4810485334592</v>
      </c>
      <c r="BQ441" s="560">
        <v>0</v>
      </c>
      <c r="BR441" s="155" t="str">
        <f t="shared" si="96"/>
        <v/>
      </c>
      <c r="BS441" s="405">
        <v>0</v>
      </c>
      <c r="BT441" s="284">
        <f>IF(BQ441,_xll.qDateYears(BQ440,BQ441,BT$13),0)</f>
        <v>0</v>
      </c>
      <c r="BU441" s="284">
        <f t="shared" si="102"/>
        <v>1731.4581291138484</v>
      </c>
      <c r="CC441" s="560">
        <v>0</v>
      </c>
      <c r="CD441" s="155" t="str">
        <f t="shared" si="97"/>
        <v/>
      </c>
      <c r="CE441" s="405">
        <v>0</v>
      </c>
      <c r="CF441" s="284">
        <f>IF(CC441,_xll.qDateYears(CC440,CC441,CF$13),0)</f>
        <v>0</v>
      </c>
      <c r="CG441" s="284">
        <f t="shared" si="103"/>
        <v>2320.9300800126416</v>
      </c>
      <c r="CO441" s="560">
        <v>0</v>
      </c>
      <c r="CP441" s="155" t="str">
        <f t="shared" si="98"/>
        <v/>
      </c>
      <c r="CQ441" s="405">
        <v>0</v>
      </c>
      <c r="CR441" s="284">
        <f>IF(CO441,_xll.qDateYears(CO440,CO441,CR$13),0)</f>
        <v>0</v>
      </c>
      <c r="CS441" s="284">
        <f t="shared" si="104"/>
        <v>2166.0491297426292</v>
      </c>
      <c r="DA441" s="560">
        <v>0</v>
      </c>
      <c r="DB441" s="155" t="str">
        <f t="shared" si="99"/>
        <v/>
      </c>
      <c r="DC441" s="405">
        <v>0</v>
      </c>
      <c r="DD441" s="284">
        <f>IF(DA441,_xll.qDateYears(DA440,DA441,DD$13),0)</f>
        <v>0</v>
      </c>
      <c r="DE441" s="284">
        <f t="shared" si="105"/>
        <v>1625.698949379763</v>
      </c>
      <c r="DM441" s="560">
        <v>0</v>
      </c>
      <c r="DN441" s="155" t="str">
        <f t="shared" si="100"/>
        <v/>
      </c>
      <c r="DO441" s="405">
        <v>0</v>
      </c>
      <c r="DP441" s="284">
        <f>IF(DM441,_xll.qDateYears(DM440,DM441,DP$13),0)</f>
        <v>0</v>
      </c>
      <c r="DQ441" s="284">
        <f t="shared" si="106"/>
        <v>2216.4810485334592</v>
      </c>
    </row>
    <row r="442" spans="59:121">
      <c r="BG442" s="560">
        <v>0</v>
      </c>
      <c r="BH442" s="154" t="str">
        <f t="shared" si="95"/>
        <v/>
      </c>
      <c r="BI442" s="405">
        <v>0</v>
      </c>
      <c r="BJ442" s="284">
        <f>IF(BG442,_xll.qDateYears(BG441,BG442,$BJ$13),0)</f>
        <v>0</v>
      </c>
      <c r="BK442" s="284">
        <f t="shared" si="101"/>
        <v>2216.4810485334592</v>
      </c>
      <c r="BQ442" s="560">
        <v>0</v>
      </c>
      <c r="BR442" s="155" t="str">
        <f t="shared" si="96"/>
        <v/>
      </c>
      <c r="BS442" s="405">
        <v>0</v>
      </c>
      <c r="BT442" s="284">
        <f>IF(BQ442,_xll.qDateYears(BQ441,BQ442,BT$13),0)</f>
        <v>0</v>
      </c>
      <c r="BU442" s="284">
        <f t="shared" si="102"/>
        <v>1731.4581291138484</v>
      </c>
      <c r="CC442" s="560">
        <v>0</v>
      </c>
      <c r="CD442" s="155" t="str">
        <f t="shared" si="97"/>
        <v/>
      </c>
      <c r="CE442" s="405">
        <v>0</v>
      </c>
      <c r="CF442" s="284">
        <f>IF(CC442,_xll.qDateYears(CC441,CC442,CF$13),0)</f>
        <v>0</v>
      </c>
      <c r="CG442" s="284">
        <f t="shared" si="103"/>
        <v>2320.9300800126416</v>
      </c>
      <c r="CO442" s="560">
        <v>0</v>
      </c>
      <c r="CP442" s="155" t="str">
        <f t="shared" si="98"/>
        <v/>
      </c>
      <c r="CQ442" s="405">
        <v>0</v>
      </c>
      <c r="CR442" s="284">
        <f>IF(CO442,_xll.qDateYears(CO441,CO442,CR$13),0)</f>
        <v>0</v>
      </c>
      <c r="CS442" s="284">
        <f t="shared" si="104"/>
        <v>2166.0491297426292</v>
      </c>
      <c r="DA442" s="560">
        <v>0</v>
      </c>
      <c r="DB442" s="155" t="str">
        <f t="shared" si="99"/>
        <v/>
      </c>
      <c r="DC442" s="405">
        <v>0</v>
      </c>
      <c r="DD442" s="284">
        <f>IF(DA442,_xll.qDateYears(DA441,DA442,DD$13),0)</f>
        <v>0</v>
      </c>
      <c r="DE442" s="284">
        <f t="shared" si="105"/>
        <v>1625.698949379763</v>
      </c>
      <c r="DM442" s="560">
        <v>0</v>
      </c>
      <c r="DN442" s="155" t="str">
        <f t="shared" si="100"/>
        <v/>
      </c>
      <c r="DO442" s="405">
        <v>0</v>
      </c>
      <c r="DP442" s="284">
        <f>IF(DM442,_xll.qDateYears(DM441,DM442,DP$13),0)</f>
        <v>0</v>
      </c>
      <c r="DQ442" s="284">
        <f t="shared" si="106"/>
        <v>2216.4810485334592</v>
      </c>
    </row>
    <row r="443" spans="59:121">
      <c r="BG443" s="560">
        <v>0</v>
      </c>
      <c r="BH443" s="154" t="str">
        <f t="shared" si="95"/>
        <v/>
      </c>
      <c r="BI443" s="405">
        <v>0</v>
      </c>
      <c r="BJ443" s="284">
        <f>IF(BG443,_xll.qDateYears(BG442,BG443,$BJ$13),0)</f>
        <v>0</v>
      </c>
      <c r="BK443" s="284">
        <f t="shared" si="101"/>
        <v>2216.4810485334592</v>
      </c>
      <c r="BQ443" s="560">
        <v>0</v>
      </c>
      <c r="BR443" s="155" t="str">
        <f t="shared" si="96"/>
        <v/>
      </c>
      <c r="BS443" s="405">
        <v>0</v>
      </c>
      <c r="BT443" s="284">
        <f>IF(BQ443,_xll.qDateYears(BQ442,BQ443,BT$13),0)</f>
        <v>0</v>
      </c>
      <c r="BU443" s="284">
        <f t="shared" si="102"/>
        <v>1731.4581291138484</v>
      </c>
      <c r="CC443" s="560">
        <v>0</v>
      </c>
      <c r="CD443" s="155" t="str">
        <f t="shared" si="97"/>
        <v/>
      </c>
      <c r="CE443" s="405">
        <v>0</v>
      </c>
      <c r="CF443" s="284">
        <f>IF(CC443,_xll.qDateYears(CC442,CC443,CF$13),0)</f>
        <v>0</v>
      </c>
      <c r="CG443" s="284">
        <f t="shared" si="103"/>
        <v>2320.9300800126416</v>
      </c>
      <c r="CO443" s="560">
        <v>0</v>
      </c>
      <c r="CP443" s="155" t="str">
        <f t="shared" si="98"/>
        <v/>
      </c>
      <c r="CQ443" s="405">
        <v>0</v>
      </c>
      <c r="CR443" s="284">
        <f>IF(CO443,_xll.qDateYears(CO442,CO443,CR$13),0)</f>
        <v>0</v>
      </c>
      <c r="CS443" s="284">
        <f t="shared" si="104"/>
        <v>2166.0491297426292</v>
      </c>
      <c r="DA443" s="560">
        <v>0</v>
      </c>
      <c r="DB443" s="155" t="str">
        <f t="shared" si="99"/>
        <v/>
      </c>
      <c r="DC443" s="405">
        <v>0</v>
      </c>
      <c r="DD443" s="284">
        <f>IF(DA443,_xll.qDateYears(DA442,DA443,DD$13),0)</f>
        <v>0</v>
      </c>
      <c r="DE443" s="284">
        <f t="shared" si="105"/>
        <v>1625.698949379763</v>
      </c>
      <c r="DM443" s="560">
        <v>0</v>
      </c>
      <c r="DN443" s="155" t="str">
        <f t="shared" si="100"/>
        <v/>
      </c>
      <c r="DO443" s="405">
        <v>0</v>
      </c>
      <c r="DP443" s="284">
        <f>IF(DM443,_xll.qDateYears(DM442,DM443,DP$13),0)</f>
        <v>0</v>
      </c>
      <c r="DQ443" s="284">
        <f t="shared" si="106"/>
        <v>2216.4810485334592</v>
      </c>
    </row>
    <row r="444" spans="59:121">
      <c r="BG444" s="560">
        <v>0</v>
      </c>
      <c r="BH444" s="154" t="str">
        <f t="shared" si="95"/>
        <v/>
      </c>
      <c r="BI444" s="405">
        <v>0</v>
      </c>
      <c r="BJ444" s="284">
        <f>IF(BG444,_xll.qDateYears(BG443,BG444,$BJ$13),0)</f>
        <v>0</v>
      </c>
      <c r="BK444" s="284">
        <f t="shared" si="101"/>
        <v>2216.4810485334592</v>
      </c>
      <c r="BQ444" s="560">
        <v>0</v>
      </c>
      <c r="BR444" s="155" t="str">
        <f t="shared" si="96"/>
        <v/>
      </c>
      <c r="BS444" s="405">
        <v>0</v>
      </c>
      <c r="BT444" s="284">
        <f>IF(BQ444,_xll.qDateYears(BQ443,BQ444,BT$13),0)</f>
        <v>0</v>
      </c>
      <c r="BU444" s="284">
        <f t="shared" si="102"/>
        <v>1731.4581291138484</v>
      </c>
      <c r="CC444" s="560">
        <v>0</v>
      </c>
      <c r="CD444" s="155" t="str">
        <f t="shared" si="97"/>
        <v/>
      </c>
      <c r="CE444" s="405">
        <v>0</v>
      </c>
      <c r="CF444" s="284">
        <f>IF(CC444,_xll.qDateYears(CC443,CC444,CF$13),0)</f>
        <v>0</v>
      </c>
      <c r="CG444" s="284">
        <f t="shared" si="103"/>
        <v>2320.9300800126416</v>
      </c>
      <c r="CO444" s="560">
        <v>0</v>
      </c>
      <c r="CP444" s="155" t="str">
        <f t="shared" si="98"/>
        <v/>
      </c>
      <c r="CQ444" s="405">
        <v>0</v>
      </c>
      <c r="CR444" s="284">
        <f>IF(CO444,_xll.qDateYears(CO443,CO444,CR$13),0)</f>
        <v>0</v>
      </c>
      <c r="CS444" s="284">
        <f t="shared" si="104"/>
        <v>2166.0491297426292</v>
      </c>
      <c r="DA444" s="560">
        <v>0</v>
      </c>
      <c r="DB444" s="155" t="str">
        <f t="shared" si="99"/>
        <v/>
      </c>
      <c r="DC444" s="405">
        <v>0</v>
      </c>
      <c r="DD444" s="284">
        <f>IF(DA444,_xll.qDateYears(DA443,DA444,DD$13),0)</f>
        <v>0</v>
      </c>
      <c r="DE444" s="284">
        <f t="shared" si="105"/>
        <v>1625.698949379763</v>
      </c>
      <c r="DM444" s="560">
        <v>0</v>
      </c>
      <c r="DN444" s="155" t="str">
        <f t="shared" si="100"/>
        <v/>
      </c>
      <c r="DO444" s="405">
        <v>0</v>
      </c>
      <c r="DP444" s="284">
        <f>IF(DM444,_xll.qDateYears(DM443,DM444,DP$13),0)</f>
        <v>0</v>
      </c>
      <c r="DQ444" s="284">
        <f t="shared" si="106"/>
        <v>2216.4810485334592</v>
      </c>
    </row>
    <row r="445" spans="59:121">
      <c r="BG445" s="560">
        <v>0</v>
      </c>
      <c r="BH445" s="154" t="str">
        <f t="shared" si="95"/>
        <v/>
      </c>
      <c r="BI445" s="405">
        <v>0</v>
      </c>
      <c r="BJ445" s="284">
        <f>IF(BG445,_xll.qDateYears(BG444,BG445,$BJ$13),0)</f>
        <v>0</v>
      </c>
      <c r="BK445" s="284">
        <f t="shared" si="101"/>
        <v>2216.4810485334592</v>
      </c>
      <c r="BQ445" s="560">
        <v>0</v>
      </c>
      <c r="BR445" s="155" t="str">
        <f t="shared" si="96"/>
        <v/>
      </c>
      <c r="BS445" s="405">
        <v>0</v>
      </c>
      <c r="BT445" s="284">
        <f>IF(BQ445,_xll.qDateYears(BQ444,BQ445,BT$13),0)</f>
        <v>0</v>
      </c>
      <c r="BU445" s="284">
        <f t="shared" si="102"/>
        <v>1731.4581291138484</v>
      </c>
      <c r="CC445" s="560">
        <v>0</v>
      </c>
      <c r="CD445" s="155" t="str">
        <f t="shared" si="97"/>
        <v/>
      </c>
      <c r="CE445" s="405">
        <v>0</v>
      </c>
      <c r="CF445" s="284">
        <f>IF(CC445,_xll.qDateYears(CC444,CC445,CF$13),0)</f>
        <v>0</v>
      </c>
      <c r="CG445" s="284">
        <f t="shared" si="103"/>
        <v>2320.9300800126416</v>
      </c>
      <c r="CO445" s="560">
        <v>0</v>
      </c>
      <c r="CP445" s="155" t="str">
        <f t="shared" si="98"/>
        <v/>
      </c>
      <c r="CQ445" s="405">
        <v>0</v>
      </c>
      <c r="CR445" s="284">
        <f>IF(CO445,_xll.qDateYears(CO444,CO445,CR$13),0)</f>
        <v>0</v>
      </c>
      <c r="CS445" s="284">
        <f t="shared" si="104"/>
        <v>2166.0491297426292</v>
      </c>
      <c r="DA445" s="560">
        <v>0</v>
      </c>
      <c r="DB445" s="155" t="str">
        <f t="shared" si="99"/>
        <v/>
      </c>
      <c r="DC445" s="405">
        <v>0</v>
      </c>
      <c r="DD445" s="284">
        <f>IF(DA445,_xll.qDateYears(DA444,DA445,DD$13),0)</f>
        <v>0</v>
      </c>
      <c r="DE445" s="284">
        <f t="shared" si="105"/>
        <v>1625.698949379763</v>
      </c>
      <c r="DM445" s="560">
        <v>0</v>
      </c>
      <c r="DN445" s="155" t="str">
        <f t="shared" si="100"/>
        <v/>
      </c>
      <c r="DO445" s="405">
        <v>0</v>
      </c>
      <c r="DP445" s="284">
        <f>IF(DM445,_xll.qDateYears(DM444,DM445,DP$13),0)</f>
        <v>0</v>
      </c>
      <c r="DQ445" s="284">
        <f t="shared" si="106"/>
        <v>2216.4810485334592</v>
      </c>
    </row>
    <row r="446" spans="59:121">
      <c r="BG446" s="560">
        <v>0</v>
      </c>
      <c r="BH446" s="154" t="str">
        <f t="shared" si="95"/>
        <v/>
      </c>
      <c r="BI446" s="405">
        <v>0</v>
      </c>
      <c r="BJ446" s="284">
        <f>IF(BG446,_xll.qDateYears(BG445,BG446,$BJ$13),0)</f>
        <v>0</v>
      </c>
      <c r="BK446" s="284">
        <f t="shared" si="101"/>
        <v>2216.4810485334592</v>
      </c>
      <c r="BQ446" s="560">
        <v>0</v>
      </c>
      <c r="BR446" s="155" t="str">
        <f t="shared" si="96"/>
        <v/>
      </c>
      <c r="BS446" s="405">
        <v>0</v>
      </c>
      <c r="BT446" s="284">
        <f>IF(BQ446,_xll.qDateYears(BQ445,BQ446,BT$13),0)</f>
        <v>0</v>
      </c>
      <c r="BU446" s="284">
        <f t="shared" si="102"/>
        <v>1731.4581291138484</v>
      </c>
      <c r="CC446" s="560">
        <v>0</v>
      </c>
      <c r="CD446" s="155" t="str">
        <f t="shared" si="97"/>
        <v/>
      </c>
      <c r="CE446" s="405">
        <v>0</v>
      </c>
      <c r="CF446" s="284">
        <f>IF(CC446,_xll.qDateYears(CC445,CC446,CF$13),0)</f>
        <v>0</v>
      </c>
      <c r="CG446" s="284">
        <f t="shared" si="103"/>
        <v>2320.9300800126416</v>
      </c>
      <c r="CO446" s="560">
        <v>0</v>
      </c>
      <c r="CP446" s="155" t="str">
        <f t="shared" si="98"/>
        <v/>
      </c>
      <c r="CQ446" s="405">
        <v>0</v>
      </c>
      <c r="CR446" s="284">
        <f>IF(CO446,_xll.qDateYears(CO445,CO446,CR$13),0)</f>
        <v>0</v>
      </c>
      <c r="CS446" s="284">
        <f t="shared" si="104"/>
        <v>2166.0491297426292</v>
      </c>
      <c r="DA446" s="560">
        <v>0</v>
      </c>
      <c r="DB446" s="155" t="str">
        <f t="shared" si="99"/>
        <v/>
      </c>
      <c r="DC446" s="405">
        <v>0</v>
      </c>
      <c r="DD446" s="284">
        <f>IF(DA446,_xll.qDateYears(DA445,DA446,DD$13),0)</f>
        <v>0</v>
      </c>
      <c r="DE446" s="284">
        <f t="shared" si="105"/>
        <v>1625.698949379763</v>
      </c>
      <c r="DM446" s="560">
        <v>0</v>
      </c>
      <c r="DN446" s="155" t="str">
        <f t="shared" si="100"/>
        <v/>
      </c>
      <c r="DO446" s="405">
        <v>0</v>
      </c>
      <c r="DP446" s="284">
        <f>IF(DM446,_xll.qDateYears(DM445,DM446,DP$13),0)</f>
        <v>0</v>
      </c>
      <c r="DQ446" s="284">
        <f t="shared" si="106"/>
        <v>2216.4810485334592</v>
      </c>
    </row>
    <row r="447" spans="59:121">
      <c r="BG447" s="560">
        <v>0</v>
      </c>
      <c r="BH447" s="154" t="str">
        <f t="shared" si="95"/>
        <v/>
      </c>
      <c r="BI447" s="405">
        <v>0</v>
      </c>
      <c r="BJ447" s="284">
        <f>IF(BG447,_xll.qDateYears(BG446,BG447,$BJ$13),0)</f>
        <v>0</v>
      </c>
      <c r="BK447" s="284">
        <f t="shared" si="101"/>
        <v>2216.4810485334592</v>
      </c>
      <c r="BQ447" s="560">
        <v>0</v>
      </c>
      <c r="BR447" s="155" t="str">
        <f t="shared" si="96"/>
        <v/>
      </c>
      <c r="BS447" s="405">
        <v>0</v>
      </c>
      <c r="BT447" s="284">
        <f>IF(BQ447,_xll.qDateYears(BQ446,BQ447,BT$13),0)</f>
        <v>0</v>
      </c>
      <c r="BU447" s="284">
        <f t="shared" si="102"/>
        <v>1731.4581291138484</v>
      </c>
      <c r="CC447" s="560">
        <v>0</v>
      </c>
      <c r="CD447" s="155" t="str">
        <f t="shared" si="97"/>
        <v/>
      </c>
      <c r="CE447" s="405">
        <v>0</v>
      </c>
      <c r="CF447" s="284">
        <f>IF(CC447,_xll.qDateYears(CC446,CC447,CF$13),0)</f>
        <v>0</v>
      </c>
      <c r="CG447" s="284">
        <f t="shared" si="103"/>
        <v>2320.9300800126416</v>
      </c>
      <c r="CO447" s="560">
        <v>0</v>
      </c>
      <c r="CP447" s="155" t="str">
        <f t="shared" si="98"/>
        <v/>
      </c>
      <c r="CQ447" s="405">
        <v>0</v>
      </c>
      <c r="CR447" s="284">
        <f>IF(CO447,_xll.qDateYears(CO446,CO447,CR$13),0)</f>
        <v>0</v>
      </c>
      <c r="CS447" s="284">
        <f t="shared" si="104"/>
        <v>2166.0491297426292</v>
      </c>
      <c r="DA447" s="560">
        <v>0</v>
      </c>
      <c r="DB447" s="155" t="str">
        <f t="shared" si="99"/>
        <v/>
      </c>
      <c r="DC447" s="405">
        <v>0</v>
      </c>
      <c r="DD447" s="284">
        <f>IF(DA447,_xll.qDateYears(DA446,DA447,DD$13),0)</f>
        <v>0</v>
      </c>
      <c r="DE447" s="284">
        <f t="shared" si="105"/>
        <v>1625.698949379763</v>
      </c>
      <c r="DM447" s="560">
        <v>0</v>
      </c>
      <c r="DN447" s="155" t="str">
        <f t="shared" si="100"/>
        <v/>
      </c>
      <c r="DO447" s="405">
        <v>0</v>
      </c>
      <c r="DP447" s="284">
        <f>IF(DM447,_xll.qDateYears(DM446,DM447,DP$13),0)</f>
        <v>0</v>
      </c>
      <c r="DQ447" s="284">
        <f t="shared" si="106"/>
        <v>2216.4810485334592</v>
      </c>
    </row>
    <row r="448" spans="59:121">
      <c r="BG448" s="560">
        <v>0</v>
      </c>
      <c r="BH448" s="154" t="str">
        <f t="shared" si="95"/>
        <v/>
      </c>
      <c r="BI448" s="405">
        <v>0</v>
      </c>
      <c r="BJ448" s="284">
        <f>IF(BG448,_xll.qDateYears(BG447,BG448,$BJ$13),0)</f>
        <v>0</v>
      </c>
      <c r="BK448" s="284">
        <f t="shared" si="101"/>
        <v>2216.4810485334592</v>
      </c>
      <c r="BQ448" s="560">
        <v>0</v>
      </c>
      <c r="BR448" s="155" t="str">
        <f t="shared" si="96"/>
        <v/>
      </c>
      <c r="BS448" s="405">
        <v>0</v>
      </c>
      <c r="BT448" s="284">
        <f>IF(BQ448,_xll.qDateYears(BQ447,BQ448,BT$13),0)</f>
        <v>0</v>
      </c>
      <c r="BU448" s="284">
        <f t="shared" si="102"/>
        <v>1731.4581291138484</v>
      </c>
      <c r="CC448" s="560">
        <v>0</v>
      </c>
      <c r="CD448" s="155" t="str">
        <f t="shared" si="97"/>
        <v/>
      </c>
      <c r="CE448" s="405">
        <v>0</v>
      </c>
      <c r="CF448" s="284">
        <f>IF(CC448,_xll.qDateYears(CC447,CC448,CF$13),0)</f>
        <v>0</v>
      </c>
      <c r="CG448" s="284">
        <f t="shared" si="103"/>
        <v>2320.9300800126416</v>
      </c>
      <c r="CO448" s="560">
        <v>0</v>
      </c>
      <c r="CP448" s="155" t="str">
        <f t="shared" si="98"/>
        <v/>
      </c>
      <c r="CQ448" s="405">
        <v>0</v>
      </c>
      <c r="CR448" s="284">
        <f>IF(CO448,_xll.qDateYears(CO447,CO448,CR$13),0)</f>
        <v>0</v>
      </c>
      <c r="CS448" s="284">
        <f t="shared" si="104"/>
        <v>2166.0491297426292</v>
      </c>
      <c r="DA448" s="560">
        <v>0</v>
      </c>
      <c r="DB448" s="155" t="str">
        <f t="shared" si="99"/>
        <v/>
      </c>
      <c r="DC448" s="405">
        <v>0</v>
      </c>
      <c r="DD448" s="284">
        <f>IF(DA448,_xll.qDateYears(DA447,DA448,DD$13),0)</f>
        <v>0</v>
      </c>
      <c r="DE448" s="284">
        <f t="shared" si="105"/>
        <v>1625.698949379763</v>
      </c>
      <c r="DM448" s="560">
        <v>0</v>
      </c>
      <c r="DN448" s="155" t="str">
        <f t="shared" si="100"/>
        <v/>
      </c>
      <c r="DO448" s="405">
        <v>0</v>
      </c>
      <c r="DP448" s="284">
        <f>IF(DM448,_xll.qDateYears(DM447,DM448,DP$13),0)</f>
        <v>0</v>
      </c>
      <c r="DQ448" s="284">
        <f t="shared" si="106"/>
        <v>2216.4810485334592</v>
      </c>
    </row>
    <row r="449" spans="59:121">
      <c r="BG449" s="560">
        <v>0</v>
      </c>
      <c r="BH449" s="154" t="str">
        <f t="shared" si="95"/>
        <v/>
      </c>
      <c r="BI449" s="405">
        <v>0</v>
      </c>
      <c r="BJ449" s="284">
        <f>IF(BG449,_xll.qDateYears(BG448,BG449,$BJ$13),0)</f>
        <v>0</v>
      </c>
      <c r="BK449" s="284">
        <f t="shared" si="101"/>
        <v>2216.4810485334592</v>
      </c>
      <c r="BQ449" s="560">
        <v>0</v>
      </c>
      <c r="BR449" s="155" t="str">
        <f t="shared" si="96"/>
        <v/>
      </c>
      <c r="BS449" s="405">
        <v>0</v>
      </c>
      <c r="BT449" s="284">
        <f>IF(BQ449,_xll.qDateYears(BQ448,BQ449,BT$13),0)</f>
        <v>0</v>
      </c>
      <c r="BU449" s="284">
        <f t="shared" si="102"/>
        <v>1731.4581291138484</v>
      </c>
      <c r="CC449" s="560">
        <v>0</v>
      </c>
      <c r="CD449" s="155" t="str">
        <f t="shared" si="97"/>
        <v/>
      </c>
      <c r="CE449" s="405">
        <v>0</v>
      </c>
      <c r="CF449" s="284">
        <f>IF(CC449,_xll.qDateYears(CC448,CC449,CF$13),0)</f>
        <v>0</v>
      </c>
      <c r="CG449" s="284">
        <f t="shared" si="103"/>
        <v>2320.9300800126416</v>
      </c>
      <c r="CO449" s="560">
        <v>0</v>
      </c>
      <c r="CP449" s="155" t="str">
        <f t="shared" si="98"/>
        <v/>
      </c>
      <c r="CQ449" s="405">
        <v>0</v>
      </c>
      <c r="CR449" s="284">
        <f>IF(CO449,_xll.qDateYears(CO448,CO449,CR$13),0)</f>
        <v>0</v>
      </c>
      <c r="CS449" s="284">
        <f t="shared" si="104"/>
        <v>2166.0491297426292</v>
      </c>
      <c r="DA449" s="560">
        <v>0</v>
      </c>
      <c r="DB449" s="155" t="str">
        <f t="shared" si="99"/>
        <v/>
      </c>
      <c r="DC449" s="405">
        <v>0</v>
      </c>
      <c r="DD449" s="284">
        <f>IF(DA449,_xll.qDateYears(DA448,DA449,DD$13),0)</f>
        <v>0</v>
      </c>
      <c r="DE449" s="284">
        <f t="shared" si="105"/>
        <v>1625.698949379763</v>
      </c>
      <c r="DM449" s="560">
        <v>0</v>
      </c>
      <c r="DN449" s="155" t="str">
        <f t="shared" si="100"/>
        <v/>
      </c>
      <c r="DO449" s="405">
        <v>0</v>
      </c>
      <c r="DP449" s="284">
        <f>IF(DM449,_xll.qDateYears(DM448,DM449,DP$13),0)</f>
        <v>0</v>
      </c>
      <c r="DQ449" s="284">
        <f t="shared" si="106"/>
        <v>2216.4810485334592</v>
      </c>
    </row>
    <row r="450" spans="59:121">
      <c r="BG450" s="560">
        <v>0</v>
      </c>
      <c r="BH450" s="154" t="str">
        <f t="shared" si="95"/>
        <v/>
      </c>
      <c r="BI450" s="405">
        <v>0</v>
      </c>
      <c r="BJ450" s="284">
        <f>IF(BG450,_xll.qDateYears(BG449,BG450,$BJ$13),0)</f>
        <v>0</v>
      </c>
      <c r="BK450" s="284">
        <f t="shared" si="101"/>
        <v>2216.4810485334592</v>
      </c>
      <c r="BQ450" s="560">
        <v>0</v>
      </c>
      <c r="BR450" s="155" t="str">
        <f t="shared" si="96"/>
        <v/>
      </c>
      <c r="BS450" s="405">
        <v>0</v>
      </c>
      <c r="BT450" s="284">
        <f>IF(BQ450,_xll.qDateYears(BQ449,BQ450,BT$13),0)</f>
        <v>0</v>
      </c>
      <c r="BU450" s="284">
        <f t="shared" si="102"/>
        <v>1731.4581291138484</v>
      </c>
      <c r="CC450" s="560">
        <v>0</v>
      </c>
      <c r="CD450" s="155" t="str">
        <f t="shared" si="97"/>
        <v/>
      </c>
      <c r="CE450" s="405">
        <v>0</v>
      </c>
      <c r="CF450" s="284">
        <f>IF(CC450,_xll.qDateYears(CC449,CC450,CF$13),0)</f>
        <v>0</v>
      </c>
      <c r="CG450" s="284">
        <f t="shared" si="103"/>
        <v>2320.9300800126416</v>
      </c>
      <c r="CO450" s="560">
        <v>0</v>
      </c>
      <c r="CP450" s="155" t="str">
        <f t="shared" si="98"/>
        <v/>
      </c>
      <c r="CQ450" s="405">
        <v>0</v>
      </c>
      <c r="CR450" s="284">
        <f>IF(CO450,_xll.qDateYears(CO449,CO450,CR$13),0)</f>
        <v>0</v>
      </c>
      <c r="CS450" s="284">
        <f t="shared" si="104"/>
        <v>2166.0491297426292</v>
      </c>
      <c r="DA450" s="560">
        <v>0</v>
      </c>
      <c r="DB450" s="155" t="str">
        <f t="shared" si="99"/>
        <v/>
      </c>
      <c r="DC450" s="405">
        <v>0</v>
      </c>
      <c r="DD450" s="284">
        <f>IF(DA450,_xll.qDateYears(DA449,DA450,DD$13),0)</f>
        <v>0</v>
      </c>
      <c r="DE450" s="284">
        <f t="shared" si="105"/>
        <v>1625.698949379763</v>
      </c>
      <c r="DM450" s="560">
        <v>0</v>
      </c>
      <c r="DN450" s="155" t="str">
        <f t="shared" si="100"/>
        <v/>
      </c>
      <c r="DO450" s="405">
        <v>0</v>
      </c>
      <c r="DP450" s="284">
        <f>IF(DM450,_xll.qDateYears(DM449,DM450,DP$13),0)</f>
        <v>0</v>
      </c>
      <c r="DQ450" s="284">
        <f t="shared" si="106"/>
        <v>2216.4810485334592</v>
      </c>
    </row>
    <row r="451" spans="59:121">
      <c r="BG451" s="560">
        <v>0</v>
      </c>
      <c r="BH451" s="154" t="str">
        <f t="shared" si="95"/>
        <v/>
      </c>
      <c r="BI451" s="405">
        <v>0</v>
      </c>
      <c r="BJ451" s="284">
        <f>IF(BG451,_xll.qDateYears(BG450,BG451,$BJ$13),0)</f>
        <v>0</v>
      </c>
      <c r="BK451" s="284">
        <f t="shared" si="101"/>
        <v>2216.4810485334592</v>
      </c>
      <c r="BQ451" s="560">
        <v>0</v>
      </c>
      <c r="BR451" s="155" t="str">
        <f t="shared" si="96"/>
        <v/>
      </c>
      <c r="BS451" s="405">
        <v>0</v>
      </c>
      <c r="BT451" s="284">
        <f>IF(BQ451,_xll.qDateYears(BQ450,BQ451,BT$13),0)</f>
        <v>0</v>
      </c>
      <c r="BU451" s="284">
        <f t="shared" si="102"/>
        <v>1731.4581291138484</v>
      </c>
      <c r="CC451" s="560">
        <v>0</v>
      </c>
      <c r="CD451" s="155" t="str">
        <f t="shared" si="97"/>
        <v/>
      </c>
      <c r="CE451" s="405">
        <v>0</v>
      </c>
      <c r="CF451" s="284">
        <f>IF(CC451,_xll.qDateYears(CC450,CC451,CF$13),0)</f>
        <v>0</v>
      </c>
      <c r="CG451" s="284">
        <f t="shared" si="103"/>
        <v>2320.9300800126416</v>
      </c>
      <c r="CO451" s="560">
        <v>0</v>
      </c>
      <c r="CP451" s="155" t="str">
        <f t="shared" si="98"/>
        <v/>
      </c>
      <c r="CQ451" s="405">
        <v>0</v>
      </c>
      <c r="CR451" s="284">
        <f>IF(CO451,_xll.qDateYears(CO450,CO451,CR$13),0)</f>
        <v>0</v>
      </c>
      <c r="CS451" s="284">
        <f t="shared" si="104"/>
        <v>2166.0491297426292</v>
      </c>
      <c r="DA451" s="560">
        <v>0</v>
      </c>
      <c r="DB451" s="155" t="str">
        <f t="shared" si="99"/>
        <v/>
      </c>
      <c r="DC451" s="405">
        <v>0</v>
      </c>
      <c r="DD451" s="284">
        <f>IF(DA451,_xll.qDateYears(DA450,DA451,DD$13),0)</f>
        <v>0</v>
      </c>
      <c r="DE451" s="284">
        <f t="shared" si="105"/>
        <v>1625.698949379763</v>
      </c>
      <c r="DM451" s="560">
        <v>0</v>
      </c>
      <c r="DN451" s="155" t="str">
        <f t="shared" si="100"/>
        <v/>
      </c>
      <c r="DO451" s="405">
        <v>0</v>
      </c>
      <c r="DP451" s="284">
        <f>IF(DM451,_xll.qDateYears(DM450,DM451,DP$13),0)</f>
        <v>0</v>
      </c>
      <c r="DQ451" s="284">
        <f t="shared" si="106"/>
        <v>2216.4810485334592</v>
      </c>
    </row>
    <row r="452" spans="59:121">
      <c r="BG452" s="560">
        <v>0</v>
      </c>
      <c r="BH452" s="154" t="str">
        <f t="shared" si="95"/>
        <v/>
      </c>
      <c r="BI452" s="405">
        <v>0</v>
      </c>
      <c r="BJ452" s="284">
        <f>IF(BG452,_xll.qDateYears(BG451,BG452,$BJ$13),0)</f>
        <v>0</v>
      </c>
      <c r="BK452" s="284">
        <f t="shared" si="101"/>
        <v>2216.4810485334592</v>
      </c>
      <c r="BQ452" s="560">
        <v>0</v>
      </c>
      <c r="BR452" s="155" t="str">
        <f t="shared" si="96"/>
        <v/>
      </c>
      <c r="BS452" s="405">
        <v>0</v>
      </c>
      <c r="BT452" s="284">
        <f>IF(BQ452,_xll.qDateYears(BQ451,BQ452,BT$13),0)</f>
        <v>0</v>
      </c>
      <c r="BU452" s="284">
        <f t="shared" si="102"/>
        <v>1731.4581291138484</v>
      </c>
      <c r="CC452" s="560">
        <v>0</v>
      </c>
      <c r="CD452" s="155" t="str">
        <f t="shared" si="97"/>
        <v/>
      </c>
      <c r="CE452" s="405">
        <v>0</v>
      </c>
      <c r="CF452" s="284">
        <f>IF(CC452,_xll.qDateYears(CC451,CC452,CF$13),0)</f>
        <v>0</v>
      </c>
      <c r="CG452" s="284">
        <f t="shared" si="103"/>
        <v>2320.9300800126416</v>
      </c>
      <c r="CO452" s="560">
        <v>0</v>
      </c>
      <c r="CP452" s="155" t="str">
        <f t="shared" si="98"/>
        <v/>
      </c>
      <c r="CQ452" s="405">
        <v>0</v>
      </c>
      <c r="CR452" s="284">
        <f>IF(CO452,_xll.qDateYears(CO451,CO452,CR$13),0)</f>
        <v>0</v>
      </c>
      <c r="CS452" s="284">
        <f t="shared" si="104"/>
        <v>2166.0491297426292</v>
      </c>
      <c r="DA452" s="560">
        <v>0</v>
      </c>
      <c r="DB452" s="155" t="str">
        <f t="shared" si="99"/>
        <v/>
      </c>
      <c r="DC452" s="405">
        <v>0</v>
      </c>
      <c r="DD452" s="284">
        <f>IF(DA452,_xll.qDateYears(DA451,DA452,DD$13),0)</f>
        <v>0</v>
      </c>
      <c r="DE452" s="284">
        <f t="shared" si="105"/>
        <v>1625.698949379763</v>
      </c>
      <c r="DM452" s="560">
        <v>0</v>
      </c>
      <c r="DN452" s="155" t="str">
        <f t="shared" si="100"/>
        <v/>
      </c>
      <c r="DO452" s="405">
        <v>0</v>
      </c>
      <c r="DP452" s="284">
        <f>IF(DM452,_xll.qDateYears(DM451,DM452,DP$13),0)</f>
        <v>0</v>
      </c>
      <c r="DQ452" s="284">
        <f t="shared" si="106"/>
        <v>2216.4810485334592</v>
      </c>
    </row>
    <row r="453" spans="59:121">
      <c r="BG453" s="560">
        <v>0</v>
      </c>
      <c r="BH453" s="154" t="str">
        <f t="shared" si="95"/>
        <v/>
      </c>
      <c r="BI453" s="405">
        <v>0</v>
      </c>
      <c r="BJ453" s="284">
        <f>IF(BG453,_xll.qDateYears(BG452,BG453,$BJ$13),0)</f>
        <v>0</v>
      </c>
      <c r="BK453" s="284">
        <f t="shared" si="101"/>
        <v>2216.4810485334592</v>
      </c>
      <c r="BQ453" s="560">
        <v>0</v>
      </c>
      <c r="BR453" s="155" t="str">
        <f t="shared" si="96"/>
        <v/>
      </c>
      <c r="BS453" s="405">
        <v>0</v>
      </c>
      <c r="BT453" s="284">
        <f>IF(BQ453,_xll.qDateYears(BQ452,BQ453,BT$13),0)</f>
        <v>0</v>
      </c>
      <c r="BU453" s="284">
        <f t="shared" si="102"/>
        <v>1731.4581291138484</v>
      </c>
      <c r="CC453" s="560">
        <v>0</v>
      </c>
      <c r="CD453" s="155" t="str">
        <f t="shared" si="97"/>
        <v/>
      </c>
      <c r="CE453" s="405">
        <v>0</v>
      </c>
      <c r="CF453" s="284">
        <f>IF(CC453,_xll.qDateYears(CC452,CC453,CF$13),0)</f>
        <v>0</v>
      </c>
      <c r="CG453" s="284">
        <f t="shared" si="103"/>
        <v>2320.9300800126416</v>
      </c>
      <c r="CO453" s="560">
        <v>0</v>
      </c>
      <c r="CP453" s="155" t="str">
        <f t="shared" si="98"/>
        <v/>
      </c>
      <c r="CQ453" s="405">
        <v>0</v>
      </c>
      <c r="CR453" s="284">
        <f>IF(CO453,_xll.qDateYears(CO452,CO453,CR$13),0)</f>
        <v>0</v>
      </c>
      <c r="CS453" s="284">
        <f t="shared" si="104"/>
        <v>2166.0491297426292</v>
      </c>
      <c r="DA453" s="560">
        <v>0</v>
      </c>
      <c r="DB453" s="155" t="str">
        <f t="shared" si="99"/>
        <v/>
      </c>
      <c r="DC453" s="405">
        <v>0</v>
      </c>
      <c r="DD453" s="284">
        <f>IF(DA453,_xll.qDateYears(DA452,DA453,DD$13),0)</f>
        <v>0</v>
      </c>
      <c r="DE453" s="284">
        <f t="shared" si="105"/>
        <v>1625.698949379763</v>
      </c>
      <c r="DM453" s="560">
        <v>0</v>
      </c>
      <c r="DN453" s="155" t="str">
        <f t="shared" si="100"/>
        <v/>
      </c>
      <c r="DO453" s="405">
        <v>0</v>
      </c>
      <c r="DP453" s="284">
        <f>IF(DM453,_xll.qDateYears(DM452,DM453,DP$13),0)</f>
        <v>0</v>
      </c>
      <c r="DQ453" s="284">
        <f t="shared" si="106"/>
        <v>2216.4810485334592</v>
      </c>
    </row>
    <row r="454" spans="59:121">
      <c r="BG454" s="560">
        <v>0</v>
      </c>
      <c r="BH454" s="154" t="str">
        <f t="shared" si="95"/>
        <v/>
      </c>
      <c r="BI454" s="405">
        <v>0</v>
      </c>
      <c r="BJ454" s="284">
        <f>IF(BG454,_xll.qDateYears(BG453,BG454,$BJ$13),0)</f>
        <v>0</v>
      </c>
      <c r="BK454" s="284">
        <f t="shared" si="101"/>
        <v>2216.4810485334592</v>
      </c>
      <c r="BQ454" s="560">
        <v>0</v>
      </c>
      <c r="BR454" s="155" t="str">
        <f t="shared" si="96"/>
        <v/>
      </c>
      <c r="BS454" s="405">
        <v>0</v>
      </c>
      <c r="BT454" s="284">
        <f>IF(BQ454,_xll.qDateYears(BQ453,BQ454,BT$13),0)</f>
        <v>0</v>
      </c>
      <c r="BU454" s="284">
        <f t="shared" si="102"/>
        <v>1731.4581291138484</v>
      </c>
      <c r="CC454" s="560">
        <v>0</v>
      </c>
      <c r="CD454" s="155" t="str">
        <f t="shared" si="97"/>
        <v/>
      </c>
      <c r="CE454" s="405">
        <v>0</v>
      </c>
      <c r="CF454" s="284">
        <f>IF(CC454,_xll.qDateYears(CC453,CC454,CF$13),0)</f>
        <v>0</v>
      </c>
      <c r="CG454" s="284">
        <f t="shared" si="103"/>
        <v>2320.9300800126416</v>
      </c>
      <c r="CO454" s="560">
        <v>0</v>
      </c>
      <c r="CP454" s="155" t="str">
        <f t="shared" si="98"/>
        <v/>
      </c>
      <c r="CQ454" s="405">
        <v>0</v>
      </c>
      <c r="CR454" s="284">
        <f>IF(CO454,_xll.qDateYears(CO453,CO454,CR$13),0)</f>
        <v>0</v>
      </c>
      <c r="CS454" s="284">
        <f t="shared" si="104"/>
        <v>2166.0491297426292</v>
      </c>
      <c r="DA454" s="560">
        <v>0</v>
      </c>
      <c r="DB454" s="155" t="str">
        <f t="shared" si="99"/>
        <v/>
      </c>
      <c r="DC454" s="405">
        <v>0</v>
      </c>
      <c r="DD454" s="284">
        <f>IF(DA454,_xll.qDateYears(DA453,DA454,DD$13),0)</f>
        <v>0</v>
      </c>
      <c r="DE454" s="284">
        <f t="shared" si="105"/>
        <v>1625.698949379763</v>
      </c>
      <c r="DM454" s="560">
        <v>0</v>
      </c>
      <c r="DN454" s="155" t="str">
        <f t="shared" si="100"/>
        <v/>
      </c>
      <c r="DO454" s="405">
        <v>0</v>
      </c>
      <c r="DP454" s="284">
        <f>IF(DM454,_xll.qDateYears(DM453,DM454,DP$13),0)</f>
        <v>0</v>
      </c>
      <c r="DQ454" s="284">
        <f t="shared" si="106"/>
        <v>2216.4810485334592</v>
      </c>
    </row>
    <row r="455" spans="59:121">
      <c r="BG455" s="560">
        <v>0</v>
      </c>
      <c r="BH455" s="154" t="str">
        <f t="shared" si="95"/>
        <v/>
      </c>
      <c r="BI455" s="405">
        <v>0</v>
      </c>
      <c r="BJ455" s="284">
        <f>IF(BG455,_xll.qDateYears(BG454,BG455,$BJ$13),0)</f>
        <v>0</v>
      </c>
      <c r="BK455" s="284">
        <f t="shared" si="101"/>
        <v>2216.4810485334592</v>
      </c>
      <c r="BQ455" s="560">
        <v>0</v>
      </c>
      <c r="BR455" s="155" t="str">
        <f t="shared" si="96"/>
        <v/>
      </c>
      <c r="BS455" s="405">
        <v>0</v>
      </c>
      <c r="BT455" s="284">
        <f>IF(BQ455,_xll.qDateYears(BQ454,BQ455,BT$13),0)</f>
        <v>0</v>
      </c>
      <c r="BU455" s="284">
        <f t="shared" si="102"/>
        <v>1731.4581291138484</v>
      </c>
      <c r="CC455" s="560">
        <v>0</v>
      </c>
      <c r="CD455" s="155" t="str">
        <f t="shared" si="97"/>
        <v/>
      </c>
      <c r="CE455" s="405">
        <v>0</v>
      </c>
      <c r="CF455" s="284">
        <f>IF(CC455,_xll.qDateYears(CC454,CC455,CF$13),0)</f>
        <v>0</v>
      </c>
      <c r="CG455" s="284">
        <f t="shared" si="103"/>
        <v>2320.9300800126416</v>
      </c>
      <c r="CO455" s="560">
        <v>0</v>
      </c>
      <c r="CP455" s="155" t="str">
        <f t="shared" si="98"/>
        <v/>
      </c>
      <c r="CQ455" s="405">
        <v>0</v>
      </c>
      <c r="CR455" s="284">
        <f>IF(CO455,_xll.qDateYears(CO454,CO455,CR$13),0)</f>
        <v>0</v>
      </c>
      <c r="CS455" s="284">
        <f t="shared" si="104"/>
        <v>2166.0491297426292</v>
      </c>
      <c r="DA455" s="560">
        <v>0</v>
      </c>
      <c r="DB455" s="155" t="str">
        <f t="shared" si="99"/>
        <v/>
      </c>
      <c r="DC455" s="405">
        <v>0</v>
      </c>
      <c r="DD455" s="284">
        <f>IF(DA455,_xll.qDateYears(DA454,DA455,DD$13),0)</f>
        <v>0</v>
      </c>
      <c r="DE455" s="284">
        <f t="shared" si="105"/>
        <v>1625.698949379763</v>
      </c>
      <c r="DM455" s="560">
        <v>0</v>
      </c>
      <c r="DN455" s="155" t="str">
        <f t="shared" si="100"/>
        <v/>
      </c>
      <c r="DO455" s="405">
        <v>0</v>
      </c>
      <c r="DP455" s="284">
        <f>IF(DM455,_xll.qDateYears(DM454,DM455,DP$13),0)</f>
        <v>0</v>
      </c>
      <c r="DQ455" s="284">
        <f t="shared" si="106"/>
        <v>2216.4810485334592</v>
      </c>
    </row>
    <row r="456" spans="59:121">
      <c r="BG456" s="560">
        <v>0</v>
      </c>
      <c r="BH456" s="154" t="str">
        <f t="shared" si="95"/>
        <v/>
      </c>
      <c r="BI456" s="405">
        <v>0</v>
      </c>
      <c r="BJ456" s="284">
        <f>IF(BG456,_xll.qDateYears(BG455,BG456,$BJ$13),0)</f>
        <v>0</v>
      </c>
      <c r="BK456" s="284">
        <f t="shared" si="101"/>
        <v>2216.4810485334592</v>
      </c>
      <c r="BQ456" s="560">
        <v>0</v>
      </c>
      <c r="BR456" s="155" t="str">
        <f t="shared" si="96"/>
        <v/>
      </c>
      <c r="BS456" s="405">
        <v>0</v>
      </c>
      <c r="BT456" s="284">
        <f>IF(BQ456,_xll.qDateYears(BQ455,BQ456,BT$13),0)</f>
        <v>0</v>
      </c>
      <c r="BU456" s="284">
        <f t="shared" si="102"/>
        <v>1731.4581291138484</v>
      </c>
      <c r="CC456" s="560">
        <v>0</v>
      </c>
      <c r="CD456" s="155" t="str">
        <f t="shared" si="97"/>
        <v/>
      </c>
      <c r="CE456" s="405">
        <v>0</v>
      </c>
      <c r="CF456" s="284">
        <f>IF(CC456,_xll.qDateYears(CC455,CC456,CF$13),0)</f>
        <v>0</v>
      </c>
      <c r="CG456" s="284">
        <f t="shared" si="103"/>
        <v>2320.9300800126416</v>
      </c>
      <c r="CO456" s="560">
        <v>0</v>
      </c>
      <c r="CP456" s="155" t="str">
        <f t="shared" si="98"/>
        <v/>
      </c>
      <c r="CQ456" s="405">
        <v>0</v>
      </c>
      <c r="CR456" s="284">
        <f>IF(CO456,_xll.qDateYears(CO455,CO456,CR$13),0)</f>
        <v>0</v>
      </c>
      <c r="CS456" s="284">
        <f t="shared" si="104"/>
        <v>2166.0491297426292</v>
      </c>
      <c r="DA456" s="560">
        <v>0</v>
      </c>
      <c r="DB456" s="155" t="str">
        <f t="shared" si="99"/>
        <v/>
      </c>
      <c r="DC456" s="405">
        <v>0</v>
      </c>
      <c r="DD456" s="284">
        <f>IF(DA456,_xll.qDateYears(DA455,DA456,DD$13),0)</f>
        <v>0</v>
      </c>
      <c r="DE456" s="284">
        <f t="shared" si="105"/>
        <v>1625.698949379763</v>
      </c>
      <c r="DM456" s="560">
        <v>0</v>
      </c>
      <c r="DN456" s="155" t="str">
        <f t="shared" si="100"/>
        <v/>
      </c>
      <c r="DO456" s="405">
        <v>0</v>
      </c>
      <c r="DP456" s="284">
        <f>IF(DM456,_xll.qDateYears(DM455,DM456,DP$13),0)</f>
        <v>0</v>
      </c>
      <c r="DQ456" s="284">
        <f t="shared" si="106"/>
        <v>2216.4810485334592</v>
      </c>
    </row>
    <row r="457" spans="59:121">
      <c r="BG457" s="560">
        <v>0</v>
      </c>
      <c r="BH457" s="154" t="str">
        <f t="shared" si="95"/>
        <v/>
      </c>
      <c r="BI457" s="405">
        <v>0</v>
      </c>
      <c r="BJ457" s="284">
        <f>IF(BG457,_xll.qDateYears(BG456,BG457,$BJ$13),0)</f>
        <v>0</v>
      </c>
      <c r="BK457" s="284">
        <f t="shared" si="101"/>
        <v>2216.4810485334592</v>
      </c>
      <c r="BQ457" s="560">
        <v>0</v>
      </c>
      <c r="BR457" s="155" t="str">
        <f t="shared" si="96"/>
        <v/>
      </c>
      <c r="BS457" s="405">
        <v>0</v>
      </c>
      <c r="BT457" s="284">
        <f>IF(BQ457,_xll.qDateYears(BQ456,BQ457,BT$13),0)</f>
        <v>0</v>
      </c>
      <c r="BU457" s="284">
        <f t="shared" si="102"/>
        <v>1731.4581291138484</v>
      </c>
      <c r="CC457" s="560">
        <v>0</v>
      </c>
      <c r="CD457" s="155" t="str">
        <f t="shared" si="97"/>
        <v/>
      </c>
      <c r="CE457" s="405">
        <v>0</v>
      </c>
      <c r="CF457" s="284">
        <f>IF(CC457,_xll.qDateYears(CC456,CC457,CF$13),0)</f>
        <v>0</v>
      </c>
      <c r="CG457" s="284">
        <f t="shared" si="103"/>
        <v>2320.9300800126416</v>
      </c>
      <c r="CO457" s="560">
        <v>0</v>
      </c>
      <c r="CP457" s="155" t="str">
        <f t="shared" si="98"/>
        <v/>
      </c>
      <c r="CQ457" s="405">
        <v>0</v>
      </c>
      <c r="CR457" s="284">
        <f>IF(CO457,_xll.qDateYears(CO456,CO457,CR$13),0)</f>
        <v>0</v>
      </c>
      <c r="CS457" s="284">
        <f t="shared" si="104"/>
        <v>2166.0491297426292</v>
      </c>
      <c r="DA457" s="560">
        <v>0</v>
      </c>
      <c r="DB457" s="155" t="str">
        <f t="shared" si="99"/>
        <v/>
      </c>
      <c r="DC457" s="405">
        <v>0</v>
      </c>
      <c r="DD457" s="284">
        <f>IF(DA457,_xll.qDateYears(DA456,DA457,DD$13),0)</f>
        <v>0</v>
      </c>
      <c r="DE457" s="284">
        <f t="shared" si="105"/>
        <v>1625.698949379763</v>
      </c>
      <c r="DM457" s="560">
        <v>0</v>
      </c>
      <c r="DN457" s="155" t="str">
        <f t="shared" si="100"/>
        <v/>
      </c>
      <c r="DO457" s="405">
        <v>0</v>
      </c>
      <c r="DP457" s="284">
        <f>IF(DM457,_xll.qDateYears(DM456,DM457,DP$13),0)</f>
        <v>0</v>
      </c>
      <c r="DQ457" s="284">
        <f t="shared" si="106"/>
        <v>2216.4810485334592</v>
      </c>
    </row>
    <row r="458" spans="59:121">
      <c r="BG458" s="560">
        <v>0</v>
      </c>
      <c r="BH458" s="154" t="str">
        <f t="shared" si="95"/>
        <v/>
      </c>
      <c r="BI458" s="405">
        <v>0</v>
      </c>
      <c r="BJ458" s="284">
        <f>IF(BG458,_xll.qDateYears(BG457,BG458,$BJ$13),0)</f>
        <v>0</v>
      </c>
      <c r="BK458" s="284">
        <f t="shared" si="101"/>
        <v>2216.4810485334592</v>
      </c>
      <c r="BQ458" s="560">
        <v>0</v>
      </c>
      <c r="BR458" s="155" t="str">
        <f t="shared" si="96"/>
        <v/>
      </c>
      <c r="BS458" s="405">
        <v>0</v>
      </c>
      <c r="BT458" s="284">
        <f>IF(BQ458,_xll.qDateYears(BQ457,BQ458,BT$13),0)</f>
        <v>0</v>
      </c>
      <c r="BU458" s="284">
        <f t="shared" si="102"/>
        <v>1731.4581291138484</v>
      </c>
      <c r="CC458" s="560">
        <v>0</v>
      </c>
      <c r="CD458" s="155" t="str">
        <f t="shared" si="97"/>
        <v/>
      </c>
      <c r="CE458" s="405">
        <v>0</v>
      </c>
      <c r="CF458" s="284">
        <f>IF(CC458,_xll.qDateYears(CC457,CC458,CF$13),0)</f>
        <v>0</v>
      </c>
      <c r="CG458" s="284">
        <f t="shared" si="103"/>
        <v>2320.9300800126416</v>
      </c>
      <c r="CO458" s="560">
        <v>0</v>
      </c>
      <c r="CP458" s="155" t="str">
        <f t="shared" si="98"/>
        <v/>
      </c>
      <c r="CQ458" s="405">
        <v>0</v>
      </c>
      <c r="CR458" s="284">
        <f>IF(CO458,_xll.qDateYears(CO457,CO458,CR$13),0)</f>
        <v>0</v>
      </c>
      <c r="CS458" s="284">
        <f t="shared" si="104"/>
        <v>2166.0491297426292</v>
      </c>
      <c r="DA458" s="560">
        <v>0</v>
      </c>
      <c r="DB458" s="155" t="str">
        <f t="shared" si="99"/>
        <v/>
      </c>
      <c r="DC458" s="405">
        <v>0</v>
      </c>
      <c r="DD458" s="284">
        <f>IF(DA458,_xll.qDateYears(DA457,DA458,DD$13),0)</f>
        <v>0</v>
      </c>
      <c r="DE458" s="284">
        <f t="shared" si="105"/>
        <v>1625.698949379763</v>
      </c>
      <c r="DM458" s="560">
        <v>0</v>
      </c>
      <c r="DN458" s="155" t="str">
        <f t="shared" si="100"/>
        <v/>
      </c>
      <c r="DO458" s="405">
        <v>0</v>
      </c>
      <c r="DP458" s="284">
        <f>IF(DM458,_xll.qDateYears(DM457,DM458,DP$13),0)</f>
        <v>0</v>
      </c>
      <c r="DQ458" s="284">
        <f t="shared" si="106"/>
        <v>2216.4810485334592</v>
      </c>
    </row>
    <row r="459" spans="59:121">
      <c r="BG459" s="560">
        <v>0</v>
      </c>
      <c r="BH459" s="154" t="str">
        <f t="shared" si="95"/>
        <v/>
      </c>
      <c r="BI459" s="405">
        <v>0</v>
      </c>
      <c r="BJ459" s="284">
        <f>IF(BG459,_xll.qDateYears(BG458,BG459,$BJ$13),0)</f>
        <v>0</v>
      </c>
      <c r="BK459" s="284">
        <f t="shared" si="101"/>
        <v>2216.4810485334592</v>
      </c>
      <c r="BQ459" s="560">
        <v>0</v>
      </c>
      <c r="BR459" s="155" t="str">
        <f t="shared" si="96"/>
        <v/>
      </c>
      <c r="BS459" s="405">
        <v>0</v>
      </c>
      <c r="BT459" s="284">
        <f>IF(BQ459,_xll.qDateYears(BQ458,BQ459,BT$13),0)</f>
        <v>0</v>
      </c>
      <c r="BU459" s="284">
        <f t="shared" si="102"/>
        <v>1731.4581291138484</v>
      </c>
      <c r="CC459" s="560">
        <v>0</v>
      </c>
      <c r="CD459" s="155" t="str">
        <f t="shared" si="97"/>
        <v/>
      </c>
      <c r="CE459" s="405">
        <v>0</v>
      </c>
      <c r="CF459" s="284">
        <f>IF(CC459,_xll.qDateYears(CC458,CC459,CF$13),0)</f>
        <v>0</v>
      </c>
      <c r="CG459" s="284">
        <f t="shared" si="103"/>
        <v>2320.9300800126416</v>
      </c>
      <c r="CO459" s="560">
        <v>0</v>
      </c>
      <c r="CP459" s="155" t="str">
        <f t="shared" si="98"/>
        <v/>
      </c>
      <c r="CQ459" s="405">
        <v>0</v>
      </c>
      <c r="CR459" s="284">
        <f>IF(CO459,_xll.qDateYears(CO458,CO459,CR$13),0)</f>
        <v>0</v>
      </c>
      <c r="CS459" s="284">
        <f t="shared" si="104"/>
        <v>2166.0491297426292</v>
      </c>
      <c r="DA459" s="560">
        <v>0</v>
      </c>
      <c r="DB459" s="155" t="str">
        <f t="shared" si="99"/>
        <v/>
      </c>
      <c r="DC459" s="405">
        <v>0</v>
      </c>
      <c r="DD459" s="284">
        <f>IF(DA459,_xll.qDateYears(DA458,DA459,DD$13),0)</f>
        <v>0</v>
      </c>
      <c r="DE459" s="284">
        <f t="shared" si="105"/>
        <v>1625.698949379763</v>
      </c>
      <c r="DM459" s="560">
        <v>0</v>
      </c>
      <c r="DN459" s="155" t="str">
        <f t="shared" si="100"/>
        <v/>
      </c>
      <c r="DO459" s="405">
        <v>0</v>
      </c>
      <c r="DP459" s="284">
        <f>IF(DM459,_xll.qDateYears(DM458,DM459,DP$13),0)</f>
        <v>0</v>
      </c>
      <c r="DQ459" s="284">
        <f t="shared" si="106"/>
        <v>2216.4810485334592</v>
      </c>
    </row>
    <row r="460" spans="59:121">
      <c r="BG460" s="560">
        <v>0</v>
      </c>
      <c r="BH460" s="154" t="str">
        <f t="shared" si="95"/>
        <v/>
      </c>
      <c r="BI460" s="405">
        <v>0</v>
      </c>
      <c r="BJ460" s="284">
        <f>IF(BG460,_xll.qDateYears(BG459,BG460,$BJ$13),0)</f>
        <v>0</v>
      </c>
      <c r="BK460" s="284">
        <f t="shared" si="101"/>
        <v>2216.4810485334592</v>
      </c>
      <c r="BQ460" s="560">
        <v>0</v>
      </c>
      <c r="BR460" s="155" t="str">
        <f t="shared" si="96"/>
        <v/>
      </c>
      <c r="BS460" s="405">
        <v>0</v>
      </c>
      <c r="BT460" s="284">
        <f>IF(BQ460,_xll.qDateYears(BQ459,BQ460,BT$13),0)</f>
        <v>0</v>
      </c>
      <c r="BU460" s="284">
        <f t="shared" si="102"/>
        <v>1731.4581291138484</v>
      </c>
      <c r="CC460" s="560">
        <v>0</v>
      </c>
      <c r="CD460" s="155" t="str">
        <f t="shared" si="97"/>
        <v/>
      </c>
      <c r="CE460" s="405">
        <v>0</v>
      </c>
      <c r="CF460" s="284">
        <f>IF(CC460,_xll.qDateYears(CC459,CC460,CF$13),0)</f>
        <v>0</v>
      </c>
      <c r="CG460" s="284">
        <f t="shared" si="103"/>
        <v>2320.9300800126416</v>
      </c>
      <c r="CO460" s="560">
        <v>0</v>
      </c>
      <c r="CP460" s="155" t="str">
        <f t="shared" si="98"/>
        <v/>
      </c>
      <c r="CQ460" s="405">
        <v>0</v>
      </c>
      <c r="CR460" s="284">
        <f>IF(CO460,_xll.qDateYears(CO459,CO460,CR$13),0)</f>
        <v>0</v>
      </c>
      <c r="CS460" s="284">
        <f t="shared" si="104"/>
        <v>2166.0491297426292</v>
      </c>
      <c r="DA460" s="560">
        <v>0</v>
      </c>
      <c r="DB460" s="155" t="str">
        <f t="shared" si="99"/>
        <v/>
      </c>
      <c r="DC460" s="405">
        <v>0</v>
      </c>
      <c r="DD460" s="284">
        <f>IF(DA460,_xll.qDateYears(DA459,DA460,DD$13),0)</f>
        <v>0</v>
      </c>
      <c r="DE460" s="284">
        <f t="shared" si="105"/>
        <v>1625.698949379763</v>
      </c>
      <c r="DM460" s="560">
        <v>0</v>
      </c>
      <c r="DN460" s="155" t="str">
        <f t="shared" si="100"/>
        <v/>
      </c>
      <c r="DO460" s="405">
        <v>0</v>
      </c>
      <c r="DP460" s="284">
        <f>IF(DM460,_xll.qDateYears(DM459,DM460,DP$13),0)</f>
        <v>0</v>
      </c>
      <c r="DQ460" s="284">
        <f t="shared" si="106"/>
        <v>2216.4810485334592</v>
      </c>
    </row>
    <row r="461" spans="59:121">
      <c r="BG461" s="560">
        <v>0</v>
      </c>
      <c r="BH461" s="154" t="str">
        <f t="shared" si="95"/>
        <v/>
      </c>
      <c r="BI461" s="405">
        <v>0</v>
      </c>
      <c r="BJ461" s="284">
        <f>IF(BG461,_xll.qDateYears(BG460,BG461,$BJ$13),0)</f>
        <v>0</v>
      </c>
      <c r="BK461" s="284">
        <f t="shared" si="101"/>
        <v>2216.4810485334592</v>
      </c>
      <c r="BQ461" s="560">
        <v>0</v>
      </c>
      <c r="BR461" s="155" t="str">
        <f t="shared" si="96"/>
        <v/>
      </c>
      <c r="BS461" s="405">
        <v>0</v>
      </c>
      <c r="BT461" s="284">
        <f>IF(BQ461,_xll.qDateYears(BQ460,BQ461,BT$13),0)</f>
        <v>0</v>
      </c>
      <c r="BU461" s="284">
        <f t="shared" si="102"/>
        <v>1731.4581291138484</v>
      </c>
      <c r="CC461" s="560">
        <v>0</v>
      </c>
      <c r="CD461" s="155" t="str">
        <f t="shared" si="97"/>
        <v/>
      </c>
      <c r="CE461" s="405">
        <v>0</v>
      </c>
      <c r="CF461" s="284">
        <f>IF(CC461,_xll.qDateYears(CC460,CC461,CF$13),0)</f>
        <v>0</v>
      </c>
      <c r="CG461" s="284">
        <f t="shared" si="103"/>
        <v>2320.9300800126416</v>
      </c>
      <c r="CO461" s="560">
        <v>0</v>
      </c>
      <c r="CP461" s="155" t="str">
        <f t="shared" si="98"/>
        <v/>
      </c>
      <c r="CQ461" s="405">
        <v>0</v>
      </c>
      <c r="CR461" s="284">
        <f>IF(CO461,_xll.qDateYears(CO460,CO461,CR$13),0)</f>
        <v>0</v>
      </c>
      <c r="CS461" s="284">
        <f t="shared" si="104"/>
        <v>2166.0491297426292</v>
      </c>
      <c r="DA461" s="560">
        <v>0</v>
      </c>
      <c r="DB461" s="155" t="str">
        <f t="shared" si="99"/>
        <v/>
      </c>
      <c r="DC461" s="405">
        <v>0</v>
      </c>
      <c r="DD461" s="284">
        <f>IF(DA461,_xll.qDateYears(DA460,DA461,DD$13),0)</f>
        <v>0</v>
      </c>
      <c r="DE461" s="284">
        <f t="shared" si="105"/>
        <v>1625.698949379763</v>
      </c>
      <c r="DM461" s="560">
        <v>0</v>
      </c>
      <c r="DN461" s="155" t="str">
        <f t="shared" si="100"/>
        <v/>
      </c>
      <c r="DO461" s="405">
        <v>0</v>
      </c>
      <c r="DP461" s="284">
        <f>IF(DM461,_xll.qDateYears(DM460,DM461,DP$13),0)</f>
        <v>0</v>
      </c>
      <c r="DQ461" s="284">
        <f t="shared" si="106"/>
        <v>2216.4810485334592</v>
      </c>
    </row>
    <row r="462" spans="59:121">
      <c r="BG462" s="560">
        <v>0</v>
      </c>
      <c r="BH462" s="154" t="str">
        <f t="shared" si="95"/>
        <v/>
      </c>
      <c r="BI462" s="405">
        <v>0</v>
      </c>
      <c r="BJ462" s="284">
        <f>IF(BG462,_xll.qDateYears(BG461,BG462,$BJ$13),0)</f>
        <v>0</v>
      </c>
      <c r="BK462" s="284">
        <f t="shared" si="101"/>
        <v>2216.4810485334592</v>
      </c>
      <c r="BQ462" s="560">
        <v>0</v>
      </c>
      <c r="BR462" s="155" t="str">
        <f t="shared" si="96"/>
        <v/>
      </c>
      <c r="BS462" s="405">
        <v>0</v>
      </c>
      <c r="BT462" s="284">
        <f>IF(BQ462,_xll.qDateYears(BQ461,BQ462,BT$13),0)</f>
        <v>0</v>
      </c>
      <c r="BU462" s="284">
        <f t="shared" si="102"/>
        <v>1731.4581291138484</v>
      </c>
      <c r="CC462" s="560">
        <v>0</v>
      </c>
      <c r="CD462" s="155" t="str">
        <f t="shared" si="97"/>
        <v/>
      </c>
      <c r="CE462" s="405">
        <v>0</v>
      </c>
      <c r="CF462" s="284">
        <f>IF(CC462,_xll.qDateYears(CC461,CC462,CF$13),0)</f>
        <v>0</v>
      </c>
      <c r="CG462" s="284">
        <f t="shared" si="103"/>
        <v>2320.9300800126416</v>
      </c>
      <c r="CO462" s="560">
        <v>0</v>
      </c>
      <c r="CP462" s="155" t="str">
        <f t="shared" si="98"/>
        <v/>
      </c>
      <c r="CQ462" s="405">
        <v>0</v>
      </c>
      <c r="CR462" s="284">
        <f>IF(CO462,_xll.qDateYears(CO461,CO462,CR$13),0)</f>
        <v>0</v>
      </c>
      <c r="CS462" s="284">
        <f t="shared" si="104"/>
        <v>2166.0491297426292</v>
      </c>
      <c r="DA462" s="560">
        <v>0</v>
      </c>
      <c r="DB462" s="155" t="str">
        <f t="shared" si="99"/>
        <v/>
      </c>
      <c r="DC462" s="405">
        <v>0</v>
      </c>
      <c r="DD462" s="284">
        <f>IF(DA462,_xll.qDateYears(DA461,DA462,DD$13),0)</f>
        <v>0</v>
      </c>
      <c r="DE462" s="284">
        <f t="shared" si="105"/>
        <v>1625.698949379763</v>
      </c>
      <c r="DM462" s="560">
        <v>0</v>
      </c>
      <c r="DN462" s="155" t="str">
        <f t="shared" si="100"/>
        <v/>
      </c>
      <c r="DO462" s="405">
        <v>0</v>
      </c>
      <c r="DP462" s="284">
        <f>IF(DM462,_xll.qDateYears(DM461,DM462,DP$13),0)</f>
        <v>0</v>
      </c>
      <c r="DQ462" s="284">
        <f t="shared" si="106"/>
        <v>2216.4810485334592</v>
      </c>
    </row>
    <row r="463" spans="59:121">
      <c r="BG463" s="560">
        <v>0</v>
      </c>
      <c r="BH463" s="154" t="str">
        <f t="shared" ref="BH463:BH514" si="107">IF(BG463,ROUND((BG463-$BG$15)/365/0.25,0)*0.25&amp;"Y","")</f>
        <v/>
      </c>
      <c r="BI463" s="405">
        <v>0</v>
      </c>
      <c r="BJ463" s="284">
        <f>IF(BG463,_xll.qDateYears(BG462,BG463,$BJ$13),0)</f>
        <v>0</v>
      </c>
      <c r="BK463" s="284">
        <f t="shared" si="101"/>
        <v>2216.4810485334592</v>
      </c>
      <c r="BQ463" s="560">
        <v>0</v>
      </c>
      <c r="BR463" s="155" t="str">
        <f t="shared" ref="BR463:BR514" si="108">IF(BQ463,ROUND((BQ463-$BG$15)/365/0.25,0)*0.25&amp;"Y","")</f>
        <v/>
      </c>
      <c r="BS463" s="405">
        <v>0</v>
      </c>
      <c r="BT463" s="284">
        <f>IF(BQ463,_xll.qDateYears(BQ462,BQ463,BT$13),0)</f>
        <v>0</v>
      </c>
      <c r="BU463" s="284">
        <f t="shared" si="102"/>
        <v>1731.4581291138484</v>
      </c>
      <c r="CC463" s="560">
        <v>0</v>
      </c>
      <c r="CD463" s="155" t="str">
        <f t="shared" ref="CD463:CD514" si="109">IF(CC463,ROUND((CC463-$BG$15)/365/0.25,0)*0.25&amp;"Y","")</f>
        <v/>
      </c>
      <c r="CE463" s="405">
        <v>0</v>
      </c>
      <c r="CF463" s="284">
        <f>IF(CC463,_xll.qDateYears(CC462,CC463,CF$13),0)</f>
        <v>0</v>
      </c>
      <c r="CG463" s="284">
        <f t="shared" si="103"/>
        <v>2320.9300800126416</v>
      </c>
      <c r="CO463" s="560">
        <v>0</v>
      </c>
      <c r="CP463" s="155" t="str">
        <f t="shared" ref="CP463:CP514" si="110">IF(CO463,ROUND((CO463-$BG$15)/365/0.25,0)*0.25&amp;"Y","")</f>
        <v/>
      </c>
      <c r="CQ463" s="405">
        <v>0</v>
      </c>
      <c r="CR463" s="284">
        <f>IF(CO463,_xll.qDateYears(CO462,CO463,CR$13),0)</f>
        <v>0</v>
      </c>
      <c r="CS463" s="284">
        <f t="shared" si="104"/>
        <v>2166.0491297426292</v>
      </c>
      <c r="DA463" s="560">
        <v>0</v>
      </c>
      <c r="DB463" s="155" t="str">
        <f t="shared" ref="DB463:DB514" si="111">IF(DA463,ROUND((DA463-$BG$15)/365/0.25,0)*0.25&amp;"Y","")</f>
        <v/>
      </c>
      <c r="DC463" s="405">
        <v>0</v>
      </c>
      <c r="DD463" s="284">
        <f>IF(DA463,_xll.qDateYears(DA462,DA463,DD$13),0)</f>
        <v>0</v>
      </c>
      <c r="DE463" s="284">
        <f t="shared" si="105"/>
        <v>1625.698949379763</v>
      </c>
      <c r="DM463" s="560">
        <v>0</v>
      </c>
      <c r="DN463" s="155" t="str">
        <f t="shared" ref="DN463:DN514" si="112">IF(DM463,ROUND((DM463-$BG$15)/365/0.25,0)*0.25&amp;"Y","")</f>
        <v/>
      </c>
      <c r="DO463" s="405">
        <v>0</v>
      </c>
      <c r="DP463" s="284">
        <f>IF(DM463,_xll.qDateYears(DM462,DM463,DP$13),0)</f>
        <v>0</v>
      </c>
      <c r="DQ463" s="284">
        <f t="shared" si="106"/>
        <v>2216.4810485334592</v>
      </c>
    </row>
    <row r="464" spans="59:121">
      <c r="BG464" s="560">
        <v>0</v>
      </c>
      <c r="BH464" s="154" t="str">
        <f t="shared" si="107"/>
        <v/>
      </c>
      <c r="BI464" s="405">
        <v>0</v>
      </c>
      <c r="BJ464" s="284">
        <f>IF(BG464,_xll.qDateYears(BG463,BG464,$BJ$13),0)</f>
        <v>0</v>
      </c>
      <c r="BK464" s="284">
        <f t="shared" si="101"/>
        <v>2216.4810485334592</v>
      </c>
      <c r="BQ464" s="560">
        <v>0</v>
      </c>
      <c r="BR464" s="155" t="str">
        <f t="shared" si="108"/>
        <v/>
      </c>
      <c r="BS464" s="405">
        <v>0</v>
      </c>
      <c r="BT464" s="284">
        <f>IF(BQ464,_xll.qDateYears(BQ463,BQ464,BT$13),0)</f>
        <v>0</v>
      </c>
      <c r="BU464" s="284">
        <f t="shared" si="102"/>
        <v>1731.4581291138484</v>
      </c>
      <c r="CC464" s="560">
        <v>0</v>
      </c>
      <c r="CD464" s="155" t="str">
        <f t="shared" si="109"/>
        <v/>
      </c>
      <c r="CE464" s="405">
        <v>0</v>
      </c>
      <c r="CF464" s="284">
        <f>IF(CC464,_xll.qDateYears(CC463,CC464,CF$13),0)</f>
        <v>0</v>
      </c>
      <c r="CG464" s="284">
        <f t="shared" si="103"/>
        <v>2320.9300800126416</v>
      </c>
      <c r="CO464" s="560">
        <v>0</v>
      </c>
      <c r="CP464" s="155" t="str">
        <f t="shared" si="110"/>
        <v/>
      </c>
      <c r="CQ464" s="405">
        <v>0</v>
      </c>
      <c r="CR464" s="284">
        <f>IF(CO464,_xll.qDateYears(CO463,CO464,CR$13),0)</f>
        <v>0</v>
      </c>
      <c r="CS464" s="284">
        <f t="shared" si="104"/>
        <v>2166.0491297426292</v>
      </c>
      <c r="DA464" s="560">
        <v>0</v>
      </c>
      <c r="DB464" s="155" t="str">
        <f t="shared" si="111"/>
        <v/>
      </c>
      <c r="DC464" s="405">
        <v>0</v>
      </c>
      <c r="DD464" s="284">
        <f>IF(DA464,_xll.qDateYears(DA463,DA464,DD$13),0)</f>
        <v>0</v>
      </c>
      <c r="DE464" s="284">
        <f t="shared" si="105"/>
        <v>1625.698949379763</v>
      </c>
      <c r="DM464" s="560">
        <v>0</v>
      </c>
      <c r="DN464" s="155" t="str">
        <f t="shared" si="112"/>
        <v/>
      </c>
      <c r="DO464" s="405">
        <v>0</v>
      </c>
      <c r="DP464" s="284">
        <f>IF(DM464,_xll.qDateYears(DM463,DM464,DP$13),0)</f>
        <v>0</v>
      </c>
      <c r="DQ464" s="284">
        <f t="shared" si="106"/>
        <v>2216.4810485334592</v>
      </c>
    </row>
    <row r="465" spans="59:121">
      <c r="BG465" s="560">
        <v>0</v>
      </c>
      <c r="BH465" s="154" t="str">
        <f t="shared" si="107"/>
        <v/>
      </c>
      <c r="BI465" s="405">
        <v>0</v>
      </c>
      <c r="BJ465" s="284">
        <f>IF(BG465,_xll.qDateYears(BG464,BG465,$BJ$13),0)</f>
        <v>0</v>
      </c>
      <c r="BK465" s="284">
        <f t="shared" ref="BK465:BK514" si="113">BK464+BJ465*BI465*100</f>
        <v>2216.4810485334592</v>
      </c>
      <c r="BQ465" s="560">
        <v>0</v>
      </c>
      <c r="BR465" s="155" t="str">
        <f t="shared" si="108"/>
        <v/>
      </c>
      <c r="BS465" s="405">
        <v>0</v>
      </c>
      <c r="BT465" s="284">
        <f>IF(BQ465,_xll.qDateYears(BQ464,BQ465,BT$13),0)</f>
        <v>0</v>
      </c>
      <c r="BU465" s="284">
        <f t="shared" ref="BU465:BU514" si="114">BU464+BT465*BS465*100</f>
        <v>1731.4581291138484</v>
      </c>
      <c r="CC465" s="560">
        <v>0</v>
      </c>
      <c r="CD465" s="155" t="str">
        <f t="shared" si="109"/>
        <v/>
      </c>
      <c r="CE465" s="405">
        <v>0</v>
      </c>
      <c r="CF465" s="284">
        <f>IF(CC465,_xll.qDateYears(CC464,CC465,CF$13),0)</f>
        <v>0</v>
      </c>
      <c r="CG465" s="284">
        <f t="shared" ref="CG465:CG514" si="115">CG464+CF465*CE465*100</f>
        <v>2320.9300800126416</v>
      </c>
      <c r="CO465" s="560">
        <v>0</v>
      </c>
      <c r="CP465" s="155" t="str">
        <f t="shared" si="110"/>
        <v/>
      </c>
      <c r="CQ465" s="405">
        <v>0</v>
      </c>
      <c r="CR465" s="284">
        <f>IF(CO465,_xll.qDateYears(CO464,CO465,CR$13),0)</f>
        <v>0</v>
      </c>
      <c r="CS465" s="284">
        <f t="shared" ref="CS465:CS514" si="116">CS464+CR465*CQ465*100</f>
        <v>2166.0491297426292</v>
      </c>
      <c r="DA465" s="560">
        <v>0</v>
      </c>
      <c r="DB465" s="155" t="str">
        <f t="shared" si="111"/>
        <v/>
      </c>
      <c r="DC465" s="405">
        <v>0</v>
      </c>
      <c r="DD465" s="284">
        <f>IF(DA465,_xll.qDateYears(DA464,DA465,DD$13),0)</f>
        <v>0</v>
      </c>
      <c r="DE465" s="284">
        <f t="shared" ref="DE465:DE514" si="117">DE464+DD465*DC465*100</f>
        <v>1625.698949379763</v>
      </c>
      <c r="DM465" s="560">
        <v>0</v>
      </c>
      <c r="DN465" s="155" t="str">
        <f t="shared" si="112"/>
        <v/>
      </c>
      <c r="DO465" s="405">
        <v>0</v>
      </c>
      <c r="DP465" s="284">
        <f>IF(DM465,_xll.qDateYears(DM464,DM465,DP$13),0)</f>
        <v>0</v>
      </c>
      <c r="DQ465" s="284">
        <f t="shared" ref="DQ465:DQ514" si="118">DQ464+DP465*DO465*100</f>
        <v>2216.4810485334592</v>
      </c>
    </row>
    <row r="466" spans="59:121">
      <c r="BG466" s="560">
        <v>0</v>
      </c>
      <c r="BH466" s="154" t="str">
        <f t="shared" si="107"/>
        <v/>
      </c>
      <c r="BI466" s="405">
        <v>0</v>
      </c>
      <c r="BJ466" s="284">
        <f>IF(BG466,_xll.qDateYears(BG465,BG466,$BJ$13),0)</f>
        <v>0</v>
      </c>
      <c r="BK466" s="284">
        <f t="shared" si="113"/>
        <v>2216.4810485334592</v>
      </c>
      <c r="BQ466" s="560">
        <v>0</v>
      </c>
      <c r="BR466" s="155" t="str">
        <f t="shared" si="108"/>
        <v/>
      </c>
      <c r="BS466" s="405">
        <v>0</v>
      </c>
      <c r="BT466" s="284">
        <f>IF(BQ466,_xll.qDateYears(BQ465,BQ466,BT$13),0)</f>
        <v>0</v>
      </c>
      <c r="BU466" s="284">
        <f t="shared" si="114"/>
        <v>1731.4581291138484</v>
      </c>
      <c r="CC466" s="560">
        <v>0</v>
      </c>
      <c r="CD466" s="155" t="str">
        <f t="shared" si="109"/>
        <v/>
      </c>
      <c r="CE466" s="405">
        <v>0</v>
      </c>
      <c r="CF466" s="284">
        <f>IF(CC466,_xll.qDateYears(CC465,CC466,CF$13),0)</f>
        <v>0</v>
      </c>
      <c r="CG466" s="284">
        <f t="shared" si="115"/>
        <v>2320.9300800126416</v>
      </c>
      <c r="CO466" s="560">
        <v>0</v>
      </c>
      <c r="CP466" s="155" t="str">
        <f t="shared" si="110"/>
        <v/>
      </c>
      <c r="CQ466" s="405">
        <v>0</v>
      </c>
      <c r="CR466" s="284">
        <f>IF(CO466,_xll.qDateYears(CO465,CO466,CR$13),0)</f>
        <v>0</v>
      </c>
      <c r="CS466" s="284">
        <f t="shared" si="116"/>
        <v>2166.0491297426292</v>
      </c>
      <c r="DA466" s="560">
        <v>0</v>
      </c>
      <c r="DB466" s="155" t="str">
        <f t="shared" si="111"/>
        <v/>
      </c>
      <c r="DC466" s="405">
        <v>0</v>
      </c>
      <c r="DD466" s="284">
        <f>IF(DA466,_xll.qDateYears(DA465,DA466,DD$13),0)</f>
        <v>0</v>
      </c>
      <c r="DE466" s="284">
        <f t="shared" si="117"/>
        <v>1625.698949379763</v>
      </c>
      <c r="DM466" s="560">
        <v>0</v>
      </c>
      <c r="DN466" s="155" t="str">
        <f t="shared" si="112"/>
        <v/>
      </c>
      <c r="DO466" s="405">
        <v>0</v>
      </c>
      <c r="DP466" s="284">
        <f>IF(DM466,_xll.qDateYears(DM465,DM466,DP$13),0)</f>
        <v>0</v>
      </c>
      <c r="DQ466" s="284">
        <f t="shared" si="118"/>
        <v>2216.4810485334592</v>
      </c>
    </row>
    <row r="467" spans="59:121">
      <c r="BG467" s="560">
        <v>0</v>
      </c>
      <c r="BH467" s="154" t="str">
        <f t="shared" si="107"/>
        <v/>
      </c>
      <c r="BI467" s="405">
        <v>0</v>
      </c>
      <c r="BJ467" s="284">
        <f>IF(BG467,_xll.qDateYears(BG466,BG467,$BJ$13),0)</f>
        <v>0</v>
      </c>
      <c r="BK467" s="284">
        <f t="shared" si="113"/>
        <v>2216.4810485334592</v>
      </c>
      <c r="BQ467" s="560">
        <v>0</v>
      </c>
      <c r="BR467" s="155" t="str">
        <f t="shared" si="108"/>
        <v/>
      </c>
      <c r="BS467" s="405">
        <v>0</v>
      </c>
      <c r="BT467" s="284">
        <f>IF(BQ467,_xll.qDateYears(BQ466,BQ467,BT$13),0)</f>
        <v>0</v>
      </c>
      <c r="BU467" s="284">
        <f t="shared" si="114"/>
        <v>1731.4581291138484</v>
      </c>
      <c r="CC467" s="560">
        <v>0</v>
      </c>
      <c r="CD467" s="155" t="str">
        <f t="shared" si="109"/>
        <v/>
      </c>
      <c r="CE467" s="405">
        <v>0</v>
      </c>
      <c r="CF467" s="284">
        <f>IF(CC467,_xll.qDateYears(CC466,CC467,CF$13),0)</f>
        <v>0</v>
      </c>
      <c r="CG467" s="284">
        <f t="shared" si="115"/>
        <v>2320.9300800126416</v>
      </c>
      <c r="CO467" s="560">
        <v>0</v>
      </c>
      <c r="CP467" s="155" t="str">
        <f t="shared" si="110"/>
        <v/>
      </c>
      <c r="CQ467" s="405">
        <v>0</v>
      </c>
      <c r="CR467" s="284">
        <f>IF(CO467,_xll.qDateYears(CO466,CO467,CR$13),0)</f>
        <v>0</v>
      </c>
      <c r="CS467" s="284">
        <f t="shared" si="116"/>
        <v>2166.0491297426292</v>
      </c>
      <c r="DA467" s="560">
        <v>0</v>
      </c>
      <c r="DB467" s="155" t="str">
        <f t="shared" si="111"/>
        <v/>
      </c>
      <c r="DC467" s="405">
        <v>0</v>
      </c>
      <c r="DD467" s="284">
        <f>IF(DA467,_xll.qDateYears(DA466,DA467,DD$13),0)</f>
        <v>0</v>
      </c>
      <c r="DE467" s="284">
        <f t="shared" si="117"/>
        <v>1625.698949379763</v>
      </c>
      <c r="DM467" s="560">
        <v>0</v>
      </c>
      <c r="DN467" s="155" t="str">
        <f t="shared" si="112"/>
        <v/>
      </c>
      <c r="DO467" s="405">
        <v>0</v>
      </c>
      <c r="DP467" s="284">
        <f>IF(DM467,_xll.qDateYears(DM466,DM467,DP$13),0)</f>
        <v>0</v>
      </c>
      <c r="DQ467" s="284">
        <f t="shared" si="118"/>
        <v>2216.4810485334592</v>
      </c>
    </row>
    <row r="468" spans="59:121">
      <c r="BG468" s="560">
        <v>0</v>
      </c>
      <c r="BH468" s="154" t="str">
        <f t="shared" si="107"/>
        <v/>
      </c>
      <c r="BI468" s="405">
        <v>0</v>
      </c>
      <c r="BJ468" s="284">
        <f>IF(BG468,_xll.qDateYears(BG467,BG468,$BJ$13),0)</f>
        <v>0</v>
      </c>
      <c r="BK468" s="284">
        <f t="shared" si="113"/>
        <v>2216.4810485334592</v>
      </c>
      <c r="BQ468" s="560">
        <v>0</v>
      </c>
      <c r="BR468" s="155" t="str">
        <f t="shared" si="108"/>
        <v/>
      </c>
      <c r="BS468" s="405">
        <v>0</v>
      </c>
      <c r="BT468" s="284">
        <f>IF(BQ468,_xll.qDateYears(BQ467,BQ468,BT$13),0)</f>
        <v>0</v>
      </c>
      <c r="BU468" s="284">
        <f t="shared" si="114"/>
        <v>1731.4581291138484</v>
      </c>
      <c r="CC468" s="560">
        <v>0</v>
      </c>
      <c r="CD468" s="155" t="str">
        <f t="shared" si="109"/>
        <v/>
      </c>
      <c r="CE468" s="405">
        <v>0</v>
      </c>
      <c r="CF468" s="284">
        <f>IF(CC468,_xll.qDateYears(CC467,CC468,CF$13),0)</f>
        <v>0</v>
      </c>
      <c r="CG468" s="284">
        <f t="shared" si="115"/>
        <v>2320.9300800126416</v>
      </c>
      <c r="CO468" s="560">
        <v>0</v>
      </c>
      <c r="CP468" s="155" t="str">
        <f t="shared" si="110"/>
        <v/>
      </c>
      <c r="CQ468" s="405">
        <v>0</v>
      </c>
      <c r="CR468" s="284">
        <f>IF(CO468,_xll.qDateYears(CO467,CO468,CR$13),0)</f>
        <v>0</v>
      </c>
      <c r="CS468" s="284">
        <f t="shared" si="116"/>
        <v>2166.0491297426292</v>
      </c>
      <c r="DA468" s="560">
        <v>0</v>
      </c>
      <c r="DB468" s="155" t="str">
        <f t="shared" si="111"/>
        <v/>
      </c>
      <c r="DC468" s="405">
        <v>0</v>
      </c>
      <c r="DD468" s="284">
        <f>IF(DA468,_xll.qDateYears(DA467,DA468,DD$13),0)</f>
        <v>0</v>
      </c>
      <c r="DE468" s="284">
        <f t="shared" si="117"/>
        <v>1625.698949379763</v>
      </c>
      <c r="DM468" s="560">
        <v>0</v>
      </c>
      <c r="DN468" s="155" t="str">
        <f t="shared" si="112"/>
        <v/>
      </c>
      <c r="DO468" s="405">
        <v>0</v>
      </c>
      <c r="DP468" s="284">
        <f>IF(DM468,_xll.qDateYears(DM467,DM468,DP$13),0)</f>
        <v>0</v>
      </c>
      <c r="DQ468" s="284">
        <f t="shared" si="118"/>
        <v>2216.4810485334592</v>
      </c>
    </row>
    <row r="469" spans="59:121">
      <c r="BG469" s="560">
        <v>0</v>
      </c>
      <c r="BH469" s="154" t="str">
        <f t="shared" si="107"/>
        <v/>
      </c>
      <c r="BI469" s="405">
        <v>0</v>
      </c>
      <c r="BJ469" s="284">
        <f>IF(BG469,_xll.qDateYears(BG468,BG469,$BJ$13),0)</f>
        <v>0</v>
      </c>
      <c r="BK469" s="284">
        <f t="shared" si="113"/>
        <v>2216.4810485334592</v>
      </c>
      <c r="BQ469" s="560">
        <v>0</v>
      </c>
      <c r="BR469" s="155" t="str">
        <f t="shared" si="108"/>
        <v/>
      </c>
      <c r="BS469" s="405">
        <v>0</v>
      </c>
      <c r="BT469" s="284">
        <f>IF(BQ469,_xll.qDateYears(BQ468,BQ469,BT$13),0)</f>
        <v>0</v>
      </c>
      <c r="BU469" s="284">
        <f t="shared" si="114"/>
        <v>1731.4581291138484</v>
      </c>
      <c r="CC469" s="560">
        <v>0</v>
      </c>
      <c r="CD469" s="155" t="str">
        <f t="shared" si="109"/>
        <v/>
      </c>
      <c r="CE469" s="405">
        <v>0</v>
      </c>
      <c r="CF469" s="284">
        <f>IF(CC469,_xll.qDateYears(CC468,CC469,CF$13),0)</f>
        <v>0</v>
      </c>
      <c r="CG469" s="284">
        <f t="shared" si="115"/>
        <v>2320.9300800126416</v>
      </c>
      <c r="CO469" s="560">
        <v>0</v>
      </c>
      <c r="CP469" s="155" t="str">
        <f t="shared" si="110"/>
        <v/>
      </c>
      <c r="CQ469" s="405">
        <v>0</v>
      </c>
      <c r="CR469" s="284">
        <f>IF(CO469,_xll.qDateYears(CO468,CO469,CR$13),0)</f>
        <v>0</v>
      </c>
      <c r="CS469" s="284">
        <f t="shared" si="116"/>
        <v>2166.0491297426292</v>
      </c>
      <c r="DA469" s="560">
        <v>0</v>
      </c>
      <c r="DB469" s="155" t="str">
        <f t="shared" si="111"/>
        <v/>
      </c>
      <c r="DC469" s="405">
        <v>0</v>
      </c>
      <c r="DD469" s="284">
        <f>IF(DA469,_xll.qDateYears(DA468,DA469,DD$13),0)</f>
        <v>0</v>
      </c>
      <c r="DE469" s="284">
        <f t="shared" si="117"/>
        <v>1625.698949379763</v>
      </c>
      <c r="DM469" s="560">
        <v>0</v>
      </c>
      <c r="DN469" s="155" t="str">
        <f t="shared" si="112"/>
        <v/>
      </c>
      <c r="DO469" s="405">
        <v>0</v>
      </c>
      <c r="DP469" s="284">
        <f>IF(DM469,_xll.qDateYears(DM468,DM469,DP$13),0)</f>
        <v>0</v>
      </c>
      <c r="DQ469" s="284">
        <f t="shared" si="118"/>
        <v>2216.4810485334592</v>
      </c>
    </row>
    <row r="470" spans="59:121">
      <c r="BG470" s="560">
        <v>0</v>
      </c>
      <c r="BH470" s="154" t="str">
        <f t="shared" si="107"/>
        <v/>
      </c>
      <c r="BI470" s="405">
        <v>0</v>
      </c>
      <c r="BJ470" s="284">
        <f>IF(BG470,_xll.qDateYears(BG469,BG470,$BJ$13),0)</f>
        <v>0</v>
      </c>
      <c r="BK470" s="284">
        <f t="shared" si="113"/>
        <v>2216.4810485334592</v>
      </c>
      <c r="BQ470" s="560">
        <v>0</v>
      </c>
      <c r="BR470" s="155" t="str">
        <f t="shared" si="108"/>
        <v/>
      </c>
      <c r="BS470" s="405">
        <v>0</v>
      </c>
      <c r="BT470" s="284">
        <f>IF(BQ470,_xll.qDateYears(BQ469,BQ470,BT$13),0)</f>
        <v>0</v>
      </c>
      <c r="BU470" s="284">
        <f t="shared" si="114"/>
        <v>1731.4581291138484</v>
      </c>
      <c r="CC470" s="560">
        <v>0</v>
      </c>
      <c r="CD470" s="155" t="str">
        <f t="shared" si="109"/>
        <v/>
      </c>
      <c r="CE470" s="405">
        <v>0</v>
      </c>
      <c r="CF470" s="284">
        <f>IF(CC470,_xll.qDateYears(CC469,CC470,CF$13),0)</f>
        <v>0</v>
      </c>
      <c r="CG470" s="284">
        <f t="shared" si="115"/>
        <v>2320.9300800126416</v>
      </c>
      <c r="CO470" s="560">
        <v>0</v>
      </c>
      <c r="CP470" s="155" t="str">
        <f t="shared" si="110"/>
        <v/>
      </c>
      <c r="CQ470" s="405">
        <v>0</v>
      </c>
      <c r="CR470" s="284">
        <f>IF(CO470,_xll.qDateYears(CO469,CO470,CR$13),0)</f>
        <v>0</v>
      </c>
      <c r="CS470" s="284">
        <f t="shared" si="116"/>
        <v>2166.0491297426292</v>
      </c>
      <c r="DA470" s="560">
        <v>0</v>
      </c>
      <c r="DB470" s="155" t="str">
        <f t="shared" si="111"/>
        <v/>
      </c>
      <c r="DC470" s="405">
        <v>0</v>
      </c>
      <c r="DD470" s="284">
        <f>IF(DA470,_xll.qDateYears(DA469,DA470,DD$13),0)</f>
        <v>0</v>
      </c>
      <c r="DE470" s="284">
        <f t="shared" si="117"/>
        <v>1625.698949379763</v>
      </c>
      <c r="DM470" s="560">
        <v>0</v>
      </c>
      <c r="DN470" s="155" t="str">
        <f t="shared" si="112"/>
        <v/>
      </c>
      <c r="DO470" s="405">
        <v>0</v>
      </c>
      <c r="DP470" s="284">
        <f>IF(DM470,_xll.qDateYears(DM469,DM470,DP$13),0)</f>
        <v>0</v>
      </c>
      <c r="DQ470" s="284">
        <f t="shared" si="118"/>
        <v>2216.4810485334592</v>
      </c>
    </row>
    <row r="471" spans="59:121">
      <c r="BG471" s="560">
        <v>0</v>
      </c>
      <c r="BH471" s="154" t="str">
        <f t="shared" si="107"/>
        <v/>
      </c>
      <c r="BI471" s="405">
        <v>0</v>
      </c>
      <c r="BJ471" s="284">
        <f>IF(BG471,_xll.qDateYears(BG470,BG471,$BJ$13),0)</f>
        <v>0</v>
      </c>
      <c r="BK471" s="284">
        <f t="shared" si="113"/>
        <v>2216.4810485334592</v>
      </c>
      <c r="BQ471" s="560">
        <v>0</v>
      </c>
      <c r="BR471" s="155" t="str">
        <f t="shared" si="108"/>
        <v/>
      </c>
      <c r="BS471" s="405">
        <v>0</v>
      </c>
      <c r="BT471" s="284">
        <f>IF(BQ471,_xll.qDateYears(BQ470,BQ471,BT$13),0)</f>
        <v>0</v>
      </c>
      <c r="BU471" s="284">
        <f t="shared" si="114"/>
        <v>1731.4581291138484</v>
      </c>
      <c r="CC471" s="560">
        <v>0</v>
      </c>
      <c r="CD471" s="155" t="str">
        <f t="shared" si="109"/>
        <v/>
      </c>
      <c r="CE471" s="405">
        <v>0</v>
      </c>
      <c r="CF471" s="284">
        <f>IF(CC471,_xll.qDateYears(CC470,CC471,CF$13),0)</f>
        <v>0</v>
      </c>
      <c r="CG471" s="284">
        <f t="shared" si="115"/>
        <v>2320.9300800126416</v>
      </c>
      <c r="CO471" s="560">
        <v>0</v>
      </c>
      <c r="CP471" s="155" t="str">
        <f t="shared" si="110"/>
        <v/>
      </c>
      <c r="CQ471" s="405">
        <v>0</v>
      </c>
      <c r="CR471" s="284">
        <f>IF(CO471,_xll.qDateYears(CO470,CO471,CR$13),0)</f>
        <v>0</v>
      </c>
      <c r="CS471" s="284">
        <f t="shared" si="116"/>
        <v>2166.0491297426292</v>
      </c>
      <c r="DA471" s="560">
        <v>0</v>
      </c>
      <c r="DB471" s="155" t="str">
        <f t="shared" si="111"/>
        <v/>
      </c>
      <c r="DC471" s="405">
        <v>0</v>
      </c>
      <c r="DD471" s="284">
        <f>IF(DA471,_xll.qDateYears(DA470,DA471,DD$13),0)</f>
        <v>0</v>
      </c>
      <c r="DE471" s="284">
        <f t="shared" si="117"/>
        <v>1625.698949379763</v>
      </c>
      <c r="DM471" s="560">
        <v>0</v>
      </c>
      <c r="DN471" s="155" t="str">
        <f t="shared" si="112"/>
        <v/>
      </c>
      <c r="DO471" s="405">
        <v>0</v>
      </c>
      <c r="DP471" s="284">
        <f>IF(DM471,_xll.qDateYears(DM470,DM471,DP$13),0)</f>
        <v>0</v>
      </c>
      <c r="DQ471" s="284">
        <f t="shared" si="118"/>
        <v>2216.4810485334592</v>
      </c>
    </row>
    <row r="472" spans="59:121">
      <c r="BG472" s="560">
        <v>0</v>
      </c>
      <c r="BH472" s="154" t="str">
        <f t="shared" si="107"/>
        <v/>
      </c>
      <c r="BI472" s="405">
        <v>0</v>
      </c>
      <c r="BJ472" s="284">
        <f>IF(BG472,_xll.qDateYears(BG471,BG472,$BJ$13),0)</f>
        <v>0</v>
      </c>
      <c r="BK472" s="284">
        <f t="shared" si="113"/>
        <v>2216.4810485334592</v>
      </c>
      <c r="BQ472" s="560">
        <v>0</v>
      </c>
      <c r="BR472" s="155" t="str">
        <f t="shared" si="108"/>
        <v/>
      </c>
      <c r="BS472" s="405">
        <v>0</v>
      </c>
      <c r="BT472" s="284">
        <f>IF(BQ472,_xll.qDateYears(BQ471,BQ472,BT$13),0)</f>
        <v>0</v>
      </c>
      <c r="BU472" s="284">
        <f t="shared" si="114"/>
        <v>1731.4581291138484</v>
      </c>
      <c r="CC472" s="560">
        <v>0</v>
      </c>
      <c r="CD472" s="155" t="str">
        <f t="shared" si="109"/>
        <v/>
      </c>
      <c r="CE472" s="405">
        <v>0</v>
      </c>
      <c r="CF472" s="284">
        <f>IF(CC472,_xll.qDateYears(CC471,CC472,CF$13),0)</f>
        <v>0</v>
      </c>
      <c r="CG472" s="284">
        <f t="shared" si="115"/>
        <v>2320.9300800126416</v>
      </c>
      <c r="CO472" s="560">
        <v>0</v>
      </c>
      <c r="CP472" s="155" t="str">
        <f t="shared" si="110"/>
        <v/>
      </c>
      <c r="CQ472" s="405">
        <v>0</v>
      </c>
      <c r="CR472" s="284">
        <f>IF(CO472,_xll.qDateYears(CO471,CO472,CR$13),0)</f>
        <v>0</v>
      </c>
      <c r="CS472" s="284">
        <f t="shared" si="116"/>
        <v>2166.0491297426292</v>
      </c>
      <c r="DA472" s="560">
        <v>0</v>
      </c>
      <c r="DB472" s="155" t="str">
        <f t="shared" si="111"/>
        <v/>
      </c>
      <c r="DC472" s="405">
        <v>0</v>
      </c>
      <c r="DD472" s="284">
        <f>IF(DA472,_xll.qDateYears(DA471,DA472,DD$13),0)</f>
        <v>0</v>
      </c>
      <c r="DE472" s="284">
        <f t="shared" si="117"/>
        <v>1625.698949379763</v>
      </c>
      <c r="DM472" s="560">
        <v>0</v>
      </c>
      <c r="DN472" s="155" t="str">
        <f t="shared" si="112"/>
        <v/>
      </c>
      <c r="DO472" s="405">
        <v>0</v>
      </c>
      <c r="DP472" s="284">
        <f>IF(DM472,_xll.qDateYears(DM471,DM472,DP$13),0)</f>
        <v>0</v>
      </c>
      <c r="DQ472" s="284">
        <f t="shared" si="118"/>
        <v>2216.4810485334592</v>
      </c>
    </row>
    <row r="473" spans="59:121">
      <c r="BG473" s="560">
        <v>0</v>
      </c>
      <c r="BH473" s="154" t="str">
        <f t="shared" si="107"/>
        <v/>
      </c>
      <c r="BI473" s="405">
        <v>0</v>
      </c>
      <c r="BJ473" s="284">
        <f>IF(BG473,_xll.qDateYears(BG472,BG473,$BJ$13),0)</f>
        <v>0</v>
      </c>
      <c r="BK473" s="284">
        <f t="shared" si="113"/>
        <v>2216.4810485334592</v>
      </c>
      <c r="BQ473" s="560">
        <v>0</v>
      </c>
      <c r="BR473" s="155" t="str">
        <f t="shared" si="108"/>
        <v/>
      </c>
      <c r="BS473" s="405">
        <v>0</v>
      </c>
      <c r="BT473" s="284">
        <f>IF(BQ473,_xll.qDateYears(BQ472,BQ473,BT$13),0)</f>
        <v>0</v>
      </c>
      <c r="BU473" s="284">
        <f t="shared" si="114"/>
        <v>1731.4581291138484</v>
      </c>
      <c r="CC473" s="560">
        <v>0</v>
      </c>
      <c r="CD473" s="155" t="str">
        <f t="shared" si="109"/>
        <v/>
      </c>
      <c r="CE473" s="405">
        <v>0</v>
      </c>
      <c r="CF473" s="284">
        <f>IF(CC473,_xll.qDateYears(CC472,CC473,CF$13),0)</f>
        <v>0</v>
      </c>
      <c r="CG473" s="284">
        <f t="shared" si="115"/>
        <v>2320.9300800126416</v>
      </c>
      <c r="CO473" s="560">
        <v>0</v>
      </c>
      <c r="CP473" s="155" t="str">
        <f t="shared" si="110"/>
        <v/>
      </c>
      <c r="CQ473" s="405">
        <v>0</v>
      </c>
      <c r="CR473" s="284">
        <f>IF(CO473,_xll.qDateYears(CO472,CO473,CR$13),0)</f>
        <v>0</v>
      </c>
      <c r="CS473" s="284">
        <f t="shared" si="116"/>
        <v>2166.0491297426292</v>
      </c>
      <c r="DA473" s="560">
        <v>0</v>
      </c>
      <c r="DB473" s="155" t="str">
        <f t="shared" si="111"/>
        <v/>
      </c>
      <c r="DC473" s="405">
        <v>0</v>
      </c>
      <c r="DD473" s="284">
        <f>IF(DA473,_xll.qDateYears(DA472,DA473,DD$13),0)</f>
        <v>0</v>
      </c>
      <c r="DE473" s="284">
        <f t="shared" si="117"/>
        <v>1625.698949379763</v>
      </c>
      <c r="DM473" s="560">
        <v>0</v>
      </c>
      <c r="DN473" s="155" t="str">
        <f t="shared" si="112"/>
        <v/>
      </c>
      <c r="DO473" s="405">
        <v>0</v>
      </c>
      <c r="DP473" s="284">
        <f>IF(DM473,_xll.qDateYears(DM472,DM473,DP$13),0)</f>
        <v>0</v>
      </c>
      <c r="DQ473" s="284">
        <f t="shared" si="118"/>
        <v>2216.4810485334592</v>
      </c>
    </row>
    <row r="474" spans="59:121">
      <c r="BG474" s="560">
        <v>0</v>
      </c>
      <c r="BH474" s="154" t="str">
        <f t="shared" si="107"/>
        <v/>
      </c>
      <c r="BI474" s="405">
        <v>0</v>
      </c>
      <c r="BJ474" s="284">
        <f>IF(BG474,_xll.qDateYears(BG473,BG474,$BJ$13),0)</f>
        <v>0</v>
      </c>
      <c r="BK474" s="284">
        <f t="shared" si="113"/>
        <v>2216.4810485334592</v>
      </c>
      <c r="BQ474" s="560">
        <v>0</v>
      </c>
      <c r="BR474" s="155" t="str">
        <f t="shared" si="108"/>
        <v/>
      </c>
      <c r="BS474" s="405">
        <v>0</v>
      </c>
      <c r="BT474" s="284">
        <f>IF(BQ474,_xll.qDateYears(BQ473,BQ474,BT$13),0)</f>
        <v>0</v>
      </c>
      <c r="BU474" s="284">
        <f t="shared" si="114"/>
        <v>1731.4581291138484</v>
      </c>
      <c r="CC474" s="560">
        <v>0</v>
      </c>
      <c r="CD474" s="155" t="str">
        <f t="shared" si="109"/>
        <v/>
      </c>
      <c r="CE474" s="405">
        <v>0</v>
      </c>
      <c r="CF474" s="284">
        <f>IF(CC474,_xll.qDateYears(CC473,CC474,CF$13),0)</f>
        <v>0</v>
      </c>
      <c r="CG474" s="284">
        <f t="shared" si="115"/>
        <v>2320.9300800126416</v>
      </c>
      <c r="CO474" s="560">
        <v>0</v>
      </c>
      <c r="CP474" s="155" t="str">
        <f t="shared" si="110"/>
        <v/>
      </c>
      <c r="CQ474" s="405">
        <v>0</v>
      </c>
      <c r="CR474" s="284">
        <f>IF(CO474,_xll.qDateYears(CO473,CO474,CR$13),0)</f>
        <v>0</v>
      </c>
      <c r="CS474" s="284">
        <f t="shared" si="116"/>
        <v>2166.0491297426292</v>
      </c>
      <c r="DA474" s="560">
        <v>0</v>
      </c>
      <c r="DB474" s="155" t="str">
        <f t="shared" si="111"/>
        <v/>
      </c>
      <c r="DC474" s="405">
        <v>0</v>
      </c>
      <c r="DD474" s="284">
        <f>IF(DA474,_xll.qDateYears(DA473,DA474,DD$13),0)</f>
        <v>0</v>
      </c>
      <c r="DE474" s="284">
        <f t="shared" si="117"/>
        <v>1625.698949379763</v>
      </c>
      <c r="DM474" s="560">
        <v>0</v>
      </c>
      <c r="DN474" s="155" t="str">
        <f t="shared" si="112"/>
        <v/>
      </c>
      <c r="DO474" s="405">
        <v>0</v>
      </c>
      <c r="DP474" s="284">
        <f>IF(DM474,_xll.qDateYears(DM473,DM474,DP$13),0)</f>
        <v>0</v>
      </c>
      <c r="DQ474" s="284">
        <f t="shared" si="118"/>
        <v>2216.4810485334592</v>
      </c>
    </row>
    <row r="475" spans="59:121">
      <c r="BG475" s="560">
        <v>0</v>
      </c>
      <c r="BH475" s="154" t="str">
        <f t="shared" si="107"/>
        <v/>
      </c>
      <c r="BI475" s="405">
        <v>0</v>
      </c>
      <c r="BJ475" s="284">
        <f>IF(BG475,_xll.qDateYears(BG474,BG475,$BJ$13),0)</f>
        <v>0</v>
      </c>
      <c r="BK475" s="284">
        <f t="shared" si="113"/>
        <v>2216.4810485334592</v>
      </c>
      <c r="BQ475" s="560">
        <v>0</v>
      </c>
      <c r="BR475" s="155" t="str">
        <f t="shared" si="108"/>
        <v/>
      </c>
      <c r="BS475" s="405">
        <v>0</v>
      </c>
      <c r="BT475" s="284">
        <f>IF(BQ475,_xll.qDateYears(BQ474,BQ475,BT$13),0)</f>
        <v>0</v>
      </c>
      <c r="BU475" s="284">
        <f t="shared" si="114"/>
        <v>1731.4581291138484</v>
      </c>
      <c r="CC475" s="560">
        <v>0</v>
      </c>
      <c r="CD475" s="155" t="str">
        <f t="shared" si="109"/>
        <v/>
      </c>
      <c r="CE475" s="405">
        <v>0</v>
      </c>
      <c r="CF475" s="284">
        <f>IF(CC475,_xll.qDateYears(CC474,CC475,CF$13),0)</f>
        <v>0</v>
      </c>
      <c r="CG475" s="284">
        <f t="shared" si="115"/>
        <v>2320.9300800126416</v>
      </c>
      <c r="CO475" s="560">
        <v>0</v>
      </c>
      <c r="CP475" s="155" t="str">
        <f t="shared" si="110"/>
        <v/>
      </c>
      <c r="CQ475" s="405">
        <v>0</v>
      </c>
      <c r="CR475" s="284">
        <f>IF(CO475,_xll.qDateYears(CO474,CO475,CR$13),0)</f>
        <v>0</v>
      </c>
      <c r="CS475" s="284">
        <f t="shared" si="116"/>
        <v>2166.0491297426292</v>
      </c>
      <c r="DA475" s="560">
        <v>0</v>
      </c>
      <c r="DB475" s="155" t="str">
        <f t="shared" si="111"/>
        <v/>
      </c>
      <c r="DC475" s="405">
        <v>0</v>
      </c>
      <c r="DD475" s="284">
        <f>IF(DA475,_xll.qDateYears(DA474,DA475,DD$13),0)</f>
        <v>0</v>
      </c>
      <c r="DE475" s="284">
        <f t="shared" si="117"/>
        <v>1625.698949379763</v>
      </c>
      <c r="DM475" s="560">
        <v>0</v>
      </c>
      <c r="DN475" s="155" t="str">
        <f t="shared" si="112"/>
        <v/>
      </c>
      <c r="DO475" s="405">
        <v>0</v>
      </c>
      <c r="DP475" s="284">
        <f>IF(DM475,_xll.qDateYears(DM474,DM475,DP$13),0)</f>
        <v>0</v>
      </c>
      <c r="DQ475" s="284">
        <f t="shared" si="118"/>
        <v>2216.4810485334592</v>
      </c>
    </row>
    <row r="476" spans="59:121">
      <c r="BG476" s="560">
        <v>0</v>
      </c>
      <c r="BH476" s="154" t="str">
        <f t="shared" si="107"/>
        <v/>
      </c>
      <c r="BI476" s="405">
        <v>0</v>
      </c>
      <c r="BJ476" s="284">
        <f>IF(BG476,_xll.qDateYears(BG475,BG476,$BJ$13),0)</f>
        <v>0</v>
      </c>
      <c r="BK476" s="284">
        <f t="shared" si="113"/>
        <v>2216.4810485334592</v>
      </c>
      <c r="BQ476" s="560">
        <v>0</v>
      </c>
      <c r="BR476" s="155" t="str">
        <f t="shared" si="108"/>
        <v/>
      </c>
      <c r="BS476" s="405">
        <v>0</v>
      </c>
      <c r="BT476" s="284">
        <f>IF(BQ476,_xll.qDateYears(BQ475,BQ476,BT$13),0)</f>
        <v>0</v>
      </c>
      <c r="BU476" s="284">
        <f t="shared" si="114"/>
        <v>1731.4581291138484</v>
      </c>
      <c r="CC476" s="560">
        <v>0</v>
      </c>
      <c r="CD476" s="155" t="str">
        <f t="shared" si="109"/>
        <v/>
      </c>
      <c r="CE476" s="405">
        <v>0</v>
      </c>
      <c r="CF476" s="284">
        <f>IF(CC476,_xll.qDateYears(CC475,CC476,CF$13),0)</f>
        <v>0</v>
      </c>
      <c r="CG476" s="284">
        <f t="shared" si="115"/>
        <v>2320.9300800126416</v>
      </c>
      <c r="CO476" s="560">
        <v>0</v>
      </c>
      <c r="CP476" s="155" t="str">
        <f t="shared" si="110"/>
        <v/>
      </c>
      <c r="CQ476" s="405">
        <v>0</v>
      </c>
      <c r="CR476" s="284">
        <f>IF(CO476,_xll.qDateYears(CO475,CO476,CR$13),0)</f>
        <v>0</v>
      </c>
      <c r="CS476" s="284">
        <f t="shared" si="116"/>
        <v>2166.0491297426292</v>
      </c>
      <c r="DA476" s="560">
        <v>0</v>
      </c>
      <c r="DB476" s="155" t="str">
        <f t="shared" si="111"/>
        <v/>
      </c>
      <c r="DC476" s="405">
        <v>0</v>
      </c>
      <c r="DD476" s="284">
        <f>IF(DA476,_xll.qDateYears(DA475,DA476,DD$13),0)</f>
        <v>0</v>
      </c>
      <c r="DE476" s="284">
        <f t="shared" si="117"/>
        <v>1625.698949379763</v>
      </c>
      <c r="DM476" s="560">
        <v>0</v>
      </c>
      <c r="DN476" s="155" t="str">
        <f t="shared" si="112"/>
        <v/>
      </c>
      <c r="DO476" s="405">
        <v>0</v>
      </c>
      <c r="DP476" s="284">
        <f>IF(DM476,_xll.qDateYears(DM475,DM476,DP$13),0)</f>
        <v>0</v>
      </c>
      <c r="DQ476" s="284">
        <f t="shared" si="118"/>
        <v>2216.4810485334592</v>
      </c>
    </row>
    <row r="477" spans="59:121">
      <c r="BG477" s="560">
        <v>0</v>
      </c>
      <c r="BH477" s="154" t="str">
        <f t="shared" si="107"/>
        <v/>
      </c>
      <c r="BI477" s="405">
        <v>0</v>
      </c>
      <c r="BJ477" s="284">
        <f>IF(BG477,_xll.qDateYears(BG476,BG477,$BJ$13),0)</f>
        <v>0</v>
      </c>
      <c r="BK477" s="284">
        <f t="shared" si="113"/>
        <v>2216.4810485334592</v>
      </c>
      <c r="BQ477" s="560">
        <v>0</v>
      </c>
      <c r="BR477" s="155" t="str">
        <f t="shared" si="108"/>
        <v/>
      </c>
      <c r="BS477" s="405">
        <v>0</v>
      </c>
      <c r="BT477" s="284">
        <f>IF(BQ477,_xll.qDateYears(BQ476,BQ477,BT$13),0)</f>
        <v>0</v>
      </c>
      <c r="BU477" s="284">
        <f t="shared" si="114"/>
        <v>1731.4581291138484</v>
      </c>
      <c r="CC477" s="560">
        <v>0</v>
      </c>
      <c r="CD477" s="155" t="str">
        <f t="shared" si="109"/>
        <v/>
      </c>
      <c r="CE477" s="405">
        <v>0</v>
      </c>
      <c r="CF477" s="284">
        <f>IF(CC477,_xll.qDateYears(CC476,CC477,CF$13),0)</f>
        <v>0</v>
      </c>
      <c r="CG477" s="284">
        <f t="shared" si="115"/>
        <v>2320.9300800126416</v>
      </c>
      <c r="CO477" s="560">
        <v>0</v>
      </c>
      <c r="CP477" s="155" t="str">
        <f t="shared" si="110"/>
        <v/>
      </c>
      <c r="CQ477" s="405">
        <v>0</v>
      </c>
      <c r="CR477" s="284">
        <f>IF(CO477,_xll.qDateYears(CO476,CO477,CR$13),0)</f>
        <v>0</v>
      </c>
      <c r="CS477" s="284">
        <f t="shared" si="116"/>
        <v>2166.0491297426292</v>
      </c>
      <c r="DA477" s="560">
        <v>0</v>
      </c>
      <c r="DB477" s="155" t="str">
        <f t="shared" si="111"/>
        <v/>
      </c>
      <c r="DC477" s="405">
        <v>0</v>
      </c>
      <c r="DD477" s="284">
        <f>IF(DA477,_xll.qDateYears(DA476,DA477,DD$13),0)</f>
        <v>0</v>
      </c>
      <c r="DE477" s="284">
        <f t="shared" si="117"/>
        <v>1625.698949379763</v>
      </c>
      <c r="DM477" s="560">
        <v>0</v>
      </c>
      <c r="DN477" s="155" t="str">
        <f t="shared" si="112"/>
        <v/>
      </c>
      <c r="DO477" s="405">
        <v>0</v>
      </c>
      <c r="DP477" s="284">
        <f>IF(DM477,_xll.qDateYears(DM476,DM477,DP$13),0)</f>
        <v>0</v>
      </c>
      <c r="DQ477" s="284">
        <f t="shared" si="118"/>
        <v>2216.4810485334592</v>
      </c>
    </row>
    <row r="478" spans="59:121">
      <c r="BG478" s="560">
        <v>0</v>
      </c>
      <c r="BH478" s="154" t="str">
        <f t="shared" si="107"/>
        <v/>
      </c>
      <c r="BI478" s="405">
        <v>0</v>
      </c>
      <c r="BJ478" s="284">
        <f>IF(BG478,_xll.qDateYears(BG477,BG478,$BJ$13),0)</f>
        <v>0</v>
      </c>
      <c r="BK478" s="284">
        <f t="shared" si="113"/>
        <v>2216.4810485334592</v>
      </c>
      <c r="BQ478" s="560">
        <v>0</v>
      </c>
      <c r="BR478" s="155" t="str">
        <f t="shared" si="108"/>
        <v/>
      </c>
      <c r="BS478" s="405">
        <v>0</v>
      </c>
      <c r="BT478" s="284">
        <f>IF(BQ478,_xll.qDateYears(BQ477,BQ478,BT$13),0)</f>
        <v>0</v>
      </c>
      <c r="BU478" s="284">
        <f t="shared" si="114"/>
        <v>1731.4581291138484</v>
      </c>
      <c r="CC478" s="560">
        <v>0</v>
      </c>
      <c r="CD478" s="155" t="str">
        <f t="shared" si="109"/>
        <v/>
      </c>
      <c r="CE478" s="405">
        <v>0</v>
      </c>
      <c r="CF478" s="284">
        <f>IF(CC478,_xll.qDateYears(CC477,CC478,CF$13),0)</f>
        <v>0</v>
      </c>
      <c r="CG478" s="284">
        <f t="shared" si="115"/>
        <v>2320.9300800126416</v>
      </c>
      <c r="CO478" s="560">
        <v>0</v>
      </c>
      <c r="CP478" s="155" t="str">
        <f t="shared" si="110"/>
        <v/>
      </c>
      <c r="CQ478" s="405">
        <v>0</v>
      </c>
      <c r="CR478" s="284">
        <f>IF(CO478,_xll.qDateYears(CO477,CO478,CR$13),0)</f>
        <v>0</v>
      </c>
      <c r="CS478" s="284">
        <f t="shared" si="116"/>
        <v>2166.0491297426292</v>
      </c>
      <c r="DA478" s="560">
        <v>0</v>
      </c>
      <c r="DB478" s="155" t="str">
        <f t="shared" si="111"/>
        <v/>
      </c>
      <c r="DC478" s="405">
        <v>0</v>
      </c>
      <c r="DD478" s="284">
        <f>IF(DA478,_xll.qDateYears(DA477,DA478,DD$13),0)</f>
        <v>0</v>
      </c>
      <c r="DE478" s="284">
        <f t="shared" si="117"/>
        <v>1625.698949379763</v>
      </c>
      <c r="DM478" s="560">
        <v>0</v>
      </c>
      <c r="DN478" s="155" t="str">
        <f t="shared" si="112"/>
        <v/>
      </c>
      <c r="DO478" s="405">
        <v>0</v>
      </c>
      <c r="DP478" s="284">
        <f>IF(DM478,_xll.qDateYears(DM477,DM478,DP$13),0)</f>
        <v>0</v>
      </c>
      <c r="DQ478" s="284">
        <f t="shared" si="118"/>
        <v>2216.4810485334592</v>
      </c>
    </row>
    <row r="479" spans="59:121">
      <c r="BG479" s="560">
        <v>0</v>
      </c>
      <c r="BH479" s="154" t="str">
        <f t="shared" si="107"/>
        <v/>
      </c>
      <c r="BI479" s="405">
        <v>0</v>
      </c>
      <c r="BJ479" s="284">
        <f>IF(BG479,_xll.qDateYears(BG478,BG479,$BJ$13),0)</f>
        <v>0</v>
      </c>
      <c r="BK479" s="284">
        <f t="shared" si="113"/>
        <v>2216.4810485334592</v>
      </c>
      <c r="BQ479" s="560">
        <v>0</v>
      </c>
      <c r="BR479" s="155" t="str">
        <f t="shared" si="108"/>
        <v/>
      </c>
      <c r="BS479" s="405">
        <v>0</v>
      </c>
      <c r="BT479" s="284">
        <f>IF(BQ479,_xll.qDateYears(BQ478,BQ479,BT$13),0)</f>
        <v>0</v>
      </c>
      <c r="BU479" s="284">
        <f t="shared" si="114"/>
        <v>1731.4581291138484</v>
      </c>
      <c r="CC479" s="560">
        <v>0</v>
      </c>
      <c r="CD479" s="155" t="str">
        <f t="shared" si="109"/>
        <v/>
      </c>
      <c r="CE479" s="405">
        <v>0</v>
      </c>
      <c r="CF479" s="284">
        <f>IF(CC479,_xll.qDateYears(CC478,CC479,CF$13),0)</f>
        <v>0</v>
      </c>
      <c r="CG479" s="284">
        <f t="shared" si="115"/>
        <v>2320.9300800126416</v>
      </c>
      <c r="CO479" s="560">
        <v>0</v>
      </c>
      <c r="CP479" s="155" t="str">
        <f t="shared" si="110"/>
        <v/>
      </c>
      <c r="CQ479" s="405">
        <v>0</v>
      </c>
      <c r="CR479" s="284">
        <f>IF(CO479,_xll.qDateYears(CO478,CO479,CR$13),0)</f>
        <v>0</v>
      </c>
      <c r="CS479" s="284">
        <f t="shared" si="116"/>
        <v>2166.0491297426292</v>
      </c>
      <c r="DA479" s="560">
        <v>0</v>
      </c>
      <c r="DB479" s="155" t="str">
        <f t="shared" si="111"/>
        <v/>
      </c>
      <c r="DC479" s="405">
        <v>0</v>
      </c>
      <c r="DD479" s="284">
        <f>IF(DA479,_xll.qDateYears(DA478,DA479,DD$13),0)</f>
        <v>0</v>
      </c>
      <c r="DE479" s="284">
        <f t="shared" si="117"/>
        <v>1625.698949379763</v>
      </c>
      <c r="DM479" s="560">
        <v>0</v>
      </c>
      <c r="DN479" s="155" t="str">
        <f t="shared" si="112"/>
        <v/>
      </c>
      <c r="DO479" s="405">
        <v>0</v>
      </c>
      <c r="DP479" s="284">
        <f>IF(DM479,_xll.qDateYears(DM478,DM479,DP$13),0)</f>
        <v>0</v>
      </c>
      <c r="DQ479" s="284">
        <f t="shared" si="118"/>
        <v>2216.4810485334592</v>
      </c>
    </row>
    <row r="480" spans="59:121">
      <c r="BG480" s="560">
        <v>0</v>
      </c>
      <c r="BH480" s="154" t="str">
        <f t="shared" si="107"/>
        <v/>
      </c>
      <c r="BI480" s="405">
        <v>0</v>
      </c>
      <c r="BJ480" s="284">
        <f>IF(BG480,_xll.qDateYears(BG479,BG480,$BJ$13),0)</f>
        <v>0</v>
      </c>
      <c r="BK480" s="284">
        <f t="shared" si="113"/>
        <v>2216.4810485334592</v>
      </c>
      <c r="BQ480" s="560">
        <v>0</v>
      </c>
      <c r="BR480" s="155" t="str">
        <f t="shared" si="108"/>
        <v/>
      </c>
      <c r="BS480" s="405">
        <v>0</v>
      </c>
      <c r="BT480" s="284">
        <f>IF(BQ480,_xll.qDateYears(BQ479,BQ480,BT$13),0)</f>
        <v>0</v>
      </c>
      <c r="BU480" s="284">
        <f t="shared" si="114"/>
        <v>1731.4581291138484</v>
      </c>
      <c r="CC480" s="560">
        <v>0</v>
      </c>
      <c r="CD480" s="155" t="str">
        <f t="shared" si="109"/>
        <v/>
      </c>
      <c r="CE480" s="405">
        <v>0</v>
      </c>
      <c r="CF480" s="284">
        <f>IF(CC480,_xll.qDateYears(CC479,CC480,CF$13),0)</f>
        <v>0</v>
      </c>
      <c r="CG480" s="284">
        <f t="shared" si="115"/>
        <v>2320.9300800126416</v>
      </c>
      <c r="CO480" s="560">
        <v>0</v>
      </c>
      <c r="CP480" s="155" t="str">
        <f t="shared" si="110"/>
        <v/>
      </c>
      <c r="CQ480" s="405">
        <v>0</v>
      </c>
      <c r="CR480" s="284">
        <f>IF(CO480,_xll.qDateYears(CO479,CO480,CR$13),0)</f>
        <v>0</v>
      </c>
      <c r="CS480" s="284">
        <f t="shared" si="116"/>
        <v>2166.0491297426292</v>
      </c>
      <c r="DA480" s="560">
        <v>0</v>
      </c>
      <c r="DB480" s="155" t="str">
        <f t="shared" si="111"/>
        <v/>
      </c>
      <c r="DC480" s="405">
        <v>0</v>
      </c>
      <c r="DD480" s="284">
        <f>IF(DA480,_xll.qDateYears(DA479,DA480,DD$13),0)</f>
        <v>0</v>
      </c>
      <c r="DE480" s="284">
        <f t="shared" si="117"/>
        <v>1625.698949379763</v>
      </c>
      <c r="DM480" s="560">
        <v>0</v>
      </c>
      <c r="DN480" s="155" t="str">
        <f t="shared" si="112"/>
        <v/>
      </c>
      <c r="DO480" s="405">
        <v>0</v>
      </c>
      <c r="DP480" s="284">
        <f>IF(DM480,_xll.qDateYears(DM479,DM480,DP$13),0)</f>
        <v>0</v>
      </c>
      <c r="DQ480" s="284">
        <f t="shared" si="118"/>
        <v>2216.4810485334592</v>
      </c>
    </row>
    <row r="481" spans="59:121">
      <c r="BG481" s="560">
        <v>0</v>
      </c>
      <c r="BH481" s="154" t="str">
        <f t="shared" si="107"/>
        <v/>
      </c>
      <c r="BI481" s="405">
        <v>0</v>
      </c>
      <c r="BJ481" s="284">
        <f>IF(BG481,_xll.qDateYears(BG480,BG481,$BJ$13),0)</f>
        <v>0</v>
      </c>
      <c r="BK481" s="284">
        <f t="shared" si="113"/>
        <v>2216.4810485334592</v>
      </c>
      <c r="BQ481" s="560">
        <v>0</v>
      </c>
      <c r="BR481" s="155" t="str">
        <f t="shared" si="108"/>
        <v/>
      </c>
      <c r="BS481" s="405">
        <v>0</v>
      </c>
      <c r="BT481" s="284">
        <f>IF(BQ481,_xll.qDateYears(BQ480,BQ481,BT$13),0)</f>
        <v>0</v>
      </c>
      <c r="BU481" s="284">
        <f t="shared" si="114"/>
        <v>1731.4581291138484</v>
      </c>
      <c r="CC481" s="560">
        <v>0</v>
      </c>
      <c r="CD481" s="155" t="str">
        <f t="shared" si="109"/>
        <v/>
      </c>
      <c r="CE481" s="405">
        <v>0</v>
      </c>
      <c r="CF481" s="284">
        <f>IF(CC481,_xll.qDateYears(CC480,CC481,CF$13),0)</f>
        <v>0</v>
      </c>
      <c r="CG481" s="284">
        <f t="shared" si="115"/>
        <v>2320.9300800126416</v>
      </c>
      <c r="CO481" s="560">
        <v>0</v>
      </c>
      <c r="CP481" s="155" t="str">
        <f t="shared" si="110"/>
        <v/>
      </c>
      <c r="CQ481" s="405">
        <v>0</v>
      </c>
      <c r="CR481" s="284">
        <f>IF(CO481,_xll.qDateYears(CO480,CO481,CR$13),0)</f>
        <v>0</v>
      </c>
      <c r="CS481" s="284">
        <f t="shared" si="116"/>
        <v>2166.0491297426292</v>
      </c>
      <c r="DA481" s="560">
        <v>0</v>
      </c>
      <c r="DB481" s="155" t="str">
        <f t="shared" si="111"/>
        <v/>
      </c>
      <c r="DC481" s="405">
        <v>0</v>
      </c>
      <c r="DD481" s="284">
        <f>IF(DA481,_xll.qDateYears(DA480,DA481,DD$13),0)</f>
        <v>0</v>
      </c>
      <c r="DE481" s="284">
        <f t="shared" si="117"/>
        <v>1625.698949379763</v>
      </c>
      <c r="DM481" s="560">
        <v>0</v>
      </c>
      <c r="DN481" s="155" t="str">
        <f t="shared" si="112"/>
        <v/>
      </c>
      <c r="DO481" s="405">
        <v>0</v>
      </c>
      <c r="DP481" s="284">
        <f>IF(DM481,_xll.qDateYears(DM480,DM481,DP$13),0)</f>
        <v>0</v>
      </c>
      <c r="DQ481" s="284">
        <f t="shared" si="118"/>
        <v>2216.4810485334592</v>
      </c>
    </row>
    <row r="482" spans="59:121">
      <c r="BG482" s="560">
        <v>0</v>
      </c>
      <c r="BH482" s="154" t="str">
        <f t="shared" si="107"/>
        <v/>
      </c>
      <c r="BI482" s="405">
        <v>0</v>
      </c>
      <c r="BJ482" s="284">
        <f>IF(BG482,_xll.qDateYears(BG481,BG482,$BJ$13),0)</f>
        <v>0</v>
      </c>
      <c r="BK482" s="284">
        <f t="shared" si="113"/>
        <v>2216.4810485334592</v>
      </c>
      <c r="BQ482" s="560">
        <v>0</v>
      </c>
      <c r="BR482" s="155" t="str">
        <f t="shared" si="108"/>
        <v/>
      </c>
      <c r="BS482" s="405">
        <v>0</v>
      </c>
      <c r="BT482" s="284">
        <f>IF(BQ482,_xll.qDateYears(BQ481,BQ482,BT$13),0)</f>
        <v>0</v>
      </c>
      <c r="BU482" s="284">
        <f t="shared" si="114"/>
        <v>1731.4581291138484</v>
      </c>
      <c r="CC482" s="560">
        <v>0</v>
      </c>
      <c r="CD482" s="155" t="str">
        <f t="shared" si="109"/>
        <v/>
      </c>
      <c r="CE482" s="405">
        <v>0</v>
      </c>
      <c r="CF482" s="284">
        <f>IF(CC482,_xll.qDateYears(CC481,CC482,CF$13),0)</f>
        <v>0</v>
      </c>
      <c r="CG482" s="284">
        <f t="shared" si="115"/>
        <v>2320.9300800126416</v>
      </c>
      <c r="CO482" s="560">
        <v>0</v>
      </c>
      <c r="CP482" s="155" t="str">
        <f t="shared" si="110"/>
        <v/>
      </c>
      <c r="CQ482" s="405">
        <v>0</v>
      </c>
      <c r="CR482" s="284">
        <f>IF(CO482,_xll.qDateYears(CO481,CO482,CR$13),0)</f>
        <v>0</v>
      </c>
      <c r="CS482" s="284">
        <f t="shared" si="116"/>
        <v>2166.0491297426292</v>
      </c>
      <c r="DA482" s="560">
        <v>0</v>
      </c>
      <c r="DB482" s="155" t="str">
        <f t="shared" si="111"/>
        <v/>
      </c>
      <c r="DC482" s="405">
        <v>0</v>
      </c>
      <c r="DD482" s="284">
        <f>IF(DA482,_xll.qDateYears(DA481,DA482,DD$13),0)</f>
        <v>0</v>
      </c>
      <c r="DE482" s="284">
        <f t="shared" si="117"/>
        <v>1625.698949379763</v>
      </c>
      <c r="DM482" s="560">
        <v>0</v>
      </c>
      <c r="DN482" s="155" t="str">
        <f t="shared" si="112"/>
        <v/>
      </c>
      <c r="DO482" s="405">
        <v>0</v>
      </c>
      <c r="DP482" s="284">
        <f>IF(DM482,_xll.qDateYears(DM481,DM482,DP$13),0)</f>
        <v>0</v>
      </c>
      <c r="DQ482" s="284">
        <f t="shared" si="118"/>
        <v>2216.4810485334592</v>
      </c>
    </row>
    <row r="483" spans="59:121">
      <c r="BG483" s="560">
        <v>0</v>
      </c>
      <c r="BH483" s="154" t="str">
        <f t="shared" si="107"/>
        <v/>
      </c>
      <c r="BI483" s="405">
        <v>0</v>
      </c>
      <c r="BJ483" s="284">
        <f>IF(BG483,_xll.qDateYears(BG482,BG483,$BJ$13),0)</f>
        <v>0</v>
      </c>
      <c r="BK483" s="284">
        <f t="shared" si="113"/>
        <v>2216.4810485334592</v>
      </c>
      <c r="BQ483" s="560">
        <v>0</v>
      </c>
      <c r="BR483" s="155" t="str">
        <f t="shared" si="108"/>
        <v/>
      </c>
      <c r="BS483" s="405">
        <v>0</v>
      </c>
      <c r="BT483" s="284">
        <f>IF(BQ483,_xll.qDateYears(BQ482,BQ483,BT$13),0)</f>
        <v>0</v>
      </c>
      <c r="BU483" s="284">
        <f t="shared" si="114"/>
        <v>1731.4581291138484</v>
      </c>
      <c r="CC483" s="560">
        <v>0</v>
      </c>
      <c r="CD483" s="155" t="str">
        <f t="shared" si="109"/>
        <v/>
      </c>
      <c r="CE483" s="405">
        <v>0</v>
      </c>
      <c r="CF483" s="284">
        <f>IF(CC483,_xll.qDateYears(CC482,CC483,CF$13),0)</f>
        <v>0</v>
      </c>
      <c r="CG483" s="284">
        <f t="shared" si="115"/>
        <v>2320.9300800126416</v>
      </c>
      <c r="CO483" s="560">
        <v>0</v>
      </c>
      <c r="CP483" s="155" t="str">
        <f t="shared" si="110"/>
        <v/>
      </c>
      <c r="CQ483" s="405">
        <v>0</v>
      </c>
      <c r="CR483" s="284">
        <f>IF(CO483,_xll.qDateYears(CO482,CO483,CR$13),0)</f>
        <v>0</v>
      </c>
      <c r="CS483" s="284">
        <f t="shared" si="116"/>
        <v>2166.0491297426292</v>
      </c>
      <c r="DA483" s="560">
        <v>0</v>
      </c>
      <c r="DB483" s="155" t="str">
        <f t="shared" si="111"/>
        <v/>
      </c>
      <c r="DC483" s="405">
        <v>0</v>
      </c>
      <c r="DD483" s="284">
        <f>IF(DA483,_xll.qDateYears(DA482,DA483,DD$13),0)</f>
        <v>0</v>
      </c>
      <c r="DE483" s="284">
        <f t="shared" si="117"/>
        <v>1625.698949379763</v>
      </c>
      <c r="DM483" s="560">
        <v>0</v>
      </c>
      <c r="DN483" s="155" t="str">
        <f t="shared" si="112"/>
        <v/>
      </c>
      <c r="DO483" s="405">
        <v>0</v>
      </c>
      <c r="DP483" s="284">
        <f>IF(DM483,_xll.qDateYears(DM482,DM483,DP$13),0)</f>
        <v>0</v>
      </c>
      <c r="DQ483" s="284">
        <f t="shared" si="118"/>
        <v>2216.4810485334592</v>
      </c>
    </row>
    <row r="484" spans="59:121">
      <c r="BG484" s="560">
        <v>0</v>
      </c>
      <c r="BH484" s="154" t="str">
        <f t="shared" si="107"/>
        <v/>
      </c>
      <c r="BI484" s="405">
        <v>0</v>
      </c>
      <c r="BJ484" s="284">
        <f>IF(BG484,_xll.qDateYears(BG483,BG484,$BJ$13),0)</f>
        <v>0</v>
      </c>
      <c r="BK484" s="284">
        <f t="shared" si="113"/>
        <v>2216.4810485334592</v>
      </c>
      <c r="BQ484" s="560">
        <v>0</v>
      </c>
      <c r="BR484" s="155" t="str">
        <f t="shared" si="108"/>
        <v/>
      </c>
      <c r="BS484" s="405">
        <v>0</v>
      </c>
      <c r="BT484" s="284">
        <f>IF(BQ484,_xll.qDateYears(BQ483,BQ484,BT$13),0)</f>
        <v>0</v>
      </c>
      <c r="BU484" s="284">
        <f t="shared" si="114"/>
        <v>1731.4581291138484</v>
      </c>
      <c r="CC484" s="560">
        <v>0</v>
      </c>
      <c r="CD484" s="155" t="str">
        <f t="shared" si="109"/>
        <v/>
      </c>
      <c r="CE484" s="405">
        <v>0</v>
      </c>
      <c r="CF484" s="284">
        <f>IF(CC484,_xll.qDateYears(CC483,CC484,CF$13),0)</f>
        <v>0</v>
      </c>
      <c r="CG484" s="284">
        <f t="shared" si="115"/>
        <v>2320.9300800126416</v>
      </c>
      <c r="CO484" s="560">
        <v>0</v>
      </c>
      <c r="CP484" s="155" t="str">
        <f t="shared" si="110"/>
        <v/>
      </c>
      <c r="CQ484" s="405">
        <v>0</v>
      </c>
      <c r="CR484" s="284">
        <f>IF(CO484,_xll.qDateYears(CO483,CO484,CR$13),0)</f>
        <v>0</v>
      </c>
      <c r="CS484" s="284">
        <f t="shared" si="116"/>
        <v>2166.0491297426292</v>
      </c>
      <c r="DA484" s="560">
        <v>0</v>
      </c>
      <c r="DB484" s="155" t="str">
        <f t="shared" si="111"/>
        <v/>
      </c>
      <c r="DC484" s="405">
        <v>0</v>
      </c>
      <c r="DD484" s="284">
        <f>IF(DA484,_xll.qDateYears(DA483,DA484,DD$13),0)</f>
        <v>0</v>
      </c>
      <c r="DE484" s="284">
        <f t="shared" si="117"/>
        <v>1625.698949379763</v>
      </c>
      <c r="DM484" s="560">
        <v>0</v>
      </c>
      <c r="DN484" s="155" t="str">
        <f t="shared" si="112"/>
        <v/>
      </c>
      <c r="DO484" s="405">
        <v>0</v>
      </c>
      <c r="DP484" s="284">
        <f>IF(DM484,_xll.qDateYears(DM483,DM484,DP$13),0)</f>
        <v>0</v>
      </c>
      <c r="DQ484" s="284">
        <f t="shared" si="118"/>
        <v>2216.4810485334592</v>
      </c>
    </row>
    <row r="485" spans="59:121">
      <c r="BG485" s="560">
        <v>0</v>
      </c>
      <c r="BH485" s="154" t="str">
        <f t="shared" si="107"/>
        <v/>
      </c>
      <c r="BI485" s="405">
        <v>0</v>
      </c>
      <c r="BJ485" s="284">
        <f>IF(BG485,_xll.qDateYears(BG484,BG485,$BJ$13),0)</f>
        <v>0</v>
      </c>
      <c r="BK485" s="284">
        <f t="shared" si="113"/>
        <v>2216.4810485334592</v>
      </c>
      <c r="BQ485" s="560">
        <v>0</v>
      </c>
      <c r="BR485" s="155" t="str">
        <f t="shared" si="108"/>
        <v/>
      </c>
      <c r="BS485" s="405">
        <v>0</v>
      </c>
      <c r="BT485" s="284">
        <f>IF(BQ485,_xll.qDateYears(BQ484,BQ485,BT$13),0)</f>
        <v>0</v>
      </c>
      <c r="BU485" s="284">
        <f t="shared" si="114"/>
        <v>1731.4581291138484</v>
      </c>
      <c r="CC485" s="560">
        <v>0</v>
      </c>
      <c r="CD485" s="155" t="str">
        <f t="shared" si="109"/>
        <v/>
      </c>
      <c r="CE485" s="405">
        <v>0</v>
      </c>
      <c r="CF485" s="284">
        <f>IF(CC485,_xll.qDateYears(CC484,CC485,CF$13),0)</f>
        <v>0</v>
      </c>
      <c r="CG485" s="284">
        <f t="shared" si="115"/>
        <v>2320.9300800126416</v>
      </c>
      <c r="CO485" s="560">
        <v>0</v>
      </c>
      <c r="CP485" s="155" t="str">
        <f t="shared" si="110"/>
        <v/>
      </c>
      <c r="CQ485" s="405">
        <v>0</v>
      </c>
      <c r="CR485" s="284">
        <f>IF(CO485,_xll.qDateYears(CO484,CO485,CR$13),0)</f>
        <v>0</v>
      </c>
      <c r="CS485" s="284">
        <f t="shared" si="116"/>
        <v>2166.0491297426292</v>
      </c>
      <c r="DA485" s="560">
        <v>0</v>
      </c>
      <c r="DB485" s="155" t="str">
        <f t="shared" si="111"/>
        <v/>
      </c>
      <c r="DC485" s="405">
        <v>0</v>
      </c>
      <c r="DD485" s="284">
        <f>IF(DA485,_xll.qDateYears(DA484,DA485,DD$13),0)</f>
        <v>0</v>
      </c>
      <c r="DE485" s="284">
        <f t="shared" si="117"/>
        <v>1625.698949379763</v>
      </c>
      <c r="DM485" s="560">
        <v>0</v>
      </c>
      <c r="DN485" s="155" t="str">
        <f t="shared" si="112"/>
        <v/>
      </c>
      <c r="DO485" s="405">
        <v>0</v>
      </c>
      <c r="DP485" s="284">
        <f>IF(DM485,_xll.qDateYears(DM484,DM485,DP$13),0)</f>
        <v>0</v>
      </c>
      <c r="DQ485" s="284">
        <f t="shared" si="118"/>
        <v>2216.4810485334592</v>
      </c>
    </row>
    <row r="486" spans="59:121">
      <c r="BG486" s="560">
        <v>0</v>
      </c>
      <c r="BH486" s="154" t="str">
        <f t="shared" si="107"/>
        <v/>
      </c>
      <c r="BI486" s="405">
        <v>0</v>
      </c>
      <c r="BJ486" s="284">
        <f>IF(BG486,_xll.qDateYears(BG485,BG486,$BJ$13),0)</f>
        <v>0</v>
      </c>
      <c r="BK486" s="284">
        <f t="shared" si="113"/>
        <v>2216.4810485334592</v>
      </c>
      <c r="BQ486" s="560">
        <v>0</v>
      </c>
      <c r="BR486" s="155" t="str">
        <f t="shared" si="108"/>
        <v/>
      </c>
      <c r="BS486" s="405">
        <v>0</v>
      </c>
      <c r="BT486" s="284">
        <f>IF(BQ486,_xll.qDateYears(BQ485,BQ486,BT$13),0)</f>
        <v>0</v>
      </c>
      <c r="BU486" s="284">
        <f t="shared" si="114"/>
        <v>1731.4581291138484</v>
      </c>
      <c r="CC486" s="560">
        <v>0</v>
      </c>
      <c r="CD486" s="155" t="str">
        <f t="shared" si="109"/>
        <v/>
      </c>
      <c r="CE486" s="405">
        <v>0</v>
      </c>
      <c r="CF486" s="284">
        <f>IF(CC486,_xll.qDateYears(CC485,CC486,CF$13),0)</f>
        <v>0</v>
      </c>
      <c r="CG486" s="284">
        <f t="shared" si="115"/>
        <v>2320.9300800126416</v>
      </c>
      <c r="CO486" s="560">
        <v>0</v>
      </c>
      <c r="CP486" s="155" t="str">
        <f t="shared" si="110"/>
        <v/>
      </c>
      <c r="CQ486" s="405">
        <v>0</v>
      </c>
      <c r="CR486" s="284">
        <f>IF(CO486,_xll.qDateYears(CO485,CO486,CR$13),0)</f>
        <v>0</v>
      </c>
      <c r="CS486" s="284">
        <f t="shared" si="116"/>
        <v>2166.0491297426292</v>
      </c>
      <c r="DA486" s="560">
        <v>0</v>
      </c>
      <c r="DB486" s="155" t="str">
        <f t="shared" si="111"/>
        <v/>
      </c>
      <c r="DC486" s="405">
        <v>0</v>
      </c>
      <c r="DD486" s="284">
        <f>IF(DA486,_xll.qDateYears(DA485,DA486,DD$13),0)</f>
        <v>0</v>
      </c>
      <c r="DE486" s="284">
        <f t="shared" si="117"/>
        <v>1625.698949379763</v>
      </c>
      <c r="DM486" s="560">
        <v>0</v>
      </c>
      <c r="DN486" s="155" t="str">
        <f t="shared" si="112"/>
        <v/>
      </c>
      <c r="DO486" s="405">
        <v>0</v>
      </c>
      <c r="DP486" s="284">
        <f>IF(DM486,_xll.qDateYears(DM485,DM486,DP$13),0)</f>
        <v>0</v>
      </c>
      <c r="DQ486" s="284">
        <f t="shared" si="118"/>
        <v>2216.4810485334592</v>
      </c>
    </row>
    <row r="487" spans="59:121">
      <c r="BG487" s="560">
        <v>0</v>
      </c>
      <c r="BH487" s="154" t="str">
        <f t="shared" si="107"/>
        <v/>
      </c>
      <c r="BI487" s="405">
        <v>0</v>
      </c>
      <c r="BJ487" s="284">
        <f>IF(BG487,_xll.qDateYears(BG486,BG487,$BJ$13),0)</f>
        <v>0</v>
      </c>
      <c r="BK487" s="284">
        <f t="shared" si="113"/>
        <v>2216.4810485334592</v>
      </c>
      <c r="BQ487" s="560">
        <v>0</v>
      </c>
      <c r="BR487" s="155" t="str">
        <f t="shared" si="108"/>
        <v/>
      </c>
      <c r="BS487" s="405">
        <v>0</v>
      </c>
      <c r="BT487" s="284">
        <f>IF(BQ487,_xll.qDateYears(BQ486,BQ487,BT$13),0)</f>
        <v>0</v>
      </c>
      <c r="BU487" s="284">
        <f t="shared" si="114"/>
        <v>1731.4581291138484</v>
      </c>
      <c r="CC487" s="560">
        <v>0</v>
      </c>
      <c r="CD487" s="155" t="str">
        <f t="shared" si="109"/>
        <v/>
      </c>
      <c r="CE487" s="405">
        <v>0</v>
      </c>
      <c r="CF487" s="284">
        <f>IF(CC487,_xll.qDateYears(CC486,CC487,CF$13),0)</f>
        <v>0</v>
      </c>
      <c r="CG487" s="284">
        <f t="shared" si="115"/>
        <v>2320.9300800126416</v>
      </c>
      <c r="CO487" s="560">
        <v>0</v>
      </c>
      <c r="CP487" s="155" t="str">
        <f t="shared" si="110"/>
        <v/>
      </c>
      <c r="CQ487" s="405">
        <v>0</v>
      </c>
      <c r="CR487" s="284">
        <f>IF(CO487,_xll.qDateYears(CO486,CO487,CR$13),0)</f>
        <v>0</v>
      </c>
      <c r="CS487" s="284">
        <f t="shared" si="116"/>
        <v>2166.0491297426292</v>
      </c>
      <c r="DA487" s="560">
        <v>0</v>
      </c>
      <c r="DB487" s="155" t="str">
        <f t="shared" si="111"/>
        <v/>
      </c>
      <c r="DC487" s="405">
        <v>0</v>
      </c>
      <c r="DD487" s="284">
        <f>IF(DA487,_xll.qDateYears(DA486,DA487,DD$13),0)</f>
        <v>0</v>
      </c>
      <c r="DE487" s="284">
        <f t="shared" si="117"/>
        <v>1625.698949379763</v>
      </c>
      <c r="DM487" s="560">
        <v>0</v>
      </c>
      <c r="DN487" s="155" t="str">
        <f t="shared" si="112"/>
        <v/>
      </c>
      <c r="DO487" s="405">
        <v>0</v>
      </c>
      <c r="DP487" s="284">
        <f>IF(DM487,_xll.qDateYears(DM486,DM487,DP$13),0)</f>
        <v>0</v>
      </c>
      <c r="DQ487" s="284">
        <f t="shared" si="118"/>
        <v>2216.4810485334592</v>
      </c>
    </row>
    <row r="488" spans="59:121">
      <c r="BG488" s="560">
        <v>0</v>
      </c>
      <c r="BH488" s="154" t="str">
        <f t="shared" si="107"/>
        <v/>
      </c>
      <c r="BI488" s="405">
        <v>0</v>
      </c>
      <c r="BJ488" s="284">
        <f>IF(BG488,_xll.qDateYears(BG487,BG488,$BJ$13),0)</f>
        <v>0</v>
      </c>
      <c r="BK488" s="284">
        <f t="shared" si="113"/>
        <v>2216.4810485334592</v>
      </c>
      <c r="BQ488" s="560">
        <v>0</v>
      </c>
      <c r="BR488" s="155" t="str">
        <f t="shared" si="108"/>
        <v/>
      </c>
      <c r="BS488" s="405">
        <v>0</v>
      </c>
      <c r="BT488" s="284">
        <f>IF(BQ488,_xll.qDateYears(BQ487,BQ488,BT$13),0)</f>
        <v>0</v>
      </c>
      <c r="BU488" s="284">
        <f t="shared" si="114"/>
        <v>1731.4581291138484</v>
      </c>
      <c r="CC488" s="560">
        <v>0</v>
      </c>
      <c r="CD488" s="155" t="str">
        <f t="shared" si="109"/>
        <v/>
      </c>
      <c r="CE488" s="405">
        <v>0</v>
      </c>
      <c r="CF488" s="284">
        <f>IF(CC488,_xll.qDateYears(CC487,CC488,CF$13),0)</f>
        <v>0</v>
      </c>
      <c r="CG488" s="284">
        <f t="shared" si="115"/>
        <v>2320.9300800126416</v>
      </c>
      <c r="CO488" s="560">
        <v>0</v>
      </c>
      <c r="CP488" s="155" t="str">
        <f t="shared" si="110"/>
        <v/>
      </c>
      <c r="CQ488" s="405">
        <v>0</v>
      </c>
      <c r="CR488" s="284">
        <f>IF(CO488,_xll.qDateYears(CO487,CO488,CR$13),0)</f>
        <v>0</v>
      </c>
      <c r="CS488" s="284">
        <f t="shared" si="116"/>
        <v>2166.0491297426292</v>
      </c>
      <c r="DA488" s="560">
        <v>0</v>
      </c>
      <c r="DB488" s="155" t="str">
        <f t="shared" si="111"/>
        <v/>
      </c>
      <c r="DC488" s="405">
        <v>0</v>
      </c>
      <c r="DD488" s="284">
        <f>IF(DA488,_xll.qDateYears(DA487,DA488,DD$13),0)</f>
        <v>0</v>
      </c>
      <c r="DE488" s="284">
        <f t="shared" si="117"/>
        <v>1625.698949379763</v>
      </c>
      <c r="DM488" s="560">
        <v>0</v>
      </c>
      <c r="DN488" s="155" t="str">
        <f t="shared" si="112"/>
        <v/>
      </c>
      <c r="DO488" s="405">
        <v>0</v>
      </c>
      <c r="DP488" s="284">
        <f>IF(DM488,_xll.qDateYears(DM487,DM488,DP$13),0)</f>
        <v>0</v>
      </c>
      <c r="DQ488" s="284">
        <f t="shared" si="118"/>
        <v>2216.4810485334592</v>
      </c>
    </row>
    <row r="489" spans="59:121">
      <c r="BG489" s="560">
        <v>0</v>
      </c>
      <c r="BH489" s="154" t="str">
        <f t="shared" si="107"/>
        <v/>
      </c>
      <c r="BI489" s="405">
        <v>0</v>
      </c>
      <c r="BJ489" s="284">
        <f>IF(BG489,_xll.qDateYears(BG488,BG489,$BJ$13),0)</f>
        <v>0</v>
      </c>
      <c r="BK489" s="284">
        <f t="shared" si="113"/>
        <v>2216.4810485334592</v>
      </c>
      <c r="BQ489" s="560">
        <v>0</v>
      </c>
      <c r="BR489" s="155" t="str">
        <f t="shared" si="108"/>
        <v/>
      </c>
      <c r="BS489" s="405">
        <v>0</v>
      </c>
      <c r="BT489" s="284">
        <f>IF(BQ489,_xll.qDateYears(BQ488,BQ489,BT$13),0)</f>
        <v>0</v>
      </c>
      <c r="BU489" s="284">
        <f t="shared" si="114"/>
        <v>1731.4581291138484</v>
      </c>
      <c r="CC489" s="560">
        <v>0</v>
      </c>
      <c r="CD489" s="155" t="str">
        <f t="shared" si="109"/>
        <v/>
      </c>
      <c r="CE489" s="405">
        <v>0</v>
      </c>
      <c r="CF489" s="284">
        <f>IF(CC489,_xll.qDateYears(CC488,CC489,CF$13),0)</f>
        <v>0</v>
      </c>
      <c r="CG489" s="284">
        <f t="shared" si="115"/>
        <v>2320.9300800126416</v>
      </c>
      <c r="CO489" s="560">
        <v>0</v>
      </c>
      <c r="CP489" s="155" t="str">
        <f t="shared" si="110"/>
        <v/>
      </c>
      <c r="CQ489" s="405">
        <v>0</v>
      </c>
      <c r="CR489" s="284">
        <f>IF(CO489,_xll.qDateYears(CO488,CO489,CR$13),0)</f>
        <v>0</v>
      </c>
      <c r="CS489" s="284">
        <f t="shared" si="116"/>
        <v>2166.0491297426292</v>
      </c>
      <c r="DA489" s="560">
        <v>0</v>
      </c>
      <c r="DB489" s="155" t="str">
        <f t="shared" si="111"/>
        <v/>
      </c>
      <c r="DC489" s="405">
        <v>0</v>
      </c>
      <c r="DD489" s="284">
        <f>IF(DA489,_xll.qDateYears(DA488,DA489,DD$13),0)</f>
        <v>0</v>
      </c>
      <c r="DE489" s="284">
        <f t="shared" si="117"/>
        <v>1625.698949379763</v>
      </c>
      <c r="DM489" s="560">
        <v>0</v>
      </c>
      <c r="DN489" s="155" t="str">
        <f t="shared" si="112"/>
        <v/>
      </c>
      <c r="DO489" s="405">
        <v>0</v>
      </c>
      <c r="DP489" s="284">
        <f>IF(DM489,_xll.qDateYears(DM488,DM489,DP$13),0)</f>
        <v>0</v>
      </c>
      <c r="DQ489" s="284">
        <f t="shared" si="118"/>
        <v>2216.4810485334592</v>
      </c>
    </row>
    <row r="490" spans="59:121">
      <c r="BG490" s="560">
        <v>0</v>
      </c>
      <c r="BH490" s="154" t="str">
        <f t="shared" si="107"/>
        <v/>
      </c>
      <c r="BI490" s="405">
        <v>0</v>
      </c>
      <c r="BJ490" s="284">
        <f>IF(BG490,_xll.qDateYears(BG489,BG490,$BJ$13),0)</f>
        <v>0</v>
      </c>
      <c r="BK490" s="284">
        <f t="shared" si="113"/>
        <v>2216.4810485334592</v>
      </c>
      <c r="BQ490" s="560">
        <v>0</v>
      </c>
      <c r="BR490" s="155" t="str">
        <f t="shared" si="108"/>
        <v/>
      </c>
      <c r="BS490" s="405">
        <v>0</v>
      </c>
      <c r="BT490" s="284">
        <f>IF(BQ490,_xll.qDateYears(BQ489,BQ490,BT$13),0)</f>
        <v>0</v>
      </c>
      <c r="BU490" s="284">
        <f t="shared" si="114"/>
        <v>1731.4581291138484</v>
      </c>
      <c r="CC490" s="560">
        <v>0</v>
      </c>
      <c r="CD490" s="155" t="str">
        <f t="shared" si="109"/>
        <v/>
      </c>
      <c r="CE490" s="405">
        <v>0</v>
      </c>
      <c r="CF490" s="284">
        <f>IF(CC490,_xll.qDateYears(CC489,CC490,CF$13),0)</f>
        <v>0</v>
      </c>
      <c r="CG490" s="284">
        <f t="shared" si="115"/>
        <v>2320.9300800126416</v>
      </c>
      <c r="CO490" s="560">
        <v>0</v>
      </c>
      <c r="CP490" s="155" t="str">
        <f t="shared" si="110"/>
        <v/>
      </c>
      <c r="CQ490" s="405">
        <v>0</v>
      </c>
      <c r="CR490" s="284">
        <f>IF(CO490,_xll.qDateYears(CO489,CO490,CR$13),0)</f>
        <v>0</v>
      </c>
      <c r="CS490" s="284">
        <f t="shared" si="116"/>
        <v>2166.0491297426292</v>
      </c>
      <c r="DA490" s="560">
        <v>0</v>
      </c>
      <c r="DB490" s="155" t="str">
        <f t="shared" si="111"/>
        <v/>
      </c>
      <c r="DC490" s="405">
        <v>0</v>
      </c>
      <c r="DD490" s="284">
        <f>IF(DA490,_xll.qDateYears(DA489,DA490,DD$13),0)</f>
        <v>0</v>
      </c>
      <c r="DE490" s="284">
        <f t="shared" si="117"/>
        <v>1625.698949379763</v>
      </c>
      <c r="DM490" s="560">
        <v>0</v>
      </c>
      <c r="DN490" s="155" t="str">
        <f t="shared" si="112"/>
        <v/>
      </c>
      <c r="DO490" s="405">
        <v>0</v>
      </c>
      <c r="DP490" s="284">
        <f>IF(DM490,_xll.qDateYears(DM489,DM490,DP$13),0)</f>
        <v>0</v>
      </c>
      <c r="DQ490" s="284">
        <f t="shared" si="118"/>
        <v>2216.4810485334592</v>
      </c>
    </row>
    <row r="491" spans="59:121">
      <c r="BG491" s="560">
        <v>0</v>
      </c>
      <c r="BH491" s="154" t="str">
        <f t="shared" si="107"/>
        <v/>
      </c>
      <c r="BI491" s="405">
        <v>0</v>
      </c>
      <c r="BJ491" s="284">
        <f>IF(BG491,_xll.qDateYears(BG490,BG491,$BJ$13),0)</f>
        <v>0</v>
      </c>
      <c r="BK491" s="284">
        <f t="shared" si="113"/>
        <v>2216.4810485334592</v>
      </c>
      <c r="BQ491" s="560">
        <v>0</v>
      </c>
      <c r="BR491" s="155" t="str">
        <f t="shared" si="108"/>
        <v/>
      </c>
      <c r="BS491" s="405">
        <v>0</v>
      </c>
      <c r="BT491" s="284">
        <f>IF(BQ491,_xll.qDateYears(BQ490,BQ491,BT$13),0)</f>
        <v>0</v>
      </c>
      <c r="BU491" s="284">
        <f t="shared" si="114"/>
        <v>1731.4581291138484</v>
      </c>
      <c r="CC491" s="560">
        <v>0</v>
      </c>
      <c r="CD491" s="155" t="str">
        <f t="shared" si="109"/>
        <v/>
      </c>
      <c r="CE491" s="405">
        <v>0</v>
      </c>
      <c r="CF491" s="284">
        <f>IF(CC491,_xll.qDateYears(CC490,CC491,CF$13),0)</f>
        <v>0</v>
      </c>
      <c r="CG491" s="284">
        <f t="shared" si="115"/>
        <v>2320.9300800126416</v>
      </c>
      <c r="CO491" s="560">
        <v>0</v>
      </c>
      <c r="CP491" s="155" t="str">
        <f t="shared" si="110"/>
        <v/>
      </c>
      <c r="CQ491" s="405">
        <v>0</v>
      </c>
      <c r="CR491" s="284">
        <f>IF(CO491,_xll.qDateYears(CO490,CO491,CR$13),0)</f>
        <v>0</v>
      </c>
      <c r="CS491" s="284">
        <f t="shared" si="116"/>
        <v>2166.0491297426292</v>
      </c>
      <c r="DA491" s="560">
        <v>0</v>
      </c>
      <c r="DB491" s="155" t="str">
        <f t="shared" si="111"/>
        <v/>
      </c>
      <c r="DC491" s="405">
        <v>0</v>
      </c>
      <c r="DD491" s="284">
        <f>IF(DA491,_xll.qDateYears(DA490,DA491,DD$13),0)</f>
        <v>0</v>
      </c>
      <c r="DE491" s="284">
        <f t="shared" si="117"/>
        <v>1625.698949379763</v>
      </c>
      <c r="DM491" s="560">
        <v>0</v>
      </c>
      <c r="DN491" s="155" t="str">
        <f t="shared" si="112"/>
        <v/>
      </c>
      <c r="DO491" s="405">
        <v>0</v>
      </c>
      <c r="DP491" s="284">
        <f>IF(DM491,_xll.qDateYears(DM490,DM491,DP$13),0)</f>
        <v>0</v>
      </c>
      <c r="DQ491" s="284">
        <f t="shared" si="118"/>
        <v>2216.4810485334592</v>
      </c>
    </row>
    <row r="492" spans="59:121">
      <c r="BG492" s="560">
        <v>0</v>
      </c>
      <c r="BH492" s="154" t="str">
        <f t="shared" si="107"/>
        <v/>
      </c>
      <c r="BI492" s="405">
        <v>0</v>
      </c>
      <c r="BJ492" s="284">
        <f>IF(BG492,_xll.qDateYears(BG491,BG492,$BJ$13),0)</f>
        <v>0</v>
      </c>
      <c r="BK492" s="284">
        <f t="shared" si="113"/>
        <v>2216.4810485334592</v>
      </c>
      <c r="BQ492" s="560">
        <v>0</v>
      </c>
      <c r="BR492" s="155" t="str">
        <f t="shared" si="108"/>
        <v/>
      </c>
      <c r="BS492" s="405">
        <v>0</v>
      </c>
      <c r="BT492" s="284">
        <f>IF(BQ492,_xll.qDateYears(BQ491,BQ492,BT$13),0)</f>
        <v>0</v>
      </c>
      <c r="BU492" s="284">
        <f t="shared" si="114"/>
        <v>1731.4581291138484</v>
      </c>
      <c r="CC492" s="560">
        <v>0</v>
      </c>
      <c r="CD492" s="155" t="str">
        <f t="shared" si="109"/>
        <v/>
      </c>
      <c r="CE492" s="405">
        <v>0</v>
      </c>
      <c r="CF492" s="284">
        <f>IF(CC492,_xll.qDateYears(CC491,CC492,CF$13),0)</f>
        <v>0</v>
      </c>
      <c r="CG492" s="284">
        <f t="shared" si="115"/>
        <v>2320.9300800126416</v>
      </c>
      <c r="CO492" s="560">
        <v>0</v>
      </c>
      <c r="CP492" s="155" t="str">
        <f t="shared" si="110"/>
        <v/>
      </c>
      <c r="CQ492" s="405">
        <v>0</v>
      </c>
      <c r="CR492" s="284">
        <f>IF(CO492,_xll.qDateYears(CO491,CO492,CR$13),0)</f>
        <v>0</v>
      </c>
      <c r="CS492" s="284">
        <f t="shared" si="116"/>
        <v>2166.0491297426292</v>
      </c>
      <c r="DA492" s="560">
        <v>0</v>
      </c>
      <c r="DB492" s="155" t="str">
        <f t="shared" si="111"/>
        <v/>
      </c>
      <c r="DC492" s="405">
        <v>0</v>
      </c>
      <c r="DD492" s="284">
        <f>IF(DA492,_xll.qDateYears(DA491,DA492,DD$13),0)</f>
        <v>0</v>
      </c>
      <c r="DE492" s="284">
        <f t="shared" si="117"/>
        <v>1625.698949379763</v>
      </c>
      <c r="DM492" s="560">
        <v>0</v>
      </c>
      <c r="DN492" s="155" t="str">
        <f t="shared" si="112"/>
        <v/>
      </c>
      <c r="DO492" s="405">
        <v>0</v>
      </c>
      <c r="DP492" s="284">
        <f>IF(DM492,_xll.qDateYears(DM491,DM492,DP$13),0)</f>
        <v>0</v>
      </c>
      <c r="DQ492" s="284">
        <f t="shared" si="118"/>
        <v>2216.4810485334592</v>
      </c>
    </row>
    <row r="493" spans="59:121">
      <c r="BG493" s="560">
        <v>0</v>
      </c>
      <c r="BH493" s="154" t="str">
        <f t="shared" si="107"/>
        <v/>
      </c>
      <c r="BI493" s="405">
        <v>0</v>
      </c>
      <c r="BJ493" s="284">
        <f>IF(BG493,_xll.qDateYears(BG492,BG493,$BJ$13),0)</f>
        <v>0</v>
      </c>
      <c r="BK493" s="284">
        <f t="shared" si="113"/>
        <v>2216.4810485334592</v>
      </c>
      <c r="BQ493" s="560">
        <v>0</v>
      </c>
      <c r="BR493" s="155" t="str">
        <f t="shared" si="108"/>
        <v/>
      </c>
      <c r="BS493" s="405">
        <v>0</v>
      </c>
      <c r="BT493" s="284">
        <f>IF(BQ493,_xll.qDateYears(BQ492,BQ493,BT$13),0)</f>
        <v>0</v>
      </c>
      <c r="BU493" s="284">
        <f t="shared" si="114"/>
        <v>1731.4581291138484</v>
      </c>
      <c r="CC493" s="560">
        <v>0</v>
      </c>
      <c r="CD493" s="155" t="str">
        <f t="shared" si="109"/>
        <v/>
      </c>
      <c r="CE493" s="405">
        <v>0</v>
      </c>
      <c r="CF493" s="284">
        <f>IF(CC493,_xll.qDateYears(CC492,CC493,CF$13),0)</f>
        <v>0</v>
      </c>
      <c r="CG493" s="284">
        <f t="shared" si="115"/>
        <v>2320.9300800126416</v>
      </c>
      <c r="CO493" s="560">
        <v>0</v>
      </c>
      <c r="CP493" s="155" t="str">
        <f t="shared" si="110"/>
        <v/>
      </c>
      <c r="CQ493" s="405">
        <v>0</v>
      </c>
      <c r="CR493" s="284">
        <f>IF(CO493,_xll.qDateYears(CO492,CO493,CR$13),0)</f>
        <v>0</v>
      </c>
      <c r="CS493" s="284">
        <f t="shared" si="116"/>
        <v>2166.0491297426292</v>
      </c>
      <c r="DA493" s="560">
        <v>0</v>
      </c>
      <c r="DB493" s="155" t="str">
        <f t="shared" si="111"/>
        <v/>
      </c>
      <c r="DC493" s="405">
        <v>0</v>
      </c>
      <c r="DD493" s="284">
        <f>IF(DA493,_xll.qDateYears(DA492,DA493,DD$13),0)</f>
        <v>0</v>
      </c>
      <c r="DE493" s="284">
        <f t="shared" si="117"/>
        <v>1625.698949379763</v>
      </c>
      <c r="DM493" s="560">
        <v>0</v>
      </c>
      <c r="DN493" s="155" t="str">
        <f t="shared" si="112"/>
        <v/>
      </c>
      <c r="DO493" s="405">
        <v>0</v>
      </c>
      <c r="DP493" s="284">
        <f>IF(DM493,_xll.qDateYears(DM492,DM493,DP$13),0)</f>
        <v>0</v>
      </c>
      <c r="DQ493" s="284">
        <f t="shared" si="118"/>
        <v>2216.4810485334592</v>
      </c>
    </row>
    <row r="494" spans="59:121">
      <c r="BG494" s="560">
        <v>0</v>
      </c>
      <c r="BH494" s="154" t="str">
        <f t="shared" si="107"/>
        <v/>
      </c>
      <c r="BI494" s="405">
        <v>0</v>
      </c>
      <c r="BJ494" s="284">
        <f>IF(BG494,_xll.qDateYears(BG493,BG494,$BJ$13),0)</f>
        <v>0</v>
      </c>
      <c r="BK494" s="284">
        <f t="shared" si="113"/>
        <v>2216.4810485334592</v>
      </c>
      <c r="BQ494" s="560">
        <v>0</v>
      </c>
      <c r="BR494" s="155" t="str">
        <f t="shared" si="108"/>
        <v/>
      </c>
      <c r="BS494" s="405">
        <v>0</v>
      </c>
      <c r="BT494" s="284">
        <f>IF(BQ494,_xll.qDateYears(BQ493,BQ494,BT$13),0)</f>
        <v>0</v>
      </c>
      <c r="BU494" s="284">
        <f t="shared" si="114"/>
        <v>1731.4581291138484</v>
      </c>
      <c r="CC494" s="560">
        <v>0</v>
      </c>
      <c r="CD494" s="155" t="str">
        <f t="shared" si="109"/>
        <v/>
      </c>
      <c r="CE494" s="405">
        <v>0</v>
      </c>
      <c r="CF494" s="284">
        <f>IF(CC494,_xll.qDateYears(CC493,CC494,CF$13),0)</f>
        <v>0</v>
      </c>
      <c r="CG494" s="284">
        <f t="shared" si="115"/>
        <v>2320.9300800126416</v>
      </c>
      <c r="CO494" s="560">
        <v>0</v>
      </c>
      <c r="CP494" s="155" t="str">
        <f t="shared" si="110"/>
        <v/>
      </c>
      <c r="CQ494" s="405">
        <v>0</v>
      </c>
      <c r="CR494" s="284">
        <f>IF(CO494,_xll.qDateYears(CO493,CO494,CR$13),0)</f>
        <v>0</v>
      </c>
      <c r="CS494" s="284">
        <f t="shared" si="116"/>
        <v>2166.0491297426292</v>
      </c>
      <c r="DA494" s="560">
        <v>0</v>
      </c>
      <c r="DB494" s="155" t="str">
        <f t="shared" si="111"/>
        <v/>
      </c>
      <c r="DC494" s="405">
        <v>0</v>
      </c>
      <c r="DD494" s="284">
        <f>IF(DA494,_xll.qDateYears(DA493,DA494,DD$13),0)</f>
        <v>0</v>
      </c>
      <c r="DE494" s="284">
        <f t="shared" si="117"/>
        <v>1625.698949379763</v>
      </c>
      <c r="DM494" s="560">
        <v>0</v>
      </c>
      <c r="DN494" s="155" t="str">
        <f t="shared" si="112"/>
        <v/>
      </c>
      <c r="DO494" s="405">
        <v>0</v>
      </c>
      <c r="DP494" s="284">
        <f>IF(DM494,_xll.qDateYears(DM493,DM494,DP$13),0)</f>
        <v>0</v>
      </c>
      <c r="DQ494" s="284">
        <f t="shared" si="118"/>
        <v>2216.4810485334592</v>
      </c>
    </row>
    <row r="495" spans="59:121">
      <c r="BG495" s="560">
        <v>0</v>
      </c>
      <c r="BH495" s="154" t="str">
        <f t="shared" si="107"/>
        <v/>
      </c>
      <c r="BI495" s="405">
        <v>0</v>
      </c>
      <c r="BJ495" s="284">
        <f>IF(BG495,_xll.qDateYears(BG494,BG495,$BJ$13),0)</f>
        <v>0</v>
      </c>
      <c r="BK495" s="284">
        <f t="shared" si="113"/>
        <v>2216.4810485334592</v>
      </c>
      <c r="BQ495" s="560">
        <v>0</v>
      </c>
      <c r="BR495" s="155" t="str">
        <f t="shared" si="108"/>
        <v/>
      </c>
      <c r="BS495" s="405">
        <v>0</v>
      </c>
      <c r="BT495" s="284">
        <f>IF(BQ495,_xll.qDateYears(BQ494,BQ495,BT$13),0)</f>
        <v>0</v>
      </c>
      <c r="BU495" s="284">
        <f t="shared" si="114"/>
        <v>1731.4581291138484</v>
      </c>
      <c r="CC495" s="560">
        <v>0</v>
      </c>
      <c r="CD495" s="155" t="str">
        <f t="shared" si="109"/>
        <v/>
      </c>
      <c r="CE495" s="405">
        <v>0</v>
      </c>
      <c r="CF495" s="284">
        <f>IF(CC495,_xll.qDateYears(CC494,CC495,CF$13),0)</f>
        <v>0</v>
      </c>
      <c r="CG495" s="284">
        <f t="shared" si="115"/>
        <v>2320.9300800126416</v>
      </c>
      <c r="CO495" s="560">
        <v>0</v>
      </c>
      <c r="CP495" s="155" t="str">
        <f t="shared" si="110"/>
        <v/>
      </c>
      <c r="CQ495" s="405">
        <v>0</v>
      </c>
      <c r="CR495" s="284">
        <f>IF(CO495,_xll.qDateYears(CO494,CO495,CR$13),0)</f>
        <v>0</v>
      </c>
      <c r="CS495" s="284">
        <f t="shared" si="116"/>
        <v>2166.0491297426292</v>
      </c>
      <c r="DA495" s="560">
        <v>0</v>
      </c>
      <c r="DB495" s="155" t="str">
        <f t="shared" si="111"/>
        <v/>
      </c>
      <c r="DC495" s="405">
        <v>0</v>
      </c>
      <c r="DD495" s="284">
        <f>IF(DA495,_xll.qDateYears(DA494,DA495,DD$13),0)</f>
        <v>0</v>
      </c>
      <c r="DE495" s="284">
        <f t="shared" si="117"/>
        <v>1625.698949379763</v>
      </c>
      <c r="DM495" s="560">
        <v>0</v>
      </c>
      <c r="DN495" s="155" t="str">
        <f t="shared" si="112"/>
        <v/>
      </c>
      <c r="DO495" s="405">
        <v>0</v>
      </c>
      <c r="DP495" s="284">
        <f>IF(DM495,_xll.qDateYears(DM494,DM495,DP$13),0)</f>
        <v>0</v>
      </c>
      <c r="DQ495" s="284">
        <f t="shared" si="118"/>
        <v>2216.4810485334592</v>
      </c>
    </row>
    <row r="496" spans="59:121">
      <c r="BG496" s="560">
        <v>0</v>
      </c>
      <c r="BH496" s="154" t="str">
        <f t="shared" si="107"/>
        <v/>
      </c>
      <c r="BI496" s="405">
        <v>0</v>
      </c>
      <c r="BJ496" s="284">
        <f>IF(BG496,_xll.qDateYears(BG495,BG496,$BJ$13),0)</f>
        <v>0</v>
      </c>
      <c r="BK496" s="284">
        <f t="shared" si="113"/>
        <v>2216.4810485334592</v>
      </c>
      <c r="BQ496" s="560">
        <v>0</v>
      </c>
      <c r="BR496" s="155" t="str">
        <f t="shared" si="108"/>
        <v/>
      </c>
      <c r="BS496" s="405">
        <v>0</v>
      </c>
      <c r="BT496" s="284">
        <f>IF(BQ496,_xll.qDateYears(BQ495,BQ496,BT$13),0)</f>
        <v>0</v>
      </c>
      <c r="BU496" s="284">
        <f t="shared" si="114"/>
        <v>1731.4581291138484</v>
      </c>
      <c r="CC496" s="560">
        <v>0</v>
      </c>
      <c r="CD496" s="155" t="str">
        <f t="shared" si="109"/>
        <v/>
      </c>
      <c r="CE496" s="405">
        <v>0</v>
      </c>
      <c r="CF496" s="284">
        <f>IF(CC496,_xll.qDateYears(CC495,CC496,CF$13),0)</f>
        <v>0</v>
      </c>
      <c r="CG496" s="284">
        <f t="shared" si="115"/>
        <v>2320.9300800126416</v>
      </c>
      <c r="CO496" s="560">
        <v>0</v>
      </c>
      <c r="CP496" s="155" t="str">
        <f t="shared" si="110"/>
        <v/>
      </c>
      <c r="CQ496" s="405">
        <v>0</v>
      </c>
      <c r="CR496" s="284">
        <f>IF(CO496,_xll.qDateYears(CO495,CO496,CR$13),0)</f>
        <v>0</v>
      </c>
      <c r="CS496" s="284">
        <f t="shared" si="116"/>
        <v>2166.0491297426292</v>
      </c>
      <c r="DA496" s="560">
        <v>0</v>
      </c>
      <c r="DB496" s="155" t="str">
        <f t="shared" si="111"/>
        <v/>
      </c>
      <c r="DC496" s="405">
        <v>0</v>
      </c>
      <c r="DD496" s="284">
        <f>IF(DA496,_xll.qDateYears(DA495,DA496,DD$13),0)</f>
        <v>0</v>
      </c>
      <c r="DE496" s="284">
        <f t="shared" si="117"/>
        <v>1625.698949379763</v>
      </c>
      <c r="DM496" s="560">
        <v>0</v>
      </c>
      <c r="DN496" s="155" t="str">
        <f t="shared" si="112"/>
        <v/>
      </c>
      <c r="DO496" s="405">
        <v>0</v>
      </c>
      <c r="DP496" s="284">
        <f>IF(DM496,_xll.qDateYears(DM495,DM496,DP$13),0)</f>
        <v>0</v>
      </c>
      <c r="DQ496" s="284">
        <f t="shared" si="118"/>
        <v>2216.4810485334592</v>
      </c>
    </row>
    <row r="497" spans="59:121">
      <c r="BG497" s="560">
        <v>0</v>
      </c>
      <c r="BH497" s="154" t="str">
        <f t="shared" si="107"/>
        <v/>
      </c>
      <c r="BI497" s="405">
        <v>0</v>
      </c>
      <c r="BJ497" s="284">
        <f>IF(BG497,_xll.qDateYears(BG496,BG497,$BJ$13),0)</f>
        <v>0</v>
      </c>
      <c r="BK497" s="284">
        <f t="shared" si="113"/>
        <v>2216.4810485334592</v>
      </c>
      <c r="BQ497" s="560">
        <v>0</v>
      </c>
      <c r="BR497" s="155" t="str">
        <f t="shared" si="108"/>
        <v/>
      </c>
      <c r="BS497" s="405">
        <v>0</v>
      </c>
      <c r="BT497" s="284">
        <f>IF(BQ497,_xll.qDateYears(BQ496,BQ497,BT$13),0)</f>
        <v>0</v>
      </c>
      <c r="BU497" s="284">
        <f t="shared" si="114"/>
        <v>1731.4581291138484</v>
      </c>
      <c r="CC497" s="560">
        <v>0</v>
      </c>
      <c r="CD497" s="155" t="str">
        <f t="shared" si="109"/>
        <v/>
      </c>
      <c r="CE497" s="405">
        <v>0</v>
      </c>
      <c r="CF497" s="284">
        <f>IF(CC497,_xll.qDateYears(CC496,CC497,CF$13),0)</f>
        <v>0</v>
      </c>
      <c r="CG497" s="284">
        <f t="shared" si="115"/>
        <v>2320.9300800126416</v>
      </c>
      <c r="CO497" s="560">
        <v>0</v>
      </c>
      <c r="CP497" s="155" t="str">
        <f t="shared" si="110"/>
        <v/>
      </c>
      <c r="CQ497" s="405">
        <v>0</v>
      </c>
      <c r="CR497" s="284">
        <f>IF(CO497,_xll.qDateYears(CO496,CO497,CR$13),0)</f>
        <v>0</v>
      </c>
      <c r="CS497" s="284">
        <f t="shared" si="116"/>
        <v>2166.0491297426292</v>
      </c>
      <c r="DA497" s="560">
        <v>0</v>
      </c>
      <c r="DB497" s="155" t="str">
        <f t="shared" si="111"/>
        <v/>
      </c>
      <c r="DC497" s="405">
        <v>0</v>
      </c>
      <c r="DD497" s="284">
        <f>IF(DA497,_xll.qDateYears(DA496,DA497,DD$13),0)</f>
        <v>0</v>
      </c>
      <c r="DE497" s="284">
        <f t="shared" si="117"/>
        <v>1625.698949379763</v>
      </c>
      <c r="DM497" s="560">
        <v>0</v>
      </c>
      <c r="DN497" s="155" t="str">
        <f t="shared" si="112"/>
        <v/>
      </c>
      <c r="DO497" s="405">
        <v>0</v>
      </c>
      <c r="DP497" s="284">
        <f>IF(DM497,_xll.qDateYears(DM496,DM497,DP$13),0)</f>
        <v>0</v>
      </c>
      <c r="DQ497" s="284">
        <f t="shared" si="118"/>
        <v>2216.4810485334592</v>
      </c>
    </row>
    <row r="498" spans="59:121">
      <c r="BG498" s="560">
        <v>0</v>
      </c>
      <c r="BH498" s="154" t="str">
        <f t="shared" si="107"/>
        <v/>
      </c>
      <c r="BI498" s="405">
        <v>0</v>
      </c>
      <c r="BJ498" s="284">
        <f>IF(BG498,_xll.qDateYears(BG497,BG498,$BJ$13),0)</f>
        <v>0</v>
      </c>
      <c r="BK498" s="284">
        <f t="shared" si="113"/>
        <v>2216.4810485334592</v>
      </c>
      <c r="BQ498" s="560">
        <v>0</v>
      </c>
      <c r="BR498" s="155" t="str">
        <f t="shared" si="108"/>
        <v/>
      </c>
      <c r="BS498" s="405">
        <v>0</v>
      </c>
      <c r="BT498" s="284">
        <f>IF(BQ498,_xll.qDateYears(BQ497,BQ498,BT$13),0)</f>
        <v>0</v>
      </c>
      <c r="BU498" s="284">
        <f t="shared" si="114"/>
        <v>1731.4581291138484</v>
      </c>
      <c r="CC498" s="560">
        <v>0</v>
      </c>
      <c r="CD498" s="155" t="str">
        <f t="shared" si="109"/>
        <v/>
      </c>
      <c r="CE498" s="405">
        <v>0</v>
      </c>
      <c r="CF498" s="284">
        <f>IF(CC498,_xll.qDateYears(CC497,CC498,CF$13),0)</f>
        <v>0</v>
      </c>
      <c r="CG498" s="284">
        <f t="shared" si="115"/>
        <v>2320.9300800126416</v>
      </c>
      <c r="CO498" s="560">
        <v>0</v>
      </c>
      <c r="CP498" s="155" t="str">
        <f t="shared" si="110"/>
        <v/>
      </c>
      <c r="CQ498" s="405">
        <v>0</v>
      </c>
      <c r="CR498" s="284">
        <f>IF(CO498,_xll.qDateYears(CO497,CO498,CR$13),0)</f>
        <v>0</v>
      </c>
      <c r="CS498" s="284">
        <f t="shared" si="116"/>
        <v>2166.0491297426292</v>
      </c>
      <c r="DA498" s="560">
        <v>0</v>
      </c>
      <c r="DB498" s="155" t="str">
        <f t="shared" si="111"/>
        <v/>
      </c>
      <c r="DC498" s="405">
        <v>0</v>
      </c>
      <c r="DD498" s="284">
        <f>IF(DA498,_xll.qDateYears(DA497,DA498,DD$13),0)</f>
        <v>0</v>
      </c>
      <c r="DE498" s="284">
        <f t="shared" si="117"/>
        <v>1625.698949379763</v>
      </c>
      <c r="DM498" s="560">
        <v>0</v>
      </c>
      <c r="DN498" s="155" t="str">
        <f t="shared" si="112"/>
        <v/>
      </c>
      <c r="DO498" s="405">
        <v>0</v>
      </c>
      <c r="DP498" s="284">
        <f>IF(DM498,_xll.qDateYears(DM497,DM498,DP$13),0)</f>
        <v>0</v>
      </c>
      <c r="DQ498" s="284">
        <f t="shared" si="118"/>
        <v>2216.4810485334592</v>
      </c>
    </row>
    <row r="499" spans="59:121">
      <c r="BG499" s="560">
        <v>0</v>
      </c>
      <c r="BH499" s="154" t="str">
        <f t="shared" si="107"/>
        <v/>
      </c>
      <c r="BI499" s="405">
        <v>0</v>
      </c>
      <c r="BJ499" s="284">
        <f>IF(BG499,_xll.qDateYears(BG498,BG499,$BJ$13),0)</f>
        <v>0</v>
      </c>
      <c r="BK499" s="284">
        <f t="shared" si="113"/>
        <v>2216.4810485334592</v>
      </c>
      <c r="BQ499" s="560">
        <v>0</v>
      </c>
      <c r="BR499" s="155" t="str">
        <f t="shared" si="108"/>
        <v/>
      </c>
      <c r="BS499" s="405">
        <v>0</v>
      </c>
      <c r="BT499" s="284">
        <f>IF(BQ499,_xll.qDateYears(BQ498,BQ499,BT$13),0)</f>
        <v>0</v>
      </c>
      <c r="BU499" s="284">
        <f t="shared" si="114"/>
        <v>1731.4581291138484</v>
      </c>
      <c r="CC499" s="560">
        <v>0</v>
      </c>
      <c r="CD499" s="155" t="str">
        <f t="shared" si="109"/>
        <v/>
      </c>
      <c r="CE499" s="405">
        <v>0</v>
      </c>
      <c r="CF499" s="284">
        <f>IF(CC499,_xll.qDateYears(CC498,CC499,CF$13),0)</f>
        <v>0</v>
      </c>
      <c r="CG499" s="284">
        <f t="shared" si="115"/>
        <v>2320.9300800126416</v>
      </c>
      <c r="CO499" s="560">
        <v>0</v>
      </c>
      <c r="CP499" s="155" t="str">
        <f t="shared" si="110"/>
        <v/>
      </c>
      <c r="CQ499" s="405">
        <v>0</v>
      </c>
      <c r="CR499" s="284">
        <f>IF(CO499,_xll.qDateYears(CO498,CO499,CR$13),0)</f>
        <v>0</v>
      </c>
      <c r="CS499" s="284">
        <f t="shared" si="116"/>
        <v>2166.0491297426292</v>
      </c>
      <c r="DA499" s="560">
        <v>0</v>
      </c>
      <c r="DB499" s="155" t="str">
        <f t="shared" si="111"/>
        <v/>
      </c>
      <c r="DC499" s="405">
        <v>0</v>
      </c>
      <c r="DD499" s="284">
        <f>IF(DA499,_xll.qDateYears(DA498,DA499,DD$13),0)</f>
        <v>0</v>
      </c>
      <c r="DE499" s="284">
        <f t="shared" si="117"/>
        <v>1625.698949379763</v>
      </c>
      <c r="DM499" s="560">
        <v>0</v>
      </c>
      <c r="DN499" s="155" t="str">
        <f t="shared" si="112"/>
        <v/>
      </c>
      <c r="DO499" s="405">
        <v>0</v>
      </c>
      <c r="DP499" s="284">
        <f>IF(DM499,_xll.qDateYears(DM498,DM499,DP$13),0)</f>
        <v>0</v>
      </c>
      <c r="DQ499" s="284">
        <f t="shared" si="118"/>
        <v>2216.4810485334592</v>
      </c>
    </row>
    <row r="500" spans="59:121">
      <c r="BG500" s="560">
        <v>0</v>
      </c>
      <c r="BH500" s="154" t="str">
        <f t="shared" si="107"/>
        <v/>
      </c>
      <c r="BI500" s="405">
        <v>0</v>
      </c>
      <c r="BJ500" s="284">
        <f>IF(BG500,_xll.qDateYears(BG499,BG500,$BJ$13),0)</f>
        <v>0</v>
      </c>
      <c r="BK500" s="284">
        <f t="shared" si="113"/>
        <v>2216.4810485334592</v>
      </c>
      <c r="BQ500" s="560">
        <v>0</v>
      </c>
      <c r="BR500" s="155" t="str">
        <f t="shared" si="108"/>
        <v/>
      </c>
      <c r="BS500" s="405">
        <v>0</v>
      </c>
      <c r="BT500" s="284">
        <f>IF(BQ500,_xll.qDateYears(BQ499,BQ500,BT$13),0)</f>
        <v>0</v>
      </c>
      <c r="BU500" s="284">
        <f t="shared" si="114"/>
        <v>1731.4581291138484</v>
      </c>
      <c r="CC500" s="560">
        <v>0</v>
      </c>
      <c r="CD500" s="155" t="str">
        <f t="shared" si="109"/>
        <v/>
      </c>
      <c r="CE500" s="405">
        <v>0</v>
      </c>
      <c r="CF500" s="284">
        <f>IF(CC500,_xll.qDateYears(CC499,CC500,CF$13),0)</f>
        <v>0</v>
      </c>
      <c r="CG500" s="284">
        <f t="shared" si="115"/>
        <v>2320.9300800126416</v>
      </c>
      <c r="CO500" s="560">
        <v>0</v>
      </c>
      <c r="CP500" s="155" t="str">
        <f t="shared" si="110"/>
        <v/>
      </c>
      <c r="CQ500" s="405">
        <v>0</v>
      </c>
      <c r="CR500" s="284">
        <f>IF(CO500,_xll.qDateYears(CO499,CO500,CR$13),0)</f>
        <v>0</v>
      </c>
      <c r="CS500" s="284">
        <f t="shared" si="116"/>
        <v>2166.0491297426292</v>
      </c>
      <c r="DA500" s="560">
        <v>0</v>
      </c>
      <c r="DB500" s="155" t="str">
        <f t="shared" si="111"/>
        <v/>
      </c>
      <c r="DC500" s="405">
        <v>0</v>
      </c>
      <c r="DD500" s="284">
        <f>IF(DA500,_xll.qDateYears(DA499,DA500,DD$13),0)</f>
        <v>0</v>
      </c>
      <c r="DE500" s="284">
        <f t="shared" si="117"/>
        <v>1625.698949379763</v>
      </c>
      <c r="DM500" s="560">
        <v>0</v>
      </c>
      <c r="DN500" s="155" t="str">
        <f t="shared" si="112"/>
        <v/>
      </c>
      <c r="DO500" s="405">
        <v>0</v>
      </c>
      <c r="DP500" s="284">
        <f>IF(DM500,_xll.qDateYears(DM499,DM500,DP$13),0)</f>
        <v>0</v>
      </c>
      <c r="DQ500" s="284">
        <f t="shared" si="118"/>
        <v>2216.4810485334592</v>
      </c>
    </row>
    <row r="501" spans="59:121">
      <c r="BG501" s="560">
        <v>0</v>
      </c>
      <c r="BH501" s="154" t="str">
        <f t="shared" si="107"/>
        <v/>
      </c>
      <c r="BI501" s="405">
        <v>0</v>
      </c>
      <c r="BJ501" s="284">
        <f>IF(BG501,_xll.qDateYears(BG500,BG501,$BJ$13),0)</f>
        <v>0</v>
      </c>
      <c r="BK501" s="284">
        <f t="shared" si="113"/>
        <v>2216.4810485334592</v>
      </c>
      <c r="BQ501" s="560">
        <v>0</v>
      </c>
      <c r="BR501" s="155" t="str">
        <f t="shared" si="108"/>
        <v/>
      </c>
      <c r="BS501" s="405">
        <v>0</v>
      </c>
      <c r="BT501" s="284">
        <f>IF(BQ501,_xll.qDateYears(BQ500,BQ501,BT$13),0)</f>
        <v>0</v>
      </c>
      <c r="BU501" s="284">
        <f t="shared" si="114"/>
        <v>1731.4581291138484</v>
      </c>
      <c r="CC501" s="560">
        <v>0</v>
      </c>
      <c r="CD501" s="155" t="str">
        <f t="shared" si="109"/>
        <v/>
      </c>
      <c r="CE501" s="405">
        <v>0</v>
      </c>
      <c r="CF501" s="284">
        <f>IF(CC501,_xll.qDateYears(CC500,CC501,CF$13),0)</f>
        <v>0</v>
      </c>
      <c r="CG501" s="284">
        <f t="shared" si="115"/>
        <v>2320.9300800126416</v>
      </c>
      <c r="CO501" s="560">
        <v>0</v>
      </c>
      <c r="CP501" s="155" t="str">
        <f t="shared" si="110"/>
        <v/>
      </c>
      <c r="CQ501" s="405">
        <v>0</v>
      </c>
      <c r="CR501" s="284">
        <f>IF(CO501,_xll.qDateYears(CO500,CO501,CR$13),0)</f>
        <v>0</v>
      </c>
      <c r="CS501" s="284">
        <f t="shared" si="116"/>
        <v>2166.0491297426292</v>
      </c>
      <c r="DA501" s="560">
        <v>0</v>
      </c>
      <c r="DB501" s="155" t="str">
        <f t="shared" si="111"/>
        <v/>
      </c>
      <c r="DC501" s="405">
        <v>0</v>
      </c>
      <c r="DD501" s="284">
        <f>IF(DA501,_xll.qDateYears(DA500,DA501,DD$13),0)</f>
        <v>0</v>
      </c>
      <c r="DE501" s="284">
        <f t="shared" si="117"/>
        <v>1625.698949379763</v>
      </c>
      <c r="DM501" s="560">
        <v>0</v>
      </c>
      <c r="DN501" s="155" t="str">
        <f t="shared" si="112"/>
        <v/>
      </c>
      <c r="DO501" s="405">
        <v>0</v>
      </c>
      <c r="DP501" s="284">
        <f>IF(DM501,_xll.qDateYears(DM500,DM501,DP$13),0)</f>
        <v>0</v>
      </c>
      <c r="DQ501" s="284">
        <f t="shared" si="118"/>
        <v>2216.4810485334592</v>
      </c>
    </row>
    <row r="502" spans="59:121">
      <c r="BG502" s="560">
        <v>0</v>
      </c>
      <c r="BH502" s="154" t="str">
        <f t="shared" si="107"/>
        <v/>
      </c>
      <c r="BI502" s="405">
        <v>0</v>
      </c>
      <c r="BJ502" s="284">
        <f>IF(BG502,_xll.qDateYears(BG501,BG502,$BJ$13),0)</f>
        <v>0</v>
      </c>
      <c r="BK502" s="284">
        <f t="shared" si="113"/>
        <v>2216.4810485334592</v>
      </c>
      <c r="BQ502" s="560">
        <v>0</v>
      </c>
      <c r="BR502" s="155" t="str">
        <f t="shared" si="108"/>
        <v/>
      </c>
      <c r="BS502" s="405">
        <v>0</v>
      </c>
      <c r="BT502" s="284">
        <f>IF(BQ502,_xll.qDateYears(BQ501,BQ502,BT$13),0)</f>
        <v>0</v>
      </c>
      <c r="BU502" s="284">
        <f t="shared" si="114"/>
        <v>1731.4581291138484</v>
      </c>
      <c r="CC502" s="560">
        <v>0</v>
      </c>
      <c r="CD502" s="155" t="str">
        <f t="shared" si="109"/>
        <v/>
      </c>
      <c r="CE502" s="405">
        <v>0</v>
      </c>
      <c r="CF502" s="284">
        <f>IF(CC502,_xll.qDateYears(CC501,CC502,CF$13),0)</f>
        <v>0</v>
      </c>
      <c r="CG502" s="284">
        <f t="shared" si="115"/>
        <v>2320.9300800126416</v>
      </c>
      <c r="CO502" s="560">
        <v>0</v>
      </c>
      <c r="CP502" s="155" t="str">
        <f t="shared" si="110"/>
        <v/>
      </c>
      <c r="CQ502" s="405">
        <v>0</v>
      </c>
      <c r="CR502" s="284">
        <f>IF(CO502,_xll.qDateYears(CO501,CO502,CR$13),0)</f>
        <v>0</v>
      </c>
      <c r="CS502" s="284">
        <f t="shared" si="116"/>
        <v>2166.0491297426292</v>
      </c>
      <c r="DA502" s="560">
        <v>0</v>
      </c>
      <c r="DB502" s="155" t="str">
        <f t="shared" si="111"/>
        <v/>
      </c>
      <c r="DC502" s="405">
        <v>0</v>
      </c>
      <c r="DD502" s="284">
        <f>IF(DA502,_xll.qDateYears(DA501,DA502,DD$13),0)</f>
        <v>0</v>
      </c>
      <c r="DE502" s="284">
        <f t="shared" si="117"/>
        <v>1625.698949379763</v>
      </c>
      <c r="DM502" s="560">
        <v>0</v>
      </c>
      <c r="DN502" s="155" t="str">
        <f t="shared" si="112"/>
        <v/>
      </c>
      <c r="DO502" s="405">
        <v>0</v>
      </c>
      <c r="DP502" s="284">
        <f>IF(DM502,_xll.qDateYears(DM501,DM502,DP$13),0)</f>
        <v>0</v>
      </c>
      <c r="DQ502" s="284">
        <f t="shared" si="118"/>
        <v>2216.4810485334592</v>
      </c>
    </row>
    <row r="503" spans="59:121">
      <c r="BG503" s="560">
        <v>0</v>
      </c>
      <c r="BH503" s="154" t="str">
        <f t="shared" si="107"/>
        <v/>
      </c>
      <c r="BI503" s="405">
        <v>0</v>
      </c>
      <c r="BJ503" s="284">
        <f>IF(BG503,_xll.qDateYears(BG502,BG503,$BJ$13),0)</f>
        <v>0</v>
      </c>
      <c r="BK503" s="284">
        <f t="shared" si="113"/>
        <v>2216.4810485334592</v>
      </c>
      <c r="BQ503" s="560">
        <v>0</v>
      </c>
      <c r="BR503" s="155" t="str">
        <f t="shared" si="108"/>
        <v/>
      </c>
      <c r="BS503" s="405">
        <v>0</v>
      </c>
      <c r="BT503" s="284">
        <f>IF(BQ503,_xll.qDateYears(BQ502,BQ503,BT$13),0)</f>
        <v>0</v>
      </c>
      <c r="BU503" s="284">
        <f t="shared" si="114"/>
        <v>1731.4581291138484</v>
      </c>
      <c r="CC503" s="560">
        <v>0</v>
      </c>
      <c r="CD503" s="155" t="str">
        <f t="shared" si="109"/>
        <v/>
      </c>
      <c r="CE503" s="405">
        <v>0</v>
      </c>
      <c r="CF503" s="284">
        <f>IF(CC503,_xll.qDateYears(CC502,CC503,CF$13),0)</f>
        <v>0</v>
      </c>
      <c r="CG503" s="284">
        <f t="shared" si="115"/>
        <v>2320.9300800126416</v>
      </c>
      <c r="CO503" s="560">
        <v>0</v>
      </c>
      <c r="CP503" s="155" t="str">
        <f t="shared" si="110"/>
        <v/>
      </c>
      <c r="CQ503" s="405">
        <v>0</v>
      </c>
      <c r="CR503" s="284">
        <f>IF(CO503,_xll.qDateYears(CO502,CO503,CR$13),0)</f>
        <v>0</v>
      </c>
      <c r="CS503" s="284">
        <f t="shared" si="116"/>
        <v>2166.0491297426292</v>
      </c>
      <c r="DA503" s="560">
        <v>0</v>
      </c>
      <c r="DB503" s="155" t="str">
        <f t="shared" si="111"/>
        <v/>
      </c>
      <c r="DC503" s="405">
        <v>0</v>
      </c>
      <c r="DD503" s="284">
        <f>IF(DA503,_xll.qDateYears(DA502,DA503,DD$13),0)</f>
        <v>0</v>
      </c>
      <c r="DE503" s="284">
        <f t="shared" si="117"/>
        <v>1625.698949379763</v>
      </c>
      <c r="DM503" s="560">
        <v>0</v>
      </c>
      <c r="DN503" s="155" t="str">
        <f t="shared" si="112"/>
        <v/>
      </c>
      <c r="DO503" s="405">
        <v>0</v>
      </c>
      <c r="DP503" s="284">
        <f>IF(DM503,_xll.qDateYears(DM502,DM503,DP$13),0)</f>
        <v>0</v>
      </c>
      <c r="DQ503" s="284">
        <f t="shared" si="118"/>
        <v>2216.4810485334592</v>
      </c>
    </row>
    <row r="504" spans="59:121">
      <c r="BG504" s="560">
        <v>0</v>
      </c>
      <c r="BH504" s="154" t="str">
        <f t="shared" si="107"/>
        <v/>
      </c>
      <c r="BI504" s="405">
        <v>0</v>
      </c>
      <c r="BJ504" s="284">
        <f>IF(BG504,_xll.qDateYears(BG503,BG504,$BJ$13),0)</f>
        <v>0</v>
      </c>
      <c r="BK504" s="284">
        <f t="shared" si="113"/>
        <v>2216.4810485334592</v>
      </c>
      <c r="BQ504" s="560">
        <v>0</v>
      </c>
      <c r="BR504" s="155" t="str">
        <f t="shared" si="108"/>
        <v/>
      </c>
      <c r="BS504" s="405">
        <v>0</v>
      </c>
      <c r="BT504" s="284">
        <f>IF(BQ504,_xll.qDateYears(BQ503,BQ504,BT$13),0)</f>
        <v>0</v>
      </c>
      <c r="BU504" s="284">
        <f t="shared" si="114"/>
        <v>1731.4581291138484</v>
      </c>
      <c r="CC504" s="560">
        <v>0</v>
      </c>
      <c r="CD504" s="155" t="str">
        <f t="shared" si="109"/>
        <v/>
      </c>
      <c r="CE504" s="405">
        <v>0</v>
      </c>
      <c r="CF504" s="284">
        <f>IF(CC504,_xll.qDateYears(CC503,CC504,CF$13),0)</f>
        <v>0</v>
      </c>
      <c r="CG504" s="284">
        <f t="shared" si="115"/>
        <v>2320.9300800126416</v>
      </c>
      <c r="CO504" s="560">
        <v>0</v>
      </c>
      <c r="CP504" s="155" t="str">
        <f t="shared" si="110"/>
        <v/>
      </c>
      <c r="CQ504" s="405">
        <v>0</v>
      </c>
      <c r="CR504" s="284">
        <f>IF(CO504,_xll.qDateYears(CO503,CO504,CR$13),0)</f>
        <v>0</v>
      </c>
      <c r="CS504" s="284">
        <f t="shared" si="116"/>
        <v>2166.0491297426292</v>
      </c>
      <c r="DA504" s="560">
        <v>0</v>
      </c>
      <c r="DB504" s="155" t="str">
        <f t="shared" si="111"/>
        <v/>
      </c>
      <c r="DC504" s="405">
        <v>0</v>
      </c>
      <c r="DD504" s="284">
        <f>IF(DA504,_xll.qDateYears(DA503,DA504,DD$13),0)</f>
        <v>0</v>
      </c>
      <c r="DE504" s="284">
        <f t="shared" si="117"/>
        <v>1625.698949379763</v>
      </c>
      <c r="DM504" s="560">
        <v>0</v>
      </c>
      <c r="DN504" s="155" t="str">
        <f t="shared" si="112"/>
        <v/>
      </c>
      <c r="DO504" s="405">
        <v>0</v>
      </c>
      <c r="DP504" s="284">
        <f>IF(DM504,_xll.qDateYears(DM503,DM504,DP$13),0)</f>
        <v>0</v>
      </c>
      <c r="DQ504" s="284">
        <f t="shared" si="118"/>
        <v>2216.4810485334592</v>
      </c>
    </row>
    <row r="505" spans="59:121">
      <c r="BG505" s="560">
        <v>0</v>
      </c>
      <c r="BH505" s="154" t="str">
        <f t="shared" si="107"/>
        <v/>
      </c>
      <c r="BI505" s="405">
        <v>0</v>
      </c>
      <c r="BJ505" s="284">
        <f>IF(BG505,_xll.qDateYears(BG504,BG505,$BJ$13),0)</f>
        <v>0</v>
      </c>
      <c r="BK505" s="284">
        <f t="shared" si="113"/>
        <v>2216.4810485334592</v>
      </c>
      <c r="BQ505" s="560">
        <v>0</v>
      </c>
      <c r="BR505" s="155" t="str">
        <f t="shared" si="108"/>
        <v/>
      </c>
      <c r="BS505" s="405">
        <v>0</v>
      </c>
      <c r="BT505" s="284">
        <f>IF(BQ505,_xll.qDateYears(BQ504,BQ505,BT$13),0)</f>
        <v>0</v>
      </c>
      <c r="BU505" s="284">
        <f t="shared" si="114"/>
        <v>1731.4581291138484</v>
      </c>
      <c r="CC505" s="560">
        <v>0</v>
      </c>
      <c r="CD505" s="155" t="str">
        <f t="shared" si="109"/>
        <v/>
      </c>
      <c r="CE505" s="405">
        <v>0</v>
      </c>
      <c r="CF505" s="284">
        <f>IF(CC505,_xll.qDateYears(CC504,CC505,CF$13),0)</f>
        <v>0</v>
      </c>
      <c r="CG505" s="284">
        <f t="shared" si="115"/>
        <v>2320.9300800126416</v>
      </c>
      <c r="CO505" s="560">
        <v>0</v>
      </c>
      <c r="CP505" s="155" t="str">
        <f t="shared" si="110"/>
        <v/>
      </c>
      <c r="CQ505" s="405">
        <v>0</v>
      </c>
      <c r="CR505" s="284">
        <f>IF(CO505,_xll.qDateYears(CO504,CO505,CR$13),0)</f>
        <v>0</v>
      </c>
      <c r="CS505" s="284">
        <f t="shared" si="116"/>
        <v>2166.0491297426292</v>
      </c>
      <c r="DA505" s="560">
        <v>0</v>
      </c>
      <c r="DB505" s="155" t="str">
        <f t="shared" si="111"/>
        <v/>
      </c>
      <c r="DC505" s="405">
        <v>0</v>
      </c>
      <c r="DD505" s="284">
        <f>IF(DA505,_xll.qDateYears(DA504,DA505,DD$13),0)</f>
        <v>0</v>
      </c>
      <c r="DE505" s="284">
        <f t="shared" si="117"/>
        <v>1625.698949379763</v>
      </c>
      <c r="DM505" s="560">
        <v>0</v>
      </c>
      <c r="DN505" s="155" t="str">
        <f t="shared" si="112"/>
        <v/>
      </c>
      <c r="DO505" s="405">
        <v>0</v>
      </c>
      <c r="DP505" s="284">
        <f>IF(DM505,_xll.qDateYears(DM504,DM505,DP$13),0)</f>
        <v>0</v>
      </c>
      <c r="DQ505" s="284">
        <f t="shared" si="118"/>
        <v>2216.4810485334592</v>
      </c>
    </row>
    <row r="506" spans="59:121">
      <c r="BG506" s="560">
        <v>0</v>
      </c>
      <c r="BH506" s="154" t="str">
        <f t="shared" si="107"/>
        <v/>
      </c>
      <c r="BI506" s="405">
        <v>0</v>
      </c>
      <c r="BJ506" s="284">
        <f>IF(BG506,_xll.qDateYears(BG505,BG506,$BJ$13),0)</f>
        <v>0</v>
      </c>
      <c r="BK506" s="284">
        <f t="shared" si="113"/>
        <v>2216.4810485334592</v>
      </c>
      <c r="BQ506" s="560">
        <v>0</v>
      </c>
      <c r="BR506" s="155" t="str">
        <f t="shared" si="108"/>
        <v/>
      </c>
      <c r="BS506" s="405">
        <v>0</v>
      </c>
      <c r="BT506" s="284">
        <f>IF(BQ506,_xll.qDateYears(BQ505,BQ506,BT$13),0)</f>
        <v>0</v>
      </c>
      <c r="BU506" s="284">
        <f t="shared" si="114"/>
        <v>1731.4581291138484</v>
      </c>
      <c r="CC506" s="560">
        <v>0</v>
      </c>
      <c r="CD506" s="155" t="str">
        <f t="shared" si="109"/>
        <v/>
      </c>
      <c r="CE506" s="405">
        <v>0</v>
      </c>
      <c r="CF506" s="284">
        <f>IF(CC506,_xll.qDateYears(CC505,CC506,CF$13),0)</f>
        <v>0</v>
      </c>
      <c r="CG506" s="284">
        <f t="shared" si="115"/>
        <v>2320.9300800126416</v>
      </c>
      <c r="CO506" s="560">
        <v>0</v>
      </c>
      <c r="CP506" s="155" t="str">
        <f t="shared" si="110"/>
        <v/>
      </c>
      <c r="CQ506" s="405">
        <v>0</v>
      </c>
      <c r="CR506" s="284">
        <f>IF(CO506,_xll.qDateYears(CO505,CO506,CR$13),0)</f>
        <v>0</v>
      </c>
      <c r="CS506" s="284">
        <f t="shared" si="116"/>
        <v>2166.0491297426292</v>
      </c>
      <c r="DA506" s="560">
        <v>0</v>
      </c>
      <c r="DB506" s="155" t="str">
        <f t="shared" si="111"/>
        <v/>
      </c>
      <c r="DC506" s="405">
        <v>0</v>
      </c>
      <c r="DD506" s="284">
        <f>IF(DA506,_xll.qDateYears(DA505,DA506,DD$13),0)</f>
        <v>0</v>
      </c>
      <c r="DE506" s="284">
        <f t="shared" si="117"/>
        <v>1625.698949379763</v>
      </c>
      <c r="DM506" s="560">
        <v>0</v>
      </c>
      <c r="DN506" s="155" t="str">
        <f t="shared" si="112"/>
        <v/>
      </c>
      <c r="DO506" s="405">
        <v>0</v>
      </c>
      <c r="DP506" s="284">
        <f>IF(DM506,_xll.qDateYears(DM505,DM506,DP$13),0)</f>
        <v>0</v>
      </c>
      <c r="DQ506" s="284">
        <f t="shared" si="118"/>
        <v>2216.4810485334592</v>
      </c>
    </row>
    <row r="507" spans="59:121">
      <c r="BG507" s="560">
        <v>0</v>
      </c>
      <c r="BH507" s="154" t="str">
        <f t="shared" si="107"/>
        <v/>
      </c>
      <c r="BI507" s="405">
        <v>0</v>
      </c>
      <c r="BJ507" s="284">
        <f>IF(BG507,_xll.qDateYears(BG506,BG507,$BJ$13),0)</f>
        <v>0</v>
      </c>
      <c r="BK507" s="284">
        <f t="shared" si="113"/>
        <v>2216.4810485334592</v>
      </c>
      <c r="BQ507" s="560">
        <v>0</v>
      </c>
      <c r="BR507" s="155" t="str">
        <f t="shared" si="108"/>
        <v/>
      </c>
      <c r="BS507" s="405">
        <v>0</v>
      </c>
      <c r="BT507" s="284">
        <f>IF(BQ507,_xll.qDateYears(BQ506,BQ507,BT$13),0)</f>
        <v>0</v>
      </c>
      <c r="BU507" s="284">
        <f t="shared" si="114"/>
        <v>1731.4581291138484</v>
      </c>
      <c r="CC507" s="560">
        <v>0</v>
      </c>
      <c r="CD507" s="155" t="str">
        <f t="shared" si="109"/>
        <v/>
      </c>
      <c r="CE507" s="405">
        <v>0</v>
      </c>
      <c r="CF507" s="284">
        <f>IF(CC507,_xll.qDateYears(CC506,CC507,CF$13),0)</f>
        <v>0</v>
      </c>
      <c r="CG507" s="284">
        <f t="shared" si="115"/>
        <v>2320.9300800126416</v>
      </c>
      <c r="CO507" s="560">
        <v>0</v>
      </c>
      <c r="CP507" s="155" t="str">
        <f t="shared" si="110"/>
        <v/>
      </c>
      <c r="CQ507" s="405">
        <v>0</v>
      </c>
      <c r="CR507" s="284">
        <f>IF(CO507,_xll.qDateYears(CO506,CO507,CR$13),0)</f>
        <v>0</v>
      </c>
      <c r="CS507" s="284">
        <f t="shared" si="116"/>
        <v>2166.0491297426292</v>
      </c>
      <c r="DA507" s="560">
        <v>0</v>
      </c>
      <c r="DB507" s="155" t="str">
        <f t="shared" si="111"/>
        <v/>
      </c>
      <c r="DC507" s="405">
        <v>0</v>
      </c>
      <c r="DD507" s="284">
        <f>IF(DA507,_xll.qDateYears(DA506,DA507,DD$13),0)</f>
        <v>0</v>
      </c>
      <c r="DE507" s="284">
        <f t="shared" si="117"/>
        <v>1625.698949379763</v>
      </c>
      <c r="DM507" s="560">
        <v>0</v>
      </c>
      <c r="DN507" s="155" t="str">
        <f t="shared" si="112"/>
        <v/>
      </c>
      <c r="DO507" s="405">
        <v>0</v>
      </c>
      <c r="DP507" s="284">
        <f>IF(DM507,_xll.qDateYears(DM506,DM507,DP$13),0)</f>
        <v>0</v>
      </c>
      <c r="DQ507" s="284">
        <f t="shared" si="118"/>
        <v>2216.4810485334592</v>
      </c>
    </row>
    <row r="508" spans="59:121">
      <c r="BG508" s="560">
        <v>0</v>
      </c>
      <c r="BH508" s="154" t="str">
        <f t="shared" si="107"/>
        <v/>
      </c>
      <c r="BI508" s="405">
        <v>0</v>
      </c>
      <c r="BJ508" s="284">
        <f>IF(BG508,_xll.qDateYears(BG507,BG508,$BJ$13),0)</f>
        <v>0</v>
      </c>
      <c r="BK508" s="284">
        <f t="shared" si="113"/>
        <v>2216.4810485334592</v>
      </c>
      <c r="BQ508" s="560">
        <v>0</v>
      </c>
      <c r="BR508" s="155" t="str">
        <f t="shared" si="108"/>
        <v/>
      </c>
      <c r="BS508" s="405">
        <v>0</v>
      </c>
      <c r="BT508" s="284">
        <f>IF(BQ508,_xll.qDateYears(BQ507,BQ508,BT$13),0)</f>
        <v>0</v>
      </c>
      <c r="BU508" s="284">
        <f t="shared" si="114"/>
        <v>1731.4581291138484</v>
      </c>
      <c r="CC508" s="560">
        <v>0</v>
      </c>
      <c r="CD508" s="155" t="str">
        <f t="shared" si="109"/>
        <v/>
      </c>
      <c r="CE508" s="405">
        <v>0</v>
      </c>
      <c r="CF508" s="284">
        <f>IF(CC508,_xll.qDateYears(CC507,CC508,CF$13),0)</f>
        <v>0</v>
      </c>
      <c r="CG508" s="284">
        <f t="shared" si="115"/>
        <v>2320.9300800126416</v>
      </c>
      <c r="CO508" s="560">
        <v>0</v>
      </c>
      <c r="CP508" s="155" t="str">
        <f t="shared" si="110"/>
        <v/>
      </c>
      <c r="CQ508" s="405">
        <v>0</v>
      </c>
      <c r="CR508" s="284">
        <f>IF(CO508,_xll.qDateYears(CO507,CO508,CR$13),0)</f>
        <v>0</v>
      </c>
      <c r="CS508" s="284">
        <f t="shared" si="116"/>
        <v>2166.0491297426292</v>
      </c>
      <c r="DA508" s="560">
        <v>0</v>
      </c>
      <c r="DB508" s="155" t="str">
        <f t="shared" si="111"/>
        <v/>
      </c>
      <c r="DC508" s="405">
        <v>0</v>
      </c>
      <c r="DD508" s="284">
        <f>IF(DA508,_xll.qDateYears(DA507,DA508,DD$13),0)</f>
        <v>0</v>
      </c>
      <c r="DE508" s="284">
        <f t="shared" si="117"/>
        <v>1625.698949379763</v>
      </c>
      <c r="DM508" s="560">
        <v>0</v>
      </c>
      <c r="DN508" s="155" t="str">
        <f t="shared" si="112"/>
        <v/>
      </c>
      <c r="DO508" s="405">
        <v>0</v>
      </c>
      <c r="DP508" s="284">
        <f>IF(DM508,_xll.qDateYears(DM507,DM508,DP$13),0)</f>
        <v>0</v>
      </c>
      <c r="DQ508" s="284">
        <f t="shared" si="118"/>
        <v>2216.4810485334592</v>
      </c>
    </row>
    <row r="509" spans="59:121">
      <c r="BG509" s="560">
        <v>0</v>
      </c>
      <c r="BH509" s="154" t="str">
        <f t="shared" si="107"/>
        <v/>
      </c>
      <c r="BI509" s="405">
        <v>0</v>
      </c>
      <c r="BJ509" s="284">
        <f>IF(BG509,_xll.qDateYears(BG508,BG509,$BJ$13),0)</f>
        <v>0</v>
      </c>
      <c r="BK509" s="284">
        <f t="shared" si="113"/>
        <v>2216.4810485334592</v>
      </c>
      <c r="BQ509" s="560">
        <v>0</v>
      </c>
      <c r="BR509" s="155" t="str">
        <f t="shared" si="108"/>
        <v/>
      </c>
      <c r="BS509" s="405">
        <v>0</v>
      </c>
      <c r="BT509" s="284">
        <f>IF(BQ509,_xll.qDateYears(BQ508,BQ509,BT$13),0)</f>
        <v>0</v>
      </c>
      <c r="BU509" s="284">
        <f t="shared" si="114"/>
        <v>1731.4581291138484</v>
      </c>
      <c r="CC509" s="560">
        <v>0</v>
      </c>
      <c r="CD509" s="155" t="str">
        <f t="shared" si="109"/>
        <v/>
      </c>
      <c r="CE509" s="405">
        <v>0</v>
      </c>
      <c r="CF509" s="284">
        <f>IF(CC509,_xll.qDateYears(CC508,CC509,CF$13),0)</f>
        <v>0</v>
      </c>
      <c r="CG509" s="284">
        <f t="shared" si="115"/>
        <v>2320.9300800126416</v>
      </c>
      <c r="CO509" s="560">
        <v>0</v>
      </c>
      <c r="CP509" s="155" t="str">
        <f t="shared" si="110"/>
        <v/>
      </c>
      <c r="CQ509" s="405">
        <v>0</v>
      </c>
      <c r="CR509" s="284">
        <f>IF(CO509,_xll.qDateYears(CO508,CO509,CR$13),0)</f>
        <v>0</v>
      </c>
      <c r="CS509" s="284">
        <f t="shared" si="116"/>
        <v>2166.0491297426292</v>
      </c>
      <c r="DA509" s="560">
        <v>0</v>
      </c>
      <c r="DB509" s="155" t="str">
        <f t="shared" si="111"/>
        <v/>
      </c>
      <c r="DC509" s="405">
        <v>0</v>
      </c>
      <c r="DD509" s="284">
        <f>IF(DA509,_xll.qDateYears(DA508,DA509,DD$13),0)</f>
        <v>0</v>
      </c>
      <c r="DE509" s="284">
        <f t="shared" si="117"/>
        <v>1625.698949379763</v>
      </c>
      <c r="DM509" s="560">
        <v>0</v>
      </c>
      <c r="DN509" s="155" t="str">
        <f t="shared" si="112"/>
        <v/>
      </c>
      <c r="DO509" s="405">
        <v>0</v>
      </c>
      <c r="DP509" s="284">
        <f>IF(DM509,_xll.qDateYears(DM508,DM509,DP$13),0)</f>
        <v>0</v>
      </c>
      <c r="DQ509" s="284">
        <f t="shared" si="118"/>
        <v>2216.4810485334592</v>
      </c>
    </row>
    <row r="510" spans="59:121">
      <c r="BG510" s="560">
        <v>0</v>
      </c>
      <c r="BH510" s="154" t="str">
        <f t="shared" si="107"/>
        <v/>
      </c>
      <c r="BI510" s="405">
        <v>0</v>
      </c>
      <c r="BJ510" s="284">
        <f>IF(BG510,_xll.qDateYears(BG509,BG510,$BJ$13),0)</f>
        <v>0</v>
      </c>
      <c r="BK510" s="284">
        <f t="shared" si="113"/>
        <v>2216.4810485334592</v>
      </c>
      <c r="BQ510" s="560">
        <v>0</v>
      </c>
      <c r="BR510" s="155" t="str">
        <f t="shared" si="108"/>
        <v/>
      </c>
      <c r="BS510" s="405">
        <v>0</v>
      </c>
      <c r="BT510" s="284">
        <f>IF(BQ510,_xll.qDateYears(BQ509,BQ510,BT$13),0)</f>
        <v>0</v>
      </c>
      <c r="BU510" s="284">
        <f t="shared" si="114"/>
        <v>1731.4581291138484</v>
      </c>
      <c r="CC510" s="560">
        <v>0</v>
      </c>
      <c r="CD510" s="155" t="str">
        <f t="shared" si="109"/>
        <v/>
      </c>
      <c r="CE510" s="405">
        <v>0</v>
      </c>
      <c r="CF510" s="284">
        <f>IF(CC510,_xll.qDateYears(CC509,CC510,CF$13),0)</f>
        <v>0</v>
      </c>
      <c r="CG510" s="284">
        <f t="shared" si="115"/>
        <v>2320.9300800126416</v>
      </c>
      <c r="CO510" s="560">
        <v>0</v>
      </c>
      <c r="CP510" s="155" t="str">
        <f t="shared" si="110"/>
        <v/>
      </c>
      <c r="CQ510" s="405">
        <v>0</v>
      </c>
      <c r="CR510" s="284">
        <f>IF(CO510,_xll.qDateYears(CO509,CO510,CR$13),0)</f>
        <v>0</v>
      </c>
      <c r="CS510" s="284">
        <f t="shared" si="116"/>
        <v>2166.0491297426292</v>
      </c>
      <c r="DA510" s="560">
        <v>0</v>
      </c>
      <c r="DB510" s="155" t="str">
        <f t="shared" si="111"/>
        <v/>
      </c>
      <c r="DC510" s="405">
        <v>0</v>
      </c>
      <c r="DD510" s="284">
        <f>IF(DA510,_xll.qDateYears(DA509,DA510,DD$13),0)</f>
        <v>0</v>
      </c>
      <c r="DE510" s="284">
        <f t="shared" si="117"/>
        <v>1625.698949379763</v>
      </c>
      <c r="DM510" s="560">
        <v>0</v>
      </c>
      <c r="DN510" s="155" t="str">
        <f t="shared" si="112"/>
        <v/>
      </c>
      <c r="DO510" s="405">
        <v>0</v>
      </c>
      <c r="DP510" s="284">
        <f>IF(DM510,_xll.qDateYears(DM509,DM510,DP$13),0)</f>
        <v>0</v>
      </c>
      <c r="DQ510" s="284">
        <f t="shared" si="118"/>
        <v>2216.4810485334592</v>
      </c>
    </row>
    <row r="511" spans="59:121">
      <c r="BG511" s="560">
        <v>0</v>
      </c>
      <c r="BH511" s="154" t="str">
        <f t="shared" si="107"/>
        <v/>
      </c>
      <c r="BI511" s="405">
        <v>0</v>
      </c>
      <c r="BJ511" s="284">
        <f>IF(BG511,_xll.qDateYears(BG510,BG511,$BJ$13),0)</f>
        <v>0</v>
      </c>
      <c r="BK511" s="284">
        <f t="shared" si="113"/>
        <v>2216.4810485334592</v>
      </c>
      <c r="BQ511" s="560">
        <v>0</v>
      </c>
      <c r="BR511" s="155" t="str">
        <f t="shared" si="108"/>
        <v/>
      </c>
      <c r="BS511" s="405">
        <v>0</v>
      </c>
      <c r="BT511" s="284">
        <f>IF(BQ511,_xll.qDateYears(BQ510,BQ511,BT$13),0)</f>
        <v>0</v>
      </c>
      <c r="BU511" s="284">
        <f t="shared" si="114"/>
        <v>1731.4581291138484</v>
      </c>
      <c r="CC511" s="560">
        <v>0</v>
      </c>
      <c r="CD511" s="155" t="str">
        <f t="shared" si="109"/>
        <v/>
      </c>
      <c r="CE511" s="405">
        <v>0</v>
      </c>
      <c r="CF511" s="284">
        <f>IF(CC511,_xll.qDateYears(CC510,CC511,CF$13),0)</f>
        <v>0</v>
      </c>
      <c r="CG511" s="284">
        <f t="shared" si="115"/>
        <v>2320.9300800126416</v>
      </c>
      <c r="CO511" s="560">
        <v>0</v>
      </c>
      <c r="CP511" s="155" t="str">
        <f t="shared" si="110"/>
        <v/>
      </c>
      <c r="CQ511" s="405">
        <v>0</v>
      </c>
      <c r="CR511" s="284">
        <f>IF(CO511,_xll.qDateYears(CO510,CO511,CR$13),0)</f>
        <v>0</v>
      </c>
      <c r="CS511" s="284">
        <f t="shared" si="116"/>
        <v>2166.0491297426292</v>
      </c>
      <c r="DA511" s="560">
        <v>0</v>
      </c>
      <c r="DB511" s="155" t="str">
        <f t="shared" si="111"/>
        <v/>
      </c>
      <c r="DC511" s="405">
        <v>0</v>
      </c>
      <c r="DD511" s="284">
        <f>IF(DA511,_xll.qDateYears(DA510,DA511,DD$13),0)</f>
        <v>0</v>
      </c>
      <c r="DE511" s="284">
        <f t="shared" si="117"/>
        <v>1625.698949379763</v>
      </c>
      <c r="DM511" s="560">
        <v>0</v>
      </c>
      <c r="DN511" s="155" t="str">
        <f t="shared" si="112"/>
        <v/>
      </c>
      <c r="DO511" s="405">
        <v>0</v>
      </c>
      <c r="DP511" s="284">
        <f>IF(DM511,_xll.qDateYears(DM510,DM511,DP$13),0)</f>
        <v>0</v>
      </c>
      <c r="DQ511" s="284">
        <f t="shared" si="118"/>
        <v>2216.4810485334592</v>
      </c>
    </row>
    <row r="512" spans="59:121">
      <c r="BG512" s="560">
        <v>0</v>
      </c>
      <c r="BH512" s="154" t="str">
        <f t="shared" si="107"/>
        <v/>
      </c>
      <c r="BI512" s="405">
        <v>0</v>
      </c>
      <c r="BJ512" s="284">
        <f>IF(BG512,_xll.qDateYears(BG511,BG512,$BJ$13),0)</f>
        <v>0</v>
      </c>
      <c r="BK512" s="284">
        <f t="shared" si="113"/>
        <v>2216.4810485334592</v>
      </c>
      <c r="BQ512" s="560">
        <v>0</v>
      </c>
      <c r="BR512" s="155" t="str">
        <f t="shared" si="108"/>
        <v/>
      </c>
      <c r="BS512" s="405">
        <v>0</v>
      </c>
      <c r="BT512" s="284">
        <f>IF(BQ512,_xll.qDateYears(BQ511,BQ512,BT$13),0)</f>
        <v>0</v>
      </c>
      <c r="BU512" s="284">
        <f t="shared" si="114"/>
        <v>1731.4581291138484</v>
      </c>
      <c r="CC512" s="560">
        <v>0</v>
      </c>
      <c r="CD512" s="155" t="str">
        <f t="shared" si="109"/>
        <v/>
      </c>
      <c r="CE512" s="405">
        <v>0</v>
      </c>
      <c r="CF512" s="284">
        <f>IF(CC512,_xll.qDateYears(CC511,CC512,CF$13),0)</f>
        <v>0</v>
      </c>
      <c r="CG512" s="284">
        <f t="shared" si="115"/>
        <v>2320.9300800126416</v>
      </c>
      <c r="CO512" s="560">
        <v>0</v>
      </c>
      <c r="CP512" s="155" t="str">
        <f t="shared" si="110"/>
        <v/>
      </c>
      <c r="CQ512" s="405">
        <v>0</v>
      </c>
      <c r="CR512" s="284">
        <f>IF(CO512,_xll.qDateYears(CO511,CO512,CR$13),0)</f>
        <v>0</v>
      </c>
      <c r="CS512" s="284">
        <f t="shared" si="116"/>
        <v>2166.0491297426292</v>
      </c>
      <c r="DA512" s="560">
        <v>0</v>
      </c>
      <c r="DB512" s="155" t="str">
        <f t="shared" si="111"/>
        <v/>
      </c>
      <c r="DC512" s="405">
        <v>0</v>
      </c>
      <c r="DD512" s="284">
        <f>IF(DA512,_xll.qDateYears(DA511,DA512,DD$13),0)</f>
        <v>0</v>
      </c>
      <c r="DE512" s="284">
        <f t="shared" si="117"/>
        <v>1625.698949379763</v>
      </c>
      <c r="DM512" s="560">
        <v>0</v>
      </c>
      <c r="DN512" s="155" t="str">
        <f t="shared" si="112"/>
        <v/>
      </c>
      <c r="DO512" s="405">
        <v>0</v>
      </c>
      <c r="DP512" s="284">
        <f>IF(DM512,_xll.qDateYears(DM511,DM512,DP$13),0)</f>
        <v>0</v>
      </c>
      <c r="DQ512" s="284">
        <f t="shared" si="118"/>
        <v>2216.4810485334592</v>
      </c>
    </row>
    <row r="513" spans="59:121">
      <c r="BG513" s="560">
        <v>0</v>
      </c>
      <c r="BH513" s="154" t="str">
        <f t="shared" si="107"/>
        <v/>
      </c>
      <c r="BI513" s="405">
        <v>0</v>
      </c>
      <c r="BJ513" s="284">
        <f>IF(BG513,_xll.qDateYears(BG512,BG513,$BJ$13),0)</f>
        <v>0</v>
      </c>
      <c r="BK513" s="284">
        <f t="shared" si="113"/>
        <v>2216.4810485334592</v>
      </c>
      <c r="BQ513" s="560">
        <v>0</v>
      </c>
      <c r="BR513" s="155" t="str">
        <f t="shared" si="108"/>
        <v/>
      </c>
      <c r="BS513" s="405">
        <v>0</v>
      </c>
      <c r="BT513" s="284">
        <f>IF(BQ513,_xll.qDateYears(BQ512,BQ513,BT$13),0)</f>
        <v>0</v>
      </c>
      <c r="BU513" s="284">
        <f t="shared" si="114"/>
        <v>1731.4581291138484</v>
      </c>
      <c r="CC513" s="560">
        <v>0</v>
      </c>
      <c r="CD513" s="155" t="str">
        <f t="shared" si="109"/>
        <v/>
      </c>
      <c r="CE513" s="405">
        <v>0</v>
      </c>
      <c r="CF513" s="284">
        <f>IF(CC513,_xll.qDateYears(CC512,CC513,CF$13),0)</f>
        <v>0</v>
      </c>
      <c r="CG513" s="284">
        <f t="shared" si="115"/>
        <v>2320.9300800126416</v>
      </c>
      <c r="CO513" s="560">
        <v>0</v>
      </c>
      <c r="CP513" s="155" t="str">
        <f t="shared" si="110"/>
        <v/>
      </c>
      <c r="CQ513" s="405">
        <v>0</v>
      </c>
      <c r="CR513" s="284">
        <f>IF(CO513,_xll.qDateYears(CO512,CO513,CR$13),0)</f>
        <v>0</v>
      </c>
      <c r="CS513" s="284">
        <f t="shared" si="116"/>
        <v>2166.0491297426292</v>
      </c>
      <c r="DA513" s="560">
        <v>0</v>
      </c>
      <c r="DB513" s="155" t="str">
        <f t="shared" si="111"/>
        <v/>
      </c>
      <c r="DC513" s="405">
        <v>0</v>
      </c>
      <c r="DD513" s="284">
        <f>IF(DA513,_xll.qDateYears(DA512,DA513,DD$13),0)</f>
        <v>0</v>
      </c>
      <c r="DE513" s="284">
        <f t="shared" si="117"/>
        <v>1625.698949379763</v>
      </c>
      <c r="DM513" s="560">
        <v>0</v>
      </c>
      <c r="DN513" s="155" t="str">
        <f t="shared" si="112"/>
        <v/>
      </c>
      <c r="DO513" s="405">
        <v>0</v>
      </c>
      <c r="DP513" s="284">
        <f>IF(DM513,_xll.qDateYears(DM512,DM513,DP$13),0)</f>
        <v>0</v>
      </c>
      <c r="DQ513" s="284">
        <f t="shared" si="118"/>
        <v>2216.4810485334592</v>
      </c>
    </row>
    <row r="514" spans="59:121">
      <c r="BG514" s="560">
        <v>0</v>
      </c>
      <c r="BH514" s="154" t="str">
        <f t="shared" si="107"/>
        <v/>
      </c>
      <c r="BI514" s="405">
        <v>0</v>
      </c>
      <c r="BJ514" s="284">
        <f>IF(BG514,_xll.qDateYears(BG513,BG514,$BJ$13),0)</f>
        <v>0</v>
      </c>
      <c r="BK514" s="284">
        <f t="shared" si="113"/>
        <v>2216.4810485334592</v>
      </c>
      <c r="BQ514" s="560">
        <v>0</v>
      </c>
      <c r="BR514" s="155" t="str">
        <f t="shared" si="108"/>
        <v/>
      </c>
      <c r="BS514" s="405">
        <v>0</v>
      </c>
      <c r="BT514" s="284">
        <f>IF(BQ514,_xll.qDateYears(BQ513,BQ514,BT$13),0)</f>
        <v>0</v>
      </c>
      <c r="BU514" s="284">
        <f t="shared" si="114"/>
        <v>1731.4581291138484</v>
      </c>
      <c r="CC514" s="560">
        <v>0</v>
      </c>
      <c r="CD514" s="155" t="str">
        <f t="shared" si="109"/>
        <v/>
      </c>
      <c r="CE514" s="405">
        <v>0</v>
      </c>
      <c r="CF514" s="284">
        <f>IF(CC514,_xll.qDateYears(CC513,CC514,CF$13),0)</f>
        <v>0</v>
      </c>
      <c r="CG514" s="284">
        <f t="shared" si="115"/>
        <v>2320.9300800126416</v>
      </c>
      <c r="CO514" s="560">
        <v>0</v>
      </c>
      <c r="CP514" s="155" t="str">
        <f t="shared" si="110"/>
        <v/>
      </c>
      <c r="CQ514" s="405">
        <v>0</v>
      </c>
      <c r="CR514" s="284">
        <f>IF(CO514,_xll.qDateYears(CO513,CO514,CR$13),0)</f>
        <v>0</v>
      </c>
      <c r="CS514" s="284">
        <f t="shared" si="116"/>
        <v>2166.0491297426292</v>
      </c>
      <c r="DA514" s="560">
        <v>0</v>
      </c>
      <c r="DB514" s="155" t="str">
        <f t="shared" si="111"/>
        <v/>
      </c>
      <c r="DC514" s="405">
        <v>0</v>
      </c>
      <c r="DD514" s="284">
        <f>IF(DA514,_xll.qDateYears(DA513,DA514,DD$13),0)</f>
        <v>0</v>
      </c>
      <c r="DE514" s="284">
        <f t="shared" si="117"/>
        <v>1625.698949379763</v>
      </c>
      <c r="DM514" s="560">
        <v>0</v>
      </c>
      <c r="DN514" s="155" t="str">
        <f t="shared" si="112"/>
        <v/>
      </c>
      <c r="DO514" s="405">
        <v>0</v>
      </c>
      <c r="DP514" s="284">
        <f>IF(DM514,_xll.qDateYears(DM513,DM514,DP$13),0)</f>
        <v>0</v>
      </c>
      <c r="DQ514" s="284">
        <f t="shared" si="118"/>
        <v>2216.4810485334592</v>
      </c>
    </row>
  </sheetData>
  <sheetProtection sheet="1" scenarios="1" autoFilter="0" pivotTables="0"/>
  <mergeCells count="6">
    <mergeCell ref="EO7:EQ7"/>
    <mergeCell ref="EO8:EQ8"/>
    <mergeCell ref="ES7:ET7"/>
    <mergeCell ref="ES8:ET8"/>
    <mergeCell ref="EH11:EI11"/>
    <mergeCell ref="EK11:EL11"/>
  </mergeCells>
  <dataValidations count="5">
    <dataValidation type="list" allowBlank="1" showInputMessage="1" showErrorMessage="1" sqref="DG10 DS10 CU10 CI10 BW10 BM10">
      <formula1>"Floating,Act/365,Act/360,30/360"</formula1>
    </dataValidation>
    <dataValidation type="list" allowBlank="1" showInputMessage="1" showErrorMessage="1" sqref="DG11 DS11 CU11 CI11 BW11 BM11">
      <formula1>"1M,3M,6M"</formula1>
    </dataValidation>
    <dataValidation type="list" allowBlank="1" showInputMessage="1" showErrorMessage="1" sqref="F9">
      <formula1>"Zero Bank"</formula1>
    </dataValidation>
    <dataValidation type="list" allowBlank="1" showInputMessage="1" showErrorMessage="1" sqref="F14">
      <formula1>"Market,Act/365,Act/360,30/360"</formula1>
    </dataValidation>
    <dataValidation type="list" allowBlank="1" showInputMessage="1" showErrorMessage="1" sqref="F12 H12">
      <formula1>"Market,Monthly,Quarterly,Semi,Annual"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tHOL">
    <tabColor theme="1"/>
    <outlinePr showOutlineSymbols="0"/>
  </sheetPr>
  <dimension ref="B1:K47"/>
  <sheetViews>
    <sheetView showGridLines="0" showRowColHeaders="0" showOutlineSymbols="0" workbookViewId="0"/>
  </sheetViews>
  <sheetFormatPr defaultRowHeight="12.75"/>
  <cols>
    <col min="1" max="1" width="3.7109375" customWidth="1"/>
    <col min="2" max="2" width="18" customWidth="1"/>
    <col min="3" max="4" width="6.28515625" customWidth="1"/>
  </cols>
  <sheetData>
    <row r="1" spans="2:11" ht="0.95" customHeight="1"/>
    <row r="2" spans="2:11" ht="24.95" customHeight="1">
      <c r="B2" s="46" t="s">
        <v>430</v>
      </c>
      <c r="C2" s="46"/>
      <c r="D2" s="46"/>
      <c r="E2" s="46"/>
      <c r="F2" s="46"/>
      <c r="G2" s="46"/>
      <c r="H2" s="46"/>
      <c r="I2" s="46"/>
      <c r="J2" s="46"/>
      <c r="K2" s="46"/>
    </row>
    <row r="4" spans="2:11">
      <c r="B4" t="s">
        <v>522</v>
      </c>
    </row>
    <row r="5" spans="2:11">
      <c r="B5" t="s">
        <v>520</v>
      </c>
    </row>
    <row r="6" spans="2:11">
      <c r="B6" t="s">
        <v>521</v>
      </c>
    </row>
    <row r="8" spans="2:11">
      <c r="B8" s="544"/>
      <c r="C8" s="544" t="s">
        <v>510</v>
      </c>
      <c r="D8" s="544" t="s">
        <v>330</v>
      </c>
    </row>
    <row r="9" spans="2:11">
      <c r="B9" t="s">
        <v>431</v>
      </c>
      <c r="C9" t="s">
        <v>432</v>
      </c>
    </row>
    <row r="10" spans="2:11">
      <c r="B10" t="s">
        <v>433</v>
      </c>
      <c r="C10" t="s">
        <v>434</v>
      </c>
      <c r="D10" t="s">
        <v>515</v>
      </c>
    </row>
    <row r="11" spans="2:11">
      <c r="B11" t="s">
        <v>435</v>
      </c>
      <c r="C11" t="s">
        <v>436</v>
      </c>
      <c r="D11" t="s">
        <v>516</v>
      </c>
    </row>
    <row r="12" spans="2:11">
      <c r="B12" t="s">
        <v>437</v>
      </c>
      <c r="C12" t="s">
        <v>438</v>
      </c>
    </row>
    <row r="13" spans="2:11">
      <c r="B13" t="s">
        <v>439</v>
      </c>
      <c r="C13" t="s">
        <v>440</v>
      </c>
    </row>
    <row r="14" spans="2:11">
      <c r="B14" t="s">
        <v>441</v>
      </c>
      <c r="C14" t="s">
        <v>442</v>
      </c>
    </row>
    <row r="15" spans="2:11">
      <c r="B15" t="s">
        <v>443</v>
      </c>
      <c r="C15" t="s">
        <v>444</v>
      </c>
    </row>
    <row r="16" spans="2:11">
      <c r="B16" t="s">
        <v>445</v>
      </c>
      <c r="C16" t="s">
        <v>446</v>
      </c>
    </row>
    <row r="17" spans="2:4">
      <c r="B17" t="s">
        <v>447</v>
      </c>
      <c r="C17" t="s">
        <v>448</v>
      </c>
    </row>
    <row r="18" spans="2:4">
      <c r="B18" t="s">
        <v>449</v>
      </c>
      <c r="C18" t="s">
        <v>450</v>
      </c>
      <c r="D18" t="s">
        <v>509</v>
      </c>
    </row>
    <row r="19" spans="2:4">
      <c r="B19" t="s">
        <v>451</v>
      </c>
      <c r="C19" t="s">
        <v>452</v>
      </c>
    </row>
    <row r="20" spans="2:4">
      <c r="B20" t="s">
        <v>453</v>
      </c>
      <c r="C20" t="s">
        <v>454</v>
      </c>
      <c r="D20" t="s">
        <v>517</v>
      </c>
    </row>
    <row r="21" spans="2:4">
      <c r="B21" t="s">
        <v>455</v>
      </c>
      <c r="C21" t="s">
        <v>456</v>
      </c>
      <c r="D21" t="s">
        <v>518</v>
      </c>
    </row>
    <row r="22" spans="2:4">
      <c r="B22" t="s">
        <v>457</v>
      </c>
      <c r="C22" t="s">
        <v>458</v>
      </c>
      <c r="D22" t="s">
        <v>519</v>
      </c>
    </row>
    <row r="23" spans="2:4">
      <c r="B23" t="s">
        <v>459</v>
      </c>
      <c r="C23" t="s">
        <v>460</v>
      </c>
    </row>
    <row r="24" spans="2:4">
      <c r="B24" t="s">
        <v>461</v>
      </c>
      <c r="C24" t="s">
        <v>462</v>
      </c>
      <c r="D24" t="s">
        <v>763</v>
      </c>
    </row>
    <row r="25" spans="2:4">
      <c r="B25" t="s">
        <v>463</v>
      </c>
      <c r="C25" t="s">
        <v>464</v>
      </c>
    </row>
    <row r="26" spans="2:4">
      <c r="B26" t="s">
        <v>465</v>
      </c>
      <c r="C26" t="s">
        <v>466</v>
      </c>
      <c r="D26" t="s">
        <v>256</v>
      </c>
    </row>
    <row r="27" spans="2:4">
      <c r="B27" t="s">
        <v>467</v>
      </c>
      <c r="C27" t="s">
        <v>468</v>
      </c>
    </row>
    <row r="28" spans="2:4">
      <c r="B28" t="s">
        <v>469</v>
      </c>
      <c r="C28" t="s">
        <v>470</v>
      </c>
    </row>
    <row r="29" spans="2:4">
      <c r="B29" t="s">
        <v>471</v>
      </c>
      <c r="C29" t="s">
        <v>472</v>
      </c>
    </row>
    <row r="30" spans="2:4">
      <c r="B30" t="s">
        <v>473</v>
      </c>
      <c r="C30" t="s">
        <v>474</v>
      </c>
    </row>
    <row r="31" spans="2:4">
      <c r="B31" t="s">
        <v>475</v>
      </c>
      <c r="C31" t="s">
        <v>476</v>
      </c>
    </row>
    <row r="32" spans="2:4">
      <c r="B32" t="s">
        <v>477</v>
      </c>
      <c r="C32" t="s">
        <v>478</v>
      </c>
      <c r="D32" t="s">
        <v>259</v>
      </c>
    </row>
    <row r="33" spans="2:4">
      <c r="B33" t="s">
        <v>479</v>
      </c>
      <c r="C33" t="s">
        <v>480</v>
      </c>
      <c r="D33" t="s">
        <v>507</v>
      </c>
    </row>
    <row r="34" spans="2:4">
      <c r="B34" t="s">
        <v>481</v>
      </c>
      <c r="C34" t="s">
        <v>428</v>
      </c>
    </row>
    <row r="35" spans="2:4">
      <c r="B35" t="s">
        <v>482</v>
      </c>
      <c r="C35" t="s">
        <v>483</v>
      </c>
    </row>
    <row r="36" spans="2:4">
      <c r="B36" t="s">
        <v>484</v>
      </c>
      <c r="C36" t="s">
        <v>485</v>
      </c>
    </row>
    <row r="37" spans="2:4">
      <c r="B37" t="s">
        <v>486</v>
      </c>
      <c r="C37" t="s">
        <v>487</v>
      </c>
    </row>
    <row r="38" spans="2:4">
      <c r="B38" t="s">
        <v>488</v>
      </c>
      <c r="C38" t="s">
        <v>489</v>
      </c>
      <c r="D38" t="s">
        <v>514</v>
      </c>
    </row>
    <row r="39" spans="2:4">
      <c r="B39" t="s">
        <v>490</v>
      </c>
      <c r="C39" t="s">
        <v>491</v>
      </c>
      <c r="D39" t="s">
        <v>508</v>
      </c>
    </row>
    <row r="40" spans="2:4">
      <c r="B40" t="s">
        <v>492</v>
      </c>
      <c r="C40" t="s">
        <v>429</v>
      </c>
      <c r="D40" t="s">
        <v>142</v>
      </c>
    </row>
    <row r="41" spans="2:4">
      <c r="B41" t="s">
        <v>493</v>
      </c>
      <c r="C41" t="s">
        <v>494</v>
      </c>
      <c r="D41" t="s">
        <v>511</v>
      </c>
    </row>
    <row r="42" spans="2:4">
      <c r="B42" t="s">
        <v>495</v>
      </c>
      <c r="C42" t="s">
        <v>506</v>
      </c>
      <c r="D42" t="s">
        <v>258</v>
      </c>
    </row>
    <row r="43" spans="2:4">
      <c r="B43" t="s">
        <v>496</v>
      </c>
      <c r="C43" t="s">
        <v>497</v>
      </c>
      <c r="D43" t="s">
        <v>372</v>
      </c>
    </row>
    <row r="44" spans="2:4">
      <c r="B44" t="s">
        <v>498</v>
      </c>
      <c r="C44" t="s">
        <v>499</v>
      </c>
      <c r="D44" t="s">
        <v>513</v>
      </c>
    </row>
    <row r="45" spans="2:4">
      <c r="B45" t="s">
        <v>500</v>
      </c>
      <c r="C45" t="s">
        <v>501</v>
      </c>
    </row>
    <row r="46" spans="2:4">
      <c r="B46" t="s">
        <v>502</v>
      </c>
      <c r="C46" t="s">
        <v>503</v>
      </c>
      <c r="D46" t="s">
        <v>257</v>
      </c>
    </row>
    <row r="47" spans="2:4">
      <c r="B47" t="s">
        <v>504</v>
      </c>
      <c r="C47" t="s">
        <v>505</v>
      </c>
      <c r="D47" t="s">
        <v>512</v>
      </c>
    </row>
  </sheetData>
  <sheetProtection sheet="1" scenarios="1" autoFilter="0" pivotTables="0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tVER">
    <tabColor theme="1"/>
    <outlinePr showOutlineSymbols="0"/>
  </sheetPr>
  <dimension ref="B1:Q24"/>
  <sheetViews>
    <sheetView showGridLines="0" showRowColHeaders="0" showOutlineSymbols="0" workbookViewId="0"/>
  </sheetViews>
  <sheetFormatPr defaultRowHeight="12.75"/>
  <cols>
    <col min="1" max="1" width="2.7109375" customWidth="1"/>
    <col min="2" max="2" width="14.85546875" customWidth="1"/>
  </cols>
  <sheetData>
    <row r="1" spans="2:17" ht="0.95" customHeight="1"/>
    <row r="2" spans="2:17" ht="24.95" customHeight="1">
      <c r="B2" s="46" t="s">
        <v>177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</row>
    <row r="4" spans="2:17">
      <c r="B4" t="s">
        <v>532</v>
      </c>
      <c r="C4" t="s">
        <v>178</v>
      </c>
    </row>
    <row r="5" spans="2:17">
      <c r="B5" t="s">
        <v>533</v>
      </c>
      <c r="C5" t="s">
        <v>228</v>
      </c>
    </row>
    <row r="6" spans="2:17">
      <c r="B6" t="s">
        <v>534</v>
      </c>
      <c r="C6" t="s">
        <v>267</v>
      </c>
    </row>
    <row r="7" spans="2:17">
      <c r="B7" t="s">
        <v>535</v>
      </c>
      <c r="C7" t="s">
        <v>266</v>
      </c>
    </row>
    <row r="8" spans="2:17">
      <c r="B8" t="s">
        <v>536</v>
      </c>
      <c r="C8" t="s">
        <v>270</v>
      </c>
    </row>
    <row r="9" spans="2:17">
      <c r="B9" t="s">
        <v>537</v>
      </c>
      <c r="C9" t="s">
        <v>307</v>
      </c>
    </row>
    <row r="10" spans="2:17">
      <c r="B10" t="s">
        <v>538</v>
      </c>
      <c r="C10" t="s">
        <v>308</v>
      </c>
    </row>
    <row r="11" spans="2:17">
      <c r="B11" t="s">
        <v>539</v>
      </c>
      <c r="C11" t="s">
        <v>351</v>
      </c>
    </row>
    <row r="12" spans="2:17">
      <c r="B12" t="s">
        <v>540</v>
      </c>
      <c r="C12" t="s">
        <v>366</v>
      </c>
    </row>
    <row r="13" spans="2:17">
      <c r="B13" t="s">
        <v>541</v>
      </c>
      <c r="C13" t="s">
        <v>367</v>
      </c>
    </row>
    <row r="14" spans="2:17">
      <c r="B14" t="s">
        <v>542</v>
      </c>
      <c r="C14" t="s">
        <v>405</v>
      </c>
    </row>
    <row r="15" spans="2:17">
      <c r="B15" t="s">
        <v>543</v>
      </c>
      <c r="C15" t="s">
        <v>406</v>
      </c>
    </row>
    <row r="16" spans="2:17">
      <c r="B16" t="s">
        <v>544</v>
      </c>
      <c r="C16" t="s">
        <v>422</v>
      </c>
    </row>
    <row r="17" spans="2:3">
      <c r="B17" t="s">
        <v>545</v>
      </c>
      <c r="C17" t="s">
        <v>531</v>
      </c>
    </row>
    <row r="19" spans="2:3">
      <c r="B19" t="s">
        <v>546</v>
      </c>
      <c r="C19" t="s">
        <v>547</v>
      </c>
    </row>
    <row r="20" spans="2:3">
      <c r="B20" t="s">
        <v>141</v>
      </c>
      <c r="C20" t="s">
        <v>552</v>
      </c>
    </row>
    <row r="21" spans="2:3">
      <c r="B21" t="s">
        <v>555</v>
      </c>
      <c r="C21" t="s">
        <v>556</v>
      </c>
    </row>
    <row r="22" spans="2:3">
      <c r="B22" t="s">
        <v>563</v>
      </c>
      <c r="C22" t="s">
        <v>564</v>
      </c>
    </row>
    <row r="23" spans="2:3">
      <c r="B23" t="s">
        <v>705</v>
      </c>
      <c r="C23" t="s">
        <v>706</v>
      </c>
    </row>
    <row r="24" spans="2:3">
      <c r="B24" t="s">
        <v>750</v>
      </c>
      <c r="C24" t="s">
        <v>751</v>
      </c>
    </row>
  </sheetData>
  <sheetProtection sheet="1" scenarios="1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171</vt:i4>
      </vt:variant>
    </vt:vector>
  </HeadingPairs>
  <TitlesOfParts>
    <vt:vector size="184" baseType="lpstr">
      <vt:lpstr>CON</vt:lpstr>
      <vt:lpstr>FX</vt:lpstr>
      <vt:lpstr>AU</vt:lpstr>
      <vt:lpstr>US</vt:lpstr>
      <vt:lpstr>EU</vt:lpstr>
      <vt:lpstr>GB</vt:lpstr>
      <vt:lpstr>NZ</vt:lpstr>
      <vt:lpstr>HS</vt:lpstr>
      <vt:lpstr>IRS</vt:lpstr>
      <vt:lpstr>STR</vt:lpstr>
      <vt:lpstr>TBL</vt:lpstr>
      <vt:lpstr>HOL</vt:lpstr>
      <vt:lpstr>VER</vt:lpstr>
      <vt:lpstr>STR!Anniv</vt:lpstr>
      <vt:lpstr>AUD.ZB</vt:lpstr>
      <vt:lpstr>AUD.ZB.DISC</vt:lpstr>
      <vt:lpstr>AUD.ZBX</vt:lpstr>
      <vt:lpstr>AUD.ZBX.DISC</vt:lpstr>
      <vt:lpstr>HS!AUD_CPI</vt:lpstr>
      <vt:lpstr>HS!AUD_RateSets</vt:lpstr>
      <vt:lpstr>IRS!BusDayAdj</vt:lpstr>
      <vt:lpstr>STR!BusDayAdj1</vt:lpstr>
      <vt:lpstr>STR!BusDayAdj2</vt:lpstr>
      <vt:lpstr>IRS!CCY</vt:lpstr>
      <vt:lpstr>AU!CPI0_DATE</vt:lpstr>
      <vt:lpstr>AU!CPI0_VALUE</vt:lpstr>
      <vt:lpstr>STR!Currency1</vt:lpstr>
      <vt:lpstr>STR!Currency2</vt:lpstr>
      <vt:lpstr>STR!Dates1</vt:lpstr>
      <vt:lpstr>STR!Dates2</vt:lpstr>
      <vt:lpstr>STR!DCC_Leg1_Fixed</vt:lpstr>
      <vt:lpstr>STR!DCC_Leg1_Float</vt:lpstr>
      <vt:lpstr>STR!DCC_Leg2_Fixed</vt:lpstr>
      <vt:lpstr>STR!DCC_Leg2_Float</vt:lpstr>
      <vt:lpstr>IRS!DCCfixed</vt:lpstr>
      <vt:lpstr>IRS!DCCfloat</vt:lpstr>
      <vt:lpstr>IRS!DesiredFixedRate</vt:lpstr>
      <vt:lpstr>IRS!DesiredNPV</vt:lpstr>
      <vt:lpstr>IRS!Discounting</vt:lpstr>
      <vt:lpstr>STR!End</vt:lpstr>
      <vt:lpstr>IRS!EndInput</vt:lpstr>
      <vt:lpstr>IRS!EOM</vt:lpstr>
      <vt:lpstr>STR!EOM_1</vt:lpstr>
      <vt:lpstr>STR!EOM_2</vt:lpstr>
      <vt:lpstr>EUR.ZB</vt:lpstr>
      <vt:lpstr>EU!EUR.ZB.DISC</vt:lpstr>
      <vt:lpstr>EUR.ZBX</vt:lpstr>
      <vt:lpstr>EUR.ZBX.DISC</vt:lpstr>
      <vt:lpstr>IRS!Face</vt:lpstr>
      <vt:lpstr>STR!FACE1</vt:lpstr>
      <vt:lpstr>IRS!FaceInput</vt:lpstr>
      <vt:lpstr>IRS!Fees</vt:lpstr>
      <vt:lpstr>STR!Forwards1</vt:lpstr>
      <vt:lpstr>STR!Forwards2</vt:lpstr>
      <vt:lpstr>STR!Freq1</vt:lpstr>
      <vt:lpstr>STR!Freq2</vt:lpstr>
      <vt:lpstr>IRS!FreqFixed</vt:lpstr>
      <vt:lpstr>IRS!FreqFloat</vt:lpstr>
      <vt:lpstr>IRS!FRM</vt:lpstr>
      <vt:lpstr>STR!FRM</vt:lpstr>
      <vt:lpstr>FXccys</vt:lpstr>
      <vt:lpstr>FxcurveAUD</vt:lpstr>
      <vt:lpstr>FxcurveEUR</vt:lpstr>
      <vt:lpstr>FxcurveGBP</vt:lpstr>
      <vt:lpstr>FxcurveNZD</vt:lpstr>
      <vt:lpstr>FXcurves</vt:lpstr>
      <vt:lpstr>FXspots</vt:lpstr>
      <vt:lpstr>GBP.ZB</vt:lpstr>
      <vt:lpstr>GBP.ZB.DISC</vt:lpstr>
      <vt:lpstr>GBP.ZBX</vt:lpstr>
      <vt:lpstr>GBP.ZBX.DISC</vt:lpstr>
      <vt:lpstr>STR!GenRate_1a</vt:lpstr>
      <vt:lpstr>STR!GenRate_1b</vt:lpstr>
      <vt:lpstr>STR!GenRate_2a</vt:lpstr>
      <vt:lpstr>STR!GenRate_2b</vt:lpstr>
      <vt:lpstr>STR!GenType_1a</vt:lpstr>
      <vt:lpstr>STR!GenType_1b</vt:lpstr>
      <vt:lpstr>STR!GenType_2a</vt:lpstr>
      <vt:lpstr>STR!GenType_2b</vt:lpstr>
      <vt:lpstr>CON!HelpPopUps</vt:lpstr>
      <vt:lpstr>IRS!HolidayOverride</vt:lpstr>
      <vt:lpstr>STR!Holidays</vt:lpstr>
      <vt:lpstr>IRS!IncludePrincipals</vt:lpstr>
      <vt:lpstr>IRS!InterpTrigger</vt:lpstr>
      <vt:lpstr>STR!InterpTrigger</vt:lpstr>
      <vt:lpstr>IRS!Margin</vt:lpstr>
      <vt:lpstr>NZD.ZB</vt:lpstr>
      <vt:lpstr>NZ!NZD.ZB.DISC</vt:lpstr>
      <vt:lpstr>NZD.ZBX</vt:lpstr>
      <vt:lpstr>NZD.ZBX.DISC</vt:lpstr>
      <vt:lpstr>AU!OutlineLevel</vt:lpstr>
      <vt:lpstr>EU!OutlineLevel</vt:lpstr>
      <vt:lpstr>FX!OutlineLevel</vt:lpstr>
      <vt:lpstr>GB!OutlineLevel</vt:lpstr>
      <vt:lpstr>IRS!OutlineLevel</vt:lpstr>
      <vt:lpstr>NZ!OutlineLevel</vt:lpstr>
      <vt:lpstr>STR!OutlineLevel</vt:lpstr>
      <vt:lpstr>US!OutlineLevel</vt:lpstr>
      <vt:lpstr>AU!Override</vt:lpstr>
      <vt:lpstr>EU!Override</vt:lpstr>
      <vt:lpstr>FX!Override</vt:lpstr>
      <vt:lpstr>GB!Override</vt:lpstr>
      <vt:lpstr>NZ!Override</vt:lpstr>
      <vt:lpstr>US!Override</vt:lpstr>
      <vt:lpstr>STR!Page_1</vt:lpstr>
      <vt:lpstr>STR!Page_2</vt:lpstr>
      <vt:lpstr>TBL!Page_ConversionFactors</vt:lpstr>
      <vt:lpstr>AU!Page_CPI</vt:lpstr>
      <vt:lpstr>EU!Page_CPI</vt:lpstr>
      <vt:lpstr>GB!Page_CPI</vt:lpstr>
      <vt:lpstr>NZ!Page_CPI</vt:lpstr>
      <vt:lpstr>US!Page_CPI</vt:lpstr>
      <vt:lpstr>TBL!Page_ForwardFX</vt:lpstr>
      <vt:lpstr>TBL!Page_ForwardSwaps</vt:lpstr>
      <vt:lpstr>AU!Page_Rates</vt:lpstr>
      <vt:lpstr>EU!Page_Rates</vt:lpstr>
      <vt:lpstr>GB!Page_Rates</vt:lpstr>
      <vt:lpstr>NZ!Page_Rates</vt:lpstr>
      <vt:lpstr>US!Page_Rates</vt:lpstr>
      <vt:lpstr>AU!Page_Vols</vt:lpstr>
      <vt:lpstr>EU!Page_Vols</vt:lpstr>
      <vt:lpstr>GB!Page_Vols</vt:lpstr>
      <vt:lpstr>NZ!Page_Vols</vt:lpstr>
      <vt:lpstr>US!Page_Vols</vt:lpstr>
      <vt:lpstr>IRS!PerformFRM?</vt:lpstr>
      <vt:lpstr>PPP_Global</vt:lpstr>
      <vt:lpstr>STR!Principal1?</vt:lpstr>
      <vt:lpstr>STR!Principal2?</vt:lpstr>
      <vt:lpstr>STR!Principals?</vt:lpstr>
      <vt:lpstr>IRS!ProjCurve_1M</vt:lpstr>
      <vt:lpstr>IRS!ProjCurve_1Y</vt:lpstr>
      <vt:lpstr>IRS!ProjCurve_3M</vt:lpstr>
      <vt:lpstr>IRS!ProjCurve_6M</vt:lpstr>
      <vt:lpstr>IRS!ProjCurve_ON</vt:lpstr>
      <vt:lpstr>STR!PV_Leg1</vt:lpstr>
      <vt:lpstr>STR!PV_Leg2</vt:lpstr>
      <vt:lpstr>STR!PV_Total</vt:lpstr>
      <vt:lpstr>AU!ReutersPARSED</vt:lpstr>
      <vt:lpstr>EU!ReutersPARSED</vt:lpstr>
      <vt:lpstr>GB!ReutersPARSED</vt:lpstr>
      <vt:lpstr>NZ!ReutersPARSED</vt:lpstr>
      <vt:lpstr>US!ReutersPARSED</vt:lpstr>
      <vt:lpstr>AU!ReutersRAW</vt:lpstr>
      <vt:lpstr>EU!ReutersRAW</vt:lpstr>
      <vt:lpstr>GB!ReutersRAW</vt:lpstr>
      <vt:lpstr>NZ!ReutersRAW</vt:lpstr>
      <vt:lpstr>US!ReutersRAW</vt:lpstr>
      <vt:lpstr>IRS!RollAnniv</vt:lpstr>
      <vt:lpstr>FX!RTMODE_FX</vt:lpstr>
      <vt:lpstr>AU!RTMODE_RATES</vt:lpstr>
      <vt:lpstr>EU!RTMODE_RATES</vt:lpstr>
      <vt:lpstr>GB!RTMODE_RATES</vt:lpstr>
      <vt:lpstr>NZ!RTMODE_RATES</vt:lpstr>
      <vt:lpstr>US!RTMODE_RATES</vt:lpstr>
      <vt:lpstr>AU!RTMODE_VOLS</vt:lpstr>
      <vt:lpstr>EU!RTMODE_VOLS</vt:lpstr>
      <vt:lpstr>GB!RTMODE_VOLS</vt:lpstr>
      <vt:lpstr>NZ!RTMODE_VOLS</vt:lpstr>
      <vt:lpstr>US!RTMODE_VOLS</vt:lpstr>
      <vt:lpstr>CON!ServiceMode</vt:lpstr>
      <vt:lpstr>STR!SolveTarget_Leg1</vt:lpstr>
      <vt:lpstr>STR!SolveTarget_Leg1_Input</vt:lpstr>
      <vt:lpstr>STR!SolveTarget_Leg2</vt:lpstr>
      <vt:lpstr>STR!SolveTarget_Leg2_Input</vt:lpstr>
      <vt:lpstr>STR!SolveTarget_Total</vt:lpstr>
      <vt:lpstr>STR!SolveTarget_Total_Input</vt:lpstr>
      <vt:lpstr>Spot_AUD</vt:lpstr>
      <vt:lpstr>Spot_EUR</vt:lpstr>
      <vt:lpstr>Spot_GBP</vt:lpstr>
      <vt:lpstr>Spot_NZD</vt:lpstr>
      <vt:lpstr>Spot_USD</vt:lpstr>
      <vt:lpstr>STR!Start</vt:lpstr>
      <vt:lpstr>IRS!StartInput</vt:lpstr>
      <vt:lpstr>STR!Stubs1</vt:lpstr>
      <vt:lpstr>STR!Stubs2</vt:lpstr>
      <vt:lpstr>IRS!StubsFixed</vt:lpstr>
      <vt:lpstr>IRS!StubsFloat</vt:lpstr>
      <vt:lpstr>Today</vt:lpstr>
      <vt:lpstr>USD.ZB</vt:lpstr>
      <vt:lpstr>USD.ZB.DISC</vt:lpstr>
      <vt:lpstr>USD.ZBX</vt:lpstr>
      <vt:lpstr>USD.ZBX.DISC</vt:lpstr>
      <vt:lpstr>HS!USD_RateSets</vt:lpstr>
      <vt:lpstr>IRS!Yrs</vt:lpstr>
    </vt:vector>
  </TitlesOfParts>
  <Company>nabCapital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Leong</dc:creator>
  <cp:lastModifiedBy>Stephen Leong</cp:lastModifiedBy>
  <dcterms:created xsi:type="dcterms:W3CDTF">2011-03-28T05:51:47Z</dcterms:created>
  <dcterms:modified xsi:type="dcterms:W3CDTF">2011-05-17T07:03:19Z</dcterms:modified>
</cp:coreProperties>
</file>